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96B7F6C6-CCD7-4363-A351-913F640A8BAD}" xr6:coauthVersionLast="47" xr6:coauthVersionMax="47" xr10:uidLastSave="{00000000-0000-0000-0000-000000000000}"/>
  <bookViews>
    <workbookView xWindow="-98" yWindow="-98" windowWidth="22695" windowHeight="14595" activeTab="3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308" sheetId="21" r:id="rId7"/>
    <sheet name="0208" sheetId="20" r:id="rId8"/>
    <sheet name="0108" sheetId="19" r:id="rId9"/>
    <sheet name="3107" sheetId="18" r:id="rId10"/>
    <sheet name="2707" sheetId="17" r:id="rId11"/>
    <sheet name="2607" sheetId="16" r:id="rId12"/>
    <sheet name="2407" sheetId="15" r:id="rId13"/>
    <sheet name="2007" sheetId="14" r:id="rId14"/>
    <sheet name="1907" sheetId="13" r:id="rId15"/>
    <sheet name="1807" sheetId="12" r:id="rId16"/>
    <sheet name="1707" sheetId="11" r:id="rId17"/>
    <sheet name="Preseason 3" sheetId="10" r:id="rId18"/>
    <sheet name="Preseason 2" sheetId="9" r:id="rId19"/>
    <sheet name="Preseason 1" sheetId="8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7" i="21" l="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BA10" i="3" l="1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1" l="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S84" i="3"/>
  <c r="S83" i="3"/>
  <c r="S82" i="3"/>
  <c r="S81" i="3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<sst xmlns="http://schemas.openxmlformats.org/spreadsheetml/2006/main" count="2626" uniqueCount="268">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</sst>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4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4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3" fillId="0" borderId="0" xfId="0" applyFont="1" applyAlignment="1"/>
    <xf numFmtId="0" fontId="13" fillId="0" borderId="0" xfId="0" applyFont="1"/>
    <xf numFmtId="0" fontId="23" fillId="4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0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9" fillId="0" borderId="0" xfId="0" applyFont="1" applyAlignment="1"/>
    <xf numFmtId="0" fontId="8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7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6" fillId="0" borderId="0" xfId="0" applyFont="1" applyAlignment="1"/>
    <xf numFmtId="0" fontId="6" fillId="0" borderId="0" xfId="0" applyFont="1"/>
    <xf numFmtId="0" fontId="23" fillId="0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2" fillId="0" borderId="0" xfId="0" applyFont="1" applyAlignment="1"/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0" xfId="0" applyFont="1" applyFill="1" applyAlignment="1">
      <alignment vertic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0.61728395061728403</c:v>
                </c:pt>
                <c:pt idx="1">
                  <c:v>0.24691358024691359</c:v>
                </c:pt>
                <c:pt idx="2">
                  <c:v>0.13580246913580246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Global'!$T$78:$T$86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Global'!$U$78:$U$86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Global'!$V$78:$V$86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1">
  <autoFilter ref="AW7:BC24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'3107'!R3+'0108'!R3+'0208'!R3+'0308'!R3</calculatedColumnFormula>
    </tableColumn>
    <tableColumn id="3" xr3:uid="{6CA15B41-F560-4B43-8836-163F5BB5689C}" name="Finishes" dataDxfId="97">
      <calculatedColumnFormula>'3107'!S3+'0108'!S3+'0208'!S3+'0308'!S3</calculatedColumnFormula>
    </tableColumn>
    <tableColumn id="4" xr3:uid="{8FF05262-0051-44F7-966E-8D405318BA69}" name="Midranges" dataDxfId="96">
      <calculatedColumnFormula>'3107'!T3+'0108'!T3+'0208'!T3+'0308'!T3</calculatedColumnFormula>
    </tableColumn>
    <tableColumn id="5" xr3:uid="{F0D843FC-7A93-4C9A-BCCF-E789F7811B3B}" name="Threes" dataDxfId="95">
      <calculatedColumnFormula>'3107'!U3+'0108'!U3+'0208'!U3+'0308'!U3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0" t="s">
        <v>47</v>
      </c>
      <c r="D3" s="7">
        <f>'Stats Global'!AB8</f>
        <v>0.27272727272727271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0.27272727272727271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0" t="s">
        <v>47</v>
      </c>
      <c r="D4" s="7">
        <f>'Stats Global'!AB9</f>
        <v>1.2</v>
      </c>
      <c r="E4" s="11">
        <f>'Stats Global'!AA9</f>
        <v>12</v>
      </c>
      <c r="F4" s="7">
        <f>'Stats Global'!AD9</f>
        <v>1.2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197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9" t="s">
        <v>26</v>
      </c>
      <c r="D5" s="7">
        <f>'Stats Global'!AB10</f>
        <v>3</v>
      </c>
      <c r="E5" s="11">
        <f>'Stats Global'!AA10</f>
        <v>15</v>
      </c>
      <c r="F5" s="7">
        <f>'Stats Global'!AD10</f>
        <v>2.6</v>
      </c>
      <c r="G5" s="11">
        <f>'Stats Global'!AC10</f>
        <v>13</v>
      </c>
      <c r="H5" s="7">
        <f>'Stats Global'!AF10</f>
        <v>0</v>
      </c>
      <c r="I5" s="11">
        <f>'Stats Global'!AE10</f>
        <v>0</v>
      </c>
      <c r="J5" s="7">
        <f>'Stats Global'!AH10</f>
        <v>0.2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194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0.7142857142857143</v>
      </c>
      <c r="E6" s="11">
        <f>'Stats Global'!AA11</f>
        <v>5</v>
      </c>
      <c r="F6" s="7">
        <f>'Stats Global'!AD11</f>
        <v>0.7142857142857143</v>
      </c>
      <c r="G6" s="11">
        <f>'Stats Global'!AC11</f>
        <v>5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9" t="s">
        <v>190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9" t="s">
        <v>31</v>
      </c>
      <c r="D7" s="7">
        <f>'Stats Global'!AB12</f>
        <v>1.1111111111111112</v>
      </c>
      <c r="E7" s="11">
        <f>'Stats Global'!AA12</f>
        <v>10</v>
      </c>
      <c r="F7" s="7">
        <f>'Stats Global'!AD12</f>
        <v>0.44444444444444442</v>
      </c>
      <c r="G7" s="11">
        <f>'Stats Global'!AC12</f>
        <v>4</v>
      </c>
      <c r="H7" s="7">
        <f>'Stats Global'!AF12</f>
        <v>0.44444444444444442</v>
      </c>
      <c r="I7" s="11">
        <f>'Stats Global'!AE12</f>
        <v>4</v>
      </c>
      <c r="J7" s="7">
        <f>'Stats Global'!AH12</f>
        <v>0.1111111111111111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09" t="s">
        <v>195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1" t="s">
        <v>26</v>
      </c>
      <c r="D8" s="7">
        <f>'Stats Global'!AB13</f>
        <v>0.33333333333333331</v>
      </c>
      <c r="E8" s="11">
        <f>'Stats Global'!AA13</f>
        <v>3</v>
      </c>
      <c r="F8" s="7">
        <f>'Stats Global'!AD13</f>
        <v>0.22222222222222221</v>
      </c>
      <c r="G8" s="11">
        <f>'Stats Global'!AC13</f>
        <v>2</v>
      </c>
      <c r="H8" s="7">
        <f>'Stats Global'!AF13</f>
        <v>0.1111111111111111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1" t="s">
        <v>240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10" t="s">
        <v>26</v>
      </c>
      <c r="D9" s="7">
        <f>'Stats Global'!AB14</f>
        <v>0.54545454545454541</v>
      </c>
      <c r="E9" s="11">
        <f>'Stats Global'!AA14</f>
        <v>6</v>
      </c>
      <c r="F9" s="7">
        <f>'Stats Global'!AD14</f>
        <v>0.36363636363636365</v>
      </c>
      <c r="G9" s="11">
        <f>'Stats Global'!AC14</f>
        <v>4</v>
      </c>
      <c r="H9" s="7">
        <f>'Stats Global'!AF14</f>
        <v>0.18181818181818182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213</v>
      </c>
      <c r="M9" s="16" t="s">
        <v>158</v>
      </c>
      <c r="T9" s="110" t="s">
        <v>200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10" t="s">
        <v>31</v>
      </c>
      <c r="D10" s="7">
        <f>'Stats Global'!AB15</f>
        <v>1.6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0.8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10" t="s">
        <v>199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9" t="s">
        <v>47</v>
      </c>
      <c r="D11" s="7">
        <f>'Stats Global'!AB16</f>
        <v>1.7</v>
      </c>
      <c r="E11" s="11">
        <f>'Stats Global'!AA16</f>
        <v>17</v>
      </c>
      <c r="F11" s="7">
        <f>'Stats Global'!AD16</f>
        <v>0.7</v>
      </c>
      <c r="G11" s="11">
        <f>'Stats Global'!AC16</f>
        <v>7</v>
      </c>
      <c r="H11" s="7">
        <f>'Stats Global'!AF16</f>
        <v>0.6</v>
      </c>
      <c r="I11" s="11">
        <f>'Stats Global'!AE16</f>
        <v>6</v>
      </c>
      <c r="J11" s="7">
        <f>'Stats Global'!AH16</f>
        <v>0.2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196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2.8181818181818183</v>
      </c>
      <c r="E12" s="11">
        <f>'Stats Global'!AA17</f>
        <v>31</v>
      </c>
      <c r="F12" s="7">
        <f>'Stats Global'!AD17</f>
        <v>0.45454545454545453</v>
      </c>
      <c r="G12" s="11">
        <f>'Stats Global'!AC17</f>
        <v>5</v>
      </c>
      <c r="H12" s="7">
        <f>'Stats Global'!AF17</f>
        <v>1.6363636363636365</v>
      </c>
      <c r="I12" s="11">
        <f>'Stats Global'!AE17</f>
        <v>18</v>
      </c>
      <c r="J12" s="7">
        <f>'Stats Global'!AH17</f>
        <v>0.36363636363636365</v>
      </c>
      <c r="K12" s="11">
        <f>'Stats Global'!AG17</f>
        <v>4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100" t="s">
        <v>191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0" t="s">
        <v>31</v>
      </c>
      <c r="D13" s="7">
        <f>'Stats Global'!AB18</f>
        <v>0.63636363636363635</v>
      </c>
      <c r="E13" s="11">
        <f>'Stats Global'!AA18</f>
        <v>7</v>
      </c>
      <c r="F13" s="7">
        <f>'Stats Global'!AD18</f>
        <v>9.0909090909090912E-2</v>
      </c>
      <c r="G13" s="11">
        <f>'Stats Global'!AC18</f>
        <v>1</v>
      </c>
      <c r="H13" s="7">
        <f>'Stats Global'!AF18</f>
        <v>0.54545454545454541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1" t="s">
        <v>198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4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212</v>
      </c>
      <c r="M14" s="2"/>
      <c r="N14" s="16"/>
      <c r="O14" s="16"/>
      <c r="P14" s="16"/>
      <c r="Q14" s="16"/>
      <c r="R14" s="16"/>
      <c r="S14" s="16"/>
      <c r="T14" s="146" t="s">
        <v>240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1" t="s">
        <v>31</v>
      </c>
      <c r="D15" s="7">
        <f>'Stats Global'!AB20</f>
        <v>0.81818181818181823</v>
      </c>
      <c r="E15" s="11">
        <f>'Stats Global'!AA20</f>
        <v>9</v>
      </c>
      <c r="F15" s="7">
        <f>'Stats Global'!AD20</f>
        <v>0.72727272727272729</v>
      </c>
      <c r="G15" s="11">
        <f>'Stats Global'!AC20</f>
        <v>8</v>
      </c>
      <c r="H15" s="7">
        <f>'Stats Global'!AF20</f>
        <v>9.0909090909090912E-2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2" t="s">
        <v>239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0" t="s">
        <v>47</v>
      </c>
      <c r="D16" s="7">
        <f>'Stats Global'!AB21</f>
        <v>1.1818181818181819</v>
      </c>
      <c r="E16" s="11">
        <f>'Stats Global'!AA21</f>
        <v>13</v>
      </c>
      <c r="F16" s="7">
        <f>'Stats Global'!AD21</f>
        <v>0.72727272727272729</v>
      </c>
      <c r="G16" s="11">
        <f>'Stats Global'!AC21</f>
        <v>8</v>
      </c>
      <c r="H16" s="7">
        <f>'Stats Global'!AF21</f>
        <v>0.27272727272727271</v>
      </c>
      <c r="I16" s="11">
        <f>'Stats Global'!AE21</f>
        <v>3</v>
      </c>
      <c r="J16" s="7">
        <f>'Stats Global'!AH21</f>
        <v>9.0909090909090912E-2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1" t="s">
        <v>197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3.0909090909090908</v>
      </c>
      <c r="E17" s="11">
        <f>'Stats Global'!AA22</f>
        <v>34</v>
      </c>
      <c r="F17" s="7">
        <f>'Stats Global'!AD22</f>
        <v>1.5454545454545454</v>
      </c>
      <c r="G17" s="11">
        <f>'Stats Global'!AC22</f>
        <v>17</v>
      </c>
      <c r="H17" s="7">
        <f>'Stats Global'!AF22</f>
        <v>0.63636363636363635</v>
      </c>
      <c r="I17" s="11">
        <f>'Stats Global'!AE22</f>
        <v>7</v>
      </c>
      <c r="J17" s="7">
        <f>'Stats Global'!AH22</f>
        <v>0.45454545454545453</v>
      </c>
      <c r="K17" s="11">
        <f>'Stats Global'!AG22</f>
        <v>5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9" t="s">
        <v>192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0" t="s">
        <v>31</v>
      </c>
      <c r="D18" s="7">
        <f>'Stats Global'!AB23</f>
        <v>9.0909090909090912E-2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9.0909090909090912E-2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10" t="s">
        <v>198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5" t="s">
        <v>31</v>
      </c>
      <c r="D19" s="7">
        <f>'Stats Global'!AB24</f>
        <v>0.66666666666666663</v>
      </c>
      <c r="E19" s="11">
        <f>'Stats Global'!AA24</f>
        <v>4</v>
      </c>
      <c r="F19" s="7">
        <f>'Stats Global'!AD24</f>
        <v>0.66666666666666663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5" t="s">
        <v>239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211</v>
      </c>
    </row>
    <row r="22" spans="2:24" ht="14.25" customHeight="1" x14ac:dyDescent="0.9">
      <c r="B22" s="156" t="s">
        <v>119</v>
      </c>
      <c r="C22" s="156"/>
      <c r="D22" s="98"/>
      <c r="X22" s="2" t="s">
        <v>70</v>
      </c>
    </row>
    <row r="23" spans="2:24" ht="14.25" customHeight="1" x14ac:dyDescent="0.9">
      <c r="B23" s="156"/>
      <c r="C23" s="156"/>
      <c r="D23" s="98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"PPG":[0.27,1.2,3,0.71,1.11,0.33,0.55,1.6,1.7,2.82,0.64,0.17,0.82,1.18,3.09,0.09,0.67],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"TP":[3,12,15,5,10,3,6,8,17,31,7,1,9,13,34,1,4],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"FPG":[0,1.2,2.6,0.71,0.44,0.22,0.36,0,0.7,0.45,0.09,0,0.73,0.73,1.55,0,0.67],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"TF":[0,12,13,5,4,2,4,0,7,5,1,0,8,8,17,0,4],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"MPG":[0.27,0,0,0,0.44,0.11,0.18,0,0.6,1.64,0.55,0.17,0.09,0.27,0.64,0.09,0],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"TM":[3,0,0,0,4,1,2,0,6,18,6,1,1,3,7,1,0],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"TPG":[0,0,0.2,0,0.11,0,0,0.8,0.2,0.36,0,0,0,0.09,0.45,0,0],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"TT":[0,0,1,0,1,0,0,4,2,4,0,0,0,1,5,0,0],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0.27,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0.27,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1.2,</v>
      </c>
      <c r="E51" s="17" t="str">
        <f t="shared" si="7"/>
        <v>12,</v>
      </c>
      <c r="F51" s="17" t="str">
        <f t="shared" si="8"/>
        <v>1.2,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3,</v>
      </c>
      <c r="E52" s="17" t="str">
        <f t="shared" si="7"/>
        <v>15,</v>
      </c>
      <c r="F52" s="17" t="str">
        <f t="shared" si="8"/>
        <v>2.6,</v>
      </c>
      <c r="G52" s="17" t="str">
        <f t="shared" si="9"/>
        <v>13,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0.2,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0.71,</v>
      </c>
      <c r="E53" s="17" t="str">
        <f t="shared" si="7"/>
        <v>5,</v>
      </c>
      <c r="F53" s="17" t="str">
        <f t="shared" si="8"/>
        <v>0.71,</v>
      </c>
      <c r="G53" s="17" t="str">
        <f t="shared" si="9"/>
        <v>5,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1.11,</v>
      </c>
      <c r="E54" s="17" t="str">
        <f t="shared" si="7"/>
        <v>10,</v>
      </c>
      <c r="F54" s="17" t="str">
        <f t="shared" si="8"/>
        <v>0.44,</v>
      </c>
      <c r="G54" s="17" t="str">
        <f t="shared" si="9"/>
        <v>4,</v>
      </c>
      <c r="H54" s="17" t="str">
        <f t="shared" si="10"/>
        <v>0.44,</v>
      </c>
      <c r="I54" s="17" t="str">
        <f t="shared" si="11"/>
        <v>4,</v>
      </c>
      <c r="J54" s="17" t="str">
        <f t="shared" si="12"/>
        <v>0.11,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0.33,</v>
      </c>
      <c r="E55" s="17" t="str">
        <f t="shared" si="7"/>
        <v>3,</v>
      </c>
      <c r="F55" s="17" t="str">
        <f t="shared" si="8"/>
        <v>0.22,</v>
      </c>
      <c r="G55" s="17" t="str">
        <f t="shared" si="9"/>
        <v>2,</v>
      </c>
      <c r="H55" s="17" t="str">
        <f t="shared" si="10"/>
        <v>0.11,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0.55,</v>
      </c>
      <c r="E56" s="17" t="str">
        <f t="shared" si="7"/>
        <v>6,</v>
      </c>
      <c r="F56" s="17" t="str">
        <f t="shared" si="8"/>
        <v>0.36,</v>
      </c>
      <c r="G56" s="17" t="str">
        <f t="shared" si="9"/>
        <v>4,</v>
      </c>
      <c r="H56" s="17" t="str">
        <f t="shared" si="10"/>
        <v>0.18,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1.6,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0.8,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1.7,</v>
      </c>
      <c r="E58" s="17" t="str">
        <f t="shared" si="7"/>
        <v>17,</v>
      </c>
      <c r="F58" s="17" t="str">
        <f t="shared" si="8"/>
        <v>0.7,</v>
      </c>
      <c r="G58" s="17" t="str">
        <f t="shared" si="9"/>
        <v>7,</v>
      </c>
      <c r="H58" s="17" t="str">
        <f t="shared" si="10"/>
        <v>0.6,</v>
      </c>
      <c r="I58" s="17" t="str">
        <f t="shared" si="11"/>
        <v>6,</v>
      </c>
      <c r="J58" s="17" t="str">
        <f t="shared" si="12"/>
        <v>0.2,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2.82,</v>
      </c>
      <c r="E59" s="17" t="str">
        <f t="shared" si="7"/>
        <v>31,</v>
      </c>
      <c r="F59" s="17" t="str">
        <f t="shared" si="8"/>
        <v>0.45,</v>
      </c>
      <c r="G59" s="17" t="str">
        <f t="shared" si="9"/>
        <v>5,</v>
      </c>
      <c r="H59" s="17" t="str">
        <f t="shared" si="10"/>
        <v>1.64,</v>
      </c>
      <c r="I59" s="17" t="str">
        <f t="shared" si="11"/>
        <v>18,</v>
      </c>
      <c r="J59" s="17" t="str">
        <f t="shared" si="12"/>
        <v>0.36,</v>
      </c>
      <c r="K59" s="17" t="str">
        <f t="shared" si="13"/>
        <v>4,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0.64,</v>
      </c>
      <c r="E60" s="17" t="str">
        <f t="shared" si="7"/>
        <v>7,</v>
      </c>
      <c r="F60" s="17" t="str">
        <f t="shared" si="8"/>
        <v>0.09,</v>
      </c>
      <c r="G60" s="17" t="str">
        <f t="shared" si="9"/>
        <v>1,</v>
      </c>
      <c r="H60" s="17" t="str">
        <f t="shared" si="10"/>
        <v>0.55,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0.17,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0.17,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0.82,</v>
      </c>
      <c r="E62" s="17" t="str">
        <f t="shared" si="7"/>
        <v>9,</v>
      </c>
      <c r="F62" s="17" t="str">
        <f t="shared" si="8"/>
        <v>0.73,</v>
      </c>
      <c r="G62" s="17" t="str">
        <f t="shared" si="9"/>
        <v>8,</v>
      </c>
      <c r="H62" s="17" t="str">
        <f t="shared" si="10"/>
        <v>0.09,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1.18,</v>
      </c>
      <c r="E63" s="17" t="str">
        <f t="shared" si="7"/>
        <v>13,</v>
      </c>
      <c r="F63" s="17" t="str">
        <f t="shared" si="8"/>
        <v>0.73,</v>
      </c>
      <c r="G63" s="17" t="str">
        <f t="shared" si="9"/>
        <v>8,</v>
      </c>
      <c r="H63" s="17" t="str">
        <f t="shared" si="10"/>
        <v>0.27,</v>
      </c>
      <c r="I63" s="17" t="str">
        <f t="shared" si="11"/>
        <v>3,</v>
      </c>
      <c r="J63" s="17" t="str">
        <f t="shared" si="12"/>
        <v>0.09,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3.09,</v>
      </c>
      <c r="E64" s="17" t="str">
        <f t="shared" si="7"/>
        <v>34,</v>
      </c>
      <c r="F64" s="17" t="str">
        <f t="shared" si="8"/>
        <v>1.55,</v>
      </c>
      <c r="G64" s="17" t="str">
        <f t="shared" si="9"/>
        <v>17,</v>
      </c>
      <c r="H64" s="17" t="str">
        <f t="shared" si="10"/>
        <v>0.64,</v>
      </c>
      <c r="I64" s="17" t="str">
        <f t="shared" si="11"/>
        <v>7,</v>
      </c>
      <c r="J64" s="17" t="str">
        <f t="shared" si="12"/>
        <v>0.45,</v>
      </c>
      <c r="K64" s="17" t="str">
        <f t="shared" si="13"/>
        <v>5,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0.09,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0.09,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0.67</v>
      </c>
      <c r="E66" s="17">
        <f>E19</f>
        <v>4</v>
      </c>
      <c r="F66" s="17">
        <f>ROUND(F19,2)</f>
        <v>0.67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205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205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206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206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205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6</v>
      </c>
      <c r="H14" s="25">
        <v>4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205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257</v>
      </c>
      <c r="F19" s="25" t="s">
        <v>257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206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205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205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205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205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205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48"/>
      <c r="AC23" s="148"/>
      <c r="AD23" s="148"/>
      <c r="AE23" s="148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2"/>
      <c r="AC24" s="148"/>
      <c r="AD24" s="148"/>
      <c r="AE24" s="148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2"/>
      <c r="AC25" s="148"/>
      <c r="AD25" s="148"/>
      <c r="AE25" s="148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2"/>
      <c r="AC26" s="148"/>
      <c r="AD26" s="148"/>
      <c r="AE26" s="148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2"/>
      <c r="AC27" s="148"/>
      <c r="AD27" s="148"/>
      <c r="AE27" s="148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2"/>
      <c r="AC28" s="148"/>
      <c r="AD28" s="148"/>
      <c r="AE28" s="148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3"/>
      <c r="AC29" s="148"/>
      <c r="AD29" s="148"/>
      <c r="AE29" s="148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3"/>
      <c r="AC30" s="148"/>
      <c r="AD30" s="148"/>
      <c r="AE30" s="148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3"/>
      <c r="AC31" s="148"/>
      <c r="AD31" s="148"/>
      <c r="AE31" s="148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3"/>
      <c r="AC32" s="148"/>
      <c r="AD32" s="148"/>
      <c r="AE32" s="148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3"/>
      <c r="AC33" s="148"/>
      <c r="AD33" s="148"/>
      <c r="AE33" s="148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4"/>
      <c r="AC34" s="148"/>
      <c r="AD34" s="148"/>
      <c r="AE34" s="148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4"/>
      <c r="AC35" s="148"/>
      <c r="AD35" s="148"/>
      <c r="AE35" s="148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4"/>
      <c r="AC36" s="148"/>
      <c r="AD36" s="148"/>
      <c r="AE36" s="148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4"/>
      <c r="AC37" s="148"/>
      <c r="AD37" s="148"/>
      <c r="AE37" s="148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4"/>
      <c r="AC38" s="148"/>
      <c r="AD38" s="148"/>
      <c r="AE38" s="148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4"/>
      <c r="AC39" s="148"/>
      <c r="AD39" s="148"/>
      <c r="AE39" s="148"/>
    </row>
    <row r="40" spans="2:31" ht="14.25" customHeight="1" x14ac:dyDescent="0.45">
      <c r="B40" s="73"/>
      <c r="S40" s="8"/>
      <c r="T40" s="8"/>
      <c r="U40" s="8"/>
      <c r="AB40" s="134"/>
      <c r="AC40" s="148"/>
      <c r="AD40" s="148"/>
      <c r="AE40" s="148"/>
    </row>
    <row r="41" spans="2:31" ht="14.25" customHeight="1" x14ac:dyDescent="0.9">
      <c r="R41" s="98"/>
      <c r="S41" s="98"/>
      <c r="T41" s="156" t="s">
        <v>119</v>
      </c>
      <c r="U41" s="156"/>
      <c r="V41" s="156"/>
    </row>
    <row r="42" spans="2:31" ht="14.25" customHeight="1" x14ac:dyDescent="0.9">
      <c r="R42" s="98"/>
      <c r="S42" s="98"/>
      <c r="T42" s="156"/>
      <c r="U42" s="156"/>
      <c r="V42" s="156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205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205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205</v>
      </c>
      <c r="G14" s="25">
        <v>11</v>
      </c>
      <c r="H14" s="25">
        <v>6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205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206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206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206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206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205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205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1"/>
      <c r="AC21" s="131"/>
      <c r="AD21" s="131"/>
      <c r="AE21" s="131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2"/>
      <c r="AC22" s="131"/>
      <c r="AD22" s="131"/>
      <c r="AE22" s="131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2"/>
      <c r="AC23" s="131"/>
      <c r="AD23" s="131"/>
      <c r="AE23" s="131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2"/>
      <c r="AC24" s="131"/>
      <c r="AD24" s="131"/>
      <c r="AE24" s="131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2"/>
      <c r="AC25" s="131"/>
      <c r="AD25" s="131"/>
      <c r="AE25" s="131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2"/>
      <c r="AC26" s="131"/>
      <c r="AD26" s="131"/>
      <c r="AE26" s="131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3"/>
      <c r="AC27" s="131"/>
      <c r="AD27" s="131"/>
      <c r="AE27" s="131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3"/>
      <c r="AC28" s="131"/>
      <c r="AD28" s="131"/>
      <c r="AE28" s="131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3"/>
      <c r="AC29" s="131"/>
      <c r="AD29" s="131"/>
      <c r="AE29" s="131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3"/>
      <c r="AC30" s="131"/>
      <c r="AD30" s="131"/>
      <c r="AE30" s="131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3"/>
      <c r="AC31" s="131"/>
      <c r="AD31" s="131"/>
      <c r="AE31" s="131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4"/>
      <c r="AC32" s="131"/>
      <c r="AD32" s="131"/>
      <c r="AE32" s="131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4"/>
      <c r="AC33" s="131"/>
      <c r="AD33" s="131"/>
      <c r="AE33" s="131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4"/>
      <c r="AC34" s="131"/>
      <c r="AD34" s="131"/>
      <c r="AE34" s="131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4"/>
      <c r="AC35" s="131"/>
      <c r="AD35" s="131"/>
      <c r="AE35" s="131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4"/>
      <c r="AC36" s="131"/>
      <c r="AD36" s="131"/>
      <c r="AE36" s="131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4"/>
      <c r="AC37" s="131"/>
      <c r="AD37" s="131"/>
      <c r="AE37" s="131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4"/>
      <c r="AC38" s="131"/>
      <c r="AD38" s="131"/>
      <c r="AE38" s="131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8"/>
      <c r="S41" s="98"/>
      <c r="T41" s="156" t="s">
        <v>119</v>
      </c>
      <c r="U41" s="156"/>
      <c r="V41" s="156"/>
    </row>
    <row r="42" spans="2:31" ht="14.25" customHeight="1" x14ac:dyDescent="0.9">
      <c r="R42" s="98"/>
      <c r="S42" s="98"/>
      <c r="T42" s="156"/>
      <c r="U42" s="156"/>
      <c r="V42" s="156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7" t="s">
        <v>219</v>
      </c>
      <c r="Y2" s="157"/>
      <c r="Z2" s="157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206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4</v>
      </c>
      <c r="H14" s="25">
        <v>3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205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8"/>
      <c r="S41" s="98"/>
      <c r="T41" s="156" t="s">
        <v>119</v>
      </c>
      <c r="U41" s="156"/>
      <c r="V41" s="156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206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4</v>
      </c>
      <c r="H14" s="25">
        <v>3</v>
      </c>
      <c r="I14" s="25">
        <v>4</v>
      </c>
      <c r="Q14" s="2" t="s">
        <v>201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205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205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206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205</v>
      </c>
      <c r="G14" s="25">
        <v>2</v>
      </c>
      <c r="H14" s="25">
        <v>6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205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205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205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206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205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205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205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205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205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G1" zoomScale="81" zoomScaleNormal="100" workbookViewId="0">
      <selection activeCell="K45" sqref="K45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8" t="s">
        <v>72</v>
      </c>
      <c r="C4" s="108" t="s">
        <v>77</v>
      </c>
      <c r="D4" s="108" t="s">
        <v>78</v>
      </c>
      <c r="E4" s="108" t="s">
        <v>79</v>
      </c>
      <c r="F4" s="108" t="s">
        <v>171</v>
      </c>
      <c r="G4" s="108" t="s">
        <v>177</v>
      </c>
      <c r="H4" s="108" t="s">
        <v>178</v>
      </c>
      <c r="I4" s="108" t="s">
        <v>172</v>
      </c>
      <c r="J4" s="108" t="s">
        <v>179</v>
      </c>
      <c r="K4" s="108" t="s">
        <v>180</v>
      </c>
      <c r="L4" s="108" t="s">
        <v>173</v>
      </c>
      <c r="M4" s="108" t="s">
        <v>181</v>
      </c>
      <c r="N4" s="108" t="s">
        <v>182</v>
      </c>
      <c r="O4" s="108" t="s">
        <v>174</v>
      </c>
      <c r="P4" s="108" t="s">
        <v>175</v>
      </c>
      <c r="Q4" s="108" t="s">
        <v>176</v>
      </c>
      <c r="S4" s="3" t="s">
        <v>80</v>
      </c>
      <c r="Z4" t="s">
        <v>144</v>
      </c>
      <c r="AA4" s="135">
        <f>AA6/(20-AA5)</f>
        <v>0.57894736842105265</v>
      </c>
    </row>
    <row r="5" spans="1:55" ht="14.25" customHeight="1" x14ac:dyDescent="0.45">
      <c r="B5" s="121" t="str">
        <f>'Preseason 1'!B45</f>
        <v>11-July</v>
      </c>
      <c r="C5" s="121">
        <f>'Preseason 1'!C45</f>
        <v>12</v>
      </c>
      <c r="D5" s="121">
        <f>'Preseason 1'!D45</f>
        <v>5</v>
      </c>
      <c r="E5" s="121">
        <f>'Preseason 1'!E45</f>
        <v>0</v>
      </c>
      <c r="F5" s="121">
        <f>'Preseason 1'!F45</f>
        <v>5</v>
      </c>
      <c r="G5" s="121">
        <f>'Preseason 1'!G45</f>
        <v>0</v>
      </c>
      <c r="H5" s="121">
        <f>'Preseason 1'!H45</f>
        <v>6</v>
      </c>
      <c r="I5" s="121">
        <f>'Preseason 1'!I45</f>
        <v>0</v>
      </c>
      <c r="J5" s="121">
        <f>'Preseason 1'!J45</f>
        <v>2</v>
      </c>
      <c r="K5" s="121">
        <f>'Preseason 1'!K45</f>
        <v>6</v>
      </c>
      <c r="L5" s="121">
        <f>'Preseason 1'!L45</f>
        <v>12</v>
      </c>
      <c r="M5" s="121">
        <f>'Preseason 1'!M45</f>
        <v>3</v>
      </c>
      <c r="N5" s="121">
        <f>'Preseason 1'!N45</f>
        <v>0</v>
      </c>
      <c r="O5" s="121">
        <f>'Preseason 1'!O45</f>
        <v>2</v>
      </c>
      <c r="P5" s="121">
        <f>'Preseason 1'!P45</f>
        <v>1</v>
      </c>
      <c r="Q5" s="121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0"/>
      <c r="AS5" s="60"/>
      <c r="AT5" s="60"/>
    </row>
    <row r="6" spans="1:55" ht="14.25" customHeight="1" x14ac:dyDescent="0.45">
      <c r="B6" s="121" t="str">
        <f>'Preseason 2'!B45</f>
        <v>12-July</v>
      </c>
      <c r="C6" s="121">
        <f>'Preseason 2'!C45</f>
        <v>15</v>
      </c>
      <c r="D6" s="121">
        <f>'Preseason 2'!D45</f>
        <v>9</v>
      </c>
      <c r="E6" s="121">
        <f>'Preseason 2'!E45</f>
        <v>2</v>
      </c>
      <c r="F6" s="121">
        <f>'Preseason 2'!F45</f>
        <v>9</v>
      </c>
      <c r="G6" s="121">
        <f>'Preseason 2'!G45</f>
        <v>1</v>
      </c>
      <c r="H6" s="121">
        <f>'Preseason 2'!H45</f>
        <v>7</v>
      </c>
      <c r="I6" s="121">
        <f>'Preseason 2'!I45</f>
        <v>2</v>
      </c>
      <c r="J6" s="121">
        <f>'Preseason 2'!J45</f>
        <v>4</v>
      </c>
      <c r="K6" s="121">
        <f>'Preseason 2'!K45</f>
        <v>8</v>
      </c>
      <c r="L6" s="121">
        <f>'Preseason 2'!L45</f>
        <v>15</v>
      </c>
      <c r="M6" s="121">
        <f>'Preseason 2'!M45</f>
        <v>5</v>
      </c>
      <c r="N6" s="121">
        <f>'Preseason 2'!N45</f>
        <v>1</v>
      </c>
      <c r="O6" s="121">
        <f>'Preseason 2'!O45</f>
        <v>2</v>
      </c>
      <c r="P6" s="121">
        <f>'Preseason 2'!P45</f>
        <v>1</v>
      </c>
      <c r="Q6" s="121">
        <f>'Preseason 2'!Q45</f>
        <v>3</v>
      </c>
      <c r="S6" s="4">
        <f>SUM(C8:E40)/COUNT(C8:C40)</f>
        <v>14.727272727272727</v>
      </c>
      <c r="T6" s="122">
        <f>AVERAGE(C8:C40)</f>
        <v>9.0909090909090917</v>
      </c>
      <c r="U6" s="122">
        <f t="shared" ref="U6:V6" si="0">AVERAGE(D8:D40)</f>
        <v>3.6363636363636362</v>
      </c>
      <c r="V6" s="122">
        <f t="shared" si="0"/>
        <v>2</v>
      </c>
      <c r="Z6" s="69" t="s">
        <v>167</v>
      </c>
      <c r="AA6" s="8">
        <f>AA47+AA67+AL27+AL47+AL67+AA87+AL87</f>
        <v>11</v>
      </c>
      <c r="AK6" s="29"/>
      <c r="AL6" s="29"/>
      <c r="AM6" s="29" t="s">
        <v>221</v>
      </c>
      <c r="AO6" s="42"/>
      <c r="AR6" s="60"/>
      <c r="AS6" s="60"/>
      <c r="AT6" s="60"/>
      <c r="AW6" t="s">
        <v>252</v>
      </c>
      <c r="AX6" s="18">
        <f>AA6-3</f>
        <v>8</v>
      </c>
    </row>
    <row r="7" spans="1:55" ht="14.25" customHeight="1" x14ac:dyDescent="0.45">
      <c r="B7" s="121" t="str">
        <f>'Preseason 3'!B45</f>
        <v>13-July</v>
      </c>
      <c r="C7" s="121">
        <f>'Preseason 3'!C45</f>
        <v>8</v>
      </c>
      <c r="D7" s="121">
        <f>'Preseason 3'!D45</f>
        <v>4</v>
      </c>
      <c r="E7" s="121">
        <f>'Preseason 3'!E45</f>
        <v>1</v>
      </c>
      <c r="F7" s="121">
        <f>'Preseason 3'!F45</f>
        <v>8</v>
      </c>
      <c r="G7" s="121">
        <f>'Preseason 3'!G45</f>
        <v>2</v>
      </c>
      <c r="H7" s="121">
        <f>'Preseason 3'!H45</f>
        <v>0</v>
      </c>
      <c r="I7" s="121">
        <f>'Preseason 3'!I45</f>
        <v>4</v>
      </c>
      <c r="J7" s="121">
        <f>'Preseason 3'!J45</f>
        <v>4</v>
      </c>
      <c r="K7" s="121">
        <f>'Preseason 3'!K45</f>
        <v>1</v>
      </c>
      <c r="L7" s="121">
        <f>'Preseason 3'!L45</f>
        <v>1</v>
      </c>
      <c r="M7" s="121">
        <f>'Preseason 3'!M45</f>
        <v>4</v>
      </c>
      <c r="N7" s="121">
        <f>'Preseason 3'!N45</f>
        <v>2</v>
      </c>
      <c r="O7" s="121">
        <f>'Preseason 3'!O45</f>
        <v>3</v>
      </c>
      <c r="P7" s="121">
        <f>'Preseason 3'!P45</f>
        <v>2</v>
      </c>
      <c r="Q7" s="121">
        <f>'Preseason 3'!Q45</f>
        <v>1</v>
      </c>
      <c r="S7" s="3" t="s">
        <v>83</v>
      </c>
      <c r="T7" s="5">
        <f>T6/$S$6</f>
        <v>0.61728395061728403</v>
      </c>
      <c r="U7" s="5">
        <f>U6/$S$6</f>
        <v>0.24691358024691359</v>
      </c>
      <c r="V7" s="5">
        <f>V6/$S$6</f>
        <v>0.13580246913580246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220</v>
      </c>
      <c r="AO7" s="13"/>
      <c r="AP7" s="27" t="s">
        <v>231</v>
      </c>
      <c r="AQ7" s="142"/>
      <c r="AR7" s="143" t="s">
        <v>232</v>
      </c>
      <c r="AS7" s="59" t="s">
        <v>233</v>
      </c>
      <c r="AT7" s="153" t="s">
        <v>261</v>
      </c>
      <c r="AU7" s="155" t="s">
        <v>262</v>
      </c>
      <c r="AW7" s="2" t="s">
        <v>4</v>
      </c>
      <c r="AX7" s="150" t="s">
        <v>246</v>
      </c>
      <c r="AY7" s="150" t="s">
        <v>247</v>
      </c>
      <c r="AZ7" s="150" t="s">
        <v>248</v>
      </c>
      <c r="BA7" s="150" t="s">
        <v>249</v>
      </c>
      <c r="BB7" s="150" t="s">
        <v>250</v>
      </c>
      <c r="BC7" s="150" t="s">
        <v>251</v>
      </c>
    </row>
    <row r="8" spans="1:55" ht="14.25" customHeight="1" x14ac:dyDescent="0.45">
      <c r="A8" s="73"/>
      <c r="B8" s="118" t="str">
        <f>'1707'!B45</f>
        <v>17-July</v>
      </c>
      <c r="C8" s="118">
        <f>'1707'!C45</f>
        <v>8</v>
      </c>
      <c r="D8" s="118">
        <f>'1707'!D45</f>
        <v>3</v>
      </c>
      <c r="E8" s="118">
        <f>'1707'!E45</f>
        <v>2</v>
      </c>
      <c r="F8" s="118">
        <f>'1707'!F45</f>
        <v>8</v>
      </c>
      <c r="G8" s="118">
        <f>'1707'!G45</f>
        <v>0</v>
      </c>
      <c r="H8" s="118">
        <f>'1707'!H45</f>
        <v>3</v>
      </c>
      <c r="I8" s="118">
        <f>'1707'!I45</f>
        <v>2</v>
      </c>
      <c r="J8" s="118">
        <f>'1707'!J45</f>
        <v>5</v>
      </c>
      <c r="K8" s="118">
        <f>'1707'!K45</f>
        <v>0</v>
      </c>
      <c r="L8" s="118">
        <f>'1707'!L45</f>
        <v>3</v>
      </c>
      <c r="M8" s="118">
        <f>'1707'!M45</f>
        <v>3</v>
      </c>
      <c r="N8" s="118">
        <f>'1707'!N45</f>
        <v>2</v>
      </c>
      <c r="O8" s="118">
        <f>'1707'!O45</f>
        <v>3</v>
      </c>
      <c r="P8" s="118">
        <f>'1707'!P45</f>
        <v>1</v>
      </c>
      <c r="Q8" s="118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0.27272727272727271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0.27272727272727271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29" t="s">
        <v>0</v>
      </c>
      <c r="AM8" s="128">
        <f>AVERAGE(Table1[Average])</f>
        <v>1.1733299380358204</v>
      </c>
      <c r="AN8" s="128">
        <f>MEDIAN(Table1[Average])</f>
        <v>0.81818181818181823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8">
        <f>AP8-Table1[[#This Row],[Points]]</f>
        <v>5</v>
      </c>
      <c r="AS8" s="144">
        <f>Table1[[#This Row],[Points]]/(20-AA$5-Table1[[#This Row],[Missed Games]])</f>
        <v>0.15789473684210525</v>
      </c>
      <c r="AT8" s="154">
        <f>Table1[[#This Row],[Average]]-'[1]Stats Global'!R8</f>
        <v>-0.13903743315508021</v>
      </c>
      <c r="AU8" s="27">
        <f>(Table1[[#This Row],[Average]]-'[1]Stats Global'!R8)/'[1]Stats Global'!R8</f>
        <v>-0.33766233766233766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0.375</v>
      </c>
      <c r="BB8" s="16">
        <f>Table4[[#This Row],[Total A]]/$AX$6</f>
        <v>0.125</v>
      </c>
      <c r="BC8" s="16">
        <f>Table4[[#This Row],[Total S]]/$AX$6</f>
        <v>0.375</v>
      </c>
    </row>
    <row r="9" spans="1:55" ht="14.25" customHeight="1" x14ac:dyDescent="0.45">
      <c r="A9" s="73"/>
      <c r="B9" s="118" t="str">
        <f>'1807'!B45</f>
        <v>18-July</v>
      </c>
      <c r="C9" s="118">
        <f>'1807'!C45</f>
        <v>12</v>
      </c>
      <c r="D9" s="118">
        <f>'1807'!D45</f>
        <v>1</v>
      </c>
      <c r="E9" s="118">
        <f>'1807'!E45</f>
        <v>1</v>
      </c>
      <c r="F9" s="118">
        <f>'1807'!F45</f>
        <v>12</v>
      </c>
      <c r="G9" s="118">
        <f>'1807'!G45</f>
        <v>1</v>
      </c>
      <c r="H9" s="118">
        <f>'1807'!H45</f>
        <v>0</v>
      </c>
      <c r="I9" s="118">
        <f>'1807'!I45</f>
        <v>1</v>
      </c>
      <c r="J9" s="118">
        <f>'1807'!J45</f>
        <v>6</v>
      </c>
      <c r="K9" s="118">
        <f>'1807'!K45</f>
        <v>1</v>
      </c>
      <c r="L9" s="118">
        <f>'1807'!L45</f>
        <v>1</v>
      </c>
      <c r="M9" s="118">
        <f>'1807'!M45</f>
        <v>6</v>
      </c>
      <c r="N9" s="118">
        <f>'1807'!N45</f>
        <v>0</v>
      </c>
      <c r="O9" s="118">
        <f>'1807'!O45</f>
        <v>3</v>
      </c>
      <c r="P9" s="118">
        <f>'1807'!P45</f>
        <v>1</v>
      </c>
      <c r="Q9" s="118">
        <f>'1807'!Q45</f>
        <v>2</v>
      </c>
      <c r="Z9" s="63" t="s">
        <v>49</v>
      </c>
      <c r="AA9" s="64">
        <f t="shared" si="1"/>
        <v>12</v>
      </c>
      <c r="AB9" s="65">
        <f>IF($AA$6-Table1[[#This Row],[Missed Games]]=0, 0,Table1[[#This Row],[Points]]/($AA$6-Table1[[#This Row],[Missed Games]]))</f>
        <v>1.2</v>
      </c>
      <c r="AC9" s="66">
        <f t="shared" si="2"/>
        <v>12</v>
      </c>
      <c r="AD9" s="67">
        <f>IF($AA$6-Table1[[#This Row],[Missed Games]]=0, 0,Table1[[#This Row],[Finishes]]/($AA$6-Table1[[#This Row],[Missed Games]]))</f>
        <v>1.2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29" t="s">
        <v>1</v>
      </c>
      <c r="AM9" s="128">
        <f>AVERAGE(Table1[Finishes])</f>
        <v>5.2941176470588234</v>
      </c>
      <c r="AN9" s="128">
        <f>MEDIAN(Table1[Finishes])</f>
        <v>4</v>
      </c>
      <c r="AO9" s="139"/>
      <c r="AP9" s="18">
        <f>_xlfn.CEILING.MATH('[1]Stats Global'!R9*(20-$AA$5-$AJ9))</f>
        <v>11</v>
      </c>
      <c r="AQ9" s="27">
        <f>Table1[[#This Row],[Points]]/AP9</f>
        <v>1.0909090909090908</v>
      </c>
      <c r="AR9" s="138">
        <f>AP9-Table1[[#This Row],[Points]]</f>
        <v>-1</v>
      </c>
      <c r="AS9" s="144">
        <f>Table1[[#This Row],[Points]]/(20-AA$5-Table1[[#This Row],[Missed Games]])</f>
        <v>0.66666666666666663</v>
      </c>
      <c r="AT9" s="154">
        <f>Table1[[#This Row],[Average]]-'[1]Stats Global'!R9</f>
        <v>0.6</v>
      </c>
      <c r="AU9" s="27">
        <f>(Table1[[#This Row],[Average]]-'[1]Stats Global'!R9)/'[1]Stats Global'!R9</f>
        <v>1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1.625</v>
      </c>
      <c r="BB9" s="16">
        <f>Table4[[#This Row],[Total A]]/$AX$6</f>
        <v>0</v>
      </c>
      <c r="BC9" s="16">
        <f>Table4[[#This Row],[Total S]]/$AX$6</f>
        <v>0.375</v>
      </c>
    </row>
    <row r="10" spans="1:55" ht="14.25" customHeight="1" x14ac:dyDescent="0.45">
      <c r="A10" s="73"/>
      <c r="B10" s="118" t="str">
        <f>'1907'!B45</f>
        <v>19-July</v>
      </c>
      <c r="C10" s="118">
        <f>'1907'!C45</f>
        <v>15</v>
      </c>
      <c r="D10" s="118">
        <f>'1907'!D45</f>
        <v>0</v>
      </c>
      <c r="E10" s="118">
        <f>'1907'!E45</f>
        <v>0</v>
      </c>
      <c r="F10" s="118">
        <f>'1907'!F45</f>
        <v>15</v>
      </c>
      <c r="G10" s="118">
        <f>'1907'!G45</f>
        <v>0</v>
      </c>
      <c r="H10" s="118">
        <f>'1907'!H45</f>
        <v>0</v>
      </c>
      <c r="I10" s="118">
        <f>'1907'!I45</f>
        <v>0</v>
      </c>
      <c r="J10" s="118">
        <f>'1907'!J45</f>
        <v>8</v>
      </c>
      <c r="K10" s="118">
        <f>'1907'!K45</f>
        <v>0</v>
      </c>
      <c r="L10" s="118">
        <f>'1907'!L45</f>
        <v>0</v>
      </c>
      <c r="M10" s="118">
        <f>'1907'!M45</f>
        <v>7</v>
      </c>
      <c r="N10" s="118">
        <f>'1907'!N45</f>
        <v>0</v>
      </c>
      <c r="O10" s="118">
        <f>'1907'!O45</f>
        <v>3</v>
      </c>
      <c r="P10" s="118">
        <f>'1907'!P45</f>
        <v>1</v>
      </c>
      <c r="Q10" s="118">
        <f>'1907'!Q45</f>
        <v>2</v>
      </c>
      <c r="Z10" s="63" t="s">
        <v>51</v>
      </c>
      <c r="AA10" s="64">
        <f t="shared" si="1"/>
        <v>15</v>
      </c>
      <c r="AB10" s="65">
        <f>IF($AA$6-Table1[[#This Row],[Missed Games]]=0, 0,Table1[[#This Row],[Points]]/($AA$6-Table1[[#This Row],[Missed Games]]))</f>
        <v>3</v>
      </c>
      <c r="AC10" s="66">
        <f t="shared" si="2"/>
        <v>13</v>
      </c>
      <c r="AD10" s="67">
        <f>IF($AA$6-Table1[[#This Row],[Missed Games]]=0, 0,Table1[[#This Row],[Finishes]]/($AA$6-Table1[[#This Row],[Missed Games]]))</f>
        <v>2.6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0.2</v>
      </c>
      <c r="AI10" s="63" t="str">
        <f>SfW!C5</f>
        <v>5 Musketeers</v>
      </c>
      <c r="AJ10" s="68">
        <f t="shared" si="5"/>
        <v>6</v>
      </c>
      <c r="AK10" s="62"/>
      <c r="AL10" s="129" t="s">
        <v>220</v>
      </c>
      <c r="AM10" s="128">
        <f>AVERAGE(Table1[Midranges])</f>
        <v>3.1176470588235294</v>
      </c>
      <c r="AN10" s="128">
        <f>MEDIAN(Table1[Midranges])</f>
        <v>1</v>
      </c>
      <c r="AO10" s="36"/>
      <c r="AP10" s="18">
        <f>_xlfn.CEILING.MATH('[1]Stats Global'!R10*(20-$AA$5-$AJ10))</f>
        <v>41</v>
      </c>
      <c r="AQ10" s="27">
        <f>Table1[[#This Row],[Points]]/AP10</f>
        <v>0.36585365853658536</v>
      </c>
      <c r="AR10" s="138">
        <f>AP10-Table1[[#This Row],[Points]]</f>
        <v>26</v>
      </c>
      <c r="AS10" s="144">
        <f>Table1[[#This Row],[Points]]/(20-AA$5-Table1[[#This Row],[Missed Games]])</f>
        <v>1.1538461538461537</v>
      </c>
      <c r="AT10" s="154">
        <f>Table1[[#This Row],[Average]]-'[1]Stats Global'!R10</f>
        <v>-0.14285714285714279</v>
      </c>
      <c r="AU10" s="27">
        <f>(Table1[[#This Row],[Average]]-'[1]Stats Global'!R10)/'[1]Stats Global'!R10</f>
        <v>-4.5454545454545435E-2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0.625</v>
      </c>
      <c r="BB10" s="16">
        <f>Table4[[#This Row],[Total A]]/$AX$6</f>
        <v>0.375</v>
      </c>
      <c r="BC10" s="16">
        <f>Table4[[#This Row],[Total S]]/$AX$6</f>
        <v>0.25</v>
      </c>
    </row>
    <row r="11" spans="1:55" ht="14.25" customHeight="1" x14ac:dyDescent="0.45">
      <c r="A11" s="73"/>
      <c r="B11" s="118" t="str">
        <f>'2007'!B45</f>
        <v>20-July</v>
      </c>
      <c r="C11" s="118">
        <f>'2007'!C45</f>
        <v>6</v>
      </c>
      <c r="D11" s="118">
        <f>'2007'!D45</f>
        <v>3</v>
      </c>
      <c r="E11" s="118">
        <f>'2007'!E45</f>
        <v>2</v>
      </c>
      <c r="F11" s="118">
        <f>'2007'!F45</f>
        <v>3</v>
      </c>
      <c r="G11" s="118">
        <f>'2007'!G45</f>
        <v>3</v>
      </c>
      <c r="H11" s="118">
        <f>'2007'!H45</f>
        <v>1</v>
      </c>
      <c r="I11" s="118">
        <f>'2007'!I45</f>
        <v>6</v>
      </c>
      <c r="J11" s="118">
        <f>'2007'!J45</f>
        <v>2</v>
      </c>
      <c r="K11" s="118">
        <f>'2007'!K45</f>
        <v>1</v>
      </c>
      <c r="L11" s="118">
        <f>'2007'!L45</f>
        <v>2</v>
      </c>
      <c r="M11" s="118">
        <f>'2007'!M45</f>
        <v>1</v>
      </c>
      <c r="N11" s="118">
        <f>'2007'!N45</f>
        <v>3</v>
      </c>
      <c r="O11" s="118">
        <f>'2007'!O45</f>
        <v>2</v>
      </c>
      <c r="P11" s="118">
        <f>'2007'!P45</f>
        <v>3</v>
      </c>
      <c r="Q11" s="118">
        <f>'2007'!Q45</f>
        <v>1</v>
      </c>
      <c r="Z11" s="63" t="s">
        <v>54</v>
      </c>
      <c r="AA11" s="64">
        <f t="shared" si="1"/>
        <v>5</v>
      </c>
      <c r="AB11" s="65">
        <f>IF($AA$6-Table1[[#This Row],[Missed Games]]=0, 0,Table1[[#This Row],[Points]]/($AA$6-Table1[[#This Row],[Missed Games]]))</f>
        <v>0.7142857142857143</v>
      </c>
      <c r="AC11" s="66">
        <f t="shared" si="2"/>
        <v>5</v>
      </c>
      <c r="AD11" s="67">
        <f>IF($AA$6-Table1[[#This Row],[Missed Games]]=0, 0,Table1[[#This Row],[Finishes]]/($AA$6-Table1[[#This Row],[Missed Games]]))</f>
        <v>0.7142857142857143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9" t="s">
        <v>3</v>
      </c>
      <c r="AM11" s="128">
        <f>AVERAGE(Table1[Threes])</f>
        <v>1.0588235294117647</v>
      </c>
      <c r="AN11" s="128">
        <f>MEDIAN(Table1[Threes])</f>
        <v>0</v>
      </c>
      <c r="AO11" s="36"/>
      <c r="AP11" s="18">
        <f>_xlfn.CEILING.MATH('[1]Stats Global'!R11*(20-$AA$5-$AJ11))</f>
        <v>43</v>
      </c>
      <c r="AQ11" s="27">
        <f>Table1[[#This Row],[Points]]/AP11</f>
        <v>0.11627906976744186</v>
      </c>
      <c r="AR11" s="138">
        <f>AP11-Table1[[#This Row],[Points]]</f>
        <v>38</v>
      </c>
      <c r="AS11" s="144">
        <f>Table1[[#This Row],[Points]]/(20-AA$5-Table1[[#This Row],[Missed Games]])</f>
        <v>0.33333333333333331</v>
      </c>
      <c r="AT11" s="154">
        <f>Table1[[#This Row],[Average]]-'[1]Stats Global'!R11</f>
        <v>-2.0982142857142856</v>
      </c>
      <c r="AU11" s="27">
        <f>(Table1[[#This Row],[Average]]-'[1]Stats Global'!R11)/'[1]Stats Global'!R11</f>
        <v>-0.74603174603174593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1.25</v>
      </c>
      <c r="BB11" s="16">
        <f>Table4[[#This Row],[Total A]]/$AX$6</f>
        <v>0.125</v>
      </c>
      <c r="BC11" s="16">
        <f>Table4[[#This Row],[Total S]]/$AX$6</f>
        <v>0.25</v>
      </c>
    </row>
    <row r="12" spans="1:55" ht="14.25" customHeight="1" x14ac:dyDescent="0.45">
      <c r="A12" s="73"/>
      <c r="B12" s="118" t="str">
        <f>'2407'!B45</f>
        <v>24-July</v>
      </c>
      <c r="C12" s="118">
        <f>'2407'!C45</f>
        <v>9</v>
      </c>
      <c r="D12" s="118">
        <f>'2407'!D45</f>
        <v>1</v>
      </c>
      <c r="E12" s="118">
        <f>'2407'!E45</f>
        <v>1</v>
      </c>
      <c r="F12" s="118">
        <f>'2407'!F45</f>
        <v>1</v>
      </c>
      <c r="G12" s="118">
        <f>'2407'!G45</f>
        <v>0</v>
      </c>
      <c r="H12" s="118">
        <f>'2407'!H45</f>
        <v>5</v>
      </c>
      <c r="I12" s="118">
        <f>'2407'!I45</f>
        <v>1</v>
      </c>
      <c r="J12" s="118">
        <f>'2407'!J45</f>
        <v>1</v>
      </c>
      <c r="K12" s="118">
        <f>'2407'!K45</f>
        <v>4</v>
      </c>
      <c r="L12" s="118">
        <f>'2407'!L45</f>
        <v>9</v>
      </c>
      <c r="M12" s="118">
        <f>'2407'!M45</f>
        <v>0</v>
      </c>
      <c r="N12" s="118">
        <f>'2407'!N45</f>
        <v>1</v>
      </c>
      <c r="O12" s="118">
        <f>'2407'!O45</f>
        <v>2</v>
      </c>
      <c r="P12" s="118">
        <f>'2407'!P45</f>
        <v>1</v>
      </c>
      <c r="Q12" s="118">
        <f>'2407'!Q45</f>
        <v>3</v>
      </c>
      <c r="Z12" s="63" t="s">
        <v>57</v>
      </c>
      <c r="AA12" s="64">
        <f t="shared" si="1"/>
        <v>10</v>
      </c>
      <c r="AB12" s="65">
        <f>IF($AA$6-Table1[[#This Row],[Missed Games]]=0, 0,Table1[[#This Row],[Points]]/($AA$6-Table1[[#This Row],[Missed Games]]))</f>
        <v>1.1111111111111112</v>
      </c>
      <c r="AC12" s="66">
        <f t="shared" si="2"/>
        <v>4</v>
      </c>
      <c r="AD12" s="67">
        <f>IF($AA$6-Table1[[#This Row],[Missed Games]]=0, 0,Table1[[#This Row],[Finishes]]/($AA$6-Table1[[#This Row],[Missed Games]]))</f>
        <v>0.44444444444444442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0.44444444444444442</v>
      </c>
      <c r="AG12" s="66">
        <f t="shared" si="4"/>
        <v>1</v>
      </c>
      <c r="AH12" s="67">
        <f>IF($AA$6-Table1[[#This Row],[Missed Games]]=0, 0,Table1[[#This Row],[Threes]]/($AA$6-Table1[[#This Row],[Missed Games]]))</f>
        <v>0.1111111111111111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35</v>
      </c>
      <c r="AQ12" s="27">
        <f>Table1[[#This Row],[Points]]/AP12</f>
        <v>0.2857142857142857</v>
      </c>
      <c r="AR12" s="138">
        <f>AP12-Table1[[#This Row],[Points]]</f>
        <v>25</v>
      </c>
      <c r="AS12" s="144">
        <f>Table1[[#This Row],[Points]]/(20-AA$5-Table1[[#This Row],[Missed Games]])</f>
        <v>0.58823529411764708</v>
      </c>
      <c r="AT12" s="154">
        <f>Table1[[#This Row],[Average]]-'[1]Stats Global'!R12</f>
        <v>-0.94771241830065334</v>
      </c>
      <c r="AU12" s="27">
        <f>(Table1[[#This Row],[Average]]-'[1]Stats Global'!R12)/'[1]Stats Global'!R12</f>
        <v>-0.46031746031746024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0.75</v>
      </c>
      <c r="BB12" s="16">
        <f>Table4[[#This Row],[Total A]]/$AX$6</f>
        <v>0.125</v>
      </c>
      <c r="BC12" s="16">
        <f>Table4[[#This Row],[Total S]]/$AX$6</f>
        <v>0.125</v>
      </c>
    </row>
    <row r="13" spans="1:55" ht="14.25" customHeight="1" x14ac:dyDescent="0.45">
      <c r="A13" s="73"/>
      <c r="B13" s="118" t="str">
        <f>'2607'!B45</f>
        <v>26-July</v>
      </c>
      <c r="C13" s="118">
        <f>'2607'!C45</f>
        <v>8</v>
      </c>
      <c r="D13" s="118">
        <f>'2607'!D45</f>
        <v>6</v>
      </c>
      <c r="E13" s="118">
        <f>'2607'!E45</f>
        <v>3</v>
      </c>
      <c r="F13" s="118">
        <f>'2607'!F45</f>
        <v>6</v>
      </c>
      <c r="G13" s="118">
        <f>'2607'!G45</f>
        <v>2</v>
      </c>
      <c r="H13" s="118">
        <f>'2607'!H45</f>
        <v>3</v>
      </c>
      <c r="I13" s="118">
        <f>'2607'!I45</f>
        <v>3</v>
      </c>
      <c r="J13" s="118">
        <f>'2607'!J45</f>
        <v>2</v>
      </c>
      <c r="K13" s="118">
        <f>'2607'!K45</f>
        <v>5</v>
      </c>
      <c r="L13" s="118">
        <f>'2607'!L45</f>
        <v>8</v>
      </c>
      <c r="M13" s="118">
        <f>'2607'!M45</f>
        <v>4</v>
      </c>
      <c r="N13" s="118">
        <f>'2607'!N45</f>
        <v>1</v>
      </c>
      <c r="O13" s="118">
        <f>'2607'!O45</f>
        <v>2</v>
      </c>
      <c r="P13" s="118">
        <f>'2607'!P45</f>
        <v>1</v>
      </c>
      <c r="Q13" s="118">
        <f>'2607'!Q45</f>
        <v>3</v>
      </c>
      <c r="Z13" s="63" t="s">
        <v>60</v>
      </c>
      <c r="AA13" s="64">
        <f t="shared" si="1"/>
        <v>3</v>
      </c>
      <c r="AB13" s="65">
        <f>IF($AA$6-Table1[[#This Row],[Missed Games]]=0, 0,Table1[[#This Row],[Points]]/($AA$6-Table1[[#This Row],[Missed Games]]))</f>
        <v>0.33333333333333331</v>
      </c>
      <c r="AC13" s="66">
        <f t="shared" si="2"/>
        <v>2</v>
      </c>
      <c r="AD13" s="67">
        <f>IF($AA$6-Table1[[#This Row],[Missed Games]]=0, 0,Table1[[#This Row],[Finishes]]/($AA$6-Table1[[#This Row],[Missed Games]]))</f>
        <v>0.22222222222222221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0.1111111111111111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20</v>
      </c>
      <c r="AQ13" s="27">
        <f>Table1[[#This Row],[Points]]/AP13</f>
        <v>0.15</v>
      </c>
      <c r="AR13" s="138">
        <f>AP13-Table1[[#This Row],[Points]]</f>
        <v>17</v>
      </c>
      <c r="AS13" s="144">
        <f>Table1[[#This Row],[Points]]/(20-AA$5-Table1[[#This Row],[Missed Games]])</f>
        <v>0.17647058823529413</v>
      </c>
      <c r="AT13" s="154">
        <f>Table1[[#This Row],[Average]]-'[1]Stats Global'!R13</f>
        <v>-0.80952380952380953</v>
      </c>
      <c r="AU13" s="27">
        <f>(Table1[[#This Row],[Average]]-'[1]Stats Global'!R13)/'[1]Stats Global'!R13</f>
        <v>-0.70833333333333337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0.75</v>
      </c>
      <c r="BB13" s="16">
        <f>Table4[[#This Row],[Total A]]/$AX$6</f>
        <v>0.25</v>
      </c>
      <c r="BC13" s="16">
        <f>Table4[[#This Row],[Total S]]/$AX$6</f>
        <v>0.125</v>
      </c>
    </row>
    <row r="14" spans="1:55" ht="14.25" customHeight="1" x14ac:dyDescent="0.45">
      <c r="A14" s="73"/>
      <c r="B14" s="118" t="str">
        <f>'2707'!B45</f>
        <v>27-July</v>
      </c>
      <c r="C14" s="118">
        <f>'2707'!C45</f>
        <v>8</v>
      </c>
      <c r="D14" s="118">
        <f>'2707'!D45</f>
        <v>3</v>
      </c>
      <c r="E14" s="118">
        <f>'2707'!E45</f>
        <v>3</v>
      </c>
      <c r="F14" s="118">
        <f>'2707'!F45</f>
        <v>3</v>
      </c>
      <c r="G14" s="118">
        <f>'2707'!G45</f>
        <v>1</v>
      </c>
      <c r="H14" s="118">
        <f>'2707'!H45</f>
        <v>4</v>
      </c>
      <c r="I14" s="118">
        <f>'2707'!I45</f>
        <v>3</v>
      </c>
      <c r="J14" s="118">
        <f>'2707'!J45</f>
        <v>2</v>
      </c>
      <c r="K14" s="118">
        <f>'2707'!K45</f>
        <v>4</v>
      </c>
      <c r="L14" s="118">
        <f>'2707'!L45</f>
        <v>8</v>
      </c>
      <c r="M14" s="118">
        <f>'2707'!M45</f>
        <v>1</v>
      </c>
      <c r="N14" s="118">
        <f>'2707'!N45</f>
        <v>2</v>
      </c>
      <c r="O14" s="118">
        <f>'2707'!O45</f>
        <v>2</v>
      </c>
      <c r="P14" s="118">
        <f>'2707'!P45</f>
        <v>1</v>
      </c>
      <c r="Q14" s="118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0.54545454545454541</v>
      </c>
      <c r="AC14" s="66">
        <f t="shared" si="2"/>
        <v>4</v>
      </c>
      <c r="AD14" s="67">
        <f>IF($AA$6-Table1[[#This Row],[Missed Games]]=0, 0,Table1[[#This Row],[Finishes]]/($AA$6-Table1[[#This Row],[Missed Games]]))</f>
        <v>0.36363636363636365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0.18181818181818182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8">
        <f>AP14-Table1[[#This Row],[Points]]</f>
        <v>0</v>
      </c>
      <c r="AS14" s="144">
        <f>Table1[[#This Row],[Points]]/(20-AA$5-Table1[[#This Row],[Missed Games]])</f>
        <v>0.31578947368421051</v>
      </c>
      <c r="AT14" s="154">
        <f>Table1[[#This Row],[Average]]-'[1]Stats Global'!R23</f>
        <v>0.23295454545454541</v>
      </c>
      <c r="AU14" s="27">
        <f>(Table1[[#This Row],[Average]]-'[1]Stats Global'!R23)/'[1]Stats Global'!R23</f>
        <v>0.74545454545454537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1.125</v>
      </c>
      <c r="BB14" s="16">
        <f>Table4[[#This Row],[Total A]]/$AX$6</f>
        <v>0</v>
      </c>
      <c r="BC14" s="16">
        <f>Table4[[#This Row],[Total S]]/$AX$6</f>
        <v>0.25</v>
      </c>
    </row>
    <row r="15" spans="1:55" ht="14.25" customHeight="1" x14ac:dyDescent="0.45">
      <c r="A15" s="73"/>
      <c r="B15" s="118" t="str">
        <f>'3107'!B45</f>
        <v>31-July</v>
      </c>
      <c r="C15" s="118">
        <f>'3107'!C45</f>
        <v>9</v>
      </c>
      <c r="D15" s="118">
        <f>'3107'!D45</f>
        <v>4</v>
      </c>
      <c r="E15" s="118">
        <f>'3107'!E45</f>
        <v>3</v>
      </c>
      <c r="F15" s="118">
        <f>'3107'!F45</f>
        <v>9</v>
      </c>
      <c r="G15" s="118">
        <f>'3107'!G45</f>
        <v>2</v>
      </c>
      <c r="H15" s="118">
        <f>'3107'!H45</f>
        <v>1</v>
      </c>
      <c r="I15" s="118">
        <f>'3107'!I45</f>
        <v>4</v>
      </c>
      <c r="J15" s="118">
        <f>'3107'!J45</f>
        <v>4</v>
      </c>
      <c r="K15" s="118">
        <f>'3107'!K45</f>
        <v>2</v>
      </c>
      <c r="L15" s="118">
        <f>'3107'!L45</f>
        <v>3</v>
      </c>
      <c r="M15" s="118">
        <f>'3107'!M45</f>
        <v>5</v>
      </c>
      <c r="N15" s="118">
        <f>'3107'!N45</f>
        <v>2</v>
      </c>
      <c r="O15" s="118">
        <f>'3107'!O45</f>
        <v>3</v>
      </c>
      <c r="P15" s="118">
        <f>'3107'!P45</f>
        <v>2</v>
      </c>
      <c r="Q15" s="118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1.6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0.8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21</v>
      </c>
      <c r="AQ15" s="27">
        <f>Table1[[#This Row],[Points]]/AP15</f>
        <v>0.38095238095238093</v>
      </c>
      <c r="AR15" s="138">
        <f>AP15-Table1[[#This Row],[Points]]</f>
        <v>13</v>
      </c>
      <c r="AS15" s="144">
        <f>Table1[[#This Row],[Points]]/(20-AA$5-Table1[[#This Row],[Missed Games]])</f>
        <v>0.61538461538461542</v>
      </c>
      <c r="AT15" s="154">
        <f>Table1[[#This Row],[Average]]-'[1]Stats Global'!R14</f>
        <v>1.1764705882353121E-2</v>
      </c>
      <c r="AU15" s="27">
        <f>(Table1[[#This Row],[Average]]-'[1]Stats Global'!R14)/'[1]Stats Global'!R14</f>
        <v>7.4074074074075213E-3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8" t="str">
        <f>'0108'!B45</f>
        <v>1-August</v>
      </c>
      <c r="C16" s="118">
        <f>'0108'!C45</f>
        <v>6</v>
      </c>
      <c r="D16" s="118">
        <f>'0108'!D45</f>
        <v>6</v>
      </c>
      <c r="E16" s="118">
        <f>'0108'!E45</f>
        <v>3</v>
      </c>
      <c r="F16" s="118">
        <f>'0108'!F45</f>
        <v>3</v>
      </c>
      <c r="G16" s="118">
        <f>'0108'!G45</f>
        <v>3</v>
      </c>
      <c r="H16" s="118">
        <f>'0108'!H45</f>
        <v>3</v>
      </c>
      <c r="I16" s="118">
        <f>'0108'!I45</f>
        <v>6</v>
      </c>
      <c r="J16" s="118">
        <f>'0108'!J45</f>
        <v>1</v>
      </c>
      <c r="K16" s="118">
        <f>'0108'!K45</f>
        <v>3</v>
      </c>
      <c r="L16" s="118">
        <f>'0108'!L45</f>
        <v>6</v>
      </c>
      <c r="M16" s="118">
        <f>'0108'!M45</f>
        <v>2</v>
      </c>
      <c r="N16" s="118">
        <f>'0108'!N45</f>
        <v>3</v>
      </c>
      <c r="O16" s="118">
        <f>'0108'!O45</f>
        <v>1</v>
      </c>
      <c r="P16" s="118">
        <f>'0108'!P45</f>
        <v>3</v>
      </c>
      <c r="Q16" s="118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1.7</v>
      </c>
      <c r="AC16" s="66">
        <f t="shared" si="2"/>
        <v>7</v>
      </c>
      <c r="AD16" s="67">
        <f>IF($AA$6-Table1[[#This Row],[Missed Games]]=0, 0,Table1[[#This Row],[Finishes]]/($AA$6-Table1[[#This Row],[Missed Games]]))</f>
        <v>0.7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0.6</v>
      </c>
      <c r="AG16" s="66">
        <f t="shared" si="4"/>
        <v>2</v>
      </c>
      <c r="AH16" s="67">
        <f>IF($AA$6-Table1[[#This Row],[Missed Games]]=0, 0,Table1[[#This Row],[Threes]]/($AA$6-Table1[[#This Row],[Missed Games]]))</f>
        <v>0.2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26</v>
      </c>
      <c r="AQ16" s="27">
        <f>Table1[[#This Row],[Points]]/AP16</f>
        <v>0.65384615384615385</v>
      </c>
      <c r="AR16" s="138">
        <f>AP16-Table1[[#This Row],[Points]]</f>
        <v>9</v>
      </c>
      <c r="AS16" s="144">
        <f>Table1[[#This Row],[Points]]/(20-AA$5-Table1[[#This Row],[Missed Games]])</f>
        <v>0.94444444444444442</v>
      </c>
      <c r="AT16" s="154">
        <f>Table1[[#This Row],[Average]]-'[1]Stats Global'!R15</f>
        <v>0.28823529411764692</v>
      </c>
      <c r="AU16" s="27">
        <f>(Table1[[#This Row],[Average]]-'[1]Stats Global'!R15)/'[1]Stats Global'!R15</f>
        <v>0.20416666666666655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1.75</v>
      </c>
      <c r="BB16" s="16">
        <f>Table4[[#This Row],[Total A]]/$AX$6</f>
        <v>0.375</v>
      </c>
      <c r="BC16" s="16">
        <f>Table4[[#This Row],[Total S]]/$AX$6</f>
        <v>0.25</v>
      </c>
    </row>
    <row r="17" spans="2:55" ht="14.25" customHeight="1" x14ac:dyDescent="0.45">
      <c r="B17" s="118" t="str">
        <f>'0208'!B45</f>
        <v>2-August</v>
      </c>
      <c r="C17" s="118">
        <f>'0208'!C45</f>
        <v>12</v>
      </c>
      <c r="D17" s="118">
        <f>'0208'!D45</f>
        <v>10</v>
      </c>
      <c r="E17" s="118">
        <f>'0208'!E45</f>
        <v>4</v>
      </c>
      <c r="F17" s="118">
        <f>'0208'!F45</f>
        <v>4</v>
      </c>
      <c r="G17" s="118">
        <f>'0208'!G45</f>
        <v>3</v>
      </c>
      <c r="H17" s="118">
        <f>'0208'!H45</f>
        <v>8</v>
      </c>
      <c r="I17" s="118">
        <f>'0208'!I45</f>
        <v>10</v>
      </c>
      <c r="J17" s="118">
        <f>'0208'!J45</f>
        <v>4</v>
      </c>
      <c r="K17" s="118">
        <f>'0208'!K45</f>
        <v>4</v>
      </c>
      <c r="L17" s="118">
        <f>'0208'!L45</f>
        <v>12</v>
      </c>
      <c r="M17" s="118">
        <f>'0208'!M45</f>
        <v>0</v>
      </c>
      <c r="N17" s="118">
        <f>'0208'!N45</f>
        <v>7</v>
      </c>
      <c r="O17" s="118">
        <f>'0208'!O45</f>
        <v>1</v>
      </c>
      <c r="P17" s="118">
        <f>'0208'!P45</f>
        <v>2</v>
      </c>
      <c r="Q17" s="118">
        <f>'0208'!Q45</f>
        <v>3</v>
      </c>
      <c r="Z17" s="72" t="s">
        <v>68</v>
      </c>
      <c r="AA17" s="64">
        <f t="shared" si="1"/>
        <v>31</v>
      </c>
      <c r="AB17" s="65">
        <f>IF($AA$6-Table1[[#This Row],[Missed Games]]=0, 0,Table1[[#This Row],[Points]]/($AA$6-Table1[[#This Row],[Missed Games]]))</f>
        <v>2.8181818181818183</v>
      </c>
      <c r="AC17" s="66">
        <f t="shared" si="2"/>
        <v>5</v>
      </c>
      <c r="AD17" s="67">
        <f>IF($AA$6-Table1[[#This Row],[Missed Games]]=0, 0,Table1[[#This Row],[Finishes]]/($AA$6-Table1[[#This Row],[Missed Games]]))</f>
        <v>0.45454545454545453</v>
      </c>
      <c r="AE17" s="66">
        <f t="shared" si="3"/>
        <v>18</v>
      </c>
      <c r="AF17" s="67">
        <f>IF($AA$6-Table1[[#This Row],[Missed Games]]=0, 0,Table1[[#This Row],[Midranges]]/($AA$6-Table1[[#This Row],[Missed Games]]))</f>
        <v>1.6363636363636365</v>
      </c>
      <c r="AG17" s="66">
        <f t="shared" si="4"/>
        <v>4</v>
      </c>
      <c r="AH17" s="67">
        <f>IF($AA$6-Table1[[#This Row],[Missed Games]]=0, 0,Table1[[#This Row],[Threes]]/($AA$6-Table1[[#This Row],[Missed Games]]))</f>
        <v>0.36363636363636365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49</v>
      </c>
      <c r="AQ17" s="27">
        <f>Table1[[#This Row],[Points]]/AP17</f>
        <v>0.63265306122448983</v>
      </c>
      <c r="AR17" s="138">
        <f>AP17-Table1[[#This Row],[Points]]</f>
        <v>18</v>
      </c>
      <c r="AS17" s="144">
        <f>Table1[[#This Row],[Points]]/(20-AA$5-Table1[[#This Row],[Missed Games]])</f>
        <v>1.631578947368421</v>
      </c>
      <c r="AT17" s="154">
        <f>Table1[[#This Row],[Average]]-'[1]Stats Global'!R16</f>
        <v>0.28484848484848513</v>
      </c>
      <c r="AU17" s="27">
        <f>(Table1[[#This Row],[Average]]-'[1]Stats Global'!R16)/'[1]Stats Global'!R16</f>
        <v>0.11244019138755992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1.75</v>
      </c>
      <c r="BB17" s="16">
        <f>Table4[[#This Row],[Total A]]/$AX$6</f>
        <v>0.25</v>
      </c>
      <c r="BC17" s="16">
        <f>Table4[[#This Row],[Total S]]/$AX$6</f>
        <v>0</v>
      </c>
    </row>
    <row r="18" spans="2:55" ht="14.25" customHeight="1" x14ac:dyDescent="0.45">
      <c r="B18" s="118" t="str">
        <f>'0308'!B45</f>
        <v>3-August</v>
      </c>
      <c r="C18" s="118">
        <f>'0308'!C45</f>
        <v>7</v>
      </c>
      <c r="D18" s="118">
        <f>'0308'!D45</f>
        <v>3</v>
      </c>
      <c r="E18" s="118">
        <f>'0308'!E45</f>
        <v>0</v>
      </c>
      <c r="F18" s="118">
        <f>'0308'!F45</f>
        <v>7</v>
      </c>
      <c r="G18" s="118">
        <f>'0308'!G45</f>
        <v>2</v>
      </c>
      <c r="H18" s="118">
        <f>'0308'!H45</f>
        <v>0</v>
      </c>
      <c r="I18" s="118">
        <f>'0308'!I45</f>
        <v>3</v>
      </c>
      <c r="J18" s="118">
        <f>'0308'!J45</f>
        <v>3</v>
      </c>
      <c r="K18" s="118">
        <f>'0308'!K45</f>
        <v>0</v>
      </c>
      <c r="L18" s="118">
        <f>'0308'!L45</f>
        <v>0</v>
      </c>
      <c r="M18" s="118">
        <f>'0308'!M45</f>
        <v>4</v>
      </c>
      <c r="N18" s="118">
        <f>'0308'!N45</f>
        <v>1</v>
      </c>
      <c r="O18" s="118">
        <f>'0308'!O45</f>
        <v>3</v>
      </c>
      <c r="P18" s="118">
        <f>'0308'!P45</f>
        <v>2</v>
      </c>
      <c r="Q18" s="118">
        <f>'0308'!Q45</f>
        <v>1</v>
      </c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0.63636363636363635</v>
      </c>
      <c r="AC18" s="66">
        <f t="shared" si="2"/>
        <v>1</v>
      </c>
      <c r="AD18" s="67">
        <f>IF($AA$6-Table1[[#This Row],[Missed Games]]=0, 0,Table1[[#This Row],[Finishes]]/($AA$6-Table1[[#This Row],[Missed Games]]))</f>
        <v>9.0909090909090912E-2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0.54545454545454541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17</v>
      </c>
      <c r="AQ18" s="27">
        <f>Table1[[#This Row],[Points]]/AP18</f>
        <v>0.41176470588235292</v>
      </c>
      <c r="AR18" s="138">
        <f>AP18-Table1[[#This Row],[Points]]</f>
        <v>10</v>
      </c>
      <c r="AS18" s="144">
        <f>Table1[[#This Row],[Points]]/(20-AA$5-Table1[[#This Row],[Missed Games]])</f>
        <v>0.36842105263157893</v>
      </c>
      <c r="AT18" s="154">
        <f>Table1[[#This Row],[Average]]-'[1]Stats Global'!R17</f>
        <v>-0.23863636363636365</v>
      </c>
      <c r="AU18" s="27">
        <f>(Table1[[#This Row],[Average]]-'[1]Stats Global'!R17)/'[1]Stats Global'!R17</f>
        <v>-0.27272727272727276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0.125</v>
      </c>
      <c r="BB18" s="16">
        <f>Table4[[#This Row],[Total A]]/$AX$6</f>
        <v>0</v>
      </c>
      <c r="BC18" s="16">
        <f>Table4[[#This Row],[Total S]]/$AX$6</f>
        <v>0.625</v>
      </c>
    </row>
    <row r="19" spans="2:55" ht="14.25" customHeight="1" x14ac:dyDescent="0.45">
      <c r="B19" s="137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Z19" s="112" t="s">
        <v>201</v>
      </c>
      <c r="AA19" s="64">
        <f t="shared" si="1"/>
        <v>1</v>
      </c>
      <c r="AB19" s="65">
        <f>IF($AA$6-Table1[[#This Row],[Missed Games]]=0, 0,Table1[[#This Row],[Points]]/($AA$6-Table1[[#This Row],[Missed Games]]))</f>
        <v>0.16666666666666666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0.16666666666666666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38">
        <f>AP19-Table1[[#This Row],[Points]]</f>
        <v>-1</v>
      </c>
      <c r="AS19" s="144">
        <f>Table1[[#This Row],[Points]]/(20-AA$5-Table1[[#This Row],[Missed Games]])</f>
        <v>7.1428571428571425E-2</v>
      </c>
      <c r="AT19" s="154">
        <v>0</v>
      </c>
      <c r="AU19" s="38">
        <v>0</v>
      </c>
      <c r="AW19" s="2" t="s">
        <v>201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0.375</v>
      </c>
      <c r="BB19" s="16">
        <f>Table4[[#This Row],[Total A]]/$AX$6</f>
        <v>0.125</v>
      </c>
      <c r="BC19" s="16">
        <f>Table4[[#This Row],[Total S]]/$AX$6</f>
        <v>0</v>
      </c>
    </row>
    <row r="20" spans="2:55" ht="14.25" customHeight="1" x14ac:dyDescent="0.45">
      <c r="B20" s="137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Z20" s="112" t="s">
        <v>128</v>
      </c>
      <c r="AA20" s="64">
        <f t="shared" si="1"/>
        <v>9</v>
      </c>
      <c r="AB20" s="65">
        <f>IF($AA$6-Table1[[#This Row],[Missed Games]]=0, 0,Table1[[#This Row],[Points]]/($AA$6-Table1[[#This Row],[Missed Games]]))</f>
        <v>0.81818181818181823</v>
      </c>
      <c r="AC20" s="66">
        <f t="shared" si="2"/>
        <v>8</v>
      </c>
      <c r="AD20" s="115">
        <f>IF($AA$6-Table1[[#This Row],[Missed Games]]=0, 0,Table1[[#This Row],[Finishes]]/($AA$6-Table1[[#This Row],[Missed Games]]))</f>
        <v>0.72727272727272729</v>
      </c>
      <c r="AE20" s="66">
        <f t="shared" si="3"/>
        <v>1</v>
      </c>
      <c r="AF20" s="115">
        <f>IF($AA$6-Table1[[#This Row],[Missed Games]]=0, 0,Table1[[#This Row],[Midranges]]/($AA$6-Table1[[#This Row],[Missed Games]]))</f>
        <v>9.0909090909090912E-2</v>
      </c>
      <c r="AG20" s="66">
        <f t="shared" si="4"/>
        <v>0</v>
      </c>
      <c r="AH20" s="115">
        <f>IF($AA$6-Table1[[#This Row],[Missed Games]]=0, 0,Table1[[#This Row],[Threes]]/($AA$6-Table1[[#This Row],[Missed Games]]))</f>
        <v>0</v>
      </c>
      <c r="AI20" s="112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21</v>
      </c>
      <c r="AQ20" s="27">
        <f>Table1[[#This Row],[Points]]/AP20</f>
        <v>0.42857142857142855</v>
      </c>
      <c r="AR20" s="138">
        <f>AP20-Table1[[#This Row],[Points]]</f>
        <v>12</v>
      </c>
      <c r="AS20" s="144">
        <f>Table1[[#This Row],[Points]]/(20-AA$5-Table1[[#This Row],[Missed Games]])</f>
        <v>0.47368421052631576</v>
      </c>
      <c r="AT20" s="154">
        <f>Table1[[#This Row],[Average]]-'[1]Stats Global'!R18</f>
        <v>-0.24848484848484842</v>
      </c>
      <c r="AU20" s="27">
        <f>(Table1[[#This Row],[Average]]-'[1]Stats Global'!R18)/'[1]Stats Global'!R18</f>
        <v>-0.23295454545454539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1</v>
      </c>
      <c r="BB20" s="16">
        <f>Table4[[#This Row],[Total A]]/$AX$6</f>
        <v>0.125</v>
      </c>
      <c r="BC20" s="16">
        <f>Table4[[#This Row],[Total S]]/$AX$6</f>
        <v>0.375</v>
      </c>
    </row>
    <row r="21" spans="2:55" ht="14.25" customHeight="1" x14ac:dyDescent="0.45">
      <c r="B21" s="137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Z21" s="112" t="s">
        <v>127</v>
      </c>
      <c r="AA21" s="64">
        <f t="shared" si="1"/>
        <v>13</v>
      </c>
      <c r="AB21" s="65">
        <f>IF($AA$6-Table1[[#This Row],[Missed Games]]=0, 0,Table1[[#This Row],[Points]]/($AA$6-Table1[[#This Row],[Missed Games]]))</f>
        <v>1.1818181818181819</v>
      </c>
      <c r="AC21" s="66">
        <f t="shared" si="2"/>
        <v>8</v>
      </c>
      <c r="AD21" s="115">
        <f>IF($AA$6-Table1[[#This Row],[Missed Games]]=0, 0,Table1[[#This Row],[Finishes]]/($AA$6-Table1[[#This Row],[Missed Games]]))</f>
        <v>0.72727272727272729</v>
      </c>
      <c r="AE21" s="66">
        <f t="shared" si="3"/>
        <v>3</v>
      </c>
      <c r="AF21" s="115">
        <f>IF($AA$6-Table1[[#This Row],[Missed Games]]=0, 0,Table1[[#This Row],[Midranges]]/($AA$6-Table1[[#This Row],[Missed Games]]))</f>
        <v>0.27272727272727271</v>
      </c>
      <c r="AG21" s="66">
        <f t="shared" si="4"/>
        <v>1</v>
      </c>
      <c r="AH21" s="115">
        <f>IF($AA$6-Table1[[#This Row],[Missed Games]]=0, 0,Table1[[#This Row],[Threes]]/($AA$6-Table1[[#This Row],[Missed Games]]))</f>
        <v>9.0909090909090912E-2</v>
      </c>
      <c r="AI21" s="112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21</v>
      </c>
      <c r="AQ21" s="27">
        <f>Table1[[#This Row],[Points]]/AP21</f>
        <v>0.61904761904761907</v>
      </c>
      <c r="AR21" s="138">
        <f>AP21-Table1[[#This Row],[Points]]</f>
        <v>8</v>
      </c>
      <c r="AS21" s="144">
        <f>Table1[[#This Row],[Points]]/(20-AA$5-Table1[[#This Row],[Missed Games]])</f>
        <v>0.68421052631578949</v>
      </c>
      <c r="AT21" s="154">
        <f>Table1[[#This Row],[Average]]-'[1]Stats Global'!R19</f>
        <v>0.12299465240641716</v>
      </c>
      <c r="AU21" s="27">
        <f>(Table1[[#This Row],[Average]]-'[1]Stats Global'!R19)/'[1]Stats Global'!R19</f>
        <v>0.1161616161616162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1.5</v>
      </c>
      <c r="BB21" s="16">
        <f>Table4[[#This Row],[Total A]]/$AX$6</f>
        <v>0.25</v>
      </c>
      <c r="BC21" s="16">
        <f>Table4[[#This Row],[Total S]]/$AX$6</f>
        <v>0.25</v>
      </c>
    </row>
    <row r="22" spans="2:55" ht="14.25" customHeight="1" x14ac:dyDescent="0.45"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Z22" s="112" t="s">
        <v>73</v>
      </c>
      <c r="AA22" s="64">
        <f t="shared" si="1"/>
        <v>34</v>
      </c>
      <c r="AB22" s="65">
        <f>IF($AA$6-Table1[[#This Row],[Missed Games]]=0, 0,Table1[[#This Row],[Points]]/($AA$6-Table1[[#This Row],[Missed Games]]))</f>
        <v>3.0909090909090908</v>
      </c>
      <c r="AC22" s="66">
        <f t="shared" si="2"/>
        <v>17</v>
      </c>
      <c r="AD22" s="115">
        <f>IF($AA$6-Table1[[#This Row],[Missed Games]]=0, 0,Table1[[#This Row],[Finishes]]/($AA$6-Table1[[#This Row],[Missed Games]]))</f>
        <v>1.5454545454545454</v>
      </c>
      <c r="AE22" s="66">
        <f t="shared" si="3"/>
        <v>7</v>
      </c>
      <c r="AF22" s="115">
        <f>IF($AA$6-Table1[[#This Row],[Missed Games]]=0, 0,Table1[[#This Row],[Midranges]]/($AA$6-Table1[[#This Row],[Missed Games]]))</f>
        <v>0.63636363636363635</v>
      </c>
      <c r="AG22" s="66">
        <f t="shared" si="4"/>
        <v>5</v>
      </c>
      <c r="AH22" s="115">
        <f>IF($AA$6-Table1[[#This Row],[Missed Games]]=0, 0,Table1[[#This Row],[Threes]]/($AA$6-Table1[[#This Row],[Missed Games]]))</f>
        <v>0.45454545454545453</v>
      </c>
      <c r="AI22" s="112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47</v>
      </c>
      <c r="AQ22" s="27">
        <f>Table1[[#This Row],[Points]]/AP22</f>
        <v>0.72340425531914898</v>
      </c>
      <c r="AR22" s="138">
        <f>AP22-Table1[[#This Row],[Points]]</f>
        <v>13</v>
      </c>
      <c r="AS22" s="144">
        <f>Table1[[#This Row],[Points]]/(20-AA$5-Table1[[#This Row],[Missed Games]])</f>
        <v>1.7894736842105263</v>
      </c>
      <c r="AT22" s="154">
        <f>Table1[[#This Row],[Average]]-'[1]Stats Global'!R20</f>
        <v>0.66233766233766245</v>
      </c>
      <c r="AU22" s="27">
        <f>(Table1[[#This Row],[Average]]-'[1]Stats Global'!R20)/'[1]Stats Global'!R20</f>
        <v>0.27272727272727282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1.375</v>
      </c>
      <c r="BB22" s="16">
        <f>Table4[[#This Row],[Total A]]/$AX$6</f>
        <v>0.875</v>
      </c>
      <c r="BC22" s="16">
        <f>Table4[[#This Row],[Total S]]/$AX$6</f>
        <v>0.375</v>
      </c>
    </row>
    <row r="23" spans="2:55" ht="14.25" customHeight="1" x14ac:dyDescent="0.45"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Z23" s="113" t="s">
        <v>74</v>
      </c>
      <c r="AA23" s="64">
        <f t="shared" si="1"/>
        <v>1</v>
      </c>
      <c r="AB23" s="114">
        <f>IF($AA$6-Table1[[#This Row],[Missed Games]]=0, 0,Table1[[#This Row],[Points]]/($AA$6-Table1[[#This Row],[Missed Games]]))</f>
        <v>9.0909090909090912E-2</v>
      </c>
      <c r="AC23" s="66">
        <f t="shared" si="2"/>
        <v>0</v>
      </c>
      <c r="AD23" s="116">
        <f>IF($AA$6-Table1[[#This Row],[Missed Games]]=0, 0,Table1[[#This Row],[Finishes]]/($AA$6-Table1[[#This Row],[Missed Games]]))</f>
        <v>0</v>
      </c>
      <c r="AE23" s="66">
        <f t="shared" si="3"/>
        <v>1</v>
      </c>
      <c r="AF23" s="116">
        <f>IF($AA$6-Table1[[#This Row],[Missed Games]]=0, 0,Table1[[#This Row],[Midranges]]/($AA$6-Table1[[#This Row],[Missed Games]]))</f>
        <v>9.0909090909090912E-2</v>
      </c>
      <c r="AG23" s="66">
        <f t="shared" si="4"/>
        <v>0</v>
      </c>
      <c r="AH23" s="116">
        <f>IF($AA$6-Table1[[#This Row],[Missed Games]]=0, 0,Table1[[#This Row],[Threes]]/($AA$6-Table1[[#This Row],[Missed Games]]))</f>
        <v>0</v>
      </c>
      <c r="AI23" s="113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8">
        <f>AP23-Table1[[#This Row],[Points]]</f>
        <v>2</v>
      </c>
      <c r="AS23" s="144">
        <f>Table1[[#This Row],[Points]]/(20-AA$5-Table1[[#This Row],[Missed Games]])</f>
        <v>5.2631578947368418E-2</v>
      </c>
      <c r="AT23" s="154">
        <f>Table1[[#This Row],[Average]]-'[1]Stats Global'!R21</f>
        <v>-2.6737967914438499E-2</v>
      </c>
      <c r="AU23" s="27">
        <f>(Table1[[#This Row],[Average]]-'[1]Stats Global'!R21)/'[1]Stats Global'!R21</f>
        <v>-0.22727272727272724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0.5</v>
      </c>
      <c r="BB23" s="16">
        <f>Table4[[#This Row],[Total A]]/$AX$6</f>
        <v>0.125</v>
      </c>
      <c r="BC23" s="16">
        <f>Table4[[#This Row],[Total S]]/$AX$6</f>
        <v>0.25</v>
      </c>
    </row>
    <row r="24" spans="2:55" ht="14.25" customHeight="1" x14ac:dyDescent="0.45"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Z24" s="63" t="s">
        <v>75</v>
      </c>
      <c r="AA24" s="64">
        <f t="shared" si="1"/>
        <v>4</v>
      </c>
      <c r="AB24" s="65">
        <f>IF($AA$6-Table1[[#This Row],[Missed Games]]=0, 0,Table1[[#This Row],[Points]]/($AA$6-Table1[[#This Row],[Missed Games]]))</f>
        <v>0.66666666666666663</v>
      </c>
      <c r="AC24" s="66">
        <f t="shared" si="2"/>
        <v>4</v>
      </c>
      <c r="AD24" s="67">
        <f>IF($AA$6-Table1[[#This Row],[Missed Games]]=0, 0,Table1[[#This Row],[Finishes]]/($AA$6-Table1[[#This Row],[Missed Games]]))</f>
        <v>0.66666666666666663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10</v>
      </c>
      <c r="AQ24" s="27">
        <f>Table1[[#This Row],[Points]]/AP24</f>
        <v>0.4</v>
      </c>
      <c r="AR24" s="138">
        <f>AP24-Table1[[#This Row],[Points]]</f>
        <v>6</v>
      </c>
      <c r="AS24" s="144">
        <f>Table1[[#This Row],[Points]]/(20-AA$5-Table1[[#This Row],[Missed Games]])</f>
        <v>0.2857142857142857</v>
      </c>
      <c r="AT24" s="154">
        <f>Table1[[#This Row],[Average]]-'[1]Stats Global'!R22</f>
        <v>1.9607843137254832E-2</v>
      </c>
      <c r="AU24" s="27">
        <f>(Table1[[#This Row],[Average]]-'[1]Stats Global'!R22)/'[1]Stats Global'!R22</f>
        <v>3.0303030303030193E-2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0.125</v>
      </c>
    </row>
    <row r="25" spans="2:55" ht="14.25" customHeight="1" x14ac:dyDescent="0.45"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AB25" s="17"/>
      <c r="AP25" s="17"/>
      <c r="AQ25" s="27"/>
    </row>
    <row r="26" spans="2:55" ht="14.25" customHeight="1" x14ac:dyDescent="0.45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3"/>
      <c r="S30" s="99" t="s">
        <v>183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7">
        <f>AB30/($AA$27-Table2[[#This Row],[Missed Games]])</f>
        <v>0.33333333333333331</v>
      </c>
      <c r="AG30" s="33">
        <f>AC30/($AA$27-Table2[[#This Row],[Missed Games]])</f>
        <v>0.33333333333333331</v>
      </c>
      <c r="AH30" s="127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3"/>
      <c r="S31" s="99" t="s">
        <v>184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7">
        <f>AB31/($AA$27-Table2[[#This Row],[Missed Games]])</f>
        <v>5</v>
      </c>
      <c r="AG31" s="33">
        <f>AC31/($AA$27-Table2[[#This Row],[Missed Games]])</f>
        <v>0</v>
      </c>
      <c r="AH31" s="127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S32" s="99" t="s">
        <v>185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7" t="e">
        <f>AB32/($AA$27-Table2[[#This Row],[Missed Games]])</f>
        <v>#DIV/0!</v>
      </c>
      <c r="AG32" s="33" t="e">
        <f>AC32/($AA$27-Table2[[#This Row],[Missed Games]])</f>
        <v>#DIV/0!</v>
      </c>
      <c r="AH32" s="127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S33" s="99" t="s">
        <v>186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7">
        <f>AB33/($AA$27-Table2[[#This Row],[Missed Games]])</f>
        <v>0</v>
      </c>
      <c r="AG33" s="33">
        <f>AC33/($AA$27-Table2[[#This Row],[Missed Games]])</f>
        <v>0.33333333333333331</v>
      </c>
      <c r="AH33" s="127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S34" s="99" t="s">
        <v>187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7">
        <f>AB34/($AA$27-Table2[[#This Row],[Missed Games]])</f>
        <v>0.33333333333333331</v>
      </c>
      <c r="AG34" s="33">
        <f>AC34/($AA$27-Table2[[#This Row],[Missed Games]])</f>
        <v>0</v>
      </c>
      <c r="AH34" s="127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S35" s="99" t="s">
        <v>188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7">
        <f>AB35/($AA$27-Table2[[#This Row],[Missed Games]])</f>
        <v>0.33333333333333331</v>
      </c>
      <c r="AG35" s="33">
        <f>AC35/($AA$27-Table2[[#This Row],[Missed Games]])</f>
        <v>0.33333333333333331</v>
      </c>
      <c r="AH35" s="127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S36" s="99" t="s">
        <v>189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7">
        <f>AB36/($AA$27-Table2[[#This Row],[Missed Games]])</f>
        <v>0</v>
      </c>
      <c r="AG36" s="33">
        <f>AC36/($AA$27-Table2[[#This Row],[Missed Games]])</f>
        <v>0</v>
      </c>
      <c r="AH36" s="127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7">
        <f>AB37/($AA$27-Table2[[#This Row],[Missed Games]])</f>
        <v>0.33333333333333331</v>
      </c>
      <c r="AG37" s="33">
        <f>AC37/($AA$27-Table2[[#This Row],[Missed Games]])</f>
        <v>0.66666666666666663</v>
      </c>
      <c r="AH37" s="127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7">
        <f>AB38/($AA$27-Table2[[#This Row],[Missed Games]])</f>
        <v>0.33333333333333331</v>
      </c>
      <c r="AG38" s="33">
        <f>AC38/($AA$27-Table2[[#This Row],[Missed Games]])</f>
        <v>3</v>
      </c>
      <c r="AH38" s="127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7">
        <f>AB39/($AA$27-Table2[[#This Row],[Missed Games]])</f>
        <v>0</v>
      </c>
      <c r="AG39" s="33">
        <f>AC39/($AA$27-Table2[[#This Row],[Missed Games]])</f>
        <v>0</v>
      </c>
      <c r="AH39" s="127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" t="s">
        <v>116</v>
      </c>
      <c r="U40" t="s">
        <v>228</v>
      </c>
      <c r="V40" t="s">
        <v>229</v>
      </c>
      <c r="W40" t="s">
        <v>230</v>
      </c>
      <c r="X40" t="s">
        <v>235</v>
      </c>
      <c r="Z40" s="35" t="s">
        <v>201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7">
        <f>AB40/($AA$27-Table2[[#This Row],[Missed Games]])</f>
        <v>0.5</v>
      </c>
      <c r="AG40" s="33">
        <f>AC40/($AA$27-Table2[[#This Row],[Missed Games]])</f>
        <v>0</v>
      </c>
      <c r="AH40" s="127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201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25</v>
      </c>
      <c r="T41" s="135">
        <f>S41/SUM(S41:S43)</f>
        <v>0.37878787878787878</v>
      </c>
      <c r="U41" s="140">
        <v>0.32188841201716739</v>
      </c>
      <c r="V41" s="43">
        <v>0.36899999999999999</v>
      </c>
      <c r="W41">
        <f>T41*(6*(20-AA$5))</f>
        <v>43.18181818181818</v>
      </c>
      <c r="X41" s="18">
        <f>((MAX(U41:U43)+MAX(V41:V43))/2)*6*(20-AA5)</f>
        <v>41.093085836909864</v>
      </c>
      <c r="Y41" s="14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7">
        <f>AB41/($AA$27-Table2[[#This Row],[Missed Games]])</f>
        <v>1</v>
      </c>
      <c r="AG41" s="33">
        <f>AC41/($AA$27-Table2[[#This Row],[Missed Games]])</f>
        <v>0</v>
      </c>
      <c r="AH41" s="127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WW'!J4</f>
        <v>18</v>
      </c>
      <c r="T42" s="140">
        <f>S42/SUM(S41:S43)</f>
        <v>0.27272727272727271</v>
      </c>
      <c r="U42" s="140">
        <v>0.35193133047210301</v>
      </c>
      <c r="V42" s="43">
        <v>0.26200000000000001</v>
      </c>
      <c r="W42" s="16">
        <f t="shared" ref="W42:W43" si="6">T42*(6*(20-AA$5))</f>
        <v>31.09090909090909</v>
      </c>
      <c r="X42" s="18">
        <f>6*(20-AA5)-X41-X43</f>
        <v>39.625274678111587</v>
      </c>
      <c r="Y42" s="14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7">
        <f>AB42/($AA$27-Table2[[#This Row],[Missed Games]])</f>
        <v>1</v>
      </c>
      <c r="AG42" s="33">
        <f>AC42/($AA$27-Table2[[#This Row],[Missed Games]])</f>
        <v>0.66666666666666663</v>
      </c>
      <c r="AH42" s="127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5M'!J4</f>
        <v>23</v>
      </c>
      <c r="T43" s="140">
        <f>S43/SUM(S41:S43)</f>
        <v>0.34848484848484851</v>
      </c>
      <c r="U43" s="140">
        <v>0.3261802575107296</v>
      </c>
      <c r="V43" s="43">
        <v>0.36899999999999999</v>
      </c>
      <c r="W43" s="16">
        <f t="shared" si="6"/>
        <v>39.727272727272727</v>
      </c>
      <c r="X43" s="18">
        <f>((MIN(U41:U43)+MIN(V41:V43))/2)*6*(20-AA5)</f>
        <v>33.281639484978548</v>
      </c>
      <c r="Y43" s="14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7">
        <f>AB43/($AA$27-Table2[[#This Row],[Missed Games]])</f>
        <v>2</v>
      </c>
      <c r="AG43" s="33">
        <f>AC43/($AA$27-Table2[[#This Row],[Missed Games]])</f>
        <v>0.66666666666666663</v>
      </c>
      <c r="AH43" s="127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7">
        <f>AB44/($AA$27-Table2[[#This Row],[Missed Games]])</f>
        <v>0</v>
      </c>
      <c r="AG44" s="33">
        <f>AC44/($AA$27-Table2[[#This Row],[Missed Games]])</f>
        <v>0</v>
      </c>
      <c r="AH44" s="127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16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7">
        <f>AB45/($AA$27-Table2[[#This Row],[Missed Games]])</f>
        <v>0</v>
      </c>
      <c r="AG45" s="33">
        <f>AC45/($AA$27-Table2[[#This Row],[Missed Games]])</f>
        <v>0</v>
      </c>
      <c r="AH45" s="127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264</v>
      </c>
      <c r="W46">
        <f>(W45-(MAX(S41:S43)-MIN(S41:S43)))/2</f>
        <v>4.5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6" ht="14.25" customHeight="1" x14ac:dyDescent="0.45">
      <c r="T49" s="13" t="s">
        <v>1</v>
      </c>
      <c r="U49" s="18">
        <f>SUM(Table1[Finishes])</f>
        <v>90</v>
      </c>
      <c r="V49" s="17">
        <f>U49/AA6</f>
        <v>8.1818181818181817</v>
      </c>
      <c r="W49" s="27">
        <f>U49/SUM($U$49:$U$51)</f>
        <v>0.55900621118012417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49">
        <f>Table21123[[#This Row],[Points]]/($AA$47-Table21123[[#This Row],[Missed Games]])</f>
        <v>0.33333333333333331</v>
      </c>
      <c r="AF49" s="149">
        <f>Table21123[[#This Row],[Finishes]]/($AA$47-Table21123[[#This Row],[Missed Games]])</f>
        <v>0</v>
      </c>
      <c r="AG49" s="149">
        <f>Table21123[[#This Row],[Midranges]]/($AA$47-Table21123[[#This Row],[Missed Games]])</f>
        <v>0.33333333333333331</v>
      </c>
      <c r="AH49" s="14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</row>
    <row r="50" spans="19:46" ht="14.25" customHeight="1" x14ac:dyDescent="0.45">
      <c r="T50" s="13" t="s">
        <v>2</v>
      </c>
      <c r="U50" s="18">
        <f>SUM(Table1[Midranges])</f>
        <v>53</v>
      </c>
      <c r="V50" s="17">
        <f>U50/AA6</f>
        <v>4.8181818181818183</v>
      </c>
      <c r="W50" s="27">
        <f>U50/SUM($U$49:$U$51)</f>
        <v>0.32919254658385094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49">
        <f>Table21123[[#This Row],[Points]]/($AA$47-Table21123[[#This Row],[Missed Games]])</f>
        <v>0.33333333333333331</v>
      </c>
      <c r="AF50" s="149">
        <f>Table21123[[#This Row],[Finishes]]/($AA$47-Table21123[[#This Row],[Missed Games]])</f>
        <v>0.33333333333333331</v>
      </c>
      <c r="AG50" s="149">
        <f>Table21123[[#This Row],[Midranges]]/($AA$47-Table21123[[#This Row],[Missed Games]])</f>
        <v>0</v>
      </c>
      <c r="AH50" s="14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6" ht="14.25" customHeight="1" x14ac:dyDescent="0.45">
      <c r="T51" s="13" t="s">
        <v>3</v>
      </c>
      <c r="U51" s="18">
        <f>SUM(Table1[Threes])</f>
        <v>18</v>
      </c>
      <c r="V51" s="17">
        <f>U51/AA6</f>
        <v>1.6363636363636365</v>
      </c>
      <c r="W51" s="27">
        <f>U51/SUM($U$49:$U$51)</f>
        <v>0.11180124223602485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49">
        <f>Table21123[[#This Row],[Points]]/($AA$47-Table21123[[#This Row],[Missed Games]])</f>
        <v>4</v>
      </c>
      <c r="AF51" s="149">
        <f>Table21123[[#This Row],[Finishes]]/($AA$47-Table21123[[#This Row],[Missed Games]])</f>
        <v>3.3333333333333335</v>
      </c>
      <c r="AG51" s="149">
        <f>Table21123[[#This Row],[Midranges]]/($AA$47-Table21123[[#This Row],[Missed Games]])</f>
        <v>0</v>
      </c>
      <c r="AH51" s="14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6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49">
        <f>Table21123[[#This Row],[Points]]/($AA$47-Table21123[[#This Row],[Missed Games]])</f>
        <v>0.66666666666666663</v>
      </c>
      <c r="AF52" s="149">
        <f>Table21123[[#This Row],[Finishes]]/($AA$47-Table21123[[#This Row],[Missed Games]])</f>
        <v>0.66666666666666663</v>
      </c>
      <c r="AG52" s="149">
        <f>Table21123[[#This Row],[Midranges]]/($AA$47-Table21123[[#This Row],[Missed Games]])</f>
        <v>0</v>
      </c>
      <c r="AH52" s="14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6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49">
        <f>Table21123[[#This Row],[Points]]/($AA$47-Table21123[[#This Row],[Missed Games]])</f>
        <v>1</v>
      </c>
      <c r="AF53" s="149">
        <f>Table21123[[#This Row],[Finishes]]/($AA$47-Table21123[[#This Row],[Missed Games]])</f>
        <v>0</v>
      </c>
      <c r="AG53" s="149">
        <f>Table21123[[#This Row],[Midranges]]/($AA$47-Table21123[[#This Row],[Missed Games]])</f>
        <v>1</v>
      </c>
      <c r="AH53" s="14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6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49">
        <f>Table21123[[#This Row],[Points]]/($AA$47-Table21123[[#This Row],[Missed Games]])</f>
        <v>0.33333333333333331</v>
      </c>
      <c r="AF54" s="149">
        <f>Table21123[[#This Row],[Finishes]]/($AA$47-Table21123[[#This Row],[Missed Games]])</f>
        <v>0.33333333333333331</v>
      </c>
      <c r="AG54" s="149">
        <f>Table21123[[#This Row],[Midranges]]/($AA$47-Table21123[[#This Row],[Missed Games]])</f>
        <v>0</v>
      </c>
      <c r="AH54" s="14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6" ht="14.25" customHeight="1" x14ac:dyDescent="0.45">
      <c r="S55" s="13" t="s">
        <v>132</v>
      </c>
      <c r="T55" s="40" t="s">
        <v>131</v>
      </c>
      <c r="U55" s="38">
        <f>'Statistics LG'!L42</f>
        <v>0.69090909090909092</v>
      </c>
      <c r="V55" s="38">
        <f>'Statistics LG'!O42</f>
        <v>0.54098360655737709</v>
      </c>
      <c r="W55" s="38">
        <f>AVERAGE(U55:V55)</f>
        <v>0.61594634873323395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49">
        <f>Table21123[[#This Row],[Points]]/($AA$47-Table21123[[#This Row],[Missed Games]])</f>
        <v>1.3333333333333333</v>
      </c>
      <c r="AF55" s="149">
        <f>Table21123[[#This Row],[Finishes]]/($AA$47-Table21123[[#This Row],[Missed Games]])</f>
        <v>1</v>
      </c>
      <c r="AG55" s="149">
        <f>Table21123[[#This Row],[Midranges]]/($AA$47-Table21123[[#This Row],[Missed Games]])</f>
        <v>0.33333333333333331</v>
      </c>
      <c r="AH55" s="14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6" ht="14.25" customHeight="1" x14ac:dyDescent="0.45">
      <c r="S56" s="13" t="s">
        <v>133</v>
      </c>
      <c r="T56" s="38">
        <f>1-'Statistics LG'!L42</f>
        <v>0.30909090909090908</v>
      </c>
      <c r="U56" s="40" t="s">
        <v>131</v>
      </c>
      <c r="V56" s="38">
        <f>'Statistics WW'!L42</f>
        <v>0.47826086956521741</v>
      </c>
      <c r="W56" s="38">
        <f>AVERAGE(T56:V56)</f>
        <v>0.39367588932806324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49">
        <f>Table21123[[#This Row],[Points]]/($AA$47-Table21123[[#This Row],[Missed Games]])</f>
        <v>0</v>
      </c>
      <c r="AF56" s="149">
        <f>Table21123[[#This Row],[Finishes]]/($AA$47-Table21123[[#This Row],[Missed Games]])</f>
        <v>0</v>
      </c>
      <c r="AG56" s="149">
        <f>Table21123[[#This Row],[Midranges]]/($AA$47-Table21123[[#This Row],[Missed Games]])</f>
        <v>0</v>
      </c>
      <c r="AH56" s="14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6" ht="14.25" customHeight="1" x14ac:dyDescent="0.45">
      <c r="S57" s="13" t="s">
        <v>134</v>
      </c>
      <c r="T57" s="38">
        <f>1-V55</f>
        <v>0.45901639344262291</v>
      </c>
      <c r="U57" s="38">
        <f>1-V56</f>
        <v>0.52173913043478259</v>
      </c>
      <c r="V57" s="40" t="s">
        <v>131</v>
      </c>
      <c r="W57" s="38">
        <f>AVERAGE(T57:V57)</f>
        <v>0.49037776193870275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49">
        <f>Table21123[[#This Row],[Points]]/($AA$47-Table21123[[#This Row],[Missed Games]])</f>
        <v>0.66666666666666663</v>
      </c>
      <c r="AF57" s="149">
        <f>Table21123[[#This Row],[Finishes]]/($AA$47-Table21123[[#This Row],[Missed Games]])</f>
        <v>0</v>
      </c>
      <c r="AG57" s="149">
        <f>Table21123[[#This Row],[Midranges]]/($AA$47-Table21123[[#This Row],[Missed Games]])</f>
        <v>0.66666666666666663</v>
      </c>
      <c r="AH57" s="14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6" ht="14.25" customHeight="1" x14ac:dyDescent="0.45">
      <c r="V58" s="41"/>
      <c r="W58" s="119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49">
        <f>Table21123[[#This Row],[Points]]/($AA$47-Table21123[[#This Row],[Missed Games]])</f>
        <v>2.6666666666666665</v>
      </c>
      <c r="AF58" s="149">
        <f>Table21123[[#This Row],[Finishes]]/($AA$47-Table21123[[#This Row],[Missed Games]])</f>
        <v>0.66666666666666663</v>
      </c>
      <c r="AG58" s="149">
        <f>Table21123[[#This Row],[Midranges]]/($AA$47-Table21123[[#This Row],[Missed Games]])</f>
        <v>2</v>
      </c>
      <c r="AH58" s="14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6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49">
        <f>Table21123[[#This Row],[Points]]/($AA$47-Table21123[[#This Row],[Missed Games]])</f>
        <v>0.66666666666666663</v>
      </c>
      <c r="AF59" s="149">
        <f>Table21123[[#This Row],[Finishes]]/($AA$47-Table21123[[#This Row],[Missed Games]])</f>
        <v>0</v>
      </c>
      <c r="AG59" s="149">
        <f>Table21123[[#This Row],[Midranges]]/($AA$47-Table21123[[#This Row],[Missed Games]])</f>
        <v>0.66666666666666663</v>
      </c>
      <c r="AH59" s="14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6" ht="14.25" customHeight="1" x14ac:dyDescent="0.45">
      <c r="Z60" s="35" t="s">
        <v>201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49">
        <f>Table21123[[#This Row],[Points]]/($AA$47-Table21123[[#This Row],[Missed Games]])</f>
        <v>0</v>
      </c>
      <c r="AF60" s="149">
        <f>Table21123[[#This Row],[Finishes]]/($AA$47-Table21123[[#This Row],[Missed Games]])</f>
        <v>0</v>
      </c>
      <c r="AG60" s="149">
        <f>Table21123[[#This Row],[Midranges]]/($AA$47-Table21123[[#This Row],[Missed Games]])</f>
        <v>0</v>
      </c>
      <c r="AH60" s="14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201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6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49">
        <f>Table21123[[#This Row],[Points]]/($AA$47-Table21123[[#This Row],[Missed Games]])</f>
        <v>0.66666666666666663</v>
      </c>
      <c r="AF61" s="149">
        <f>Table21123[[#This Row],[Finishes]]/($AA$47-Table21123[[#This Row],[Missed Games]])</f>
        <v>0.33333333333333331</v>
      </c>
      <c r="AG61" s="149">
        <f>Table21123[[#This Row],[Midranges]]/($AA$47-Table21123[[#This Row],[Missed Games]])</f>
        <v>0.33333333333333331</v>
      </c>
      <c r="AH61" s="14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6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49">
        <f>Table21123[[#This Row],[Points]]/($AA$47-Table21123[[#This Row],[Missed Games]])</f>
        <v>0.33333333333333331</v>
      </c>
      <c r="AF62" s="149">
        <f>Table21123[[#This Row],[Finishes]]/($AA$47-Table21123[[#This Row],[Missed Games]])</f>
        <v>0.33333333333333331</v>
      </c>
      <c r="AG62" s="149">
        <f>Table21123[[#This Row],[Midranges]]/($AA$47-Table21123[[#This Row],[Missed Games]])</f>
        <v>0</v>
      </c>
      <c r="AH62" s="14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6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49">
        <f>Table21123[[#This Row],[Points]]/($AA$47-Table21123[[#This Row],[Missed Games]])</f>
        <v>1.6666666666666667</v>
      </c>
      <c r="AF63" s="149">
        <f>Table21123[[#This Row],[Finishes]]/($AA$47-Table21123[[#This Row],[Missed Games]])</f>
        <v>1</v>
      </c>
      <c r="AG63" s="149">
        <f>Table21123[[#This Row],[Midranges]]/($AA$47-Table21123[[#This Row],[Missed Games]])</f>
        <v>0.66666666666666663</v>
      </c>
      <c r="AH63" s="14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6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49">
        <f>Table21123[[#This Row],[Points]]/($AA$47-Table21123[[#This Row],[Missed Games]])</f>
        <v>0.33333333333333331</v>
      </c>
      <c r="AF64" s="149">
        <f>Table21123[[#This Row],[Finishes]]/($AA$47-Table21123[[#This Row],[Missed Games]])</f>
        <v>0</v>
      </c>
      <c r="AG64" s="149">
        <f>Table21123[[#This Row],[Midranges]]/($AA$47-Table21123[[#This Row],[Missed Games]])</f>
        <v>0.33333333333333331</v>
      </c>
      <c r="AH64" s="14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49">
        <f>Table21123[[#This Row],[Points]]/($AA$47-Table21123[[#This Row],[Missed Games]])</f>
        <v>0</v>
      </c>
      <c r="AF65" s="149">
        <f>Table21123[[#This Row],[Finishes]]/($AA$47-Table21123[[#This Row],[Missed Games]])</f>
        <v>0</v>
      </c>
      <c r="AG65" s="149">
        <f>Table21123[[#This Row],[Midranges]]/($AA$47-Table21123[[#This Row],[Missed Games]])</f>
        <v>0</v>
      </c>
      <c r="AH65" s="14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LG'!A6</f>
        <v>13-July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201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201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LG'!A7</f>
        <v>17-July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LG'!A8</f>
        <v>18-July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LG'!A9</f>
        <v>19-July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LG'!A10</f>
        <v>20-July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LG'!A11</f>
        <v>24-July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LG'!A12</f>
        <v>26-July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LG'!A13</f>
        <v>27-July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166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202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LG'!A14</f>
        <v>31-July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LG'!A15</f>
        <v>1-August</v>
      </c>
      <c r="T89" s="16">
        <f>T88+'Statistics LG'!D18</f>
        <v>25</v>
      </c>
      <c r="U89" s="16">
        <f>U88+'Statistics WW'!D18</f>
        <v>18</v>
      </c>
      <c r="V89" s="16">
        <f>V88+'Statistics 5M'!D18</f>
        <v>23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LG'!A16</f>
        <v>2-August</v>
      </c>
      <c r="T90" s="16">
        <f>T89+'Statistics LG'!D19</f>
        <v>25</v>
      </c>
      <c r="U90" s="16">
        <f>U89+'Statistics WW'!D19</f>
        <v>18</v>
      </c>
      <c r="V90" s="16">
        <f>V89+'Statistics 5M'!D19</f>
        <v>23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LG'!A17</f>
        <v>3-August</v>
      </c>
      <c r="T91" s="16">
        <f>T90+'Statistics LG'!D20</f>
        <v>25</v>
      </c>
      <c r="U91" s="16">
        <f>U90+'Statistics WW'!D20</f>
        <v>18</v>
      </c>
      <c r="V91" s="16">
        <f>V90+'Statistics 5M'!D20</f>
        <v>23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LG'!A18</f>
        <v>0</v>
      </c>
      <c r="T92" s="16">
        <f>T91+'Statistics LG'!D21</f>
        <v>25</v>
      </c>
      <c r="U92" s="16">
        <f>U91+'Statistics WW'!D21</f>
        <v>18</v>
      </c>
      <c r="V92" s="16">
        <f>V91+'Statistics 5M'!D21</f>
        <v>23</v>
      </c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201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201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1" operator="lessThan">
      <formula>0</formula>
    </cfRule>
    <cfRule type="cellIs" dxfId="154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205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205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206</v>
      </c>
      <c r="G14" s="25">
        <v>9</v>
      </c>
      <c r="H14" s="25">
        <v>5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205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206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206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2" t="s">
        <v>193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71</v>
      </c>
      <c r="I3" s="81">
        <f>SUM(C7:C40)</f>
        <v>45</v>
      </c>
      <c r="J3" s="78">
        <f>SUM(D7:D40)</f>
        <v>25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3" t="s">
        <v>4</v>
      </c>
      <c r="S3" s="104" t="s">
        <v>0</v>
      </c>
      <c r="T3" s="104" t="s">
        <v>85</v>
      </c>
      <c r="U3" s="105" t="s">
        <v>1</v>
      </c>
      <c r="V3" s="106" t="s">
        <v>80</v>
      </c>
      <c r="W3" s="106" t="s">
        <v>2</v>
      </c>
      <c r="X3" s="106" t="s">
        <v>117</v>
      </c>
      <c r="Y3" s="105" t="s">
        <v>3</v>
      </c>
      <c r="Z3" s="106" t="s">
        <v>118</v>
      </c>
      <c r="AA3" s="106" t="s">
        <v>120</v>
      </c>
      <c r="AD3" s="82"/>
    </row>
    <row r="4" spans="1:30" ht="14.35" customHeight="1" x14ac:dyDescent="0.45">
      <c r="A4" s="123" t="str">
        <f>'Stats Global'!B5</f>
        <v>11-July</v>
      </c>
      <c r="B4" s="124">
        <f>'Stats Global'!F5</f>
        <v>5</v>
      </c>
      <c r="C4" s="124">
        <f>'Stats Global'!G5+'Stats Global'!H5</f>
        <v>6</v>
      </c>
      <c r="D4" s="124">
        <f>'Stats Global'!O5</f>
        <v>2</v>
      </c>
      <c r="E4" s="125" t="s">
        <v>46</v>
      </c>
      <c r="F4" s="125" t="s">
        <v>207</v>
      </c>
      <c r="J4" s="84"/>
      <c r="L4" s="126">
        <f>'Stats Global'!J5</f>
        <v>2</v>
      </c>
      <c r="M4" s="126">
        <f>'Stats Global'!G5</f>
        <v>0</v>
      </c>
      <c r="N4" s="86"/>
      <c r="O4" s="126">
        <f>'Stats Global'!M5</f>
        <v>3</v>
      </c>
      <c r="P4" s="126">
        <f>'Stats Global'!H5</f>
        <v>6</v>
      </c>
      <c r="R4" s="107" t="s">
        <v>61</v>
      </c>
      <c r="S4" s="97">
        <f>'Stats Global'!AA22</f>
        <v>34</v>
      </c>
      <c r="T4" s="97">
        <f>'Stats Global'!AB22</f>
        <v>3.0909090909090908</v>
      </c>
      <c r="U4" s="97">
        <f>'Stats Global'!AC22</f>
        <v>17</v>
      </c>
      <c r="V4" s="97">
        <f>'Stats Global'!AD22</f>
        <v>1.5454545454545454</v>
      </c>
      <c r="W4" s="97">
        <f>'Stats Global'!AE22</f>
        <v>7</v>
      </c>
      <c r="X4" s="97">
        <f>'Stats Global'!AF22</f>
        <v>0.63636363636363635</v>
      </c>
      <c r="Y4" s="97">
        <f>'Stats Global'!AG22</f>
        <v>5</v>
      </c>
      <c r="Z4" s="97">
        <f>'Stats Global'!AH22</f>
        <v>0.45454545454545453</v>
      </c>
      <c r="AA4" s="97">
        <f>'Stats Global'!AJ22</f>
        <v>0</v>
      </c>
    </row>
    <row r="5" spans="1:30" ht="14.35" customHeight="1" x14ac:dyDescent="0.45">
      <c r="A5" s="123" t="str">
        <f>'Stats Global'!B6</f>
        <v>12-July</v>
      </c>
      <c r="B5" s="124">
        <f>'Stats Global'!F6</f>
        <v>9</v>
      </c>
      <c r="C5" s="124">
        <f>'Stats Global'!G6+'Stats Global'!H6</f>
        <v>8</v>
      </c>
      <c r="D5" s="124">
        <f>'Stats Global'!O6</f>
        <v>2</v>
      </c>
      <c r="E5" s="125" t="s">
        <v>61</v>
      </c>
      <c r="F5" s="125" t="s">
        <v>210</v>
      </c>
      <c r="I5" s="81"/>
      <c r="J5" s="84"/>
      <c r="L5" s="126">
        <f>'Stats Global'!J6</f>
        <v>4</v>
      </c>
      <c r="M5" s="126">
        <f>'Stats Global'!G6</f>
        <v>1</v>
      </c>
      <c r="N5" s="86"/>
      <c r="O5" s="126">
        <f>'Stats Global'!M6</f>
        <v>5</v>
      </c>
      <c r="P5" s="126">
        <f>'Stats Global'!H6</f>
        <v>7</v>
      </c>
      <c r="R5" s="84" t="s">
        <v>46</v>
      </c>
      <c r="S5" s="97">
        <f>'Stats Global'!AA16</f>
        <v>17</v>
      </c>
      <c r="T5" s="97">
        <f>'Stats Global'!AB16</f>
        <v>1.7</v>
      </c>
      <c r="U5" s="97">
        <f>'Stats Global'!AC16</f>
        <v>7</v>
      </c>
      <c r="V5" s="97">
        <f>'Stats Global'!AD16</f>
        <v>0.7</v>
      </c>
      <c r="W5" s="97">
        <f>'Stats Global'!AE16</f>
        <v>6</v>
      </c>
      <c r="X5" s="97">
        <f>'Stats Global'!AF16</f>
        <v>0.6</v>
      </c>
      <c r="Y5" s="97">
        <f>'Stats Global'!AG16</f>
        <v>2</v>
      </c>
      <c r="Z5" s="97">
        <f>'Stats Global'!AH16</f>
        <v>0.2</v>
      </c>
      <c r="AA5" s="97">
        <f>'Stats Global'!AJ16</f>
        <v>1</v>
      </c>
    </row>
    <row r="6" spans="1:30" ht="14.35" customHeight="1" x14ac:dyDescent="0.45">
      <c r="A6" s="123" t="str">
        <f>'Stats Global'!B7</f>
        <v>13-July</v>
      </c>
      <c r="B6" s="124">
        <f>'Stats Global'!F7</f>
        <v>8</v>
      </c>
      <c r="C6" s="124">
        <f>'Stats Global'!G7+'Stats Global'!H7</f>
        <v>2</v>
      </c>
      <c r="D6" s="124">
        <f>'Stats Global'!O7</f>
        <v>3</v>
      </c>
      <c r="E6" s="125" t="s">
        <v>61</v>
      </c>
      <c r="F6" s="125" t="s">
        <v>61</v>
      </c>
      <c r="I6" s="81"/>
      <c r="J6" s="84"/>
      <c r="L6" s="126">
        <f>'Stats Global'!J7</f>
        <v>4</v>
      </c>
      <c r="M6" s="126">
        <f>'Stats Global'!G7</f>
        <v>2</v>
      </c>
      <c r="N6" s="86"/>
      <c r="O6" s="126">
        <f>'Stats Global'!M7</f>
        <v>4</v>
      </c>
      <c r="P6" s="126">
        <f>'Stats Global'!H7</f>
        <v>0</v>
      </c>
      <c r="R6" s="84" t="s">
        <v>58</v>
      </c>
      <c r="S6" s="97">
        <f>'Stats Global'!AA21</f>
        <v>13</v>
      </c>
      <c r="T6" s="97">
        <f>'Stats Global'!AB21</f>
        <v>1.1818181818181819</v>
      </c>
      <c r="U6" s="97">
        <f>'Stats Global'!AC21</f>
        <v>8</v>
      </c>
      <c r="V6" s="97">
        <f>'Stats Global'!AD21</f>
        <v>0.72727272727272729</v>
      </c>
      <c r="W6" s="97">
        <f>'Stats Global'!AE21</f>
        <v>3</v>
      </c>
      <c r="X6" s="97">
        <f>'Stats Global'!AF21</f>
        <v>0.27272727272727271</v>
      </c>
      <c r="Y6" s="97">
        <f>'Stats Global'!AG21</f>
        <v>1</v>
      </c>
      <c r="Z6" s="97">
        <f>'Stats Global'!AH21</f>
        <v>9.0909090909090912E-2</v>
      </c>
      <c r="AA6" s="97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7">
        <f>'Stats Global'!AA8</f>
        <v>3</v>
      </c>
      <c r="T7" s="97">
        <f>'Stats Global'!AB8</f>
        <v>0.27272727272727271</v>
      </c>
      <c r="U7" s="97">
        <f>'Stats Global'!AC8</f>
        <v>0</v>
      </c>
      <c r="V7" s="97">
        <f>'Stats Global'!AD8</f>
        <v>0</v>
      </c>
      <c r="W7" s="97">
        <f>'Stats Global'!AE8</f>
        <v>3</v>
      </c>
      <c r="X7" s="97">
        <f>'Stats Global'!AF8</f>
        <v>0.27272727272727271</v>
      </c>
      <c r="Y7" s="97">
        <f>'Stats Global'!AG8</f>
        <v>0</v>
      </c>
      <c r="Z7" s="97">
        <f>'Stats Global'!AH8</f>
        <v>0</v>
      </c>
      <c r="AA7" s="97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225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7">
        <f>'Stats Global'!AA9</f>
        <v>12</v>
      </c>
      <c r="T8" s="97">
        <f>'Stats Global'!AB9</f>
        <v>1.2</v>
      </c>
      <c r="U8" s="97">
        <f>'Stats Global'!AC9</f>
        <v>12</v>
      </c>
      <c r="V8" s="97">
        <f>'Stats Global'!AD9</f>
        <v>1.2</v>
      </c>
      <c r="W8" s="97">
        <f>'Stats Global'!AE9</f>
        <v>0</v>
      </c>
      <c r="X8" s="97">
        <f>'Stats Global'!AF9</f>
        <v>0</v>
      </c>
      <c r="Y8" s="97">
        <f>'Stats Global'!AG9</f>
        <v>0</v>
      </c>
      <c r="Z8" s="97">
        <f>'Stats Global'!AH9</f>
        <v>0</v>
      </c>
      <c r="AA8" s="97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237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208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243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253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263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208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3">
        <f>'Stats Global'!F18</f>
        <v>7</v>
      </c>
      <c r="C17" s="83">
        <f>'Stats Global'!G18+'Stats Global'!H18</f>
        <v>2</v>
      </c>
      <c r="D17" s="83">
        <f>'Stats Global'!O18</f>
        <v>3</v>
      </c>
      <c r="E17" s="158" t="s">
        <v>61</v>
      </c>
      <c r="F17" s="158" t="s">
        <v>61</v>
      </c>
      <c r="J17" s="84"/>
      <c r="L17" s="85">
        <f>'Stats Global'!J18</f>
        <v>3</v>
      </c>
      <c r="M17" s="85">
        <f>'Stats Global'!G18</f>
        <v>2</v>
      </c>
      <c r="N17" s="86"/>
      <c r="O17" s="85">
        <f>'Stats Global'!M18</f>
        <v>4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>
        <f>'Stats Global'!B19</f>
        <v>0</v>
      </c>
      <c r="B18" s="83">
        <f>'Stats Global'!F19</f>
        <v>0</v>
      </c>
      <c r="C18" s="83">
        <f>'Stats Global'!G19+'Stats Global'!H19</f>
        <v>0</v>
      </c>
      <c r="D18" s="83">
        <f>'Stats Global'!O19</f>
        <v>0</v>
      </c>
      <c r="E18" s="87"/>
      <c r="F18" s="87"/>
      <c r="J18" s="84"/>
      <c r="L18" s="85">
        <f>'Stats Global'!J19</f>
        <v>0</v>
      </c>
      <c r="M18" s="85">
        <f>'Stats Global'!G19</f>
        <v>0</v>
      </c>
      <c r="N18" s="86"/>
      <c r="O18" s="85">
        <f>'Stats Global'!M19</f>
        <v>0</v>
      </c>
      <c r="P18" s="85">
        <f>'Stats Global'!H19</f>
        <v>0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8"/>
      <c r="F19" s="88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89"/>
      <c r="F20" s="89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1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90"/>
      <c r="F23" s="80"/>
      <c r="H23" s="91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90"/>
      <c r="F24" s="80"/>
      <c r="H24" s="91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90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20">
        <f>SUM(B7:B40)/SUM(B7:C40)</f>
        <v>0.61206896551724133</v>
      </c>
      <c r="J41" s="84"/>
      <c r="K41" s="81" t="s">
        <v>94</v>
      </c>
      <c r="L41" s="101">
        <f>SUM(L7:L40)</f>
        <v>38</v>
      </c>
      <c r="M41" s="101">
        <f>SUM(M7:M40)</f>
        <v>17</v>
      </c>
      <c r="N41" s="84"/>
      <c r="O41" s="101">
        <f>SUM(O7:O40)</f>
        <v>33</v>
      </c>
      <c r="P41" s="101">
        <f>SUM(P7:P40)</f>
        <v>28</v>
      </c>
    </row>
    <row r="42" spans="1:16" ht="14.25" customHeight="1" x14ac:dyDescent="0.45">
      <c r="L42" s="92">
        <f>L41/(M41+L41)</f>
        <v>0.69090909090909092</v>
      </c>
      <c r="O42" s="92">
        <f>O41/(P41+O41)</f>
        <v>0.54098360655737709</v>
      </c>
    </row>
    <row r="43" spans="1:16" ht="14.25" customHeight="1" x14ac:dyDescent="0.45">
      <c r="I43" s="93" t="str">
        <f>K43&amp;H3&amp;","&amp;I3&amp;"],"</f>
        <v>"PartA":[71,45],</v>
      </c>
      <c r="K43" s="76" t="s">
        <v>135</v>
      </c>
      <c r="M43" s="76" t="s">
        <v>139</v>
      </c>
      <c r="O43" s="94">
        <f>ROUND((SUM('Stats Global'!AA8,'Stats Global'!AA9,'Stats Global'!AA16,'Stats Global'!AA21,'Stats Global'!AA22))/'Stats Global'!AA6,1)</f>
        <v>7.2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"PartB":[34,"Angus Walker",17,"Angus Walker",7,"Angus Walker",5,"Angus Walker"],</v>
      </c>
      <c r="K44" s="76" t="s">
        <v>136</v>
      </c>
      <c r="M44" s="95">
        <f>MAX(Table1114[Points])</f>
        <v>34</v>
      </c>
      <c r="N44" s="76" t="str">
        <f>IF(M44&lt;&gt;0,IF(M44=S4,R4,IF(M44=S5,R5,IF(S6=M44,R6,IF(S7=M44,R7,R8)))),"N/A")</f>
        <v>Angus Walker</v>
      </c>
      <c r="O44" s="94">
        <f>ROUND(SUM('Stats Global'!AC8,'Stats Global'!AC9,'Stats Global'!AC16,'Stats Global'!AC21,'Stats Global'!AC22)/'Stats Global'!AA6,1)</f>
        <v>4</v>
      </c>
    </row>
    <row r="45" spans="1:16" ht="14.25" customHeight="1" x14ac:dyDescent="0.45">
      <c r="I45" s="76" t="str">
        <f>K45&amp;O43&amp;","&amp;O44&amp;","&amp;O45&amp;","&amp;O46&amp;","&amp;O47&amp;","&amp;O48&amp;"],"</f>
        <v>"PartC":[7.2,4,1.7,0.7,6.5,4.1],</v>
      </c>
      <c r="K45" s="76" t="s">
        <v>137</v>
      </c>
      <c r="M45" s="95">
        <f>MAX(Table1114[Finishes])</f>
        <v>17</v>
      </c>
      <c r="N45" s="102" t="str">
        <f>IF(M45&lt;&gt;0,IF(M45=U4,R4,IF(M45=U5,R5,IF(U6=M45,R6,IF(U7=M45,R7,R8)))),"N/A")</f>
        <v>Angus Walker</v>
      </c>
      <c r="O45" s="94">
        <f>ROUND(SUM('Stats Global'!AE8,'Stats Global'!AE9,'Stats Global'!AE16,'Stats Global'!AE21,'Stats Global'!AE22)/'Stats Global'!AA6,1)</f>
        <v>1.7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"PartD":[38,17,69.1,33,28,54.1],</v>
      </c>
      <c r="K46" s="76" t="s">
        <v>138</v>
      </c>
      <c r="M46" s="95">
        <f>MAX(Table1114[Midranges])</f>
        <v>7</v>
      </c>
      <c r="N46" s="102" t="str">
        <f>IF(M46&lt;&gt;0,IF(M46=W4,R4,IF(M46=W5,R5,IF(W6=M46,R6,IF(W7=M46,R7,R8)))),"N/A")</f>
        <v>Angus Walker</v>
      </c>
      <c r="O46" s="94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5">
        <f>MAX(Table1114[Threes])</f>
        <v>5</v>
      </c>
      <c r="N47" s="76" t="str">
        <f>IF(M47&lt;&gt;0,IF(M47=Y4,R4,IF(M47=Y5,R5,IF(Y6=M47,R6,IF(Y7=M47,R7,R8)))),"N/A")</f>
        <v>Angus Walker</v>
      </c>
      <c r="O47" s="76">
        <f>ROUND(H3/'Stats Global'!AA6,1)</f>
        <v>6.5</v>
      </c>
    </row>
    <row r="48" spans="1:16" ht="14.25" customHeight="1" x14ac:dyDescent="0.45">
      <c r="O48" s="76">
        <f>ROUND(I3/'Stats Global'!AA6,1)</f>
        <v>4.0999999999999996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abSelected="1" zoomScale="76" workbookViewId="0">
      <selection activeCell="A3" sqref="A3:F17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J2" s="56"/>
      <c r="L2" s="81" t="s">
        <v>87</v>
      </c>
      <c r="N2" s="56"/>
      <c r="O2" s="102" t="s">
        <v>193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56" t="s">
        <v>92</v>
      </c>
      <c r="L3" s="81" t="s">
        <v>88</v>
      </c>
      <c r="M3" s="81" t="s">
        <v>89</v>
      </c>
      <c r="N3" s="78"/>
      <c r="O3" s="103" t="s">
        <v>4</v>
      </c>
      <c r="P3" s="104" t="s">
        <v>0</v>
      </c>
      <c r="Q3" s="104" t="s">
        <v>85</v>
      </c>
      <c r="R3" s="105" t="s">
        <v>1</v>
      </c>
      <c r="S3" s="106" t="s">
        <v>80</v>
      </c>
      <c r="T3" s="106" t="s">
        <v>2</v>
      </c>
      <c r="U3" s="106" t="s">
        <v>117</v>
      </c>
      <c r="V3" s="105" t="s">
        <v>3</v>
      </c>
      <c r="W3" s="106" t="s">
        <v>118</v>
      </c>
      <c r="X3" s="106" t="s">
        <v>120</v>
      </c>
    </row>
    <row r="4" spans="1:24" ht="14.25" customHeight="1" x14ac:dyDescent="0.45">
      <c r="A4" s="123" t="str">
        <f>'Stats Global'!B5</f>
        <v>11-July</v>
      </c>
      <c r="B4" s="124">
        <f>'Stats Global'!I5</f>
        <v>0</v>
      </c>
      <c r="C4" s="124">
        <f>'Stats Global'!J5+'Stats Global'!K5</f>
        <v>8</v>
      </c>
      <c r="D4" s="124">
        <f>'Stats Global'!P5</f>
        <v>1</v>
      </c>
      <c r="E4" s="125" t="s">
        <v>208</v>
      </c>
      <c r="F4" s="125" t="s">
        <v>208</v>
      </c>
      <c r="H4" s="81">
        <f>SUM(B7:B40)</f>
        <v>39</v>
      </c>
      <c r="I4" s="81">
        <f>SUM(C7:C40)</f>
        <v>62</v>
      </c>
      <c r="J4" s="78">
        <f>SUM(D7:D40)</f>
        <v>18</v>
      </c>
      <c r="L4" s="126">
        <f>'Stats Global'!N5</f>
        <v>0</v>
      </c>
      <c r="M4" s="126">
        <f>'Stats Global'!K5</f>
        <v>6</v>
      </c>
      <c r="N4" s="86"/>
      <c r="O4" s="84" t="s">
        <v>35</v>
      </c>
      <c r="P4" s="97">
        <f>'Stats Global'!AA11</f>
        <v>5</v>
      </c>
      <c r="Q4" s="97">
        <f>'Stats Global'!AB11</f>
        <v>0.7142857142857143</v>
      </c>
      <c r="R4" s="97">
        <f>'Stats Global'!AC11</f>
        <v>5</v>
      </c>
      <c r="S4" s="97">
        <f>'Stats Global'!AD11</f>
        <v>0.7142857142857143</v>
      </c>
      <c r="T4" s="97">
        <f>'Stats Global'!AE11</f>
        <v>0</v>
      </c>
      <c r="U4" s="97">
        <f>'Stats Global'!AF11</f>
        <v>0</v>
      </c>
      <c r="V4" s="97">
        <f>'Stats Global'!AG11</f>
        <v>0</v>
      </c>
      <c r="W4" s="97">
        <f>'Stats Global'!AH11</f>
        <v>0</v>
      </c>
      <c r="X4" s="97">
        <f>'Stats Global'!AJ11</f>
        <v>4</v>
      </c>
    </row>
    <row r="5" spans="1:24" ht="14.25" customHeight="1" x14ac:dyDescent="0.45">
      <c r="A5" s="123" t="str">
        <f>'Stats Global'!B6</f>
        <v>12-July</v>
      </c>
      <c r="B5" s="124">
        <f>'Stats Global'!I6</f>
        <v>2</v>
      </c>
      <c r="C5" s="124">
        <f>'Stats Global'!J6+'Stats Global'!K6</f>
        <v>12</v>
      </c>
      <c r="D5" s="124">
        <f>'Stats Global'!P6</f>
        <v>1</v>
      </c>
      <c r="E5" s="125" t="s">
        <v>42</v>
      </c>
      <c r="F5" s="125" t="s">
        <v>52</v>
      </c>
      <c r="J5" s="84"/>
      <c r="L5" s="126">
        <f>'Stats Global'!N6</f>
        <v>1</v>
      </c>
      <c r="M5" s="126">
        <f>'Stats Global'!K6</f>
        <v>8</v>
      </c>
      <c r="N5" s="86"/>
      <c r="O5" s="84" t="s">
        <v>37</v>
      </c>
      <c r="P5" s="97">
        <f>'Stats Global'!AA12</f>
        <v>10</v>
      </c>
      <c r="Q5" s="97">
        <f>'Stats Global'!AB12</f>
        <v>1.1111111111111112</v>
      </c>
      <c r="R5" s="97">
        <f>'Stats Global'!AC12</f>
        <v>4</v>
      </c>
      <c r="S5" s="97">
        <f>'Stats Global'!AD12</f>
        <v>0.44444444444444442</v>
      </c>
      <c r="T5" s="97">
        <f>'Stats Global'!AE12</f>
        <v>4</v>
      </c>
      <c r="U5" s="97">
        <f>'Stats Global'!AF12</f>
        <v>0.44444444444444442</v>
      </c>
      <c r="V5" s="97">
        <f>'Stats Global'!AG12</f>
        <v>1</v>
      </c>
      <c r="W5" s="97">
        <f>'Stats Global'!AH12</f>
        <v>0.1111111111111111</v>
      </c>
      <c r="X5" s="97">
        <f>'Stats Global'!AJ12</f>
        <v>2</v>
      </c>
    </row>
    <row r="6" spans="1:24" ht="14.25" customHeight="1" x14ac:dyDescent="0.45">
      <c r="A6" s="123" t="str">
        <f>'Stats Global'!B7</f>
        <v>13-July</v>
      </c>
      <c r="B6" s="124">
        <f>'Stats Global'!I7</f>
        <v>4</v>
      </c>
      <c r="C6" s="124">
        <f>'Stats Global'!J7+'Stats Global'!K7</f>
        <v>5</v>
      </c>
      <c r="D6" s="124">
        <f>'Stats Global'!P7</f>
        <v>2</v>
      </c>
      <c r="E6" s="125" t="s">
        <v>215</v>
      </c>
      <c r="F6" s="125" t="s">
        <v>216</v>
      </c>
      <c r="I6" s="81"/>
      <c r="J6" s="84"/>
      <c r="L6" s="126">
        <f>'Stats Global'!N7</f>
        <v>2</v>
      </c>
      <c r="M6" s="126">
        <f>'Stats Global'!K7</f>
        <v>1</v>
      </c>
      <c r="N6" s="86"/>
      <c r="O6" s="84" t="s">
        <v>55</v>
      </c>
      <c r="P6" s="97">
        <f>'Stats Global'!AA20</f>
        <v>9</v>
      </c>
      <c r="Q6" s="97">
        <f>'Stats Global'!AB20</f>
        <v>0.81818181818181823</v>
      </c>
      <c r="R6" s="97">
        <f>'Stats Global'!AC20</f>
        <v>8</v>
      </c>
      <c r="S6" s="97">
        <f>'Stats Global'!AD20</f>
        <v>0.72727272727272729</v>
      </c>
      <c r="T6" s="97">
        <f>'Stats Global'!AE20</f>
        <v>1</v>
      </c>
      <c r="U6" s="97">
        <f>'Stats Global'!AF20</f>
        <v>9.0909090909090912E-2</v>
      </c>
      <c r="V6" s="97">
        <f>'Stats Global'!AG20</f>
        <v>0</v>
      </c>
      <c r="W6" s="97">
        <f>'Stats Global'!AH20</f>
        <v>0</v>
      </c>
      <c r="X6" s="97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208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7">
        <f>'Stats Global'!AA18</f>
        <v>7</v>
      </c>
      <c r="Q7" s="97">
        <f>'Stats Global'!AB18</f>
        <v>0.63636363636363635</v>
      </c>
      <c r="R7" s="97">
        <f>'Stats Global'!AC18</f>
        <v>1</v>
      </c>
      <c r="S7" s="97">
        <f>'Stats Global'!AD18</f>
        <v>9.0909090909090912E-2</v>
      </c>
      <c r="T7" s="97">
        <f>'Stats Global'!AE18</f>
        <v>6</v>
      </c>
      <c r="U7" s="97">
        <f>'Stats Global'!AF18</f>
        <v>0.54545454545454541</v>
      </c>
      <c r="V7" s="97">
        <f>'Stats Global'!AG18</f>
        <v>0</v>
      </c>
      <c r="W7" s="97">
        <f>'Stats Global'!AH18</f>
        <v>0</v>
      </c>
      <c r="X7" s="97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208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203</v>
      </c>
      <c r="P8" s="97">
        <f>'Stats Global'!AA23</f>
        <v>1</v>
      </c>
      <c r="Q8" s="97">
        <f>'Stats Global'!AB23</f>
        <v>9.0909090909090912E-2</v>
      </c>
      <c r="R8" s="97">
        <f>'Stats Global'!AC23</f>
        <v>0</v>
      </c>
      <c r="S8" s="97">
        <f>'Stats Global'!AD23</f>
        <v>0</v>
      </c>
      <c r="T8" s="97">
        <f>'Stats Global'!AE23</f>
        <v>1</v>
      </c>
      <c r="U8" s="97">
        <f>'Stats Global'!AF23</f>
        <v>9.0909090909090912E-2</v>
      </c>
      <c r="V8" s="97">
        <f>'Stats Global'!AG23</f>
        <v>0</v>
      </c>
      <c r="W8" s="97">
        <f>'Stats Global'!AH23</f>
        <v>0</v>
      </c>
      <c r="X8" s="97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208</v>
      </c>
      <c r="F9" s="80" t="s">
        <v>208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7">
        <f>'Stats Global'!AA15</f>
        <v>8</v>
      </c>
      <c r="Q9" s="117">
        <f>'Stats Global'!AB15</f>
        <v>1.6</v>
      </c>
      <c r="R9" s="117">
        <f>'Stats Global'!AC15</f>
        <v>0</v>
      </c>
      <c r="S9" s="117">
        <f>'Stats Global'!AD15</f>
        <v>0</v>
      </c>
      <c r="T9" s="117">
        <f>'Stats Global'!AE15</f>
        <v>0</v>
      </c>
      <c r="U9" s="117">
        <f>'Stats Global'!AF15</f>
        <v>0</v>
      </c>
      <c r="V9" s="117">
        <f>'Stats Global'!AG15</f>
        <v>4</v>
      </c>
      <c r="W9" s="117">
        <f>'Stats Global'!AH15</f>
        <v>0.8</v>
      </c>
      <c r="X9" s="117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238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7">
        <f>'Stats Global'!AA24</f>
        <v>4</v>
      </c>
      <c r="Q10" s="117">
        <f>'Stats Global'!AB24</f>
        <v>0.66666666666666663</v>
      </c>
      <c r="R10" s="117">
        <f>'Stats Global'!AC24</f>
        <v>4</v>
      </c>
      <c r="S10" s="117">
        <f>'Stats Global'!AD24</f>
        <v>0.66666666666666663</v>
      </c>
      <c r="T10" s="117">
        <f>'Stats Global'!AE24</f>
        <v>0</v>
      </c>
      <c r="U10" s="117">
        <f>'Stats Global'!AF24</f>
        <v>0</v>
      </c>
      <c r="V10" s="117">
        <f>'Stats Global'!AG24</f>
        <v>0</v>
      </c>
      <c r="W10" s="117">
        <f>'Stats Global'!AH24</f>
        <v>0</v>
      </c>
      <c r="X10" s="117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208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244</v>
      </c>
      <c r="F12" s="80" t="s">
        <v>203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258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Global'!I18</f>
        <v>3</v>
      </c>
      <c r="C17" s="83">
        <f>'Stats Global'!J18+'Stats Global'!K18</f>
        <v>3</v>
      </c>
      <c r="D17" s="83">
        <f>'Stats Global'!P18</f>
        <v>2</v>
      </c>
      <c r="E17" s="158" t="s">
        <v>267</v>
      </c>
      <c r="F17" s="158" t="s">
        <v>55</v>
      </c>
      <c r="J17" s="84"/>
      <c r="L17" s="85">
        <f>'Stats Global'!N18</f>
        <v>1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Global'!I19</f>
        <v>0</v>
      </c>
      <c r="C18" s="83">
        <f>'Stats Global'!J19+'Stats Global'!K19</f>
        <v>0</v>
      </c>
      <c r="D18" s="83">
        <f>'Stats Global'!P19</f>
        <v>0</v>
      </c>
      <c r="E18" s="87"/>
      <c r="F18" s="87"/>
      <c r="J18" s="84"/>
      <c r="L18" s="85">
        <f>'Stats Global'!N19</f>
        <v>0</v>
      </c>
      <c r="M18" s="85">
        <f>'Stats Global'!K19</f>
        <v>0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8"/>
      <c r="F19" s="88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89"/>
      <c r="F20" s="89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90"/>
      <c r="F23" s="80"/>
      <c r="H23" s="91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90"/>
      <c r="F24" s="80"/>
      <c r="H24" s="91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90"/>
      <c r="F25" s="80"/>
      <c r="H25" s="91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20">
        <f>SUM(B7:B40)/SUM(B7:C40)</f>
        <v>0.38613861386138615</v>
      </c>
      <c r="J41" s="84"/>
      <c r="K41" s="76" t="s">
        <v>94</v>
      </c>
      <c r="L41" s="101">
        <f>SUM(L7:L40)</f>
        <v>22</v>
      </c>
      <c r="M41" s="101">
        <f>SUM(M7:M40)</f>
        <v>24</v>
      </c>
      <c r="N41" s="84"/>
      <c r="O41" s="84"/>
      <c r="P41" s="56"/>
    </row>
    <row r="42" spans="1:16" ht="14.25" customHeight="1" x14ac:dyDescent="0.45">
      <c r="L42" s="92">
        <f>L41/(M41+L41)</f>
        <v>0.47826086956521741</v>
      </c>
      <c r="P42" s="56"/>
    </row>
    <row r="43" spans="1:16" ht="14.25" customHeight="1" x14ac:dyDescent="0.45">
      <c r="J43" s="93" t="str">
        <f>L43&amp;H4&amp;","&amp;I4&amp;"],"</f>
        <v>"PartA":[39,62],</v>
      </c>
      <c r="K43" s="81"/>
      <c r="L43" s="76" t="s">
        <v>135</v>
      </c>
      <c r="N43" s="76" t="s">
        <v>139</v>
      </c>
      <c r="P43" s="94">
        <f>ROUND(SUM('Stats Global'!AA11,'Stats Global'!AA12,'Stats Global'!AA20,'Stats Global'!AA15,'Stats Global'!AA19,'Stats Global'!AA18,'Stats Global'!AA23)/'Stats Global'!AA6,1)</f>
        <v>3.7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"PartB":[10,"Michael Iffland",8,"Nicholas Szogi",6,"Ryan Pattemore",4,"Clarrie Jones"],</v>
      </c>
      <c r="L44" s="76" t="s">
        <v>136</v>
      </c>
      <c r="N44" s="95">
        <f>MAX(Table1113[Points])</f>
        <v>10</v>
      </c>
      <c r="O44" s="76" t="str">
        <f>IF(N44&lt;&gt;0,IF(N44=P4,O4,IF(N44=P5,O5,IF(P6=N44,O6,IF(P7=N44,O7,IF(P8=N44,O8,IF(P9=N44,O9,O10)))))),"N/A")</f>
        <v>Michael Iffland</v>
      </c>
      <c r="P44" s="94">
        <f>ROUND(SUM('Stats Global'!AC11,'Stats Global'!AC12,'Stats Global'!AC20,'Stats Global'!AC15,'Stats Global'!AC19,'Stats Global'!AC18,'Stats Global'!AC23)/'Stats Global'!AA6,1)</f>
        <v>1.6</v>
      </c>
    </row>
    <row r="45" spans="1:16" ht="14.25" customHeight="1" x14ac:dyDescent="0.45">
      <c r="J45" s="76" t="str">
        <f>L45&amp;P43&amp;","&amp;P44&amp;","&amp;P45&amp;","&amp;P46&amp;","&amp;P47&amp;","&amp;P48&amp;"],"</f>
        <v>"PartC":[3.7,1.6,1.2,0.5,3.5,5.6],</v>
      </c>
      <c r="L45" s="76" t="s">
        <v>137</v>
      </c>
      <c r="N45" s="95">
        <f>MAX(Table1113[Finishes])</f>
        <v>8</v>
      </c>
      <c r="O45" s="76" t="str">
        <f>IF(N45&lt;&gt;0,IF(N45=R4,O4,IF(N45=R5,O5,IF(R6=N45,O6,IF(R7=N45,O7,IF(R8=N45,O8,IF(R9=N45,O9,O10)))))),"N/A")</f>
        <v>Nicholas Szogi</v>
      </c>
      <c r="P45" s="94">
        <f>ROUND(SUM('Stats Global'!AE11,'Stats Global'!AE12,'Stats Global'!AE20,'Stats Global'!AE15,'Stats Global'!AE19,'Stats Global'!AE18,'Stats Global'!AE23)/'Stats Global'!AA6,1)</f>
        <v>1.2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"PartD":[17,38,30.9,22,24,47.8],</v>
      </c>
      <c r="L46" s="76" t="s">
        <v>138</v>
      </c>
      <c r="N46" s="95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4">
        <f>ROUND(SUM('Stats Global'!AG11,'Stats Global'!AG12,'Stats Global'!AG20,'Stats Global'!AG15,'Stats Global'!AG19,'Stats Global'!AG18,'Stats Global'!AG23)/'Stats Global'!AA6,1)</f>
        <v>0.5</v>
      </c>
    </row>
    <row r="47" spans="1:16" ht="14.25" customHeight="1" x14ac:dyDescent="0.45">
      <c r="N47" s="95">
        <f>MAX(Table1113[Threes])</f>
        <v>4</v>
      </c>
      <c r="O47" s="102" t="str">
        <f>IF(N47&lt;&gt;0,IF(N47=V4,O4,IF(N47=V5,O5,IF(V6=N47,O6,IF(V7=N47,O7,IF(V8=N47,O8,IF(V9=N47,O9,O10)))))),"N/A")</f>
        <v>Clarrie Jones</v>
      </c>
      <c r="P47" s="76">
        <f>ROUND(H4/'Stats Global'!AA6,1)</f>
        <v>3.5</v>
      </c>
    </row>
    <row r="48" spans="1:16" ht="14.25" customHeight="1" x14ac:dyDescent="0.45">
      <c r="P48" s="76">
        <f>ROUND(I4/'Stats Global'!AA6,1)</f>
        <v>5.6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7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81" t="s">
        <v>92</v>
      </c>
      <c r="K3" s="78"/>
      <c r="L3" s="102" t="s">
        <v>193</v>
      </c>
      <c r="U3" s="56"/>
      <c r="V3" s="78"/>
      <c r="W3" s="78"/>
      <c r="X3" s="78"/>
    </row>
    <row r="4" spans="1:24" ht="14.25" customHeight="1" x14ac:dyDescent="0.45">
      <c r="A4" s="123" t="str">
        <f>'Stats Global'!B5</f>
        <v>11-July</v>
      </c>
      <c r="B4" s="124">
        <f>'Stats Global'!L5</f>
        <v>12</v>
      </c>
      <c r="C4" s="124">
        <f>'Stats Global'!M5+'Stats Global'!N5</f>
        <v>3</v>
      </c>
      <c r="D4" s="124">
        <f>'Stats Global'!Q5</f>
        <v>3</v>
      </c>
      <c r="E4" s="125" t="s">
        <v>30</v>
      </c>
      <c r="F4" s="125" t="s">
        <v>50</v>
      </c>
      <c r="H4" s="81">
        <f>SUM(B7:B40)</f>
        <v>52</v>
      </c>
      <c r="I4" s="81">
        <f>SUM(C7:C40)</f>
        <v>55</v>
      </c>
      <c r="J4" s="78">
        <f>SUM(D7:D40)</f>
        <v>23</v>
      </c>
      <c r="K4" s="84"/>
      <c r="L4" s="103" t="s">
        <v>4</v>
      </c>
      <c r="M4" s="104" t="s">
        <v>0</v>
      </c>
      <c r="N4" s="104" t="s">
        <v>85</v>
      </c>
      <c r="O4" s="105" t="s">
        <v>1</v>
      </c>
      <c r="P4" s="106" t="s">
        <v>80</v>
      </c>
      <c r="Q4" s="106" t="s">
        <v>2</v>
      </c>
      <c r="R4" s="106" t="s">
        <v>117</v>
      </c>
      <c r="S4" s="105" t="s">
        <v>3</v>
      </c>
      <c r="T4" s="106" t="s">
        <v>118</v>
      </c>
      <c r="U4" s="106" t="s">
        <v>120</v>
      </c>
      <c r="V4" s="84"/>
      <c r="W4" s="84"/>
      <c r="X4" s="84"/>
    </row>
    <row r="5" spans="1:24" ht="14.25" customHeight="1" x14ac:dyDescent="0.45">
      <c r="A5" s="123" t="str">
        <f>'Stats Global'!B6</f>
        <v>12-July</v>
      </c>
      <c r="B5" s="124">
        <f>'Stats Global'!L6</f>
        <v>15</v>
      </c>
      <c r="C5" s="124">
        <f>'Stats Global'!M6+'Stats Global'!N6</f>
        <v>6</v>
      </c>
      <c r="D5" s="124">
        <f>'Stats Global'!Q6</f>
        <v>3</v>
      </c>
      <c r="E5" s="125" t="s">
        <v>30</v>
      </c>
      <c r="F5" s="125" t="s">
        <v>50</v>
      </c>
      <c r="K5" s="84"/>
      <c r="L5" s="84" t="s">
        <v>50</v>
      </c>
      <c r="M5" s="97">
        <f>'Stats Global'!AA17</f>
        <v>31</v>
      </c>
      <c r="N5" s="97">
        <f>'Stats Global'!AB17</f>
        <v>2.8181818181818183</v>
      </c>
      <c r="O5" s="97">
        <f>'Stats Global'!AC17</f>
        <v>5</v>
      </c>
      <c r="P5" s="97">
        <f>'Stats Global'!AD17</f>
        <v>0.45454545454545453</v>
      </c>
      <c r="Q5" s="97">
        <f>'Stats Global'!AE17</f>
        <v>18</v>
      </c>
      <c r="R5" s="97">
        <f>'Stats Global'!AF17</f>
        <v>1.6363636363636365</v>
      </c>
      <c r="S5" s="97">
        <f>'Stats Global'!AG17</f>
        <v>4</v>
      </c>
      <c r="T5" s="97">
        <f>'Stats Global'!AH17</f>
        <v>0.36363636363636365</v>
      </c>
      <c r="U5" s="97">
        <f>'Stats Global'!AJ17</f>
        <v>0</v>
      </c>
      <c r="V5" s="84"/>
      <c r="W5" s="84"/>
      <c r="X5" s="84"/>
    </row>
    <row r="6" spans="1:24" ht="14.25" customHeight="1" x14ac:dyDescent="0.45">
      <c r="A6" s="123" t="str">
        <f>'Stats Global'!B7</f>
        <v>13-July</v>
      </c>
      <c r="B6" s="124">
        <f>'Stats Global'!L7</f>
        <v>1</v>
      </c>
      <c r="C6" s="124">
        <f>'Stats Global'!M7+'Stats Global'!N7</f>
        <v>6</v>
      </c>
      <c r="D6" s="124">
        <f>'Stats Global'!Q7</f>
        <v>1</v>
      </c>
      <c r="E6" s="125" t="s">
        <v>208</v>
      </c>
      <c r="F6" s="125" t="s">
        <v>55</v>
      </c>
      <c r="H6" s="81"/>
      <c r="I6" s="96"/>
      <c r="K6" s="84"/>
      <c r="L6" s="84" t="s">
        <v>30</v>
      </c>
      <c r="M6" s="97">
        <f>'Stats Global'!AA10</f>
        <v>15</v>
      </c>
      <c r="N6" s="97">
        <f>'Stats Global'!AB10</f>
        <v>3</v>
      </c>
      <c r="O6" s="97">
        <f>'Stats Global'!AC10</f>
        <v>13</v>
      </c>
      <c r="P6" s="97">
        <f>'Stats Global'!AD10</f>
        <v>2.6</v>
      </c>
      <c r="Q6" s="97">
        <f>'Stats Global'!AE10</f>
        <v>0</v>
      </c>
      <c r="R6" s="97">
        <f>'Stats Global'!AF10</f>
        <v>0</v>
      </c>
      <c r="S6" s="97">
        <f>'Stats Global'!AG10</f>
        <v>1</v>
      </c>
      <c r="T6" s="97">
        <f>'Stats Global'!AH10</f>
        <v>0.2</v>
      </c>
      <c r="U6" s="97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208</v>
      </c>
      <c r="H7" s="81"/>
      <c r="I7" s="96"/>
      <c r="K7" s="84"/>
      <c r="L7" s="84" t="s">
        <v>42</v>
      </c>
      <c r="M7" s="97">
        <f>'Stats Global'!AA13</f>
        <v>3</v>
      </c>
      <c r="N7" s="97">
        <f>'Stats Global'!AB13</f>
        <v>0.33333333333333331</v>
      </c>
      <c r="O7" s="97">
        <f>'Stats Global'!AC13</f>
        <v>2</v>
      </c>
      <c r="P7" s="97">
        <f>'Stats Global'!AD13</f>
        <v>0.22222222222222221</v>
      </c>
      <c r="Q7" s="97">
        <f>'Stats Global'!AE13</f>
        <v>1</v>
      </c>
      <c r="R7" s="97">
        <f>'Stats Global'!AF13</f>
        <v>0.1111111111111111</v>
      </c>
      <c r="S7" s="97">
        <f>'Stats Global'!AG13</f>
        <v>0</v>
      </c>
      <c r="T7" s="97">
        <f>'Stats Global'!AH13</f>
        <v>0</v>
      </c>
      <c r="U7" s="97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208</v>
      </c>
      <c r="F8" s="80" t="s">
        <v>50</v>
      </c>
      <c r="H8" s="81"/>
      <c r="I8" s="96"/>
      <c r="K8" s="84"/>
      <c r="L8" s="84" t="s">
        <v>115</v>
      </c>
      <c r="M8" s="97">
        <f>'Stats Global'!AA14</f>
        <v>6</v>
      </c>
      <c r="N8" s="97">
        <f>'Stats Global'!AB14</f>
        <v>0.54545454545454541</v>
      </c>
      <c r="O8" s="97">
        <f>'Stats Global'!AC14</f>
        <v>4</v>
      </c>
      <c r="P8" s="97">
        <f>'Stats Global'!AD14</f>
        <v>0.36363636363636365</v>
      </c>
      <c r="Q8" s="97">
        <f>'Stats Global'!AE14</f>
        <v>2</v>
      </c>
      <c r="R8" s="97">
        <f>'Stats Global'!AF14</f>
        <v>0.18181818181818182</v>
      </c>
      <c r="S8" s="97">
        <f>'Stats Global'!AG14</f>
        <v>0</v>
      </c>
      <c r="T8" s="97">
        <f>'Stats Global'!AH14</f>
        <v>0</v>
      </c>
      <c r="U8" s="97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208</v>
      </c>
      <c r="F9" s="80" t="s">
        <v>208</v>
      </c>
      <c r="H9" s="81"/>
      <c r="I9" s="96"/>
      <c r="K9" s="84"/>
      <c r="L9" s="84" t="s">
        <v>201</v>
      </c>
      <c r="M9" s="97">
        <f>'Stats Global'!AA19</f>
        <v>1</v>
      </c>
      <c r="N9" s="97">
        <f>'Stats Global'!AB19</f>
        <v>0.16666666666666666</v>
      </c>
      <c r="O9" s="97">
        <f>'Stats Global'!AC19</f>
        <v>0</v>
      </c>
      <c r="P9" s="97">
        <f>'Stats Global'!AD19</f>
        <v>0</v>
      </c>
      <c r="Q9" s="97">
        <f>'Stats Global'!AE19</f>
        <v>1</v>
      </c>
      <c r="R9" s="97">
        <f>'Stats Global'!AF19</f>
        <v>0.16666666666666666</v>
      </c>
      <c r="S9" s="97">
        <f>'Stats Global'!AG19</f>
        <v>0</v>
      </c>
      <c r="T9" s="97">
        <f>'Stats Global'!AH19</f>
        <v>0</v>
      </c>
      <c r="U9" s="97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6"/>
      <c r="K10" s="56"/>
      <c r="L10" s="147"/>
      <c r="M10" s="147"/>
      <c r="N10" s="147"/>
      <c r="O10" s="147"/>
      <c r="Q10" s="147"/>
      <c r="R10" s="147"/>
      <c r="S10" s="147"/>
      <c r="T10" s="147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6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6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254</v>
      </c>
      <c r="F13" s="80" t="s">
        <v>30</v>
      </c>
      <c r="H13" s="81"/>
      <c r="I13" s="96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259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Global'!L18</f>
        <v>0</v>
      </c>
      <c r="C17" s="83">
        <f>'Stats Global'!M18+'Stats Global'!N18</f>
        <v>5</v>
      </c>
      <c r="D17" s="83">
        <f>'Stats Global'!Q18</f>
        <v>1</v>
      </c>
      <c r="E17" s="158" t="s">
        <v>208</v>
      </c>
      <c r="F17" s="158" t="s">
        <v>208</v>
      </c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Global'!L19</f>
        <v>0</v>
      </c>
      <c r="C18" s="83">
        <f>'Stats Global'!M19+'Stats Global'!N19</f>
        <v>0</v>
      </c>
      <c r="D18" s="83">
        <f>'Stats Global'!Q19</f>
        <v>0</v>
      </c>
      <c r="E18" s="87"/>
      <c r="F18" s="87"/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8"/>
      <c r="F19" s="88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89"/>
      <c r="F20" s="89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90"/>
      <c r="F23" s="80"/>
      <c r="G23" s="91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90"/>
      <c r="F24" s="80"/>
      <c r="G24" s="91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90"/>
      <c r="F25" s="80"/>
      <c r="G25" s="91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7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2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3" t="str">
        <f>M32&amp;H4&amp;","&amp;I4&amp;"],"</f>
        <v>"PartA":[52,55],</v>
      </c>
      <c r="L32" s="81"/>
      <c r="M32" s="76" t="s">
        <v>135</v>
      </c>
      <c r="O32" s="76" t="s">
        <v>139</v>
      </c>
      <c r="Q32" s="94">
        <f>ROUND(SUM('Stats Global'!AA10,'Stats Global'!AA14,'Stats Global'!AA17,'Stats Global'!AA13,'Stats Global'!AA24)/'Stats Global'!AA6,1)</f>
        <v>5.4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"PartB":[31,"Samuel McConaghy",13,"Alexander Galt",18,"Samuel McConaghy",4,"Samuel McConaghy"],</v>
      </c>
      <c r="M33" s="76" t="s">
        <v>136</v>
      </c>
      <c r="O33" s="95">
        <f>MAX(Table11[Points])</f>
        <v>31</v>
      </c>
      <c r="P33" s="76" t="str">
        <f>IF(O33&lt;&gt;0,IF(O33=M5,L5,IF(O33=M6,L6,IF(M7=O33,L7,IF(M8=O33,L8,L9)))),"N/A")</f>
        <v>Samuel McConaghy</v>
      </c>
      <c r="Q33" s="94">
        <f>ROUND(SUM('Stats Global'!AC10,'Stats Global'!AC14,'Stats Global'!AC17,'Stats Global'!AC13,'Stats Global'!AC24)/'Stats Global'!AA6,1)</f>
        <v>2.5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"PartC":[5.4,2.5,1.9,0.5,4.7,5],</v>
      </c>
      <c r="M34" s="76" t="s">
        <v>137</v>
      </c>
      <c r="O34" s="95">
        <f>MAX(Table11[Finishes])</f>
        <v>13</v>
      </c>
      <c r="P34" s="76" t="str">
        <f>IF(O34&lt;&gt;0,IF(O34=O5,L5,IF(O34=O6,L6,IF(O7=O34,L7,IF(O8=O34,L8,L9)))),"N/A")</f>
        <v>Alexander Galt</v>
      </c>
      <c r="Q34" s="94">
        <f>ROUND(SUM('Stats Global'!AE10,'Stats Global'!AE14,'Stats Global'!AE17,'Stats Global'!AE13,'Stats Global'!AE24)/'Stats Global'!AA6,1)</f>
        <v>1.9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"PartD":[28,33,45.9,24,22,52.2],</v>
      </c>
      <c r="M35" s="76" t="s">
        <v>138</v>
      </c>
      <c r="O35" s="95">
        <f>MAX(Table11[Midranges])</f>
        <v>18</v>
      </c>
      <c r="P35" s="76" t="str">
        <f>IF(O35&lt;&gt;0,IF(O35=Q5,L5,IF(O35=Q6,L6,IF(Q7=O35,L7,IF(Q8=O35,L8,L9)))),"N/A")</f>
        <v>Samuel McConaghy</v>
      </c>
      <c r="Q35" s="94">
        <f>ROUND(SUM('Stats Global'!AG10,'Stats Global'!AG14,'Stats Global'!AG17,'Stats Global'!AG13,'Stats Global'!AG24)/'Stats Global'!AA6,1)</f>
        <v>0.5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5">
        <f>MAX(Table11[Threes])</f>
        <v>4</v>
      </c>
      <c r="P36" s="76" t="str">
        <f>IF(O36&lt;&gt;0,IF(O36=S5,L5,IF(O36=S6,L6,IF(S7=O36,L7,IF(S8=O36,L8,L9)))),"N/A")</f>
        <v>Samuel McConaghy</v>
      </c>
      <c r="Q36" s="76">
        <f>ROUND(H4/'Stats Global'!AA6,1)</f>
        <v>4.7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ROUND(I4/'Stats Global'!AA6,1)</f>
        <v>5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20">
        <f>SUM(B7:B40)/SUM(B7:C40)</f>
        <v>0.48598130841121495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E1000"/>
  <sheetViews>
    <sheetView zoomScale="79" workbookViewId="0">
      <selection activeCell="B3" sqref="B3:I1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206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205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"Date":["3-August"],</v>
      </c>
    </row>
    <row r="45" spans="2:26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201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205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206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205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205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205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205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206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205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205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206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206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206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205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205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205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6" t="s">
        <v>119</v>
      </c>
      <c r="U41" s="156"/>
      <c r="V41" s="156"/>
    </row>
    <row r="42" spans="2:26" ht="14.25" customHeight="1" x14ac:dyDescent="0.9">
      <c r="R42" s="98"/>
      <c r="S42" s="98"/>
      <c r="T42" s="156"/>
      <c r="U42" s="156"/>
      <c r="V42" s="156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SfW</vt:lpstr>
      <vt:lpstr>Stats Global</vt:lpstr>
      <vt:lpstr>Statistics LG</vt:lpstr>
      <vt:lpstr>Statistics WW</vt:lpstr>
      <vt:lpstr>Statistics 5M</vt:lpstr>
      <vt:lpstr>Template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2023-08-03T04:17:26Z</dcterms:modified>
</cp:coreProperties>
</file>