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518F6D25-6410-4D9E-9400-076303C92F5D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407" sheetId="15" r:id="rId7"/>
    <sheet name="2007" sheetId="14" r:id="rId8"/>
    <sheet name="1907" sheetId="13" r:id="rId9"/>
    <sheet name="1807" sheetId="12" r:id="rId10"/>
    <sheet name="1707" sheetId="11" r:id="rId11"/>
    <sheet name="Preseason 3" sheetId="10" r:id="rId12"/>
    <sheet name="Preseason 2" sheetId="9" r:id="rId13"/>
    <sheet name="Preseason 1" sheetId="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AP24" i="3"/>
  <c r="AP23" i="3"/>
  <c r="AP22" i="3"/>
  <c r="AP21" i="3"/>
  <c r="AP20" i="3"/>
  <c r="AP18" i="3"/>
  <c r="AP17" i="3"/>
  <c r="AP16" i="3"/>
  <c r="AP14" i="3"/>
  <c r="AP13" i="3"/>
  <c r="AP12" i="3"/>
  <c r="AP11" i="3"/>
  <c r="AP10" i="3"/>
  <c r="AP9" i="3"/>
  <c r="AP8" i="3"/>
  <c r="AJ9" i="3"/>
  <c r="AA6" i="3"/>
  <c r="W45" i="3" s="1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X42" i="3" s="1"/>
  <c r="AB65" i="3" l="1"/>
  <c r="AB63" i="3"/>
  <c r="AB61" i="3"/>
  <c r="AB59" i="3"/>
  <c r="AB57" i="3"/>
  <c r="AB55" i="3"/>
  <c r="AF55" i="3" s="1"/>
  <c r="AB53" i="3"/>
  <c r="AF53" i="3" s="1"/>
  <c r="AB51" i="3"/>
  <c r="AF51" i="3" s="1"/>
  <c r="AF61" i="3"/>
  <c r="AA63" i="3"/>
  <c r="AE63" i="3" s="1"/>
  <c r="AA61" i="3"/>
  <c r="AE61" i="3" s="1"/>
  <c r="AA55" i="3"/>
  <c r="AE55" i="3" s="1"/>
  <c r="AA53" i="3"/>
  <c r="AE53" i="3" s="1"/>
  <c r="M45" i="15"/>
  <c r="M12" i="3" s="1"/>
  <c r="AD64" i="3"/>
  <c r="AH64" i="3" s="1"/>
  <c r="AD62" i="3"/>
  <c r="AH62" i="3" s="1"/>
  <c r="AD60" i="3"/>
  <c r="AH60" i="3" s="1"/>
  <c r="AD58" i="3"/>
  <c r="AH58" i="3" s="1"/>
  <c r="AD56" i="3"/>
  <c r="AH56" i="3" s="1"/>
  <c r="AD54" i="3"/>
  <c r="AH54" i="3" s="1"/>
  <c r="AD52" i="3"/>
  <c r="AH52" i="3" s="1"/>
  <c r="AD50" i="3"/>
  <c r="AH50" i="3" s="1"/>
  <c r="AH59" i="3"/>
  <c r="T47" i="15"/>
  <c r="G45" i="15"/>
  <c r="G12" i="3" s="1"/>
  <c r="R8" i="15"/>
  <c r="AD49" i="3"/>
  <c r="AH49" i="3" s="1"/>
  <c r="AC64" i="3"/>
  <c r="AG64" i="3" s="1"/>
  <c r="AC62" i="3"/>
  <c r="AG62" i="3" s="1"/>
  <c r="AC60" i="3"/>
  <c r="AG60" i="3" s="1"/>
  <c r="AC58" i="3"/>
  <c r="AC56" i="3"/>
  <c r="AG56" i="3" s="1"/>
  <c r="AC54" i="3"/>
  <c r="AC52" i="3"/>
  <c r="AG52" i="3" s="1"/>
  <c r="AC50" i="3"/>
  <c r="AG58" i="3"/>
  <c r="AG50" i="3"/>
  <c r="AC49" i="3"/>
  <c r="AG49" i="3" s="1"/>
  <c r="AB64" i="3"/>
  <c r="AF64" i="3" s="1"/>
  <c r="AB62" i="3"/>
  <c r="AF62" i="3" s="1"/>
  <c r="AB60" i="3"/>
  <c r="AF60" i="3" s="1"/>
  <c r="AB58" i="3"/>
  <c r="AF58" i="3" s="1"/>
  <c r="AB56" i="3"/>
  <c r="AF56" i="3" s="1"/>
  <c r="AB54" i="3"/>
  <c r="AF54" i="3" s="1"/>
  <c r="AB52" i="3"/>
  <c r="AF52" i="3" s="1"/>
  <c r="AB50" i="3"/>
  <c r="AF50" i="3" s="1"/>
  <c r="AF65" i="3"/>
  <c r="AF57" i="3"/>
  <c r="N4" i="15"/>
  <c r="R6" i="15"/>
  <c r="AB49" i="3"/>
  <c r="AF49" i="3" s="1"/>
  <c r="AA62" i="3"/>
  <c r="AE62" i="3" s="1"/>
  <c r="AA60" i="3"/>
  <c r="AE60" i="3" s="1"/>
  <c r="AA56" i="3"/>
  <c r="AE56" i="3" s="1"/>
  <c r="R18" i="15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K45" i="15"/>
  <c r="K12" i="3" s="1"/>
  <c r="N3" i="15"/>
  <c r="R4" i="15"/>
  <c r="R3" i="15"/>
  <c r="AC65" i="3"/>
  <c r="AG65" i="3" s="1"/>
  <c r="AC63" i="3"/>
  <c r="AG63" i="3" s="1"/>
  <c r="AC61" i="3"/>
  <c r="AG61" i="3" s="1"/>
  <c r="AC59" i="3"/>
  <c r="AC57" i="3"/>
  <c r="AG57" i="3" s="1"/>
  <c r="AC55" i="3"/>
  <c r="AG55" i="3" s="1"/>
  <c r="AC53" i="3"/>
  <c r="AG53" i="3" s="1"/>
  <c r="AC51" i="3"/>
  <c r="AG51" i="3" s="1"/>
  <c r="AG54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D45" i="15" l="1"/>
  <c r="D12" i="3" s="1"/>
  <c r="C12" i="3"/>
  <c r="R24" i="15"/>
  <c r="AA50" i="3"/>
  <c r="AE50" i="3" s="1"/>
  <c r="R23" i="15"/>
  <c r="AA49" i="3"/>
  <c r="AE49" i="3" s="1"/>
  <c r="R26" i="15"/>
  <c r="AA52" i="3"/>
  <c r="AE52" i="3" s="1"/>
  <c r="R28" i="15"/>
  <c r="AA54" i="3"/>
  <c r="AE54" i="3" s="1"/>
  <c r="R31" i="15"/>
  <c r="AA57" i="3"/>
  <c r="AE57" i="3" s="1"/>
  <c r="R39" i="15"/>
  <c r="AA65" i="3"/>
  <c r="AE65" i="3" s="1"/>
  <c r="R32" i="15"/>
  <c r="AA58" i="3"/>
  <c r="AE58" i="3" s="1"/>
  <c r="R33" i="15"/>
  <c r="AA59" i="3"/>
  <c r="AE59" i="3" s="1"/>
  <c r="R38" i="15"/>
  <c r="AA64" i="3"/>
  <c r="AE64" i="3" s="1"/>
  <c r="R25" i="15"/>
  <c r="AA51" i="3"/>
  <c r="AE51" i="3" s="1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5" l="1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10" i="3"/>
  <c r="AJ11" i="3"/>
  <c r="AJ12" i="3"/>
  <c r="AJ13" i="3"/>
  <c r="AJ14" i="3"/>
  <c r="AJ15" i="3"/>
  <c r="AP15" i="3" s="1"/>
  <c r="AJ17" i="3"/>
  <c r="AJ19" i="3"/>
  <c r="U9" i="6" s="1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X10" i="5" s="1"/>
  <c r="T45" i="14" l="1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I19" i="2" l="1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<sst xmlns="http://schemas.openxmlformats.org/spreadsheetml/2006/main" count="1766" uniqueCount="242">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</sst>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8" fillId="0" borderId="1"/>
    <xf numFmtId="9" fontId="19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19" fillId="0" borderId="0" xfId="0" applyFont="1"/>
    <xf numFmtId="0" fontId="19" fillId="0" borderId="0" xfId="0" applyFont="1" applyAlignment="1"/>
    <xf numFmtId="0" fontId="21" fillId="0" borderId="0" xfId="0" applyFont="1"/>
    <xf numFmtId="0" fontId="20" fillId="0" borderId="1" xfId="0" applyFont="1" applyBorder="1"/>
    <xf numFmtId="2" fontId="20" fillId="0" borderId="0" xfId="0" applyNumberFormat="1" applyFont="1"/>
    <xf numFmtId="164" fontId="22" fillId="0" borderId="0" xfId="0" applyNumberFormat="1" applyFont="1"/>
    <xf numFmtId="0" fontId="21" fillId="0" borderId="0" xfId="0" applyFont="1" applyAlignment="1"/>
    <xf numFmtId="2" fontId="19" fillId="0" borderId="0" xfId="0" applyNumberFormat="1" applyFont="1"/>
    <xf numFmtId="1" fontId="19" fillId="0" borderId="0" xfId="0" applyNumberFormat="1" applyFont="1"/>
    <xf numFmtId="1" fontId="20" fillId="0" borderId="0" xfId="0" applyNumberFormat="1" applyFont="1"/>
    <xf numFmtId="10" fontId="20" fillId="0" borderId="0" xfId="0" applyNumberFormat="1" applyFont="1"/>
    <xf numFmtId="0" fontId="19" fillId="0" borderId="0" xfId="0" applyFont="1"/>
    <xf numFmtId="16" fontId="19" fillId="0" borderId="0" xfId="0" applyNumberFormat="1" applyFont="1" applyAlignment="1"/>
    <xf numFmtId="0" fontId="24" fillId="0" borderId="0" xfId="0" applyFont="1" applyAlignment="1"/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4" fillId="0" borderId="3" xfId="0" applyFont="1" applyFill="1" applyBorder="1"/>
    <xf numFmtId="0" fontId="24" fillId="0" borderId="4" xfId="0" applyFont="1" applyFill="1" applyBorder="1"/>
    <xf numFmtId="0" fontId="24" fillId="0" borderId="4" xfId="0" applyFont="1" applyFill="1" applyBorder="1" applyAlignment="1"/>
    <xf numFmtId="0" fontId="25" fillId="0" borderId="4" xfId="0" applyFont="1" applyFill="1" applyBorder="1" applyAlignment="1"/>
    <xf numFmtId="0" fontId="21" fillId="0" borderId="5" xfId="0" applyFont="1" applyFill="1" applyBorder="1"/>
    <xf numFmtId="0" fontId="0" fillId="0" borderId="0" xfId="0"/>
    <xf numFmtId="0" fontId="30" fillId="0" borderId="0" xfId="0" applyFont="1"/>
    <xf numFmtId="9" fontId="0" fillId="0" borderId="0" xfId="2" applyFont="1" applyAlignment="1"/>
    <xf numFmtId="0" fontId="24" fillId="0" borderId="0" xfId="0" applyFont="1" applyFill="1"/>
    <xf numFmtId="0" fontId="24" fillId="0" borderId="0" xfId="0" applyFont="1" applyFill="1" applyAlignment="1"/>
    <xf numFmtId="0" fontId="25" fillId="0" borderId="0" xfId="0" applyFont="1" applyFill="1" applyAlignment="1"/>
    <xf numFmtId="1" fontId="0" fillId="0" borderId="0" xfId="0" quotePrefix="1" applyNumberFormat="1" applyFont="1" applyFill="1" applyAlignment="1"/>
    <xf numFmtId="2" fontId="20" fillId="0" borderId="0" xfId="0" applyNumberFormat="1" applyFont="1" applyFill="1"/>
    <xf numFmtId="1" fontId="19" fillId="0" borderId="0" xfId="0" applyNumberFormat="1" applyFont="1" applyFill="1" applyAlignment="1"/>
    <xf numFmtId="0" fontId="19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5" fillId="0" borderId="5" xfId="0" applyFont="1" applyFill="1" applyBorder="1" applyAlignment="1"/>
    <xf numFmtId="9" fontId="0" fillId="0" borderId="0" xfId="0" applyNumberFormat="1" applyFont="1" applyAlignment="1"/>
    <xf numFmtId="0" fontId="2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165" fontId="30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6" fillId="0" borderId="0" xfId="0" applyFont="1" applyAlignment="1"/>
    <xf numFmtId="16" fontId="17" fillId="0" borderId="0" xfId="0" applyNumberFormat="1" applyFont="1" applyAlignment="1"/>
    <xf numFmtId="0" fontId="19" fillId="0" borderId="0" xfId="0" applyFont="1" applyFill="1" applyAlignment="1"/>
    <xf numFmtId="0" fontId="28" fillId="0" borderId="1" xfId="1" applyNumberFormat="1"/>
    <xf numFmtId="0" fontId="29" fillId="0" borderId="1" xfId="0" applyFont="1" applyBorder="1" applyAlignment="1">
      <alignment horizontal="center"/>
    </xf>
    <xf numFmtId="49" fontId="20" fillId="0" borderId="0" xfId="0" applyNumberFormat="1" applyFont="1"/>
    <xf numFmtId="0" fontId="21" fillId="3" borderId="0" xfId="0" applyFont="1" applyFill="1"/>
    <xf numFmtId="0" fontId="19" fillId="3" borderId="0" xfId="0" applyFont="1" applyFill="1"/>
    <xf numFmtId="0" fontId="24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1" fillId="0" borderId="1" xfId="0" applyFont="1" applyFill="1" applyBorder="1"/>
    <xf numFmtId="9" fontId="0" fillId="0" borderId="1" xfId="2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9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0" fillId="0" borderId="2" xfId="0" applyNumberFormat="1" applyFont="1" applyFill="1" applyBorder="1"/>
    <xf numFmtId="1" fontId="19" fillId="0" borderId="2" xfId="0" applyNumberFormat="1" applyFont="1" applyFill="1" applyBorder="1" applyAlignment="1"/>
    <xf numFmtId="0" fontId="19" fillId="0" borderId="2" xfId="0" applyFont="1" applyFill="1" applyBorder="1"/>
    <xf numFmtId="1" fontId="20" fillId="0" borderId="6" xfId="0" applyNumberFormat="1" applyFont="1" applyFill="1" applyBorder="1"/>
    <xf numFmtId="0" fontId="10" fillId="0" borderId="0" xfId="0" applyFont="1" applyAlignment="1"/>
    <xf numFmtId="0" fontId="21" fillId="0" borderId="0" xfId="0" applyFont="1" applyFill="1"/>
    <xf numFmtId="0" fontId="20" fillId="0" borderId="0" xfId="0" applyFont="1" applyFill="1" applyAlignment="1">
      <alignment horizontal="center"/>
    </xf>
    <xf numFmtId="0" fontId="1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0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9" fontId="20" fillId="0" borderId="1" xfId="2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" fontId="20" fillId="0" borderId="1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20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1" xfId="0" applyFont="1" applyFill="1" applyBorder="1"/>
    <xf numFmtId="0" fontId="32" fillId="0" borderId="1" xfId="0" applyFont="1" applyFill="1" applyBorder="1" applyAlignment="1"/>
    <xf numFmtId="0" fontId="33" fillId="0" borderId="1" xfId="0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3" borderId="2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0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0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8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6" fillId="0" borderId="0" xfId="0" applyNumberFormat="1" applyFont="1"/>
    <xf numFmtId="16" fontId="20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0" fillId="6" borderId="1" xfId="0" applyFont="1" applyFill="1" applyBorder="1" applyAlignment="1">
      <alignment vertical="center"/>
    </xf>
    <xf numFmtId="1" fontId="19" fillId="0" borderId="0" xfId="0" applyNumberFormat="1" applyFont="1" applyFill="1"/>
    <xf numFmtId="0" fontId="0" fillId="0" borderId="1" xfId="2" applyNumberFormat="1" applyFont="1" applyFill="1" applyBorder="1" applyAlignment="1"/>
    <xf numFmtId="10" fontId="24" fillId="0" borderId="1" xfId="2" applyNumberFormat="1" applyFont="1" applyFill="1" applyBorder="1" applyAlignment="1"/>
    <xf numFmtId="0" fontId="5" fillId="0" borderId="0" xfId="0" applyFont="1" applyAlignment="1"/>
    <xf numFmtId="0" fontId="4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9" fillId="3" borderId="2" xfId="0" applyNumberFormat="1" applyFont="1" applyFill="1" applyBorder="1" applyAlignment="1"/>
    <xf numFmtId="0" fontId="20" fillId="3" borderId="2" xfId="0" applyNumberFormat="1" applyFont="1" applyFill="1" applyBorder="1"/>
    <xf numFmtId="1" fontId="15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0" fontId="20" fillId="0" borderId="0" xfId="0" applyFont="1" applyFill="1" applyAlignment="1">
      <alignment vertical="center"/>
    </xf>
    <xf numFmtId="0" fontId="2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0.78125</c:v>
                </c:pt>
                <c:pt idx="1">
                  <c:v>0.125</c:v>
                </c:pt>
                <c:pt idx="2">
                  <c:v>9.3749999999999986E-2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'2407'!R3</calculatedColumnFormula>
    </tableColumn>
    <tableColumn id="3" xr3:uid="{8090861E-1FDF-44F4-9DB6-BB814E32C754}" name="Finishes" dataDxfId="103">
      <calculatedColumnFormula>'2407'!S3</calculatedColumnFormula>
    </tableColumn>
    <tableColumn id="4" xr3:uid="{972D0347-DAB3-4985-A738-E5D78740D498}" name="Midranges" dataDxfId="102">
      <calculatedColumnFormula>'2407'!T3</calculatedColumnFormula>
    </tableColumn>
    <tableColumn id="5" xr3:uid="{48F5F884-1753-4988-9056-632B5EB6BBCB}" name="Threes" dataDxfId="101">
      <calculatedColumnFormula>'2407'!U3</calculatedColumnFormula>
    </tableColumn>
    <tableColumn id="6" xr3:uid="{6953B627-EA05-418F-A758-FD59263EA60D}" name="Avg P" dataDxfId="100">
      <calculatedColumnFormula>Table21123[[#This Row],[Points]]/($AA$47-Table21123[[#This Row],[Missed Games]])</calculatedColumnFormula>
    </tableColumn>
    <tableColumn id="7" xr3:uid="{BE057C9C-5ECD-4AC2-A9C0-18C89CFB52BC}" name="Avg F" dataDxfId="99">
      <calculatedColumnFormula>Table21123[[#This Row],[Finishes]]/($AA$47-Table21123[[#This Row],[Missed Games]])</calculatedColumnFormula>
    </tableColumn>
    <tableColumn id="8" xr3:uid="{0FDEBEE7-CD5E-4A44-A0AE-74F044F1FF46}" name="Avg M" dataDxfId="98">
      <calculatedColumnFormula>Table21123[[#This Row],[Midranges]]/($AA$47-Table21123[[#This Row],[Missed Games]])</calculatedColumnFormula>
    </tableColumn>
    <tableColumn id="9" xr3:uid="{76975BB6-3677-41A8-BC24-7536B1D876D3}" name="Avg T" dataDxfId="97">
      <calculatedColumnFormula>Table21123[[#This Row],[Threes]]/($AA$47-Table21123[[#This Row],[Missed Games]])</calculatedColumnFormula>
    </tableColumn>
    <tableColumn id="10" xr3:uid="{E5ADB69B-3BA2-4019-8C83-8B02221F187E}" name="Missed Games" dataDxfId="96">
      <calculatedColumnFormula>COUNTIF('2407'!V3,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0.4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1.5</v>
      </c>
      <c r="E4" s="12">
        <f>'Stats Global'!AA9</f>
        <v>6</v>
      </c>
      <c r="F4" s="8">
        <f>'Stats Global'!AD9</f>
        <v>1.5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4</v>
      </c>
      <c r="F5" s="8">
        <f>'Stats Global'!AD10</f>
        <v>4</v>
      </c>
      <c r="G5" s="12">
        <f>'Stats Global'!AC10</f>
        <v>4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3</v>
      </c>
      <c r="F6" s="8">
        <f>'Stats Global'!AD11</f>
        <v>1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2</v>
      </c>
      <c r="F8" s="8">
        <f>'Stats Global'!AD13</f>
        <v>0.25</v>
      </c>
      <c r="G8" s="12">
        <f>'Stats Global'!AC13</f>
        <v>1</v>
      </c>
      <c r="H8" s="8">
        <f>'Stats Global'!AF13</f>
        <v>0.25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0.6</v>
      </c>
      <c r="E9" s="12">
        <f>'Stats Global'!AA14</f>
        <v>3</v>
      </c>
      <c r="F9" s="8">
        <f>'Stats Global'!AD14</f>
        <v>0.4</v>
      </c>
      <c r="G9" s="12">
        <f>'Stats Global'!AC14</f>
        <v>2</v>
      </c>
      <c r="H9" s="8">
        <f>'Stats Global'!AF14</f>
        <v>0.2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2.4</v>
      </c>
      <c r="E11" s="12">
        <f>'Stats Global'!AA16</f>
        <v>12</v>
      </c>
      <c r="F11" s="8">
        <f>'Stats Global'!AD16</f>
        <v>0.8</v>
      </c>
      <c r="G11" s="12">
        <f>'Stats Global'!AC16</f>
        <v>4</v>
      </c>
      <c r="H11" s="8">
        <f>'Stats Global'!AF16</f>
        <v>0.8</v>
      </c>
      <c r="I11" s="12">
        <f>'Stats Global'!AE16</f>
        <v>4</v>
      </c>
      <c r="J11" s="8">
        <f>'Stats Global'!AH16</f>
        <v>0.4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1.6</v>
      </c>
      <c r="E12" s="12">
        <f>'Stats Global'!AA17</f>
        <v>8</v>
      </c>
      <c r="F12" s="8">
        <f>'Stats Global'!AD17</f>
        <v>0.2</v>
      </c>
      <c r="G12" s="12">
        <f>'Stats Global'!AC17</f>
        <v>1</v>
      </c>
      <c r="H12" s="8">
        <f>'Stats Global'!AF17</f>
        <v>1</v>
      </c>
      <c r="I12" s="12">
        <f>'Stats Global'!AE17</f>
        <v>5</v>
      </c>
      <c r="J12" s="8">
        <f>'Stats Global'!AH17</f>
        <v>0.2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</v>
      </c>
      <c r="E13" s="12">
        <f>'Stats Global'!AA18</f>
        <v>4</v>
      </c>
      <c r="F13" s="8">
        <f>'Stats Global'!AD18</f>
        <v>0.2</v>
      </c>
      <c r="G13" s="12">
        <f>'Stats Global'!AC18</f>
        <v>1</v>
      </c>
      <c r="H13" s="8">
        <f>'Stats Global'!AF18</f>
        <v>0.6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</v>
      </c>
      <c r="E15" s="12">
        <f>'Stats Global'!AA20</f>
        <v>1</v>
      </c>
      <c r="F15" s="8">
        <f>'Stats Global'!AD20</f>
        <v>0.2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1.6</v>
      </c>
      <c r="E16" s="12">
        <f>'Stats Global'!AA21</f>
        <v>8</v>
      </c>
      <c r="F16" s="8">
        <f>'Stats Global'!AD21</f>
        <v>0.8</v>
      </c>
      <c r="G16" s="12">
        <f>'Stats Global'!AC21</f>
        <v>4</v>
      </c>
      <c r="H16" s="8">
        <f>'Stats Global'!AF21</f>
        <v>0.4</v>
      </c>
      <c r="I16" s="12">
        <f>'Stats Global'!AE21</f>
        <v>2</v>
      </c>
      <c r="J16" s="8">
        <f>'Stats Global'!AH21</f>
        <v>0.2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3.2</v>
      </c>
      <c r="E17" s="12">
        <f>'Stats Global'!AA22</f>
        <v>16</v>
      </c>
      <c r="F17" s="8">
        <f>'Stats Global'!AD22</f>
        <v>1.6</v>
      </c>
      <c r="G17" s="12">
        <f>'Stats Global'!AC22</f>
        <v>8</v>
      </c>
      <c r="H17" s="8">
        <f>'Stats Global'!AF22</f>
        <v>0.8</v>
      </c>
      <c r="I17" s="12">
        <f>'Stats Global'!AE22</f>
        <v>4</v>
      </c>
      <c r="J17" s="8">
        <f>'Stats Global'!AH22</f>
        <v>0.4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3" t="s">
        <v>119</v>
      </c>
      <c r="C22" s="153"/>
      <c r="D22" s="102"/>
      <c r="X22" s="2" t="s">
        <v>70</v>
      </c>
    </row>
    <row r="23" spans="2:24" ht="14.25" customHeight="1" x14ac:dyDescent="0.9">
      <c r="B23" s="153"/>
      <c r="C23" s="153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"PPG":[0.4,1.5,4,1,0.2,0.5,0.6,0,2.4,1.6,0.8,0,0.2,1.6,3.2,0,0],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"TP":[2,6,4,3,1,2,3,0,12,8,4,0,1,8,16,0,0],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"FPG":[0,1.5,4,1,0,0.25,0.4,0,0.8,0.2,0.2,0,0.2,0.8,1.6,0,0],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"TF":[0,6,4,3,0,1,2,0,4,1,1,0,1,4,8,0,0],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"MPG":[0.4,0,0,0,0.2,0.25,0.2,0,0.8,1,0.6,0,0,0.4,0.8,0,0],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"TM":[2,0,0,0,1,1,1,0,4,5,3,0,0,2,4,0,0],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"TPG":[0,0,0,0,0,0,0,0,0.4,0.2,0,0,0,0.2,0.4,0,0],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6,</v>
      </c>
      <c r="F51" s="18" t="str">
        <f t="shared" si="8"/>
        <v>1.5,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4,</v>
      </c>
      <c r="F52" s="18" t="str">
        <f t="shared" si="8"/>
        <v>4,</v>
      </c>
      <c r="G52" s="18" t="str">
        <f t="shared" si="9"/>
        <v>4,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3,</v>
      </c>
      <c r="F53" s="18" t="str">
        <f t="shared" si="8"/>
        <v>1,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2,</v>
      </c>
      <c r="F55" s="18" t="str">
        <f t="shared" si="8"/>
        <v>0.25,</v>
      </c>
      <c r="G55" s="18" t="str">
        <f t="shared" si="9"/>
        <v>1,</v>
      </c>
      <c r="H55" s="18" t="str">
        <f t="shared" si="10"/>
        <v>0.25,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0.6,</v>
      </c>
      <c r="E56" s="18" t="str">
        <f t="shared" si="7"/>
        <v>3,</v>
      </c>
      <c r="F56" s="18" t="str">
        <f t="shared" si="8"/>
        <v>0.4,</v>
      </c>
      <c r="G56" s="18" t="str">
        <f t="shared" si="9"/>
        <v>2,</v>
      </c>
      <c r="H56" s="18" t="str">
        <f t="shared" si="10"/>
        <v>0.2,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2.4,</v>
      </c>
      <c r="E58" s="18" t="str">
        <f t="shared" si="7"/>
        <v>12,</v>
      </c>
      <c r="F58" s="18" t="str">
        <f t="shared" si="8"/>
        <v>0.8,</v>
      </c>
      <c r="G58" s="18" t="str">
        <f t="shared" si="9"/>
        <v>4,</v>
      </c>
      <c r="H58" s="18" t="str">
        <f t="shared" si="10"/>
        <v>0.8,</v>
      </c>
      <c r="I58" s="18" t="str">
        <f t="shared" si="11"/>
        <v>4,</v>
      </c>
      <c r="J58" s="18" t="str">
        <f t="shared" si="12"/>
        <v>0.4,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1.6,</v>
      </c>
      <c r="E59" s="18" t="str">
        <f t="shared" si="7"/>
        <v>8,</v>
      </c>
      <c r="F59" s="18" t="str">
        <f t="shared" si="8"/>
        <v>0.2,</v>
      </c>
      <c r="G59" s="18" t="str">
        <f t="shared" si="9"/>
        <v>1,</v>
      </c>
      <c r="H59" s="18" t="str">
        <f t="shared" si="10"/>
        <v>1,</v>
      </c>
      <c r="I59" s="18" t="str">
        <f t="shared" si="11"/>
        <v>5,</v>
      </c>
      <c r="J59" s="18" t="str">
        <f t="shared" si="12"/>
        <v>0.2,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0.8,</v>
      </c>
      <c r="E60" s="18" t="str">
        <f t="shared" si="7"/>
        <v>4,</v>
      </c>
      <c r="F60" s="18" t="str">
        <f t="shared" si="8"/>
        <v>0.2,</v>
      </c>
      <c r="G60" s="18" t="str">
        <f t="shared" si="9"/>
        <v>1,</v>
      </c>
      <c r="H60" s="18" t="str">
        <f t="shared" si="10"/>
        <v>0.6,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0.2,</v>
      </c>
      <c r="E62" s="18" t="str">
        <f t="shared" si="7"/>
        <v>1,</v>
      </c>
      <c r="F62" s="18" t="str">
        <f t="shared" si="8"/>
        <v>0.2,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1.6,</v>
      </c>
      <c r="E63" s="18" t="str">
        <f t="shared" si="7"/>
        <v>8,</v>
      </c>
      <c r="F63" s="18" t="str">
        <f t="shared" si="8"/>
        <v>0.8,</v>
      </c>
      <c r="G63" s="18" t="str">
        <f t="shared" si="9"/>
        <v>4,</v>
      </c>
      <c r="H63" s="18" t="str">
        <f t="shared" si="10"/>
        <v>0.4,</v>
      </c>
      <c r="I63" s="18" t="str">
        <f t="shared" si="11"/>
        <v>2,</v>
      </c>
      <c r="J63" s="18" t="str">
        <f t="shared" si="12"/>
        <v>0.2,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3.2,</v>
      </c>
      <c r="E64" s="18" t="str">
        <f t="shared" si="7"/>
        <v>16,</v>
      </c>
      <c r="F64" s="18" t="str">
        <f t="shared" si="8"/>
        <v>1.6,</v>
      </c>
      <c r="G64" s="18" t="str">
        <f t="shared" si="9"/>
        <v>8,</v>
      </c>
      <c r="H64" s="18" t="str">
        <f t="shared" si="10"/>
        <v>0.8,</v>
      </c>
      <c r="I64" s="18" t="str">
        <f t="shared" si="11"/>
        <v>4,</v>
      </c>
      <c r="J64" s="18" t="str">
        <f t="shared" si="12"/>
        <v>0.4,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3" t="s">
        <v>119</v>
      </c>
      <c r="U41" s="153"/>
      <c r="V41" s="153"/>
    </row>
    <row r="42" spans="2:31" ht="14.25" customHeight="1" x14ac:dyDescent="0.9">
      <c r="R42" s="102"/>
      <c r="S42" s="102"/>
      <c r="T42" s="153"/>
      <c r="U42" s="153"/>
      <c r="V42" s="153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D25" sqref="AD2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4" t="s">
        <v>219</v>
      </c>
      <c r="Y2" s="154"/>
      <c r="Z2" s="154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3" t="s">
        <v>119</v>
      </c>
      <c r="U41" s="153"/>
      <c r="V41" s="15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L1" zoomScale="55" zoomScaleNormal="55" workbookViewId="0">
      <selection activeCell="AA48" sqref="AA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AA6/(20+AA5)</f>
        <v>0.25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12.8</v>
      </c>
      <c r="T6" s="126">
        <f>AVERAGE(C8:C40)</f>
        <v>10</v>
      </c>
      <c r="U6" s="126">
        <f t="shared" ref="U6:V6" si="0">AVERAGE(D8:D40)</f>
        <v>1.6</v>
      </c>
      <c r="V6" s="126">
        <f t="shared" si="0"/>
        <v>1.2</v>
      </c>
      <c r="Z6" s="72" t="s">
        <v>167</v>
      </c>
      <c r="AA6" s="9">
        <f>AA47+AA67+AL27+AL47+AL67+AA87+AL87</f>
        <v>5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0.78125</v>
      </c>
      <c r="U7" s="6">
        <f>U6/$S$6</f>
        <v>0.125</v>
      </c>
      <c r="V7" s="6">
        <f>V6/$S$6</f>
        <v>9.3749999999999986E-2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0.4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0.4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1.0588235294117647</v>
      </c>
      <c r="AN8" s="132">
        <f>MEDIAN(Table1[Average])</f>
        <v>0.6</v>
      </c>
      <c r="AO8" s="37"/>
      <c r="AP8" s="19">
        <f>_xlfn.CEILING.MATH('[1]Stats Global'!R8*(20-$AA$5-$AJ8))</f>
        <v>9</v>
      </c>
      <c r="AQ8" s="28">
        <f>Table1[[#This Row],[Points]]/AP8</f>
        <v>0.22222222222222221</v>
      </c>
      <c r="AR8" s="143">
        <f>AP8-Table1[[#This Row],[Points]]</f>
        <v>7</v>
      </c>
      <c r="AS8" s="149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1.5</v>
      </c>
      <c r="AC9" s="69">
        <f t="shared" si="2"/>
        <v>6</v>
      </c>
      <c r="AD9" s="70">
        <f>IF($AA$6-Table1[[#This Row],[Missed Games]]=0, 0,Table1[[#This Row],[Finishes]]/($AA$6-Table1[[#This Row],[Missed Games]]))</f>
        <v>1.5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2.0588235294117645</v>
      </c>
      <c r="AN9" s="132">
        <f>MEDIAN(Table1[Finishes])</f>
        <v>1</v>
      </c>
      <c r="AO9" s="144"/>
      <c r="AP9" s="19">
        <f>_xlfn.CEILING.MATH('[1]Stats Global'!R9*(20-$AA$5-$AJ9))</f>
        <v>12</v>
      </c>
      <c r="AQ9" s="28">
        <f>Table1[[#This Row],[Points]]/AP9</f>
        <v>0.5</v>
      </c>
      <c r="AR9" s="143">
        <f>AP9-Table1[[#This Row],[Points]]</f>
        <v>6</v>
      </c>
      <c r="AS9" s="149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4</v>
      </c>
      <c r="AB10" s="68">
        <f>IF($AA$6-Table1[[#This Row],[Missed Games]]=0, 0,Table1[[#This Row],[Points]]/($AA$6-Table1[[#This Row],[Missed Games]]))</f>
        <v>4</v>
      </c>
      <c r="AC10" s="69">
        <f t="shared" si="2"/>
        <v>4</v>
      </c>
      <c r="AD10" s="70">
        <f>IF($AA$6-Table1[[#This Row],[Missed Games]]=0, 0,Table1[[#This Row],[Finishes]]/($AA$6-Table1[[#This Row],[Missed Games]]))</f>
        <v>4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1.3529411764705883</v>
      </c>
      <c r="AN10" s="132">
        <f>MEDIAN(Table1[Midranges])</f>
        <v>1</v>
      </c>
      <c r="AO10" s="37"/>
      <c r="AP10" s="19">
        <f>_xlfn.CEILING.MATH('[1]Stats Global'!R10*(20-$AA$5-$AJ10))</f>
        <v>51</v>
      </c>
      <c r="AQ10" s="28">
        <f>Table1[[#This Row],[Points]]/AP10</f>
        <v>7.8431372549019607E-2</v>
      </c>
      <c r="AR10" s="143">
        <f>AP10-Table1[[#This Row],[Points]]</f>
        <v>47</v>
      </c>
      <c r="AS10" s="149">
        <f>Table1[[#This Row],[Points]]/(20-AA$5-Table1[[#This Row],[Missed Games]])</f>
        <v>0.25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</v>
      </c>
      <c r="AC11" s="69">
        <f t="shared" si="2"/>
        <v>3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51</v>
      </c>
      <c r="AQ11" s="28">
        <f>Table1[[#This Row],[Points]]/AP11</f>
        <v>5.8823529411764705E-2</v>
      </c>
      <c r="AR11" s="143">
        <f>AP11-Table1[[#This Row],[Points]]</f>
        <v>48</v>
      </c>
      <c r="AS11" s="149">
        <f>Table1[[#This Row],[Points]]/(20-AA$5-Table1[[#This Row],[Missed Games]])</f>
        <v>0.16666666666666666</v>
      </c>
      <c r="AT11" s="40"/>
    </row>
    <row r="12" spans="2:46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_xlfn.CEILING.MATH('[1]Stats Global'!R12*(20-$AA$5-$AJ12))</f>
        <v>42</v>
      </c>
      <c r="AQ12" s="28">
        <f>Table1[[#This Row],[Points]]/AP12</f>
        <v>2.3809523809523808E-2</v>
      </c>
      <c r="AR12" s="143">
        <f>AP12-Table1[[#This Row],[Points]]</f>
        <v>41</v>
      </c>
      <c r="AS12" s="149">
        <f>Table1[[#This Row],[Points]]/(20-AA$5-Table1[[#This Row],[Missed Games]])</f>
        <v>0.05</v>
      </c>
      <c r="AT12" s="40"/>
    </row>
    <row r="13" spans="2:46" ht="14.25" customHeight="1" x14ac:dyDescent="0.45"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0.5</v>
      </c>
      <c r="AC13" s="69">
        <f t="shared" si="2"/>
        <v>1</v>
      </c>
      <c r="AD13" s="70">
        <f>IF($AA$6-Table1[[#This Row],[Missed Games]]=0, 0,Table1[[#This Row],[Finishes]]/($AA$6-Table1[[#This Row],[Missed Games]]))</f>
        <v>0.25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22</v>
      </c>
      <c r="AQ13" s="28">
        <f>Table1[[#This Row],[Points]]/AP13</f>
        <v>9.0909090909090912E-2</v>
      </c>
      <c r="AR13" s="143">
        <f>AP13-Table1[[#This Row],[Points]]</f>
        <v>20</v>
      </c>
      <c r="AS13" s="149">
        <f>Table1[[#This Row],[Points]]/(20-AA$5-Table1[[#This Row],[Missed Games]])</f>
        <v>0.10526315789473684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3</v>
      </c>
      <c r="AB14" s="68">
        <f>IF($AA$6-Table1[[#This Row],[Missed Games]]=0, 0,Table1[[#This Row],[Points]]/($AA$6-Table1[[#This Row],[Missed Games]]))</f>
        <v>0.6</v>
      </c>
      <c r="AC14" s="69">
        <f t="shared" si="2"/>
        <v>2</v>
      </c>
      <c r="AD14" s="70">
        <f>IF($AA$6-Table1[[#This Row],[Missed Games]]=0, 0,Table1[[#This Row],[Finishes]]/($AA$6-Table1[[#This Row],[Missed Games]]))</f>
        <v>0.4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0.2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7</v>
      </c>
      <c r="AQ14" s="28">
        <f>Table1[[#This Row],[Points]]/AP14</f>
        <v>0.42857142857142855</v>
      </c>
      <c r="AR14" s="143">
        <f>AP14-Table1[[#This Row],[Points]]</f>
        <v>4</v>
      </c>
      <c r="AS14" s="149">
        <f>Table1[[#This Row],[Points]]/(20-AA$5-Table1[[#This Row],[Missed Games]])</f>
        <v>0.15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5</v>
      </c>
      <c r="AK15" s="65"/>
      <c r="AL15" s="65"/>
      <c r="AM15" s="65"/>
      <c r="AO15" s="37"/>
      <c r="AP15" s="19">
        <f>_xlfn.CEILING.MATH('[1]Stats Global'!R14*(20-$AA$5-$AJ15))</f>
        <v>24</v>
      </c>
      <c r="AQ15" s="28">
        <f>Table1[[#This Row],[Points]]/AP15</f>
        <v>0</v>
      </c>
      <c r="AR15" s="143">
        <f>AP15-Table1[[#This Row],[Points]]</f>
        <v>24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12</v>
      </c>
      <c r="AB16" s="68">
        <f>IF($AA$6-Table1[[#This Row],[Missed Games]]=0, 0,Table1[[#This Row],[Points]]/($AA$6-Table1[[#This Row],[Missed Games]]))</f>
        <v>2.4</v>
      </c>
      <c r="AC16" s="69">
        <f t="shared" si="2"/>
        <v>4</v>
      </c>
      <c r="AD16" s="70">
        <f>IF($AA$6-Table1[[#This Row],[Missed Games]]=0, 0,Table1[[#This Row],[Finishes]]/($AA$6-Table1[[#This Row],[Missed Games]]))</f>
        <v>0.8</v>
      </c>
      <c r="AE16" s="69">
        <f t="shared" si="3"/>
        <v>4</v>
      </c>
      <c r="AF16" s="70">
        <f>IF($AA$6-Table1[[#This Row],[Missed Games]]=0, 0,Table1[[#This Row],[Midranges]]/($AA$6-Table1[[#This Row],[Missed Games]]))</f>
        <v>0.8</v>
      </c>
      <c r="AG16" s="69">
        <f t="shared" si="4"/>
        <v>2</v>
      </c>
      <c r="AH16" s="70">
        <f>IF($AA$6-Table1[[#This Row],[Missed Games]]=0, 0,Table1[[#This Row],[Threes]]/($AA$6-Table1[[#This Row],[Missed Games]]))</f>
        <v>0.4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29</v>
      </c>
      <c r="AQ16" s="28">
        <f>Table1[[#This Row],[Points]]/AP16</f>
        <v>0.41379310344827586</v>
      </c>
      <c r="AR16" s="143">
        <f>AP16-Table1[[#This Row],[Points]]</f>
        <v>17</v>
      </c>
      <c r="AS16" s="149">
        <f>Table1[[#This Row],[Points]]/(20-AA$5-Table1[[#This Row],[Missed Games]])</f>
        <v>0.6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8</v>
      </c>
      <c r="AB17" s="68">
        <f>IF($AA$6-Table1[[#This Row],[Missed Games]]=0, 0,Table1[[#This Row],[Points]]/($AA$6-Table1[[#This Row],[Missed Games]]))</f>
        <v>1.6</v>
      </c>
      <c r="AC17" s="69">
        <f t="shared" si="2"/>
        <v>1</v>
      </c>
      <c r="AD17" s="70">
        <f>IF($AA$6-Table1[[#This Row],[Missed Games]]=0, 0,Table1[[#This Row],[Finishes]]/($AA$6-Table1[[#This Row],[Missed Games]]))</f>
        <v>0.2</v>
      </c>
      <c r="AE17" s="69">
        <f t="shared" si="3"/>
        <v>5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51</v>
      </c>
      <c r="AQ17" s="28">
        <f>Table1[[#This Row],[Points]]/AP17</f>
        <v>0.15686274509803921</v>
      </c>
      <c r="AR17" s="143">
        <f>AP17-Table1[[#This Row],[Points]]</f>
        <v>43</v>
      </c>
      <c r="AS17" s="149">
        <f>Table1[[#This Row],[Points]]/(20-AA$5-Table1[[#This Row],[Missed Games]])</f>
        <v>0.4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0.8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0.6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18</v>
      </c>
      <c r="AQ18" s="28">
        <f>Table1[[#This Row],[Points]]/AP18</f>
        <v>0.22222222222222221</v>
      </c>
      <c r="AR18" s="143">
        <f>AP18-Table1[[#This Row],[Points]]</f>
        <v>14</v>
      </c>
      <c r="AS18" s="149">
        <f>Table1[[#This Row],[Points]]/(20-AA$5-Table1[[#This Row],[Missed Games]])</f>
        <v>0.2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22</v>
      </c>
      <c r="AQ20" s="28">
        <f>Table1[[#This Row],[Points]]/AP20</f>
        <v>4.5454545454545456E-2</v>
      </c>
      <c r="AR20" s="143">
        <f>AP20-Table1[[#This Row],[Points]]</f>
        <v>21</v>
      </c>
      <c r="AS20" s="149">
        <f>Table1[[#This Row],[Points]]/(20-AA$5-Table1[[#This Row],[Missed Games]])</f>
        <v>0.05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1.6</v>
      </c>
      <c r="AC21" s="69">
        <f t="shared" si="2"/>
        <v>4</v>
      </c>
      <c r="AD21" s="119">
        <f>IF($AA$6-Table1[[#This Row],[Missed Games]]=0, 0,Table1[[#This Row],[Finishes]]/($AA$6-Table1[[#This Row],[Missed Games]]))</f>
        <v>0.8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0.4</v>
      </c>
      <c r="AG21" s="69">
        <f t="shared" si="4"/>
        <v>1</v>
      </c>
      <c r="AH21" s="119">
        <f>IF($AA$6-Table1[[#This Row],[Missed Games]]=0, 0,Table1[[#This Row],[Threes]]/($AA$6-Table1[[#This Row],[Missed Games]]))</f>
        <v>0.2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22</v>
      </c>
      <c r="AQ21" s="28">
        <f>Table1[[#This Row],[Points]]/AP21</f>
        <v>0.36363636363636365</v>
      </c>
      <c r="AR21" s="143">
        <f>AP21-Table1[[#This Row],[Points]]</f>
        <v>14</v>
      </c>
      <c r="AS21" s="149">
        <f>Table1[[#This Row],[Points]]/(20-AA$5-Table1[[#This Row],[Missed Games]])</f>
        <v>0.4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3.2</v>
      </c>
      <c r="AC22" s="69">
        <f t="shared" si="2"/>
        <v>8</v>
      </c>
      <c r="AD22" s="119">
        <f>IF($AA$6-Table1[[#This Row],[Missed Games]]=0, 0,Table1[[#This Row],[Finishes]]/($AA$6-Table1[[#This Row],[Missed Games]]))</f>
        <v>1.6</v>
      </c>
      <c r="AE22" s="69">
        <f t="shared" si="3"/>
        <v>4</v>
      </c>
      <c r="AF22" s="119">
        <f>IF($AA$6-Table1[[#This Row],[Missed Games]]=0, 0,Table1[[#This Row],[Midranges]]/($AA$6-Table1[[#This Row],[Missed Games]]))</f>
        <v>0.8</v>
      </c>
      <c r="AG22" s="69">
        <f t="shared" si="4"/>
        <v>2</v>
      </c>
      <c r="AH22" s="119">
        <f>IF($AA$6-Table1[[#This Row],[Missed Games]]=0, 0,Table1[[#This Row],[Threes]]/($AA$6-Table1[[#This Row],[Missed Games]]))</f>
        <v>0.4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49</v>
      </c>
      <c r="AQ22" s="28">
        <f>Table1[[#This Row],[Points]]/AP22</f>
        <v>0.32653061224489793</v>
      </c>
      <c r="AR22" s="143">
        <f>AP22-Table1[[#This Row],[Points]]</f>
        <v>33</v>
      </c>
      <c r="AS22" s="149">
        <f>Table1[[#This Row],[Points]]/(20-AA$5-Table1[[#This Row],[Missed Games]])</f>
        <v>0.8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</v>
      </c>
      <c r="AR23" s="143">
        <f>AP23-Table1[[#This Row],[Points]]</f>
        <v>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11</v>
      </c>
      <c r="AQ24" s="28">
        <f>Table1[[#This Row],[Points]]/AP24</f>
        <v>0</v>
      </c>
      <c r="AR24" s="143">
        <f>AP24-Table1[[#This Row],[Points]]</f>
        <v>11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13</v>
      </c>
      <c r="T41" s="139">
        <f>S41/SUM(S41:S43)</f>
        <v>0.43333333333333335</v>
      </c>
      <c r="U41" s="145">
        <v>0.32188841201716739</v>
      </c>
      <c r="V41" s="45">
        <v>0.36899999999999999</v>
      </c>
      <c r="W41">
        <f>T41*(6*(20-AA$5))</f>
        <v>52</v>
      </c>
      <c r="X41" s="19">
        <f>((MAX(U41:U43)+MAX(V41:V43))/2)*6*(20-AA5)</f>
        <v>43.255879828326172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7</v>
      </c>
      <c r="T42" s="145">
        <f>S42/SUM(S41:S43)</f>
        <v>0.23333333333333334</v>
      </c>
      <c r="U42" s="145">
        <v>0.35193133047210301</v>
      </c>
      <c r="V42" s="45">
        <v>0.26200000000000001</v>
      </c>
      <c r="W42" s="17">
        <f t="shared" ref="W42:W43" si="6">T42*(6*(20-AA$5))</f>
        <v>28</v>
      </c>
      <c r="X42" s="19">
        <f>6*(20-AA5)-X41-X43</f>
        <v>41.710815450643778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10</v>
      </c>
      <c r="T43" s="145">
        <f>S43/SUM(S41:S43)</f>
        <v>0.33333333333333331</v>
      </c>
      <c r="U43" s="145">
        <v>0.3261802575107296</v>
      </c>
      <c r="V43" s="45">
        <v>0.36899999999999999</v>
      </c>
      <c r="W43" s="17">
        <f t="shared" si="6"/>
        <v>40</v>
      </c>
      <c r="X43" s="19">
        <f>((MIN(U41:U43)+MIN(V41:V43))/2)*6*(20-AA5)</f>
        <v>35.033304721030049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30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1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35</v>
      </c>
      <c r="V49" s="18">
        <f>U49/AA6</f>
        <v>7</v>
      </c>
      <c r="W49" s="28">
        <f>U49/SUM($U$49:$U$51)</f>
        <v>0.546875</v>
      </c>
      <c r="Z49" s="49" t="s">
        <v>45</v>
      </c>
      <c r="AA49" s="32">
        <f>'2407'!R3</f>
        <v>0</v>
      </c>
      <c r="AB49" s="32">
        <f>'2407'!S3</f>
        <v>0</v>
      </c>
      <c r="AC49" s="32">
        <f>'2407'!T3</f>
        <v>0</v>
      </c>
      <c r="AD49" s="32">
        <f>'2407'!U3</f>
        <v>0</v>
      </c>
      <c r="AE49" s="32">
        <f>Table21123[[#This Row],[Points]]/($AA$47-Table21123[[#This Row],[Missed Games]])</f>
        <v>0</v>
      </c>
      <c r="AF49" s="32">
        <f>Table21123[[#This Row],[Finishes]]/($AA$47-Table21123[[#This Row],[Missed Games]])</f>
        <v>0</v>
      </c>
      <c r="AG49" s="32">
        <f>Table21123[[#This Row],[Midranges]]/($AA$47-Table21123[[#This Row],[Missed Games]])</f>
        <v>0</v>
      </c>
      <c r="AH49" s="32">
        <f>Table21123[[#This Row],[Threes]]/($AA$47-Table21123[[#This Row],[Missed Games]])</f>
        <v>0</v>
      </c>
      <c r="AI49" s="32">
        <f>COUNTIF('2407'!V3,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23</v>
      </c>
      <c r="V50" s="18">
        <f>U50/AA6</f>
        <v>4.5999999999999996</v>
      </c>
      <c r="W50" s="28">
        <f>U50/SUM($U$49:$U$51)</f>
        <v>0.359375</v>
      </c>
      <c r="Z50" s="49" t="s">
        <v>49</v>
      </c>
      <c r="AA50" s="32">
        <f>'2407'!R4</f>
        <v>0</v>
      </c>
      <c r="AB50" s="32">
        <f>'2407'!S4</f>
        <v>0</v>
      </c>
      <c r="AC50" s="32">
        <f>'2407'!T4</f>
        <v>0</v>
      </c>
      <c r="AD50" s="32">
        <f>'2407'!U4</f>
        <v>0</v>
      </c>
      <c r="AE50" s="32">
        <f>Table21123[[#This Row],[Points]]/($AA$47-Table21123[[#This Row],[Missed Games]])</f>
        <v>0</v>
      </c>
      <c r="AF50" s="32">
        <f>Table21123[[#This Row],[Finishes]]/($AA$47-Table21123[[#This Row],[Missed Games]])</f>
        <v>0</v>
      </c>
      <c r="AG50" s="32">
        <f>Table21123[[#This Row],[Midranges]]/($AA$47-Table21123[[#This Row],[Missed Games]])</f>
        <v>0</v>
      </c>
      <c r="AH50" s="32">
        <f>Table21123[[#This Row],[Threes]]/($AA$47-Table21123[[#This Row],[Missed Games]])</f>
        <v>0</v>
      </c>
      <c r="AI50" s="32">
        <f>COUNTIF('2407'!V4,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1.2</v>
      </c>
      <c r="W51" s="28">
        <f>U51/SUM($U$49:$U$51)</f>
        <v>9.375E-2</v>
      </c>
      <c r="Z51" s="49" t="s">
        <v>51</v>
      </c>
      <c r="AA51" s="32">
        <f>'2407'!R5</f>
        <v>4</v>
      </c>
      <c r="AB51" s="32">
        <f>'2407'!S5</f>
        <v>4</v>
      </c>
      <c r="AC51" s="32">
        <f>'2407'!T5</f>
        <v>0</v>
      </c>
      <c r="AD51" s="32">
        <f>'2407'!U5</f>
        <v>0</v>
      </c>
      <c r="AE51" s="32">
        <f>Table21123[[#This Row],[Points]]/($AA$47-Table21123[[#This Row],[Missed Games]])</f>
        <v>4</v>
      </c>
      <c r="AF51" s="32">
        <f>Table21123[[#This Row],[Finishes]]/($AA$47-Table21123[[#This Row],[Missed Games]])</f>
        <v>4</v>
      </c>
      <c r="AG51" s="32">
        <f>Table21123[[#This Row],[Midranges]]/($AA$47-Table21123[[#This Row],[Missed Games]])</f>
        <v>0</v>
      </c>
      <c r="AH51" s="32">
        <f>Table21123[[#This Row],[Threes]]/($AA$47-Table21123[[#This Row],[Missed Games]])</f>
        <v>0</v>
      </c>
      <c r="AI51" s="32">
        <f>COUNTIF('2407'!V5,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</f>
        <v>0</v>
      </c>
      <c r="AB52" s="32">
        <f>'2407'!S6</f>
        <v>0</v>
      </c>
      <c r="AC52" s="32">
        <f>'2407'!T6</f>
        <v>0</v>
      </c>
      <c r="AD52" s="32">
        <f>'2407'!U6</f>
        <v>0</v>
      </c>
      <c r="AE52" s="32">
        <f>Table21123[[#This Row],[Points]]/($AA$47-Table21123[[#This Row],[Missed Games]])</f>
        <v>0</v>
      </c>
      <c r="AF52" s="32">
        <f>Table21123[[#This Row],[Finishes]]/($AA$47-Table21123[[#This Row],[Missed Games]])</f>
        <v>0</v>
      </c>
      <c r="AG52" s="32">
        <f>Table21123[[#This Row],[Midranges]]/($AA$47-Table21123[[#This Row],[Missed Games]])</f>
        <v>0</v>
      </c>
      <c r="AH52" s="32">
        <f>Table21123[[#This Row],[Threes]]/($AA$47-Table21123[[#This Row],[Missed Games]])</f>
        <v>0</v>
      </c>
      <c r="AI52" s="32">
        <f>COUNTIF('2407'!V6,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</f>
        <v>1</v>
      </c>
      <c r="AB53" s="32">
        <f>'2407'!S7</f>
        <v>0</v>
      </c>
      <c r="AC53" s="32">
        <f>'2407'!T7</f>
        <v>1</v>
      </c>
      <c r="AD53" s="32">
        <f>'2407'!U7</f>
        <v>0</v>
      </c>
      <c r="AE53" s="32">
        <f>Table21123[[#This Row],[Points]]/($AA$47-Table21123[[#This Row],[Missed Games]])</f>
        <v>1</v>
      </c>
      <c r="AF53" s="32">
        <f>Table21123[[#This Row],[Finishes]]/($AA$47-Table21123[[#This Row],[Missed Games]])</f>
        <v>0</v>
      </c>
      <c r="AG53" s="32">
        <f>Table21123[[#This Row],[Midranges]]/($AA$47-Table21123[[#This Row],[Missed Games]])</f>
        <v>1</v>
      </c>
      <c r="AH53" s="32">
        <f>Table21123[[#This Row],[Threes]]/($AA$47-Table21123[[#This Row],[Missed Games]])</f>
        <v>0</v>
      </c>
      <c r="AI53" s="32">
        <f>COUNTIF('2407'!V7, "TRUE")</f>
        <v>0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</f>
        <v>0</v>
      </c>
      <c r="AB54" s="32">
        <f>'2407'!S8</f>
        <v>0</v>
      </c>
      <c r="AC54" s="32">
        <f>'2407'!T8</f>
        <v>0</v>
      </c>
      <c r="AD54" s="32">
        <f>'2407'!U8</f>
        <v>0</v>
      </c>
      <c r="AE54" s="32">
        <f>Table21123[[#This Row],[Points]]/($AA$47-Table21123[[#This Row],[Missed Games]])</f>
        <v>0</v>
      </c>
      <c r="AF54" s="32">
        <f>Table21123[[#This Row],[Finishes]]/($AA$47-Table21123[[#This Row],[Missed Games]])</f>
        <v>0</v>
      </c>
      <c r="AG54" s="32">
        <f>Table21123[[#This Row],[Midranges]]/($AA$47-Table21123[[#This Row],[Missed Games]])</f>
        <v>0</v>
      </c>
      <c r="AH54" s="32">
        <f>Table21123[[#This Row],[Threes]]/($AA$47-Table21123[[#This Row],[Missed Games]])</f>
        <v>0</v>
      </c>
      <c r="AI54" s="32">
        <f>COUNTIF('2407'!V8,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0.84615384615384615</v>
      </c>
      <c r="V55" s="39">
        <f>'Statistics LG'!O42</f>
        <v>0.65384615384615385</v>
      </c>
      <c r="W55" s="39">
        <f>AVERAGE(U55:V55)</f>
        <v>0.75</v>
      </c>
      <c r="Z55" s="36" t="s">
        <v>93</v>
      </c>
      <c r="AA55" s="32">
        <f>'2407'!R9</f>
        <v>3</v>
      </c>
      <c r="AB55" s="32">
        <f>'2407'!S9</f>
        <v>2</v>
      </c>
      <c r="AC55" s="32">
        <f>'2407'!T9</f>
        <v>1</v>
      </c>
      <c r="AD55" s="32">
        <f>'2407'!U9</f>
        <v>0</v>
      </c>
      <c r="AE55" s="32">
        <f>Table21123[[#This Row],[Points]]/($AA$47-Table21123[[#This Row],[Missed Games]])</f>
        <v>3</v>
      </c>
      <c r="AF55" s="32">
        <f>Table21123[[#This Row],[Finishes]]/($AA$47-Table21123[[#This Row],[Missed Games]])</f>
        <v>2</v>
      </c>
      <c r="AG55" s="32">
        <f>Table21123[[#This Row],[Midranges]]/($AA$47-Table21123[[#This Row],[Missed Games]])</f>
        <v>1</v>
      </c>
      <c r="AH55" s="32">
        <f>Table21123[[#This Row],[Threes]]/($AA$47-Table21123[[#This Row],[Missed Games]])</f>
        <v>0</v>
      </c>
      <c r="AI55" s="32">
        <f>COUNTIF('2407'!V9,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0.15384615384615385</v>
      </c>
      <c r="U56" s="42" t="s">
        <v>131</v>
      </c>
      <c r="V56" s="39">
        <f>'Statistics WW'!L42</f>
        <v>0.5</v>
      </c>
      <c r="W56" s="39">
        <f>AVERAGE(T56:V56)</f>
        <v>0.32692307692307693</v>
      </c>
      <c r="Z56" s="49" t="s">
        <v>63</v>
      </c>
      <c r="AA56" s="32">
        <f>'2407'!R10</f>
        <v>0</v>
      </c>
      <c r="AB56" s="32">
        <f>'2407'!S10</f>
        <v>0</v>
      </c>
      <c r="AC56" s="32">
        <f>'2407'!T10</f>
        <v>0</v>
      </c>
      <c r="AD56" s="32">
        <f>'2407'!U10</f>
        <v>0</v>
      </c>
      <c r="AE56" s="32" t="e">
        <f>Table21123[[#This Row],[Points]]/($AA$47-Table21123[[#This Row],[Missed Games]])</f>
        <v>#DIV/0!</v>
      </c>
      <c r="AF56" s="32" t="e">
        <f>Table21123[[#This Row],[Finishes]]/($AA$47-Table21123[[#This Row],[Missed Games]])</f>
        <v>#DIV/0!</v>
      </c>
      <c r="AG56" s="32" t="e">
        <f>Table21123[[#This Row],[Midranges]]/($AA$47-Table21123[[#This Row],[Missed Games]])</f>
        <v>#DIV/0!</v>
      </c>
      <c r="AH56" s="32" t="e">
        <f>Table21123[[#This Row],[Threes]]/($AA$47-Table21123[[#This Row],[Missed Games]])</f>
        <v>#DIV/0!</v>
      </c>
      <c r="AI56" s="32">
        <f>COUNTIF('2407'!V10, "TRUE")</f>
        <v>1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0.34615384615384615</v>
      </c>
      <c r="U57" s="39">
        <f>1-V56</f>
        <v>0.5</v>
      </c>
      <c r="V57" s="42" t="s">
        <v>131</v>
      </c>
      <c r="W57" s="39">
        <f>AVERAGE(T57:V57)</f>
        <v>0.42307692307692307</v>
      </c>
      <c r="Z57" s="49" t="s">
        <v>66</v>
      </c>
      <c r="AA57" s="32">
        <f>'2407'!R11</f>
        <v>1</v>
      </c>
      <c r="AB57" s="32">
        <f>'2407'!S11</f>
        <v>0</v>
      </c>
      <c r="AC57" s="32">
        <f>'2407'!T11</f>
        <v>1</v>
      </c>
      <c r="AD57" s="32">
        <f>'2407'!U11</f>
        <v>0</v>
      </c>
      <c r="AE57" s="32">
        <f>Table21123[[#This Row],[Points]]/($AA$47-Table21123[[#This Row],[Missed Games]])</f>
        <v>1</v>
      </c>
      <c r="AF57" s="32">
        <f>Table21123[[#This Row],[Finishes]]/($AA$47-Table21123[[#This Row],[Missed Games]])</f>
        <v>0</v>
      </c>
      <c r="AG57" s="32">
        <f>Table21123[[#This Row],[Midranges]]/($AA$47-Table21123[[#This Row],[Missed Games]])</f>
        <v>1</v>
      </c>
      <c r="AH57" s="32">
        <f>Table21123[[#This Row],[Threes]]/($AA$47-Table21123[[#This Row],[Missed Games]])</f>
        <v>0</v>
      </c>
      <c r="AI57" s="32">
        <f>COUNTIF('2407'!V11,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</f>
        <v>2</v>
      </c>
      <c r="AB58" s="32">
        <f>'2407'!S12</f>
        <v>1</v>
      </c>
      <c r="AC58" s="32">
        <f>'2407'!T12</f>
        <v>1</v>
      </c>
      <c r="AD58" s="32">
        <f>'2407'!U12</f>
        <v>0</v>
      </c>
      <c r="AE58" s="32">
        <f>Table21123[[#This Row],[Points]]/($AA$47-Table21123[[#This Row],[Missed Games]])</f>
        <v>2</v>
      </c>
      <c r="AF58" s="32">
        <f>Table21123[[#This Row],[Finishes]]/($AA$47-Table21123[[#This Row],[Missed Games]])</f>
        <v>1</v>
      </c>
      <c r="AG58" s="32">
        <f>Table21123[[#This Row],[Midranges]]/($AA$47-Table21123[[#This Row],[Missed Games]])</f>
        <v>1</v>
      </c>
      <c r="AH58" s="32">
        <f>Table21123[[#This Row],[Threes]]/($AA$47-Table21123[[#This Row],[Missed Games]])</f>
        <v>0</v>
      </c>
      <c r="AI58" s="32">
        <f>COUNTIF('2407'!V12,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</f>
        <v>0</v>
      </c>
      <c r="AB59" s="32">
        <f>'2407'!S13</f>
        <v>0</v>
      </c>
      <c r="AC59" s="32">
        <f>'2407'!T13</f>
        <v>0</v>
      </c>
      <c r="AD59" s="32">
        <f>'2407'!U13</f>
        <v>0</v>
      </c>
      <c r="AE59" s="32">
        <f>Table21123[[#This Row],[Points]]/($AA$47-Table21123[[#This Row],[Missed Games]])</f>
        <v>0</v>
      </c>
      <c r="AF59" s="32">
        <f>Table21123[[#This Row],[Finishes]]/($AA$47-Table21123[[#This Row],[Missed Games]])</f>
        <v>0</v>
      </c>
      <c r="AG59" s="32">
        <f>Table21123[[#This Row],[Midranges]]/($AA$47-Table21123[[#This Row],[Missed Games]])</f>
        <v>0</v>
      </c>
      <c r="AH59" s="32">
        <f>Table21123[[#This Row],[Threes]]/($AA$47-Table21123[[#This Row],[Missed Games]])</f>
        <v>0</v>
      </c>
      <c r="AI59" s="32">
        <f>COUNTIF('2407'!V13,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</f>
        <v>0</v>
      </c>
      <c r="AB60" s="32">
        <f>'2407'!S14</f>
        <v>0</v>
      </c>
      <c r="AC60" s="32">
        <f>'2407'!T14</f>
        <v>0</v>
      </c>
      <c r="AD60" s="32">
        <f>'2407'!U14</f>
        <v>0</v>
      </c>
      <c r="AE60" s="32">
        <f>Table21123[[#This Row],[Points]]/($AA$47-Table21123[[#This Row],[Missed Games]])</f>
        <v>0</v>
      </c>
      <c r="AF60" s="32">
        <f>Table21123[[#This Row],[Finishes]]/($AA$47-Table21123[[#This Row],[Missed Games]])</f>
        <v>0</v>
      </c>
      <c r="AG60" s="32">
        <f>Table21123[[#This Row],[Midranges]]/($AA$47-Table21123[[#This Row],[Missed Games]])</f>
        <v>0</v>
      </c>
      <c r="AH60" s="32">
        <f>Table21123[[#This Row],[Threes]]/($AA$47-Table21123[[#This Row],[Missed Games]])</f>
        <v>0</v>
      </c>
      <c r="AI60" s="32">
        <f>COUNTIF('2407'!V14, "TRUE")</f>
        <v>0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</f>
        <v>0</v>
      </c>
      <c r="AB61" s="32">
        <f>'2407'!S15</f>
        <v>0</v>
      </c>
      <c r="AC61" s="32">
        <f>'2407'!T15</f>
        <v>0</v>
      </c>
      <c r="AD61" s="32">
        <f>'2407'!U15</f>
        <v>0</v>
      </c>
      <c r="AE61" s="32">
        <f>Table21123[[#This Row],[Points]]/($AA$47-Table21123[[#This Row],[Missed Games]])</f>
        <v>0</v>
      </c>
      <c r="AF61" s="32">
        <f>Table21123[[#This Row],[Finishes]]/($AA$47-Table21123[[#This Row],[Missed Games]])</f>
        <v>0</v>
      </c>
      <c r="AG61" s="32">
        <f>Table21123[[#This Row],[Midranges]]/($AA$47-Table21123[[#This Row],[Missed Games]])</f>
        <v>0</v>
      </c>
      <c r="AH61" s="32">
        <f>Table21123[[#This Row],[Threes]]/($AA$47-Table21123[[#This Row],[Missed Games]])</f>
        <v>0</v>
      </c>
      <c r="AI61" s="32">
        <f>COUNTIF('2407'!V15,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</f>
        <v>0</v>
      </c>
      <c r="AB62" s="32">
        <f>'2407'!S16</f>
        <v>0</v>
      </c>
      <c r="AC62" s="32">
        <f>'2407'!T16</f>
        <v>0</v>
      </c>
      <c r="AD62" s="32">
        <f>'2407'!U16</f>
        <v>0</v>
      </c>
      <c r="AE62" s="32">
        <f>Table21123[[#This Row],[Points]]/($AA$47-Table21123[[#This Row],[Missed Games]])</f>
        <v>0</v>
      </c>
      <c r="AF62" s="32">
        <f>Table21123[[#This Row],[Finishes]]/($AA$47-Table21123[[#This Row],[Missed Games]])</f>
        <v>0</v>
      </c>
      <c r="AG62" s="32">
        <f>Table21123[[#This Row],[Midranges]]/($AA$47-Table21123[[#This Row],[Missed Games]])</f>
        <v>0</v>
      </c>
      <c r="AH62" s="32">
        <f>Table21123[[#This Row],[Threes]]/($AA$47-Table21123[[#This Row],[Missed Games]])</f>
        <v>0</v>
      </c>
      <c r="AI62" s="32">
        <f>COUNTIF('2407'!V16,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</f>
        <v>0</v>
      </c>
      <c r="AB63" s="32">
        <f>'2407'!S17</f>
        <v>0</v>
      </c>
      <c r="AC63" s="32">
        <f>'2407'!T17</f>
        <v>0</v>
      </c>
      <c r="AD63" s="32">
        <f>'2407'!U17</f>
        <v>0</v>
      </c>
      <c r="AE63" s="32">
        <f>Table21123[[#This Row],[Points]]/($AA$47-Table21123[[#This Row],[Missed Games]])</f>
        <v>0</v>
      </c>
      <c r="AF63" s="32">
        <f>Table21123[[#This Row],[Finishes]]/($AA$47-Table21123[[#This Row],[Missed Games]])</f>
        <v>0</v>
      </c>
      <c r="AG63" s="32">
        <f>Table21123[[#This Row],[Midranges]]/($AA$47-Table21123[[#This Row],[Missed Games]])</f>
        <v>0</v>
      </c>
      <c r="AH63" s="32">
        <f>Table21123[[#This Row],[Threes]]/($AA$47-Table21123[[#This Row],[Missed Games]])</f>
        <v>0</v>
      </c>
      <c r="AI63" s="32">
        <f>COUNTIF('2407'!V17,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</f>
        <v>0</v>
      </c>
      <c r="AB64" s="32">
        <f>'2407'!S18</f>
        <v>0</v>
      </c>
      <c r="AC64" s="32">
        <f>'2407'!T18</f>
        <v>0</v>
      </c>
      <c r="AD64" s="32">
        <f>'2407'!U18</f>
        <v>0</v>
      </c>
      <c r="AE64" s="32">
        <f>Table21123[[#This Row],[Points]]/($AA$47-Table21123[[#This Row],[Missed Games]])</f>
        <v>0</v>
      </c>
      <c r="AF64" s="32">
        <f>Table21123[[#This Row],[Finishes]]/($AA$47-Table21123[[#This Row],[Missed Games]])</f>
        <v>0</v>
      </c>
      <c r="AG64" s="32">
        <f>Table21123[[#This Row],[Midranges]]/($AA$47-Table21123[[#This Row],[Missed Games]])</f>
        <v>0</v>
      </c>
      <c r="AH64" s="32">
        <f>Table21123[[#This Row],[Threes]]/($AA$47-Table21123[[#This Row],[Missed Games]])</f>
        <v>0</v>
      </c>
      <c r="AI64" s="32">
        <f>COUNTIF('2407'!V18,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</f>
        <v>0</v>
      </c>
      <c r="AB65" s="32">
        <f>'2407'!S19</f>
        <v>0</v>
      </c>
      <c r="AC65" s="32">
        <f>'2407'!T19</f>
        <v>0</v>
      </c>
      <c r="AD65" s="32">
        <f>'2407'!U19</f>
        <v>0</v>
      </c>
      <c r="AE65" s="32">
        <f>Table21123[[#This Row],[Points]]/($AA$47-Table21123[[#This Row],[Missed Games]])</f>
        <v>0</v>
      </c>
      <c r="AF65" s="32">
        <f>Table21123[[#This Row],[Finishes]]/($AA$47-Table21123[[#This Row],[Missed Games]])</f>
        <v>0</v>
      </c>
      <c r="AG65" s="32">
        <f>Table21123[[#This Row],[Midranges]]/($AA$47-Table21123[[#This Row],[Missed Games]])</f>
        <v>0</v>
      </c>
      <c r="AH65" s="32">
        <f>Table21123[[#This Row],[Threes]]/($AA$47-Table21123[[#This Row],[Missed Games]])</f>
        <v>0</v>
      </c>
      <c r="AI65" s="32">
        <f>COUNTIF('2407'!V19,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13</v>
      </c>
      <c r="U83" s="17">
        <f>U82+'Statistics WW'!D12</f>
        <v>7</v>
      </c>
      <c r="V83" s="17">
        <f>V82+'Statistics 5M'!D12</f>
        <v>10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13</v>
      </c>
      <c r="U84" s="17">
        <f>U83+'Statistics WW'!D13</f>
        <v>7</v>
      </c>
      <c r="V84" s="17">
        <f>V83+'Statistics 5M'!D13</f>
        <v>10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13</v>
      </c>
      <c r="U85" s="17">
        <f>U84+'Statistics WW'!D14</f>
        <v>7</v>
      </c>
      <c r="V85" s="17">
        <f>V84+'Statistics 5M'!D14</f>
        <v>10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>
        <f>T85+'Statistics LG'!D15</f>
        <v>13</v>
      </c>
      <c r="U86" s="17">
        <f>U85+'Statistics WW'!D15</f>
        <v>7</v>
      </c>
      <c r="V86" s="17">
        <f>V85+'Statistics 5M'!D15</f>
        <v>10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13</v>
      </c>
      <c r="U87" s="17">
        <f>U86+'Statistics WW'!D16</f>
        <v>7</v>
      </c>
      <c r="V87" s="17">
        <f>V86+'Statistics 5M'!D16</f>
        <v>10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13</v>
      </c>
      <c r="U88" s="17">
        <f>U87+'Statistics WW'!D17</f>
        <v>7</v>
      </c>
      <c r="V88" s="17">
        <f>V87+'Statistics 5M'!D17</f>
        <v>10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13</v>
      </c>
      <c r="U89" s="17">
        <f>U88+'Statistics WW'!D18</f>
        <v>7</v>
      </c>
      <c r="V89" s="17">
        <f>V88+'Statistics 5M'!D18</f>
        <v>10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13</v>
      </c>
      <c r="U90" s="17">
        <f>U89+'Statistics WW'!D19</f>
        <v>7</v>
      </c>
      <c r="V90" s="17">
        <f>V89+'Statistics 5M'!D19</f>
        <v>10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13</v>
      </c>
      <c r="U91" s="17">
        <f>U90+'Statistics WW'!D20</f>
        <v>7</v>
      </c>
      <c r="V91" s="17">
        <f>V90+'Statistics 5M'!D20</f>
        <v>10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13</v>
      </c>
      <c r="U92" s="17">
        <f>U91+'Statistics WW'!D21</f>
        <v>7</v>
      </c>
      <c r="V92" s="17">
        <f>V91+'Statistics 5M'!D21</f>
        <v>10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7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39</v>
      </c>
      <c r="I3" s="84">
        <f>SUM(C7:C40)</f>
        <v>13</v>
      </c>
      <c r="J3" s="81">
        <f>SUM(D7:D40)</f>
        <v>13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3.2</v>
      </c>
      <c r="U4" s="101">
        <f>'Stats Global'!AC22</f>
        <v>8</v>
      </c>
      <c r="V4" s="101">
        <f>'Stats Global'!AD22</f>
        <v>1.6</v>
      </c>
      <c r="W4" s="101">
        <f>'Stats Global'!AE22</f>
        <v>4</v>
      </c>
      <c r="X4" s="101">
        <f>'Stats Global'!AF22</f>
        <v>0.8</v>
      </c>
      <c r="Y4" s="101">
        <f>'Stats Global'!AG22</f>
        <v>2</v>
      </c>
      <c r="Z4" s="101">
        <f>'Stats Global'!AH22</f>
        <v>0.4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12</v>
      </c>
      <c r="T5" s="101">
        <f>'Stats Global'!AB16</f>
        <v>2.4</v>
      </c>
      <c r="U5" s="101">
        <f>'Stats Global'!AC16</f>
        <v>4</v>
      </c>
      <c r="V5" s="101">
        <f>'Stats Global'!AD16</f>
        <v>0.8</v>
      </c>
      <c r="W5" s="101">
        <f>'Stats Global'!AE16</f>
        <v>4</v>
      </c>
      <c r="X5" s="101">
        <f>'Stats Global'!AF16</f>
        <v>0.8</v>
      </c>
      <c r="Y5" s="101">
        <f>'Stats Global'!AG16</f>
        <v>2</v>
      </c>
      <c r="Z5" s="101">
        <f>'Stats Global'!AH16</f>
        <v>0.4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1.6</v>
      </c>
      <c r="U6" s="101">
        <f>'Stats Global'!AC21</f>
        <v>4</v>
      </c>
      <c r="V6" s="101">
        <f>'Stats Global'!AD21</f>
        <v>0.8</v>
      </c>
      <c r="W6" s="101">
        <f>'Stats Global'!AE21</f>
        <v>2</v>
      </c>
      <c r="X6" s="101">
        <f>'Stats Global'!AF21</f>
        <v>0.4</v>
      </c>
      <c r="Y6" s="101">
        <f>'Stats Global'!AG21</f>
        <v>1</v>
      </c>
      <c r="Z6" s="101">
        <f>'Stats Global'!AH21</f>
        <v>0.2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0.4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0.4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1.5</v>
      </c>
      <c r="U8" s="101">
        <f>'Stats Global'!AC9</f>
        <v>6</v>
      </c>
      <c r="V8" s="101">
        <f>'Stats Global'!AD9</f>
        <v>1.5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0.75</v>
      </c>
      <c r="J41" s="87"/>
      <c r="K41" s="84" t="s">
        <v>94</v>
      </c>
      <c r="L41" s="105">
        <f>SUM(L7:L40)</f>
        <v>22</v>
      </c>
      <c r="M41" s="105">
        <f>SUM(M7:M40)</f>
        <v>4</v>
      </c>
      <c r="N41" s="87"/>
      <c r="O41" s="105">
        <f>SUM(O7:O40)</f>
        <v>17</v>
      </c>
      <c r="P41" s="105">
        <f>SUM(P7:P40)</f>
        <v>9</v>
      </c>
    </row>
    <row r="42" spans="1:16" ht="14.25" customHeight="1" x14ac:dyDescent="0.45">
      <c r="L42" s="96">
        <f>L41/(M41+L41)</f>
        <v>0.84615384615384615</v>
      </c>
      <c r="O42" s="96">
        <f>O41/(P41+O41)</f>
        <v>0.65384615384615385</v>
      </c>
    </row>
    <row r="43" spans="1:16" ht="14.25" customHeight="1" x14ac:dyDescent="0.45">
      <c r="I43" s="97" t="str">
        <f>K43&amp;H3&amp;","&amp;I3&amp;"],"</f>
        <v>"PartA":[39,13],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8.8000000000000007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4.4000000000000004</v>
      </c>
    </row>
    <row r="45" spans="1:16" ht="14.25" customHeight="1" x14ac:dyDescent="0.45">
      <c r="I45" s="79" t="str">
        <f>K45&amp;O43&amp;","&amp;O44&amp;","&amp;O45&amp;","&amp;O46&amp;","&amp;O47&amp;","&amp;O48&amp;"],"</f>
        <v>"PartC":[8.8,4.4,2.4,1,7.8,2.6],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2.4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"PartD":[22,4,84.6,17,9,65.4],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7.8</v>
      </c>
    </row>
    <row r="48" spans="1:16" ht="14.25" customHeight="1" x14ac:dyDescent="0.45">
      <c r="O48" s="79">
        <f>ROUND(I3/'Stats Global'!AA6,1)</f>
        <v>2.6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1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10</v>
      </c>
      <c r="I4" s="84">
        <f>SUM(C7:C40)</f>
        <v>28</v>
      </c>
      <c r="J4" s="81">
        <f>SUM(D7:D40)</f>
        <v>7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</v>
      </c>
      <c r="R4" s="101">
        <f>'Stats Global'!AC11</f>
        <v>3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0.5</v>
      </c>
      <c r="R6" s="101">
        <f>'Stats Global'!AC13</f>
        <v>1</v>
      </c>
      <c r="S6" s="101">
        <f>'Stats Global'!AD13</f>
        <v>0.25</v>
      </c>
      <c r="T6" s="101">
        <f>'Stats Global'!AE13</f>
        <v>1</v>
      </c>
      <c r="U6" s="101">
        <f>'Stats Global'!AF13</f>
        <v>0.25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0.8</v>
      </c>
      <c r="R7" s="101">
        <f>'Stats Global'!AC18</f>
        <v>1</v>
      </c>
      <c r="S7" s="101">
        <f>'Stats Global'!AD18</f>
        <v>0.2</v>
      </c>
      <c r="T7" s="101">
        <f>'Stats Global'!AE18</f>
        <v>3</v>
      </c>
      <c r="U7" s="101">
        <f>'Stats Global'!AF18</f>
        <v>0.6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5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0.26315789473684209</v>
      </c>
      <c r="J41" s="87"/>
      <c r="K41" s="79" t="s">
        <v>94</v>
      </c>
      <c r="L41" s="105">
        <f>SUM(L7:L40)</f>
        <v>6</v>
      </c>
      <c r="M41" s="105">
        <f>SUM(M7:M40)</f>
        <v>6</v>
      </c>
      <c r="N41" s="87"/>
      <c r="O41" s="87"/>
      <c r="P41" s="58"/>
    </row>
    <row r="42" spans="1:16" ht="14.25" customHeight="1" x14ac:dyDescent="0.45">
      <c r="L42" s="96">
        <f>L41/(M41+L41)</f>
        <v>0.5</v>
      </c>
      <c r="P42" s="58"/>
    </row>
    <row r="43" spans="1:16" ht="14.25" customHeight="1" x14ac:dyDescent="0.45">
      <c r="J43" s="97" t="str">
        <f>L43&amp;H4&amp;","&amp;I4&amp;"],"</f>
        <v>"PartA":[10,28],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</v>
      </c>
    </row>
    <row r="45" spans="1:16" ht="14.25" customHeight="1" x14ac:dyDescent="0.45">
      <c r="J45" s="79" t="str">
        <f>L45&amp;P43&amp;","&amp;P44&amp;","&amp;P45&amp;","&amp;P46&amp;","&amp;P47&amp;","&amp;P48&amp;"],"</f>
        <v>"PartC":[2,1,1,0,2,5.6],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"PartD":[4,22,15.4,6,6,50],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</v>
      </c>
    </row>
    <row r="48" spans="1:16" ht="14.25" customHeight="1" x14ac:dyDescent="0.45">
      <c r="P48" s="79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1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15</v>
      </c>
      <c r="I4" s="84">
        <f>SUM(C7:C40)</f>
        <v>23</v>
      </c>
      <c r="J4" s="81">
        <f>SUM(D7:D40)</f>
        <v>10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8</v>
      </c>
      <c r="N5" s="101">
        <f>'Stats Global'!AB17</f>
        <v>1.6</v>
      </c>
      <c r="O5" s="101">
        <f>'Stats Global'!AC17</f>
        <v>1</v>
      </c>
      <c r="P5" s="101">
        <f>'Stats Global'!AD17</f>
        <v>0.2</v>
      </c>
      <c r="Q5" s="101">
        <f>'Stats Global'!AE17</f>
        <v>5</v>
      </c>
      <c r="R5" s="101">
        <f>'Stats Global'!AF17</f>
        <v>1</v>
      </c>
      <c r="S5" s="101">
        <f>'Stats Global'!AG17</f>
        <v>1</v>
      </c>
      <c r="T5" s="101">
        <f>'Stats Global'!AH17</f>
        <v>0.2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4</v>
      </c>
      <c r="N6" s="101">
        <f>'Stats Global'!AB10</f>
        <v>4</v>
      </c>
      <c r="O6" s="101">
        <f>'Stats Global'!AC10</f>
        <v>4</v>
      </c>
      <c r="P6" s="101">
        <f>'Stats Global'!AD10</f>
        <v>4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</v>
      </c>
      <c r="O7" s="101">
        <f>'Stats Global'!AC20</f>
        <v>1</v>
      </c>
      <c r="P7" s="101">
        <f>'Stats Global'!AD20</f>
        <v>0.2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3</v>
      </c>
      <c r="N8" s="101">
        <f>'Stats Global'!AB14</f>
        <v>0.6</v>
      </c>
      <c r="O8" s="101">
        <f>'Stats Global'!AC14</f>
        <v>2</v>
      </c>
      <c r="P8" s="101">
        <f>'Stats Global'!AD14</f>
        <v>0.4</v>
      </c>
      <c r="Q8" s="101">
        <f>'Stats Global'!AE14</f>
        <v>1</v>
      </c>
      <c r="R8" s="101">
        <f>'Stats Global'!AF14</f>
        <v>0.2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1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"PartA":[15,23],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3.2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"PartB":[8,"Samuel McConaghy",4,"Alexander Galt",5,"Samuel McConaghy",1,"Samuel McConaghy"],</v>
      </c>
      <c r="M33" s="79" t="s">
        <v>136</v>
      </c>
      <c r="O33" s="99">
        <f>MAX(Table11[Points])</f>
        <v>8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1.6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"PartC":[3.2,1.6,1.2,0.2,3,4.6],</v>
      </c>
      <c r="M34" s="79" t="s">
        <v>137</v>
      </c>
      <c r="O34" s="99">
        <f>MAX(Table11[Finishes])</f>
        <v>4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1.2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"PartD":[9,17,34.6,6,6,50],</v>
      </c>
      <c r="M35" s="79" t="s">
        <v>138</v>
      </c>
      <c r="O35" s="99">
        <f>MAX(Table11[Midranges])</f>
        <v>5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3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4.5999999999999996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0.39473684210526316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abSelected="1" topLeftCell="J1" zoomScale="79" workbookViewId="0">
      <selection activeCell="AC27" sqref="AC2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5"/>
      <c r="AC23" s="155"/>
      <c r="AD23" s="155"/>
      <c r="AE23" s="15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5"/>
      <c r="AD24" s="155"/>
      <c r="AE24" s="15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5"/>
      <c r="AD25" s="155"/>
      <c r="AE25" s="15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5"/>
      <c r="AD26" s="155"/>
      <c r="AE26" s="15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5"/>
      <c r="AD27" s="155"/>
      <c r="AE27" s="15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5"/>
      <c r="AD28" s="155"/>
      <c r="AE28" s="15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5"/>
      <c r="AD29" s="155"/>
      <c r="AE29" s="15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5"/>
      <c r="AD30" s="155"/>
      <c r="AE30" s="15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5"/>
      <c r="AD31" s="155"/>
      <c r="AE31" s="15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5"/>
      <c r="AD32" s="155"/>
      <c r="AE32" s="15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5"/>
      <c r="AD33" s="155"/>
      <c r="AE33" s="15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5"/>
      <c r="AD34" s="155"/>
      <c r="AE34" s="15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5"/>
      <c r="AD35" s="155"/>
      <c r="AE35" s="155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5"/>
      <c r="AD36" s="155"/>
      <c r="AE36" s="155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5"/>
      <c r="AD37" s="155"/>
      <c r="AE37" s="15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5"/>
      <c r="AD38" s="155"/>
      <c r="AE38" s="155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5"/>
      <c r="AD39" s="155"/>
      <c r="AE39" s="155"/>
    </row>
    <row r="40" spans="2:31" ht="14.25" customHeight="1" x14ac:dyDescent="0.45">
      <c r="B40" s="76"/>
      <c r="S40" s="9"/>
      <c r="T40" s="9"/>
      <c r="U40" s="9"/>
      <c r="AB40" s="138"/>
      <c r="AC40" s="155"/>
      <c r="AD40" s="155"/>
      <c r="AE40" s="155"/>
    </row>
    <row r="41" spans="2:31" ht="14.25" customHeight="1" x14ac:dyDescent="0.9">
      <c r="R41" s="102"/>
      <c r="S41" s="102"/>
      <c r="T41" s="153" t="s">
        <v>119</v>
      </c>
      <c r="U41" s="153"/>
      <c r="V41" s="153"/>
    </row>
    <row r="42" spans="2:31" ht="14.25" customHeight="1" x14ac:dyDescent="0.9">
      <c r="R42" s="102"/>
      <c r="S42" s="102"/>
      <c r="T42" s="153"/>
      <c r="U42" s="153"/>
      <c r="V42" s="153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LG</vt:lpstr>
      <vt:lpstr>Statistics WW</vt:lpstr>
      <vt:lpstr>Statistics 5M</vt:lpstr>
      <vt:lpstr>Template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2023-07-24T04:24:43Z</dcterms:modified>
</cp:coreProperties>
</file>