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6E6A5685-6D80-41C7-A205-7B0DBBC087D1}" xr6:coauthVersionLast="47" xr6:coauthVersionMax="47" xr10:uidLastSave="{00000000-0000-0000-0000-000000000000}"/>
  <bookViews>
    <workbookView xWindow="-98" yWindow="-98" windowWidth="22695" windowHeight="14595" firstSheet="2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0" i="3" l="1"/>
  <c r="AH31" i="3"/>
  <c r="AH32" i="3"/>
  <c r="AH33" i="3"/>
  <c r="AH34" i="3"/>
  <c r="AH35" i="3"/>
  <c r="AH36" i="3"/>
  <c r="AI36" i="3" s="1"/>
  <c r="AH37" i="3"/>
  <c r="W16" i="3" s="1"/>
  <c r="AH38" i="3"/>
  <c r="AH39" i="3"/>
  <c r="AH40" i="3"/>
  <c r="AH41" i="3"/>
  <c r="AH42" i="3"/>
  <c r="AH43" i="3"/>
  <c r="AH44" i="3"/>
  <c r="AI44" i="3" s="1"/>
  <c r="AH29" i="3"/>
  <c r="AF30" i="3"/>
  <c r="AF31" i="3"/>
  <c r="AF32" i="3"/>
  <c r="AF33" i="3"/>
  <c r="AF34" i="3"/>
  <c r="AF35" i="3"/>
  <c r="AF36" i="3"/>
  <c r="AF37" i="3"/>
  <c r="AG37" i="3" s="1"/>
  <c r="AF38" i="3"/>
  <c r="AF39" i="3"/>
  <c r="AF40" i="3"/>
  <c r="AF41" i="3"/>
  <c r="AF42" i="3"/>
  <c r="AF43" i="3"/>
  <c r="AF44" i="3"/>
  <c r="AF29" i="3"/>
  <c r="AD30" i="3"/>
  <c r="AD31" i="3"/>
  <c r="S10" i="3" s="1"/>
  <c r="AD32" i="3"/>
  <c r="AD33" i="3"/>
  <c r="AD34" i="3"/>
  <c r="AD35" i="3"/>
  <c r="AE35" i="3" s="1"/>
  <c r="AD36" i="3"/>
  <c r="AD37" i="3"/>
  <c r="S16" i="3" s="1"/>
  <c r="AD38" i="3"/>
  <c r="AD39" i="3"/>
  <c r="AD40" i="3"/>
  <c r="AD41" i="3"/>
  <c r="AD42" i="3"/>
  <c r="AD43" i="3"/>
  <c r="AD44" i="3"/>
  <c r="AD29" i="3"/>
  <c r="AB30" i="3"/>
  <c r="AB31" i="3"/>
  <c r="AB32" i="3"/>
  <c r="AB33" i="3"/>
  <c r="AB34" i="3"/>
  <c r="AB35" i="3"/>
  <c r="AB36" i="3"/>
  <c r="AB37" i="3"/>
  <c r="Q16" i="3" s="1"/>
  <c r="AB38" i="3"/>
  <c r="AB39" i="3"/>
  <c r="AB40" i="3"/>
  <c r="AB41" i="3"/>
  <c r="AB42" i="3"/>
  <c r="AB43" i="3"/>
  <c r="AB44" i="3"/>
  <c r="AB29" i="3"/>
  <c r="Q43" i="16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D18" i="16"/>
  <c r="AC18" i="16"/>
  <c r="Z18" i="16"/>
  <c r="Y18" i="16"/>
  <c r="X18" i="16"/>
  <c r="U18" i="16"/>
  <c r="U38" i="16" s="1"/>
  <c r="T18" i="16"/>
  <c r="T38" i="16" s="1"/>
  <c r="S18" i="16"/>
  <c r="S38" i="16" s="1"/>
  <c r="AE17" i="16"/>
  <c r="AD17" i="16"/>
  <c r="AC17" i="16"/>
  <c r="Z17" i="16"/>
  <c r="Y17" i="16"/>
  <c r="X17" i="16"/>
  <c r="U17" i="16"/>
  <c r="U37" i="16" s="1"/>
  <c r="T17" i="16"/>
  <c r="T37" i="16" s="1"/>
  <c r="S17" i="16"/>
  <c r="S37" i="16" s="1"/>
  <c r="AE16" i="16"/>
  <c r="AD16" i="16"/>
  <c r="AC16" i="16"/>
  <c r="Z16" i="16"/>
  <c r="Y16" i="16"/>
  <c r="X16" i="16"/>
  <c r="U16" i="16"/>
  <c r="U36" i="16" s="1"/>
  <c r="T16" i="16"/>
  <c r="T36" i="16" s="1"/>
  <c r="S16" i="16"/>
  <c r="S36" i="16" s="1"/>
  <c r="AE15" i="16"/>
  <c r="AD15" i="16"/>
  <c r="AC15" i="16"/>
  <c r="Z15" i="16"/>
  <c r="Y15" i="16"/>
  <c r="X15" i="16"/>
  <c r="U15" i="16"/>
  <c r="R15" i="16" s="1"/>
  <c r="T15" i="16"/>
  <c r="S15" i="16"/>
  <c r="AE14" i="16"/>
  <c r="AD14" i="16"/>
  <c r="AC14" i="16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D13" i="16"/>
  <c r="AC13" i="16"/>
  <c r="Z13" i="16"/>
  <c r="Y13" i="16"/>
  <c r="X13" i="16"/>
  <c r="U13" i="16"/>
  <c r="T13" i="16"/>
  <c r="S13" i="16"/>
  <c r="R13" i="16"/>
  <c r="AE12" i="16"/>
  <c r="AD12" i="16"/>
  <c r="AC12" i="16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D11" i="16"/>
  <c r="AC11" i="16"/>
  <c r="Z11" i="16"/>
  <c r="Y11" i="16"/>
  <c r="X11" i="16"/>
  <c r="U11" i="16"/>
  <c r="U31" i="16" s="1"/>
  <c r="T11" i="16"/>
  <c r="T31" i="16" s="1"/>
  <c r="S11" i="16"/>
  <c r="S31" i="16" s="1"/>
  <c r="AE10" i="16"/>
  <c r="AD10" i="16"/>
  <c r="AC10" i="16"/>
  <c r="Z10" i="16"/>
  <c r="Y10" i="16"/>
  <c r="X10" i="16"/>
  <c r="U10" i="16"/>
  <c r="U30" i="16" s="1"/>
  <c r="T10" i="16"/>
  <c r="T30" i="16" s="1"/>
  <c r="S10" i="16"/>
  <c r="S30" i="16" s="1"/>
  <c r="AE9" i="16"/>
  <c r="AD9" i="16"/>
  <c r="AC9" i="16"/>
  <c r="Z9" i="16"/>
  <c r="Y9" i="16"/>
  <c r="X9" i="16"/>
  <c r="U9" i="16"/>
  <c r="U29" i="16" s="1"/>
  <c r="T9" i="16"/>
  <c r="T29" i="16" s="1"/>
  <c r="S9" i="16"/>
  <c r="S29" i="16" s="1"/>
  <c r="AE8" i="16"/>
  <c r="AD8" i="16"/>
  <c r="AC8" i="16"/>
  <c r="Z8" i="16"/>
  <c r="Y8" i="16"/>
  <c r="X8" i="16"/>
  <c r="U8" i="16"/>
  <c r="R8" i="16" s="1"/>
  <c r="T8" i="16"/>
  <c r="S8" i="16"/>
  <c r="AE7" i="16"/>
  <c r="AD7" i="16"/>
  <c r="AC7" i="16"/>
  <c r="Z7" i="16"/>
  <c r="Y7" i="16"/>
  <c r="X7" i="16"/>
  <c r="U7" i="16"/>
  <c r="U27" i="16" s="1"/>
  <c r="T7" i="16"/>
  <c r="T27" i="16" s="1"/>
  <c r="S7" i="16"/>
  <c r="S27" i="16" s="1"/>
  <c r="R7" i="16"/>
  <c r="R27" i="16" s="1"/>
  <c r="AE6" i="16"/>
  <c r="AD6" i="16"/>
  <c r="AC6" i="16"/>
  <c r="Z6" i="16"/>
  <c r="Y6" i="16"/>
  <c r="X6" i="16"/>
  <c r="U6" i="16"/>
  <c r="R6" i="16" s="1"/>
  <c r="R26" i="16" s="1"/>
  <c r="T6" i="16"/>
  <c r="T26" i="16" s="1"/>
  <c r="S6" i="16"/>
  <c r="S26" i="16" s="1"/>
  <c r="AE5" i="16"/>
  <c r="AD5" i="16"/>
  <c r="AC5" i="16"/>
  <c r="Z5" i="16"/>
  <c r="Y5" i="16"/>
  <c r="X5" i="16"/>
  <c r="U5" i="16"/>
  <c r="R5" i="16" s="1"/>
  <c r="T5" i="16"/>
  <c r="S5" i="16"/>
  <c r="M5" i="16"/>
  <c r="L5" i="16"/>
  <c r="AE4" i="16"/>
  <c r="AD4" i="16"/>
  <c r="AC4" i="16"/>
  <c r="Z4" i="16"/>
  <c r="Y4" i="16"/>
  <c r="X4" i="16"/>
  <c r="U4" i="16"/>
  <c r="U24" i="16" s="1"/>
  <c r="T4" i="16"/>
  <c r="T24" i="16" s="1"/>
  <c r="S4" i="16"/>
  <c r="S24" i="16" s="1"/>
  <c r="M4" i="16"/>
  <c r="L4" i="16"/>
  <c r="AE3" i="16"/>
  <c r="AD3" i="16"/>
  <c r="AC3" i="16"/>
  <c r="U3" i="16"/>
  <c r="U23" i="16" s="1"/>
  <c r="T3" i="16"/>
  <c r="T23" i="16" s="1"/>
  <c r="S3" i="16"/>
  <c r="S23" i="16" s="1"/>
  <c r="R3" i="16"/>
  <c r="R23" i="16" s="1"/>
  <c r="M3" i="16"/>
  <c r="N3" i="16" s="1"/>
  <c r="L3" i="16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W8" i="3"/>
  <c r="W9" i="3"/>
  <c r="W10" i="3"/>
  <c r="W11" i="3"/>
  <c r="W12" i="3"/>
  <c r="W13" i="3"/>
  <c r="W14" i="3"/>
  <c r="W17" i="3"/>
  <c r="W18" i="3"/>
  <c r="W19" i="3"/>
  <c r="W20" i="3"/>
  <c r="W21" i="3"/>
  <c r="W22" i="3"/>
  <c r="U8" i="3"/>
  <c r="U9" i="3"/>
  <c r="U10" i="3"/>
  <c r="U11" i="3"/>
  <c r="U12" i="3"/>
  <c r="U13" i="3"/>
  <c r="U14" i="3"/>
  <c r="U15" i="3"/>
  <c r="U17" i="3"/>
  <c r="U18" i="3"/>
  <c r="U19" i="3"/>
  <c r="U20" i="3"/>
  <c r="U21" i="3"/>
  <c r="U22" i="3"/>
  <c r="U23" i="3"/>
  <c r="S8" i="3"/>
  <c r="S9" i="3"/>
  <c r="S11" i="3"/>
  <c r="S12" i="3"/>
  <c r="S13" i="3"/>
  <c r="S15" i="3"/>
  <c r="S17" i="3"/>
  <c r="S18" i="3"/>
  <c r="S19" i="3"/>
  <c r="S20" i="3"/>
  <c r="S21" i="3"/>
  <c r="S22" i="3"/>
  <c r="S23" i="3"/>
  <c r="Q8" i="3"/>
  <c r="Q9" i="3"/>
  <c r="Q10" i="3"/>
  <c r="Q11" i="3"/>
  <c r="Q12" i="3"/>
  <c r="Q13" i="3"/>
  <c r="Q14" i="3"/>
  <c r="Q15" i="3"/>
  <c r="Q17" i="3"/>
  <c r="Q18" i="3"/>
  <c r="Q19" i="3"/>
  <c r="Q20" i="3"/>
  <c r="Q21" i="3"/>
  <c r="Q22" i="3"/>
  <c r="Q23" i="3"/>
  <c r="Q5" i="3"/>
  <c r="AG44" i="3"/>
  <c r="AE44" i="3"/>
  <c r="AC44" i="3"/>
  <c r="AI43" i="3"/>
  <c r="AG43" i="3"/>
  <c r="AE43" i="3"/>
  <c r="AC43" i="3"/>
  <c r="AI42" i="3"/>
  <c r="AG42" i="3"/>
  <c r="AE42" i="3"/>
  <c r="AC42" i="3"/>
  <c r="AI41" i="3"/>
  <c r="AG41" i="3"/>
  <c r="AE41" i="3"/>
  <c r="AC41" i="3"/>
  <c r="AI40" i="3"/>
  <c r="AG40" i="3"/>
  <c r="AE40" i="3"/>
  <c r="AC40" i="3"/>
  <c r="AI39" i="3"/>
  <c r="AG39" i="3"/>
  <c r="AE39" i="3"/>
  <c r="AC39" i="3"/>
  <c r="AI38" i="3"/>
  <c r="AG38" i="3"/>
  <c r="AE38" i="3"/>
  <c r="AC38" i="3"/>
  <c r="AE37" i="3"/>
  <c r="AC37" i="3"/>
  <c r="AG36" i="3"/>
  <c r="AE36" i="3"/>
  <c r="AC36" i="3"/>
  <c r="AI35" i="3"/>
  <c r="AG35" i="3"/>
  <c r="AC35" i="3"/>
  <c r="AI34" i="3"/>
  <c r="AG34" i="3"/>
  <c r="AE34" i="3"/>
  <c r="AC34" i="3"/>
  <c r="AI33" i="3"/>
  <c r="AG33" i="3"/>
  <c r="AE33" i="3"/>
  <c r="AC33" i="3"/>
  <c r="AI32" i="3"/>
  <c r="AG32" i="3"/>
  <c r="AE32" i="3"/>
  <c r="AC32" i="3"/>
  <c r="AI31" i="3"/>
  <c r="AG31" i="3"/>
  <c r="AE31" i="3"/>
  <c r="AC31" i="3"/>
  <c r="AI30" i="3"/>
  <c r="AG30" i="3"/>
  <c r="AE30" i="3"/>
  <c r="AC30" i="3"/>
  <c r="AI29" i="3"/>
  <c r="AG29" i="3"/>
  <c r="AE29" i="3"/>
  <c r="AC29" i="3"/>
  <c r="C10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W23" i="3" l="1"/>
  <c r="W15" i="3"/>
  <c r="AI37" i="3"/>
  <c r="U16" i="3"/>
  <c r="S14" i="3"/>
  <c r="Q45" i="16"/>
  <c r="N5" i="16"/>
  <c r="R9" i="16"/>
  <c r="R29" i="16" s="1"/>
  <c r="R11" i="16"/>
  <c r="R31" i="16" s="1"/>
  <c r="R17" i="16"/>
  <c r="R37" i="16" s="1"/>
  <c r="N4" i="16"/>
  <c r="Q46" i="16"/>
  <c r="O3" i="16"/>
  <c r="O4" i="16"/>
  <c r="U26" i="16"/>
  <c r="U34" i="16"/>
  <c r="R4" i="16"/>
  <c r="R24" i="16" s="1"/>
  <c r="R10" i="16"/>
  <c r="R30" i="16" s="1"/>
  <c r="R18" i="16"/>
  <c r="R38" i="16" s="1"/>
  <c r="U32" i="16"/>
  <c r="Q47" i="16" s="1"/>
  <c r="R16" i="16"/>
  <c r="R36" i="16" s="1"/>
  <c r="Q44" i="16" l="1"/>
  <c r="O5" i="16"/>
  <c r="S36" i="6" l="1"/>
  <c r="S35" i="6"/>
  <c r="S34" i="6"/>
  <c r="S33" i="6"/>
  <c r="K35" i="6"/>
  <c r="U35" i="6"/>
  <c r="U34" i="6"/>
  <c r="U33" i="6"/>
  <c r="U37" i="6"/>
  <c r="U36" i="6"/>
  <c r="U32" i="6"/>
  <c r="K32" i="6"/>
  <c r="Q31" i="6"/>
  <c r="V34" i="4"/>
  <c r="T36" i="5"/>
  <c r="T35" i="5"/>
  <c r="T34" i="5"/>
  <c r="T33" i="5"/>
  <c r="V35" i="5"/>
  <c r="V34" i="5"/>
  <c r="V33" i="5"/>
  <c r="V37" i="5"/>
  <c r="V36" i="5"/>
  <c r="V32" i="5"/>
  <c r="L32" i="5"/>
  <c r="T36" i="4"/>
  <c r="U36" i="4" s="1"/>
  <c r="T34" i="4"/>
  <c r="U34" i="4" s="1"/>
  <c r="T33" i="4"/>
  <c r="U33" i="4" s="1"/>
  <c r="V37" i="4"/>
  <c r="V36" i="4"/>
  <c r="V35" i="4"/>
  <c r="V33" i="4"/>
  <c r="V32" i="4"/>
  <c r="L32" i="4"/>
  <c r="AI8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F10" i="3"/>
  <c r="D10" i="3"/>
  <c r="B10" i="3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G10" i="4" l="1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L34" i="4"/>
  <c r="K33" i="6"/>
  <c r="K34" i="6"/>
  <c r="T35" i="4"/>
  <c r="L33" i="5"/>
  <c r="L34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E10" i="3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I6" i="3"/>
  <c r="R16" i="10"/>
  <c r="R5" i="10"/>
  <c r="R3" i="10"/>
  <c r="R4" i="10"/>
  <c r="R15" i="10"/>
  <c r="I4" i="4"/>
  <c r="D6" i="3"/>
  <c r="F6" i="3"/>
  <c r="N4" i="8"/>
  <c r="N5" i="8"/>
  <c r="O5" i="8" s="1"/>
  <c r="D4" i="5" s="1"/>
  <c r="O4" i="8"/>
  <c r="D4" i="6" s="1"/>
  <c r="R30" i="5"/>
  <c r="H4" i="6"/>
  <c r="S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L35" i="5" l="1"/>
  <c r="S31" i="4"/>
  <c r="I54" i="3" s="1"/>
  <c r="L54" i="3" s="1"/>
  <c r="L35" i="4"/>
  <c r="L55" i="3"/>
  <c r="J53" i="3"/>
  <c r="L53" i="3" s="1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B13" i="3" l="1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N9" i="4"/>
  <c r="AO9" i="4" s="1"/>
  <c r="AN12" i="4"/>
  <c r="AO12" i="4" s="1"/>
  <c r="AN18" i="4"/>
  <c r="E13" i="2"/>
  <c r="E32" i="2" s="1"/>
  <c r="E18" i="2"/>
  <c r="E37" i="2" s="1"/>
  <c r="AN14" i="4"/>
  <c r="AO14" i="4" s="1"/>
  <c r="AN10" i="4"/>
  <c r="AN19" i="4"/>
  <c r="AN8" i="4"/>
  <c r="AO8" i="4" s="1"/>
  <c r="AN5" i="4"/>
  <c r="AO5" i="4" s="1"/>
  <c r="AN17" i="4"/>
  <c r="AO17" i="4" s="1"/>
  <c r="D13" i="2"/>
  <c r="AN11" i="4"/>
  <c r="AN7" i="4"/>
  <c r="AO7" i="4" s="1"/>
  <c r="AN13" i="4"/>
  <c r="AO13" i="4" s="1"/>
  <c r="AN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<sst xmlns="http://schemas.openxmlformats.org/spreadsheetml/2006/main" count="1727" uniqueCount="221">
  <si>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</si>
  <si>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</si>
  <si>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</si>
  <si>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</si>
  <si>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</si>
  <si>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</si>
  <si>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</si>
  <si>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</si>
  <si>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</si>
  <si>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</si>
  <si>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</si>
  <si>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</si>
  <si>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</si>
  <si>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</si>
  <si>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</si>
  <si>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</si>
  <si>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</si>
  <si>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</si>
  <si>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</si>
  <si>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</si>
  <si>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</si>
  <si>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</si>
  <si>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</si>
  <si>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</si>
  <si>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</si>
  <si>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</si>
  <si>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</si>
  <si>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</si>
  <si>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</si>
  <si>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</si>
  <si>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</si>
  <si>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</si>
  <si>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</si>
  <si>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</si>
  <si>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</si>
  <si>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</si>
  <si>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</si>
  <si>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</si>
  <si>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</si>
  <si>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</si>
  <si>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</si>
  <si>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</si>
  <si>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</si>
  <si>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</si>
  <si>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</si>
  <si>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</si>
  <si>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</si>
  <si>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</si>
  <si>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</si>
  <si>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</si>
  <si>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</si>
  <si>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</si>
  <si>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</si>
  <si>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</si>
  <si>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</si>
  <si>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</si>
  <si>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</si>
  <si>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</si>
  <si>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</si>
  <si>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</si>
  <si>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</si>
  <si>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</si>
  <si>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</si>
  <si>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</si>
  <si>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</si>
  <si>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</si>
  <si>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</si>
  <si>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</si>
  <si>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</si>
  <si>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</si>
  <si>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</si>
  <si>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</si>
  <si>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</si>
  <si>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</si>
  <si>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</si>
  <si>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</si>
  <si>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</si>
  <si>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</si>
  <si>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</si>
  <si>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</si>
  <si>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</si>
  <si>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</si>
  <si>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</si>
  <si>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</si>
  <si>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</si>
  <si>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</si>
  <si>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</si>
  <si>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</si>
  <si>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</si>
  <si>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</si>
  <si>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</si>
  <si>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</si>
  <si>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</si>
  <si>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</si>
  <si>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</si>
  <si>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</si>
  <si>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</si>
  <si>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</si>
  <si>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</si>
  <si>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</si>
  <si>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</si>
  <si>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</si>
  <si>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</si>
  <si>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</si>
  <si>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</si>
  <si>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</si>
  <si>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</si>
  <si>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</si>
  <si>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</si>
  <si>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</si>
  <si>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</si>
  <si>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</si>
  <si>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</si>
  <si>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</si>
  <si>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</si>
  <si>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</si>
  <si>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</si>
  <si>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</si>
  <si>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</si>
  <si>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</si>
  <si>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</si>
  <si>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</si>
  <si>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</si>
  <si>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</si>
  <si>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</si>
  <si>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</si>
  <si>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</si>
  <si>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</si>
  <si>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</si>
  <si>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</si>
  <si>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</si>
  <si>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</si>
  <si>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</si>
  <si>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</si>
  <si>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</si>
  <si>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</si>
  <si>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</si>
  <si>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</si>
  <si>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</si>
  <si>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</si>
  <si>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</si>
  <si>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</si>
  <si>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</si>
  <si>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</si>
  <si>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</si>
  <si>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</si>
  <si>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</si>
  <si>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</si>
  <si>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</si>
  <si>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</si>
  <si>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</si>
  <si>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</si>
  <si>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</si>
  <si>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</si>
  <si>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</si>
  <si>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</si>
  <si>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</si>
  <si>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</si>
  <si>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</si>
  <si>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</si>
  <si>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</si>
  <si>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</si>
  <si>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</si>
  <si>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</si>
  <si>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</si>
  <si>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</si>
  <si>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</si>
  <si>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</si>
  <si>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</si>
  <si>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</si>
  <si>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</si>
  <si>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</si>
  <si>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</si>
  <si>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</si>
  <si>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</si>
  <si>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</si>
  <si>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</si>
  <si>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</si>
  <si>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</si>
  <si>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</si>
  <si>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</si>
  <si>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</si>
  <si>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</si>
  <si>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</si>
  <si>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</si>
  <si>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</si>
  <si>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</si>
  <si>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</si>
  <si>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</si>
  <si>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</si>
  <si>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</si>
  <si>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</si>
  <si>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</si>
  <si>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</si>
  <si>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</si>
  <si>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</si>
  <si>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</si>
  <si>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</si>
  <si>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</si>
  <si>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</si>
  <si>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</si>
  <si>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</si>
  <si>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</si>
  <si>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</si>
  <si>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</si>
  <si>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</si>
  <si>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</si>
  <si>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</si>
  <si>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</si>
  <si>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</si>
  <si>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</si>
  <si>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</si>
  <si>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</si>
  <si>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</si>
  <si>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</si>
  <si>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</si>
  <si>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</si>
  <si>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</si>
  <si>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Lukas Johnston has had the biggest decrease in performance, down</t>
  </si>
  <si>
    <t>This Season</t>
  </si>
  <si>
    <t>Usage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</si>
</sst>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1"/>
    <xf numFmtId="9" fontId="3" fillId="0" borderId="0" applyFont="0" applyFill="0" applyBorder="0" applyAlignment="0" applyProtection="0"/>
  </cellStyleXfs>
  <cellXfs count="129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16" fontId="5" fillId="0" borderId="0" xfId="0" applyNumberFormat="1" applyFont="1"/>
    <xf numFmtId="0" fontId="6" fillId="0" borderId="0" xfId="0" applyFont="1"/>
    <xf numFmtId="0" fontId="5" fillId="0" borderId="1" xfId="0" applyFont="1" applyBorder="1"/>
    <xf numFmtId="2" fontId="5" fillId="0" borderId="0" xfId="0" applyNumberFormat="1" applyFont="1"/>
    <xf numFmtId="164" fontId="7" fillId="0" borderId="0" xfId="0" applyNumberFormat="1" applyFont="1"/>
    <xf numFmtId="0" fontId="6" fillId="0" borderId="0" xfId="0" applyFont="1" applyAlignment="1"/>
    <xf numFmtId="0" fontId="6" fillId="0" borderId="1" xfId="0" applyFont="1" applyBorder="1"/>
    <xf numFmtId="2" fontId="5" fillId="0" borderId="1" xfId="0" applyNumberFormat="1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5" fillId="2" borderId="1" xfId="0" applyFont="1" applyFill="1" applyBorder="1"/>
    <xf numFmtId="164" fontId="5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0" fontId="8" fillId="0" borderId="0" xfId="0" applyFont="1"/>
    <xf numFmtId="9" fontId="5" fillId="0" borderId="0" xfId="0" applyNumberFormat="1" applyFont="1"/>
    <xf numFmtId="10" fontId="5" fillId="0" borderId="0" xfId="0" applyNumberFormat="1" applyFont="1"/>
    <xf numFmtId="0" fontId="3" fillId="0" borderId="0" xfId="0" applyFont="1"/>
    <xf numFmtId="16" fontId="3" fillId="0" borderId="0" xfId="0" applyNumberFormat="1" applyFont="1"/>
    <xf numFmtId="16" fontId="3" fillId="0" borderId="0" xfId="0" applyNumberFormat="1" applyFont="1" applyAlignment="1"/>
    <xf numFmtId="1" fontId="3" fillId="0" borderId="0" xfId="0" applyNumberFormat="1" applyFont="1" applyAlignment="1"/>
    <xf numFmtId="0" fontId="3" fillId="3" borderId="0" xfId="0" applyFont="1" applyFill="1"/>
    <xf numFmtId="2" fontId="5" fillId="3" borderId="0" xfId="0" applyNumberFormat="1" applyFont="1" applyFill="1"/>
    <xf numFmtId="0" fontId="3" fillId="3" borderId="0" xfId="0" applyFont="1" applyFill="1" applyAlignment="1"/>
    <xf numFmtId="0" fontId="9" fillId="3" borderId="0" xfId="0" applyFont="1" applyFill="1"/>
    <xf numFmtId="0" fontId="9" fillId="0" borderId="0" xfId="0" applyFont="1"/>
    <xf numFmtId="0" fontId="9" fillId="0" borderId="0" xfId="0" applyFont="1" applyAlignment="1"/>
    <xf numFmtId="0" fontId="10" fillId="3" borderId="0" xfId="0" applyFont="1" applyFill="1" applyAlignment="1"/>
    <xf numFmtId="0" fontId="10" fillId="0" borderId="0" xfId="0" applyFont="1" applyAlignment="1"/>
    <xf numFmtId="16" fontId="0" fillId="0" borderId="0" xfId="0" applyNumberFormat="1" applyFont="1" applyAlignment="1"/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8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9" fillId="0" borderId="3" xfId="0" applyFont="1" applyFill="1" applyBorder="1"/>
    <xf numFmtId="0" fontId="9" fillId="0" borderId="4" xfId="0" applyFont="1" applyFill="1" applyBorder="1"/>
    <xf numFmtId="0" fontId="9" fillId="0" borderId="4" xfId="0" applyFont="1" applyFill="1" applyBorder="1" applyAlignment="1"/>
    <xf numFmtId="0" fontId="10" fillId="0" borderId="4" xfId="0" applyFont="1" applyFill="1" applyBorder="1" applyAlignment="1"/>
    <xf numFmtId="0" fontId="6" fillId="0" borderId="5" xfId="0" applyFont="1" applyFill="1" applyBorder="1"/>
    <xf numFmtId="0" fontId="13" fillId="0" borderId="1" xfId="1" applyNumberFormat="1"/>
    <xf numFmtId="0" fontId="5" fillId="4" borderId="1" xfId="0" applyFont="1" applyFill="1" applyBorder="1"/>
    <xf numFmtId="0" fontId="13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5" fillId="2" borderId="1" xfId="0" applyFont="1" applyFill="1" applyBorder="1"/>
    <xf numFmtId="0" fontId="15" fillId="0" borderId="0" xfId="0" applyFont="1"/>
    <xf numFmtId="9" fontId="0" fillId="0" borderId="0" xfId="2" applyFont="1" applyAlignment="1"/>
    <xf numFmtId="0" fontId="9" fillId="0" borderId="0" xfId="0" applyFont="1" applyFill="1"/>
    <xf numFmtId="0" fontId="9" fillId="0" borderId="0" xfId="0" applyFont="1" applyFill="1" applyAlignment="1"/>
    <xf numFmtId="0" fontId="10" fillId="0" borderId="0" xfId="0" applyFont="1" applyFill="1" applyAlignment="1"/>
    <xf numFmtId="1" fontId="0" fillId="0" borderId="0" xfId="0" quotePrefix="1" applyNumberFormat="1" applyFont="1" applyFill="1" applyAlignment="1"/>
    <xf numFmtId="2" fontId="5" fillId="0" borderId="0" xfId="0" applyNumberFormat="1" applyFont="1" applyFill="1"/>
    <xf numFmtId="1" fontId="3" fillId="0" borderId="0" xfId="0" applyNumberFormat="1" applyFont="1" applyFill="1" applyAlignment="1"/>
    <xf numFmtId="0" fontId="3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0" fillId="0" borderId="5" xfId="0" applyFont="1" applyFill="1" applyBorder="1" applyAlignment="1"/>
    <xf numFmtId="9" fontId="0" fillId="0" borderId="0" xfId="0" applyNumberFormat="1" applyFont="1" applyAlignment="1"/>
    <xf numFmtId="0" fontId="13" fillId="0" borderId="1" xfId="1" applyNumberFormat="1"/>
    <xf numFmtId="1" fontId="0" fillId="5" borderId="2" xfId="0" quotePrefix="1" applyNumberFormat="1" applyFont="1" applyFill="1" applyBorder="1" applyAlignment="1"/>
    <xf numFmtId="2" fontId="5" fillId="5" borderId="2" xfId="0" applyNumberFormat="1" applyFont="1" applyFill="1" applyBorder="1"/>
    <xf numFmtId="1" fontId="3" fillId="5" borderId="2" xfId="0" applyNumberFormat="1" applyFont="1" applyFill="1" applyBorder="1" applyAlignment="1"/>
    <xf numFmtId="0" fontId="3" fillId="5" borderId="2" xfId="0" applyFont="1" applyFill="1" applyBorder="1"/>
    <xf numFmtId="1" fontId="0" fillId="6" borderId="2" xfId="0" quotePrefix="1" applyNumberFormat="1" applyFont="1" applyFill="1" applyBorder="1" applyAlignment="1"/>
    <xf numFmtId="2" fontId="5" fillId="6" borderId="2" xfId="0" applyNumberFormat="1" applyFont="1" applyFill="1" applyBorder="1"/>
    <xf numFmtId="1" fontId="3" fillId="6" borderId="2" xfId="0" applyNumberFormat="1" applyFont="1" applyFill="1" applyBorder="1" applyAlignment="1"/>
    <xf numFmtId="0" fontId="3" fillId="6" borderId="2" xfId="0" applyFont="1" applyFill="1" applyBorder="1"/>
    <xf numFmtId="1" fontId="0" fillId="7" borderId="2" xfId="0" quotePrefix="1" applyNumberFormat="1" applyFont="1" applyFill="1" applyBorder="1" applyAlignment="1"/>
    <xf numFmtId="2" fontId="5" fillId="7" borderId="2" xfId="0" applyNumberFormat="1" applyFont="1" applyFill="1" applyBorder="1"/>
    <xf numFmtId="1" fontId="3" fillId="7" borderId="2" xfId="0" applyNumberFormat="1" applyFont="1" applyFill="1" applyBorder="1" applyAlignment="1"/>
    <xf numFmtId="0" fontId="3" fillId="7" borderId="2" xfId="0" applyFont="1" applyFill="1" applyBorder="1"/>
    <xf numFmtId="0" fontId="3" fillId="5" borderId="2" xfId="0" applyFont="1" applyFill="1" applyBorder="1" applyAlignment="1"/>
    <xf numFmtId="1" fontId="5" fillId="5" borderId="2" xfId="0" applyNumberFormat="1" applyFont="1" applyFill="1" applyBorder="1"/>
    <xf numFmtId="0" fontId="3" fillId="6" borderId="2" xfId="0" applyFont="1" applyFill="1" applyBorder="1" applyAlignment="1"/>
    <xf numFmtId="1" fontId="5" fillId="6" borderId="2" xfId="0" applyNumberFormat="1" applyFont="1" applyFill="1" applyBorder="1"/>
    <xf numFmtId="0" fontId="3" fillId="7" borderId="2" xfId="0" applyFont="1" applyFill="1" applyBorder="1" applyAlignment="1"/>
    <xf numFmtId="1" fontId="5" fillId="7" borderId="2" xfId="0" applyNumberFormat="1" applyFont="1" applyFill="1" applyBorder="1"/>
    <xf numFmtId="0" fontId="0" fillId="7" borderId="2" xfId="0" applyFont="1" applyFill="1" applyBorder="1" applyAlignment="1"/>
    <xf numFmtId="0" fontId="5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3" fillId="8" borderId="0" xfId="0" applyFont="1" applyFill="1" applyAlignment="1"/>
    <xf numFmtId="1" fontId="0" fillId="8" borderId="0" xfId="0" applyNumberFormat="1" applyFont="1" applyFill="1" applyAlignment="1"/>
    <xf numFmtId="2" fontId="5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5" fillId="8" borderId="0" xfId="0" applyNumberFormat="1" applyFont="1" applyFill="1"/>
    <xf numFmtId="1" fontId="3" fillId="8" borderId="0" xfId="0" applyNumberFormat="1" applyFont="1" applyFill="1" applyAlignment="1"/>
    <xf numFmtId="0" fontId="3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9" fillId="0" borderId="0" xfId="0" applyNumberFormat="1" applyFont="1" applyAlignment="1">
      <alignment vertical="center"/>
    </xf>
    <xf numFmtId="0" fontId="9" fillId="9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2" fillId="0" borderId="0" xfId="0" applyFont="1" applyAlignment="1"/>
    <xf numFmtId="0" fontId="13" fillId="0" borderId="1" xfId="1" applyNumberFormat="1"/>
    <xf numFmtId="0" fontId="0" fillId="10" borderId="0" xfId="0" applyFont="1" applyFill="1" applyAlignment="1"/>
    <xf numFmtId="2" fontId="3" fillId="0" borderId="0" xfId="0" applyNumberFormat="1" applyFont="1" applyFill="1"/>
    <xf numFmtId="2" fontId="3" fillId="8" borderId="0" xfId="0" applyNumberFormat="1" applyFont="1" applyFill="1"/>
    <xf numFmtId="2" fontId="0" fillId="0" borderId="0" xfId="0" applyNumberFormat="1" applyFont="1" applyFill="1" applyAlignment="1"/>
    <xf numFmtId="0" fontId="3" fillId="0" borderId="0" xfId="0" quotePrefix="1" applyFont="1"/>
    <xf numFmtId="0" fontId="15" fillId="0" borderId="1" xfId="0" applyFont="1" applyFill="1" applyBorder="1"/>
    <xf numFmtId="0" fontId="14" fillId="0" borderId="1" xfId="0" applyFont="1" applyBorder="1" applyAlignment="1">
      <alignment horizontal="center"/>
    </xf>
    <xf numFmtId="165" fontId="15" fillId="0" borderId="0" xfId="0" applyNumberFormat="1" applyFont="1"/>
    <xf numFmtId="0" fontId="1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0.49645390070921985</c:v>
                </c:pt>
                <c:pt idx="1">
                  <c:v>0.31205673758865249</c:v>
                </c:pt>
                <c:pt idx="2">
                  <c:v>0.19148936170212766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25" headerRowBorderDxfId="23" tableBorderDxfId="24" totalsRowBorderDxfId="22">
  <autoFilter ref="P7:AC23" xr:uid="{598ECA3B-99B4-4CAB-8F81-5D711AA5A7FC}"/>
  <tableColumns count="14">
    <tableColumn id="1" xr3:uid="{9B036617-5450-4894-9268-827D2E0914FF}" name="Scoring" dataDxfId="21"/>
    <tableColumn id="2" xr3:uid="{6662CE93-E9C4-47DE-9476-E46126825B0A}" name="Points" dataDxfId="4">
      <calculatedColumnFormula>Q29+Q48+Q67+AB29</calculatedColumnFormula>
    </tableColumn>
    <tableColumn id="3" xr3:uid="{8FDDFCB0-2692-4EB0-948C-7B877263B55B}" name="Average" dataDxfId="20">
      <calculatedColumnFormula>Table1[[#This Row],[Points]]/($Q$5-Table1[[#This Row],[Missed Games]])</calculatedColumnFormula>
    </tableColumn>
    <tableColumn id="4" xr3:uid="{CC3F9B31-1857-48FB-A18B-CBC82C117BF4}" name="Finishes" dataDxfId="3">
      <calculatedColumnFormula>S29+S48+S67+AD29</calculatedColumnFormula>
    </tableColumn>
    <tableColumn id="5" xr3:uid="{5F324C66-956D-4EDC-870F-8EDE96C328C8}" name="Averages" dataDxfId="19">
      <calculatedColumnFormula>Table1[[#This Row],[Finishes]]/($Q$5-Table1[[#This Row],[Missed Games]])</calculatedColumnFormula>
    </tableColumn>
    <tableColumn id="6" xr3:uid="{80C6E15E-675D-4F58-AA26-27226F1CE373}" name="Midranges" dataDxfId="2">
      <calculatedColumnFormula>U29+U48+U67+AF29</calculatedColumnFormula>
    </tableColumn>
    <tableColumn id="7" xr3:uid="{8E7E6B37-23A0-4556-8839-B9D7834E3E68}" name="Averages2" dataDxfId="18">
      <calculatedColumnFormula>Table1[[#This Row],[Midranges]]/($Q$5-Table1[[#This Row],[Missed Games]])</calculatedColumnFormula>
    </tableColumn>
    <tableColumn id="8" xr3:uid="{8B28715D-E310-4E1F-B9F0-F58F7C70E830}" name="Threes" dataDxfId="1">
      <calculatedColumnFormula>W29+W48+W67+AH29</calculatedColumnFormula>
    </tableColumn>
    <tableColumn id="9" xr3:uid="{E0C0BF1C-40E8-4137-8E0F-BB238D651DAE}" name="Averages3" dataDxfId="17">
      <calculatedColumnFormula>Table1[[#This Row],[Threes]]/($Q$5-Table1[[#This Row],[Missed Games]])</calculatedColumnFormula>
    </tableColumn>
    <tableColumn id="10" xr3:uid="{1C75F230-74E0-47EE-BF13-C22289FE0F87}" name="Team" dataDxfId="16"/>
    <tableColumn id="11" xr3:uid="{E167D7FA-56F9-4571-B292-FF3869585F59}" name="Missed Games" dataDxfId="0">
      <calculatedColumnFormula>Y29+Y48+Y67+AJ29</calculatedColumnFormula>
    </tableColumn>
    <tableColumn id="12" xr3:uid="{1E9F03B6-331B-4AEA-A1FF-6B0C39F44510}" name="Last Season" dataDxfId="7" dataCellStyle="Percent"/>
    <tableColumn id="13" xr3:uid="{070DA09E-0E42-4E75-A3F1-D53845D2080C}" name="This Season" dataDxfId="6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5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44" dataDxfId="43">
  <autoFilter ref="AC3:AL19" xr:uid="{587B90AE-8257-4DD1-B916-54A097BDCDB9}"/>
  <tableColumns count="10">
    <tableColumn id="1" xr3:uid="{9C18B4B0-9A37-408A-98B5-B414F029A26A}" name="Scoring" dataDxfId="42"/>
    <tableColumn id="2" xr3:uid="{CC6666B6-FDFB-4B1A-846E-17C28664C92E}" name="Points" dataDxfId="41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40">
      <calculatedColumnFormula>Table2[[#This Row],[Points]]/($AE$2-Table2[[#This Row],[DNP]])</calculatedColumnFormula>
    </tableColumn>
    <tableColumn id="4" xr3:uid="{FA85A798-E688-4A4F-A92F-2DD56D710025}" name="Finishes" dataDxfId="39">
      <calculatedColumnFormula>'2404'!AC3+'2604'!AC3+'0205'!AC3+'0305'!AC3+'0805'!AC3+'0905'!AC3+'1005'!AC3</calculatedColumnFormula>
    </tableColumn>
    <tableColumn id="5" xr3:uid="{14C722B6-CCC7-4AA5-A077-4781282133B0}" name="Avg F" dataDxfId="38">
      <calculatedColumnFormula>Table2[[#This Row],[Finishes]]/($AE$2-Table2[[#This Row],[DNP]])</calculatedColumnFormula>
    </tableColumn>
    <tableColumn id="6" xr3:uid="{1E54054E-9F21-4987-99FC-EF35338EC708}" name="Midranges" dataDxfId="37">
      <calculatedColumnFormula>'2404'!AD3+'2604'!AD3+'0205'!AD3+'0305'!AD3+'0805'!AD3+'0905'!AD3+'1005'!AD3</calculatedColumnFormula>
    </tableColumn>
    <tableColumn id="7" xr3:uid="{3BC984C2-EE5E-43C7-8014-7F0DA5F9EB7A}" name="Avg M" dataDxfId="36">
      <calculatedColumnFormula>Table2[[#This Row],[Midranges]]/($AE$2-Table2[[#This Row],[DNP]])</calculatedColumnFormula>
    </tableColumn>
    <tableColumn id="8" xr3:uid="{9FAC1FFA-039C-4124-88C5-1A3BE26F7F04}" name="Threes" dataDxfId="35">
      <calculatedColumnFormula>'2404'!AE3+'2604'!AE3+'0205'!AE3+'0305'!AE3+'0805'!AE3+'0905'!AE3+'1005'!AE3</calculatedColumnFormula>
    </tableColumn>
    <tableColumn id="9" xr3:uid="{44E19C86-A8F7-4165-82A8-E143251937CE}" name="Avg 3" dataDxfId="34">
      <calculatedColumnFormula>Table2[[#This Row],[Threes]]/($AE$2-Table2[[#This Row],[DNP]])</calculatedColumnFormula>
    </tableColumn>
    <tableColumn id="10" xr3:uid="{DA5CCBEE-C42A-4EE7-8A28-4BA362276422}" name="DNP" dataDxfId="33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workbookViewId="0">
      <selection activeCell="B37" sqref="B37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0.7142857142857143</v>
      </c>
      <c r="E3" s="1">
        <f>'Stats Global'!Q8</f>
        <v>5</v>
      </c>
      <c r="F3" s="14">
        <f>'Stats Global'!T8</f>
        <v>0.2857142857142857</v>
      </c>
      <c r="G3" s="24">
        <f>'Stats Global'!S8</f>
        <v>2</v>
      </c>
      <c r="H3" s="14">
        <f>'Stats Global'!V8</f>
        <v>0.42857142857142855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0.83333333333333337</v>
      </c>
      <c r="E4" s="24">
        <f>'Stats Global'!Q9</f>
        <v>5</v>
      </c>
      <c r="F4" s="14">
        <f>'Stats Global'!T9</f>
        <v>0.83333333333333337</v>
      </c>
      <c r="G4" s="24">
        <f>'Stats Global'!S9</f>
        <v>5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3.7142857142857144</v>
      </c>
      <c r="E6" s="24">
        <f>'Stats Global'!Q11</f>
        <v>26</v>
      </c>
      <c r="F6" s="14">
        <f>'Stats Global'!T11</f>
        <v>3.4285714285714284</v>
      </c>
      <c r="G6" s="24">
        <f>'Stats Global'!S11</f>
        <v>24</v>
      </c>
      <c r="H6" s="14">
        <f>'Stats Global'!V11</f>
        <v>0.2857142857142857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2.1428571428571428</v>
      </c>
      <c r="E7" s="24">
        <f>'Stats Global'!Q12</f>
        <v>15</v>
      </c>
      <c r="F7" s="14">
        <f>'Stats Global'!T12</f>
        <v>0.42857142857142855</v>
      </c>
      <c r="G7" s="24">
        <f>'Stats Global'!S12</f>
        <v>3</v>
      </c>
      <c r="H7" s="14">
        <f>'Stats Global'!V12</f>
        <v>1.7142857142857142</v>
      </c>
      <c r="I7" s="24">
        <f>'Stats Global'!U12</f>
        <v>12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1.2857142857142858</v>
      </c>
      <c r="E9" s="24">
        <f>'Stats Global'!Q14</f>
        <v>9</v>
      </c>
      <c r="F9" s="14">
        <f>'Stats Global'!T14</f>
        <v>0.2857142857142857</v>
      </c>
      <c r="G9" s="24">
        <f>'Stats Global'!S14</f>
        <v>2</v>
      </c>
      <c r="H9" s="14">
        <f>'Stats Global'!V14</f>
        <v>0.14285714285714285</v>
      </c>
      <c r="I9" s="24">
        <f>'Stats Global'!U14</f>
        <v>1</v>
      </c>
      <c r="J9" s="14">
        <f>'Stats Global'!X14</f>
        <v>0.42857142857142855</v>
      </c>
      <c r="K9" s="24">
        <f>'Stats Global'!W14</f>
        <v>3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1.8571428571428572</v>
      </c>
      <c r="E10" s="24">
        <f>'Stats Global'!Q15</f>
        <v>13</v>
      </c>
      <c r="F10" s="14">
        <f>'Stats Global'!T15</f>
        <v>0.7142857142857143</v>
      </c>
      <c r="G10" s="24">
        <f>'Stats Global'!S15</f>
        <v>5</v>
      </c>
      <c r="H10" s="14">
        <f>'Stats Global'!V15</f>
        <v>1.1428571428571428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2.6666666666666665</v>
      </c>
      <c r="E11" s="24">
        <f>'Stats Global'!Q16</f>
        <v>16</v>
      </c>
      <c r="F11" s="14">
        <f>'Stats Global'!T16</f>
        <v>0.5</v>
      </c>
      <c r="G11" s="24">
        <f>'Stats Global'!S16</f>
        <v>3</v>
      </c>
      <c r="H11" s="14">
        <f>'Stats Global'!V16</f>
        <v>2.1666666666666665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6</v>
      </c>
      <c r="F12" s="14">
        <f>'Stats Global'!T17</f>
        <v>0.14285714285714285</v>
      </c>
      <c r="G12" s="24">
        <f>'Stats Global'!S17</f>
        <v>1</v>
      </c>
      <c r="H12" s="14">
        <f>'Stats Global'!V17</f>
        <v>0.7142857142857143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0.7142857142857143</v>
      </c>
      <c r="E14" s="24">
        <f>'Stats Global'!Q19</f>
        <v>5</v>
      </c>
      <c r="F14" s="14">
        <f>'Stats Global'!T19</f>
        <v>0.42857142857142855</v>
      </c>
      <c r="G14" s="24">
        <f>'Stats Global'!S19</f>
        <v>3</v>
      </c>
      <c r="H14" s="14">
        <f>'Stats Global'!V19</f>
        <v>0.2857142857142857</v>
      </c>
      <c r="I14" s="24">
        <f>'Stats Global'!U19</f>
        <v>2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1</v>
      </c>
      <c r="F16" s="14">
        <f>'Stats Global'!T21</f>
        <v>0.14285714285714285</v>
      </c>
      <c r="G16" s="24">
        <f>'Stats Global'!S21</f>
        <v>1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0.5714285714285714</v>
      </c>
      <c r="E17" s="24">
        <f>'Stats Global'!Q22</f>
        <v>4</v>
      </c>
      <c r="F17" s="14">
        <f>'Stats Global'!T22</f>
        <v>0.42857142857142855</v>
      </c>
      <c r="G17" s="24">
        <f>'Stats Global'!S22</f>
        <v>3</v>
      </c>
      <c r="H17" s="14">
        <f>'Stats Global'!V22</f>
        <v>0.14285714285714285</v>
      </c>
      <c r="I17" s="24">
        <f>'Stats Global'!U22</f>
        <v>1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0.42857142857142855</v>
      </c>
      <c r="E18" s="24">
        <f>'Stats Global'!Q23</f>
        <v>3</v>
      </c>
      <c r="F18" s="14">
        <f>'Stats Global'!T23</f>
        <v>0.42857142857142855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20" t="s">
        <v>159</v>
      </c>
      <c r="M20" s="120"/>
      <c r="N20" s="120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20"/>
      <c r="M21" s="120"/>
      <c r="N21" s="120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"0.71",</v>
      </c>
      <c r="E22" s="41" t="str">
        <f t="shared" ref="E22:K22" si="2">CHAR(34)&amp;E3&amp;CHAR(34)&amp;","</f>
        <v>"5",</v>
      </c>
      <c r="F22" s="41" t="str">
        <f>CHAR(34)&amp;ROUND(F3,2)&amp;CHAR(34)&amp;","</f>
        <v>"0.29",</v>
      </c>
      <c r="G22" s="41" t="str">
        <f t="shared" si="2"/>
        <v>"2",</v>
      </c>
      <c r="H22" s="41" t="str">
        <f>CHAR(34)&amp;ROUND(H3,2)&amp;CHAR(34)&amp;","</f>
        <v>"0.43",</v>
      </c>
      <c r="I22" s="41" t="str">
        <f t="shared" si="2"/>
        <v>"3",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"PPG":["0.71","0.83","2.6","3.71","2.14","0.75","1.29","1.86","2.67","0.86","1.4","0.71","3.5","0.14","0.57","0.43",],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"0.83",</v>
      </c>
      <c r="E23" s="41" t="str">
        <f t="shared" ref="E23:K23" si="4">CHAR(34)&amp;E4&amp;CHAR(34)&amp;","</f>
        <v>"5",</v>
      </c>
      <c r="F23" s="41" t="str">
        <f t="shared" ref="F23:F37" si="5">CHAR(34)&amp;ROUND(F4,2)&amp;CHAR(34)&amp;","</f>
        <v>"0.83",</v>
      </c>
      <c r="G23" s="41" t="str">
        <f t="shared" si="4"/>
        <v>"5",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"TP":["5","5","13","26","15","3","9","13","16","6","7","5","14","1","4","3"],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"FPG":["0.29","0.83","2.6","3.43","0.43","0.5","0.29","0.71","0.5","0.14","1.4","0.43","2.5","0.14","0.43","0.43",],</v>
      </c>
      <c r="X24" s="40" t="s">
        <v>107</v>
      </c>
    </row>
    <row r="25" spans="2:24" ht="14.25" customHeight="1" x14ac:dyDescent="0.45">
      <c r="D25" s="41" t="str">
        <f t="shared" si="3"/>
        <v>"3.71",</v>
      </c>
      <c r="E25" s="41" t="str">
        <f t="shared" ref="E25:K25" si="9">CHAR(34)&amp;E6&amp;CHAR(34)&amp;","</f>
        <v>"26",</v>
      </c>
      <c r="F25" s="41" t="str">
        <f t="shared" si="5"/>
        <v>"3.43",</v>
      </c>
      <c r="G25" s="41" t="str">
        <f t="shared" si="9"/>
        <v>"24",</v>
      </c>
      <c r="H25" s="41" t="str">
        <f t="shared" si="6"/>
        <v>"0.29",</v>
      </c>
      <c r="I25" s="41" t="str">
        <f t="shared" si="9"/>
        <v>"2",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"TF":["2","5","13","24","3","2","2","5","3","1","7","3","10","1","3","3"],</v>
      </c>
    </row>
    <row r="26" spans="2:24" ht="14.25" customHeight="1" x14ac:dyDescent="0.45">
      <c r="D26" s="41" t="str">
        <f t="shared" si="3"/>
        <v>"2.14",</v>
      </c>
      <c r="E26" s="41" t="str">
        <f t="shared" ref="E26:K26" si="10">CHAR(34)&amp;E7&amp;CHAR(34)&amp;","</f>
        <v>"15",</v>
      </c>
      <c r="F26" s="41" t="str">
        <f t="shared" si="5"/>
        <v>"0.43",</v>
      </c>
      <c r="G26" s="41" t="str">
        <f t="shared" si="10"/>
        <v>"3",</v>
      </c>
      <c r="H26" s="41" t="str">
        <f t="shared" si="6"/>
        <v>"1.71",</v>
      </c>
      <c r="I26" s="41" t="str">
        <f t="shared" si="10"/>
        <v>"12",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"MPG":["0.43","0","0","0.29","1.71","0.25","0.14","1.14","2.17","0.71","0","0.29","0","0","0.14","0",],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"TM":["3","0","0","2","12","1","1","8","13","5","0","2","0","0","1","0"],</v>
      </c>
    </row>
    <row r="28" spans="2:24" ht="14.25" customHeight="1" x14ac:dyDescent="0.45">
      <c r="D28" s="41" t="str">
        <f t="shared" si="3"/>
        <v>"1.29",</v>
      </c>
      <c r="E28" s="41" t="str">
        <f t="shared" ref="E28:K28" si="12">CHAR(34)&amp;E9&amp;CHAR(34)&amp;","</f>
        <v>"9",</v>
      </c>
      <c r="F28" s="41" t="str">
        <f t="shared" si="5"/>
        <v>"0.29",</v>
      </c>
      <c r="G28" s="41" t="str">
        <f t="shared" si="12"/>
        <v>"2",</v>
      </c>
      <c r="H28" s="41" t="str">
        <f t="shared" si="6"/>
        <v>"0.14",</v>
      </c>
      <c r="I28" s="41" t="str">
        <f t="shared" si="12"/>
        <v>"1",</v>
      </c>
      <c r="J28" s="41" t="str">
        <f t="shared" si="7"/>
        <v>"0.43",</v>
      </c>
      <c r="K28" s="41" t="str">
        <f t="shared" si="12"/>
        <v>"3",</v>
      </c>
      <c r="L28" t="str">
        <f>J21&amp;":["&amp;J22&amp;J23&amp;J24&amp;J25&amp;J26&amp;J27&amp;J28&amp;J29&amp;J30&amp;J31&amp;J32&amp;J33&amp;J34&amp;J35&amp;J36&amp;J37&amp;"],"</f>
        <v>"TPG":["0","0","0","0","0","0","0.43","0","0","0","0","0","0.5","0","0","0",],</v>
      </c>
    </row>
    <row r="29" spans="2:24" ht="14.25" customHeight="1" x14ac:dyDescent="0.45">
      <c r="D29" s="41" t="str">
        <f t="shared" si="3"/>
        <v>"1.86",</v>
      </c>
      <c r="E29" s="41" t="str">
        <f t="shared" ref="E29:K29" si="13">CHAR(34)&amp;E10&amp;CHAR(34)&amp;","</f>
        <v>"13",</v>
      </c>
      <c r="F29" s="41" t="str">
        <f t="shared" si="5"/>
        <v>"0.71",</v>
      </c>
      <c r="G29" s="41" t="str">
        <f t="shared" si="13"/>
        <v>"5",</v>
      </c>
      <c r="H29" s="41" t="str">
        <f t="shared" si="6"/>
        <v>"1.14",</v>
      </c>
      <c r="I29" s="41" t="str">
        <f t="shared" si="13"/>
        <v>"8",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"TT":["0","0","0","0","0","0","3","0","0","0","0","0","2","0","0","0"],</v>
      </c>
    </row>
    <row r="30" spans="2:24" ht="14.25" customHeight="1" x14ac:dyDescent="0.45">
      <c r="C30" s="41"/>
      <c r="D30" s="41" t="str">
        <f t="shared" si="3"/>
        <v>"2.67",</v>
      </c>
      <c r="E30" s="41" t="str">
        <f t="shared" ref="E30:K30" si="14">CHAR(34)&amp;E11&amp;CHAR(34)&amp;","</f>
        <v>"16",</v>
      </c>
      <c r="F30" s="41" t="str">
        <f t="shared" si="5"/>
        <v>"0.5",</v>
      </c>
      <c r="G30" s="41" t="str">
        <f t="shared" si="14"/>
        <v>"3",</v>
      </c>
      <c r="H30" s="41" t="str">
        <f t="shared" si="6"/>
        <v>"2.17",</v>
      </c>
      <c r="I30" s="41" t="str">
        <f t="shared" si="14"/>
        <v>"13",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"0.86",</v>
      </c>
      <c r="E31" s="41" t="str">
        <f t="shared" ref="E31:K31" si="15">CHAR(34)&amp;E12&amp;CHAR(34)&amp;","</f>
        <v>"6",</v>
      </c>
      <c r="F31" s="41" t="str">
        <f t="shared" si="5"/>
        <v>"0.14",</v>
      </c>
      <c r="G31" s="41" t="str">
        <f t="shared" si="15"/>
        <v>"1",</v>
      </c>
      <c r="H31" s="41" t="str">
        <f t="shared" si="6"/>
        <v>"0.71",</v>
      </c>
      <c r="I31" s="41" t="str">
        <f t="shared" si="15"/>
        <v>"5",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"1.4",</v>
      </c>
      <c r="E32" s="41" t="str">
        <f t="shared" ref="E32:K32" si="16">CHAR(34)&amp;E13&amp;CHAR(34)&amp;","</f>
        <v>"7",</v>
      </c>
      <c r="F32" s="41" t="str">
        <f t="shared" si="5"/>
        <v>"1.4",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"0.71",</v>
      </c>
      <c r="E33" s="41" t="str">
        <f t="shared" ref="E33:K33" si="17">CHAR(34)&amp;E14&amp;CHAR(34)&amp;","</f>
        <v>"5",</v>
      </c>
      <c r="F33" s="41" t="str">
        <f t="shared" si="5"/>
        <v>"0.43",</v>
      </c>
      <c r="G33" s="41" t="str">
        <f t="shared" si="17"/>
        <v>"3",</v>
      </c>
      <c r="H33" s="41" t="str">
        <f t="shared" si="6"/>
        <v>"0.29",</v>
      </c>
      <c r="I33" s="41" t="str">
        <f t="shared" si="17"/>
        <v>"2",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"0.5",</v>
      </c>
      <c r="K34" s="41" t="str">
        <f t="shared" si="18"/>
        <v>"2",</v>
      </c>
    </row>
    <row r="35" spans="3:11" ht="14.25" customHeight="1" x14ac:dyDescent="0.45">
      <c r="C35" s="41"/>
      <c r="D35" s="41" t="str">
        <f t="shared" si="3"/>
        <v>"0.14",</v>
      </c>
      <c r="E35" s="41" t="str">
        <f t="shared" ref="E35:K35" si="19">CHAR(34)&amp;E16&amp;CHAR(34)&amp;","</f>
        <v>"1",</v>
      </c>
      <c r="F35" s="41" t="str">
        <f t="shared" si="5"/>
        <v>"0.14",</v>
      </c>
      <c r="G35" s="41" t="str">
        <f t="shared" si="19"/>
        <v>"1",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"0.57",</v>
      </c>
      <c r="E36" s="41" t="str">
        <f t="shared" ref="E36:K36" si="20">CHAR(34)&amp;E17&amp;CHAR(34)&amp;","</f>
        <v>"4",</v>
      </c>
      <c r="F36" s="41" t="str">
        <f t="shared" si="5"/>
        <v>"0.43",</v>
      </c>
      <c r="G36" s="41" t="str">
        <f t="shared" si="20"/>
        <v>"3",</v>
      </c>
      <c r="H36" s="41" t="str">
        <f t="shared" si="6"/>
        <v>"0.14",</v>
      </c>
      <c r="I36" s="41" t="str">
        <f t="shared" si="20"/>
        <v>"1",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"0.43",</v>
      </c>
      <c r="E37" s="41" t="str">
        <f t="shared" ref="E37:K37" si="21">CHAR(34)&amp;E18&amp;CHAR(34)</f>
        <v>"3"</v>
      </c>
      <c r="F37" s="41" t="str">
        <f t="shared" si="5"/>
        <v>"0.43",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zoomScale="40" zoomScaleNormal="40" workbookViewId="0">
      <selection activeCell="AE6" sqref="AE6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7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20.142857142857142</v>
      </c>
      <c r="J6" s="1">
        <f t="shared" si="1"/>
        <v>10</v>
      </c>
      <c r="K6" s="1">
        <f t="shared" si="1"/>
        <v>6.2857142857142856</v>
      </c>
      <c r="L6" s="1">
        <f t="shared" si="1"/>
        <v>3.8571428571428572</v>
      </c>
      <c r="AA6" s="33" t="s">
        <v>220</v>
      </c>
      <c r="AB6" s="33"/>
      <c r="AE6" s="121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0.49645390070921985</v>
      </c>
      <c r="K7" s="8">
        <f t="shared" si="2"/>
        <v>0.31205673758865249</v>
      </c>
      <c r="L7" s="8">
        <f t="shared" si="2"/>
        <v>0.19148936170212766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A7" s="48" t="s">
        <v>179</v>
      </c>
      <c r="AB7" s="48" t="s">
        <v>219</v>
      </c>
      <c r="AC7" s="48" t="s">
        <v>180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0.7142857142857143</v>
      </c>
      <c r="S8" s="72">
        <f t="shared" ref="S8:S23" si="4">S29+S48+S67+AD29</f>
        <v>2</v>
      </c>
      <c r="T8" s="73">
        <f>Table1[[#This Row],[Finishes]]/($Q$5-Table1[[#This Row],[Missed Games]])</f>
        <v>0.2857142857142857</v>
      </c>
      <c r="U8" s="72">
        <f t="shared" ref="U8:U23" si="5">U29+U48+U67+AF29</f>
        <v>3</v>
      </c>
      <c r="V8" s="73">
        <f>Table1[[#This Row],[Midranges]]/($Q$5-Table1[[#This Row],[Missed Games]])</f>
        <v>0.42857142857142855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5">
        <f>1.5564%*1.007842</f>
        <v>1.5686052887999999E-2</v>
      </c>
      <c r="AB8" s="125">
        <f>(Table1[[#This Row],[Averages]]+Table1[[#This Row],[Averages2]]+Table1[[#This Row],[Averages3]])/SUM(Table1[Averages],Table1[Averages2],Table1[Averages3])</f>
        <v>3.072196620583717E-2</v>
      </c>
      <c r="AC8" s="126">
        <f>AB8-AA8</f>
        <v>1.5035913317837171E-2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5</v>
      </c>
      <c r="R9" s="75">
        <f>Table1[[#This Row],[Points]]/($Q$5-Table1[[#This Row],[Missed Games]])</f>
        <v>0.83333333333333337</v>
      </c>
      <c r="S9" s="76">
        <f t="shared" si="4"/>
        <v>5</v>
      </c>
      <c r="T9" s="77">
        <f>Table1[[#This Row],[Finishes]]/($Q$5-Table1[[#This Row],[Missed Games]])</f>
        <v>0.83333333333333337</v>
      </c>
      <c r="U9" s="76">
        <f t="shared" si="5"/>
        <v>0</v>
      </c>
      <c r="V9" s="77">
        <f>Table1[[#This Row],[Midranges]]/($Q$5-Table1[[#This Row],[Missed Games]])</f>
        <v>0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7">
        <f>1.007842*2.7237%</f>
        <v>2.7450592553999998E-2</v>
      </c>
      <c r="AB9" s="127">
        <f>(Table1[[#This Row],[Averages]]+Table1[[#This Row],[Averages2]]+Table1[[#This Row],[Averages3]])/SUM(Table1[Averages],Table1[Averages2],Table1[Averages3])</f>
        <v>3.5842293906810034E-2</v>
      </c>
      <c r="AC9" s="126">
        <f>AB9-AA9</f>
        <v>8.3917013528100361E-3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2</v>
      </c>
      <c r="AA10" s="125">
        <f>1.007842*12.0623%</f>
        <v>0.12156892556599999</v>
      </c>
      <c r="AB10" s="125">
        <f>(Table1[[#This Row],[Averages]]+Table1[[#This Row],[Averages2]]+Table1[[#This Row],[Averages3]])/SUM(Table1[Averages],Table1[Averages2],Table1[Averages3])</f>
        <v>0.11182795698924732</v>
      </c>
      <c r="AC10" s="126">
        <f>AB10-AA10</f>
        <v>-9.740968576752676E-3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8">C11-D11-F11</f>
        <v>10</v>
      </c>
      <c r="F11" s="3">
        <f>MIN('1005'!$L$3:$L$5)</f>
        <v>3</v>
      </c>
      <c r="P11" s="84" t="s">
        <v>65</v>
      </c>
      <c r="Q11" s="74">
        <f t="shared" si="3"/>
        <v>26</v>
      </c>
      <c r="R11" s="75">
        <f>Table1[[#This Row],[Points]]/($Q$5-Table1[[#This Row],[Missed Games]])</f>
        <v>3.7142857142857144</v>
      </c>
      <c r="S11" s="76">
        <f t="shared" si="4"/>
        <v>24</v>
      </c>
      <c r="T11" s="77">
        <f>Table1[[#This Row],[Finishes]]/($Q$5-Table1[[#This Row],[Missed Games]])</f>
        <v>3.4285714285714284</v>
      </c>
      <c r="U11" s="76">
        <f t="shared" si="5"/>
        <v>2</v>
      </c>
      <c r="V11" s="77">
        <f>Table1[[#This Row],[Midranges]]/($Q$5-Table1[[#This Row],[Missed Games]])</f>
        <v>0.2857142857142857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7">
        <f>1.007842*12.4514%</f>
        <v>0.12549043878799998</v>
      </c>
      <c r="AB11" s="127">
        <f>(Table1[[#This Row],[Averages]]+Table1[[#This Row],[Averages2]]+Table1[[#This Row],[Averages3]])/SUM(Table1[Averages],Table1[Averages2],Table1[Averages3])</f>
        <v>0.1597542242703533</v>
      </c>
      <c r="AC11" s="126">
        <f>AB11-AA11</f>
        <v>3.4263785482353315E-2</v>
      </c>
      <c r="AE11" s="66"/>
      <c r="AI11" s="68"/>
      <c r="AJ11" s="6"/>
      <c r="AK11" s="6"/>
      <c r="AL11" s="11"/>
    </row>
    <row r="12" spans="2:38" ht="14.25" customHeight="1" x14ac:dyDescent="0.45">
      <c r="B12" s="4"/>
      <c r="P12" s="84" t="s">
        <v>68</v>
      </c>
      <c r="Q12" s="74">
        <f t="shared" si="3"/>
        <v>15</v>
      </c>
      <c r="R12" s="75">
        <f>Table1[[#This Row],[Points]]/($Q$5-Table1[[#This Row],[Missed Games]])</f>
        <v>2.1428571428571428</v>
      </c>
      <c r="S12" s="76">
        <f t="shared" si="4"/>
        <v>3</v>
      </c>
      <c r="T12" s="77">
        <f>Table1[[#This Row],[Finishes]]/($Q$5-Table1[[#This Row],[Missed Games]])</f>
        <v>0.42857142857142855</v>
      </c>
      <c r="U12" s="76">
        <f t="shared" si="5"/>
        <v>12</v>
      </c>
      <c r="V12" s="77">
        <f>Table1[[#This Row],[Midranges]]/($Q$5-Table1[[#This Row],[Missed Games]])</f>
        <v>1.7142857142857142</v>
      </c>
      <c r="W12" s="76">
        <f t="shared" si="6"/>
        <v>0</v>
      </c>
      <c r="X12" s="77">
        <f>Table1[[#This Row],[Threes]]/($Q$5-Table1[[#This Row],[Missed Games]])</f>
        <v>0</v>
      </c>
      <c r="Y12" s="84" t="s">
        <v>39</v>
      </c>
      <c r="Z12" s="85">
        <f t="shared" si="7"/>
        <v>0</v>
      </c>
      <c r="AA12" s="127">
        <f>1.007842*5.4475%</f>
        <v>5.4902192949999991E-2</v>
      </c>
      <c r="AB12" s="127">
        <f>(Table1[[#This Row],[Averages]]+Table1[[#This Row],[Averages2]]+Table1[[#This Row],[Averages3]])/SUM(Table1[Averages],Table1[Averages2],Table1[Averages3])</f>
        <v>9.2165898617511524E-2</v>
      </c>
      <c r="AC12" s="126">
        <f>AB12-AA12</f>
        <v>3.7263705667511533E-2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P13" s="84" t="s">
        <v>71</v>
      </c>
      <c r="Q13" s="74">
        <f t="shared" si="3"/>
        <v>3</v>
      </c>
      <c r="R13" s="75">
        <f>Table1[[#This Row],[Points]]/($Q$5-Table1[[#This Row],[Missed Games]])</f>
        <v>0.75</v>
      </c>
      <c r="S13" s="76">
        <f t="shared" si="4"/>
        <v>2</v>
      </c>
      <c r="T13" s="77">
        <f>Table1[[#This Row],[Finishes]]/($Q$5-Table1[[#This Row],[Missed Games]])</f>
        <v>0.5</v>
      </c>
      <c r="U13" s="76">
        <f t="shared" si="5"/>
        <v>1</v>
      </c>
      <c r="V13" s="77">
        <f>Table1[[#This Row],[Midranges]]/($Q$5-Table1[[#This Row],[Missed Games]])</f>
        <v>0.25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7">
        <f>1.007842*10.1167%</f>
        <v>0.10196035161399998</v>
      </c>
      <c r="AB13" s="127">
        <f>(Table1[[#This Row],[Averages]]+Table1[[#This Row],[Averages2]]+Table1[[#This Row],[Averages3]])/SUM(Table1[Averages],Table1[Averages2],Table1[Averages3])</f>
        <v>3.2258064516129031E-2</v>
      </c>
      <c r="AC13" s="126">
        <f>AB13-AA13</f>
        <v>-6.9702287097870949E-2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9</v>
      </c>
      <c r="R14" s="79">
        <f>Table1[[#This Row],[Points]]/($Q$5-Table1[[#This Row],[Missed Games]])</f>
        <v>1.2857142857142858</v>
      </c>
      <c r="S14" s="80">
        <f t="shared" si="4"/>
        <v>2</v>
      </c>
      <c r="T14" s="81">
        <f>Table1[[#This Row],[Finishes]]/($Q$5-Table1[[#This Row],[Missed Games]])</f>
        <v>0.2857142857142857</v>
      </c>
      <c r="U14" s="80">
        <f t="shared" si="5"/>
        <v>1</v>
      </c>
      <c r="V14" s="81">
        <f>Table1[[#This Row],[Midranges]]/($Q$5-Table1[[#This Row],[Missed Games]])</f>
        <v>0.14285714285714285</v>
      </c>
      <c r="W14" s="80">
        <f t="shared" si="6"/>
        <v>3</v>
      </c>
      <c r="X14" s="81">
        <f>Table1[[#This Row],[Threes]]/($Q$5-Table1[[#This Row],[Missed Games]])</f>
        <v>0.42857142857142855</v>
      </c>
      <c r="Y14" s="86" t="s">
        <v>57</v>
      </c>
      <c r="Z14" s="87">
        <f t="shared" si="7"/>
        <v>0</v>
      </c>
      <c r="AA14" s="128">
        <f>1.007842*3.8911%</f>
        <v>3.9216140061999999E-2</v>
      </c>
      <c r="AB14" s="128">
        <f>(Table1[[#This Row],[Averages]]+Table1[[#This Row],[Averages2]]+Table1[[#This Row],[Averages3]])/SUM(Table1[Averages],Table1[Averages2],Table1[Averages3])</f>
        <v>3.6866359447004608E-2</v>
      </c>
      <c r="AC14" s="126">
        <f>AB14-AA14</f>
        <v>-2.3497806149953906E-3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1.8571428571428572</v>
      </c>
      <c r="S15" s="80">
        <f t="shared" si="4"/>
        <v>5</v>
      </c>
      <c r="T15" s="81">
        <f>Table1[[#This Row],[Finishes]]/($Q$5-Table1[[#This Row],[Missed Games]])</f>
        <v>0.7142857142857143</v>
      </c>
      <c r="U15" s="80">
        <f t="shared" si="5"/>
        <v>8</v>
      </c>
      <c r="V15" s="81">
        <f>Table1[[#This Row],[Midranges]]/($Q$5-Table1[[#This Row],[Missed Games]])</f>
        <v>1.1428571428571428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8">
        <f>1.007842*12.4514%</f>
        <v>0.12549043878799998</v>
      </c>
      <c r="AB15" s="128">
        <f>(Table1[[#This Row],[Averages]]+Table1[[#This Row],[Averages2]]+Table1[[#This Row],[Averages3]])/SUM(Table1[Averages],Table1[Averages2],Table1[Averages3])</f>
        <v>7.9877112135176648E-2</v>
      </c>
      <c r="AC15" s="126">
        <f>AB15-AA15</f>
        <v>-4.5613326652823333E-2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16</v>
      </c>
      <c r="R16" s="71">
        <f>Table1[[#This Row],[Points]]/($Q$5-Table1[[#This Row],[Missed Games]])</f>
        <v>2.6666666666666665</v>
      </c>
      <c r="S16" s="72">
        <f t="shared" si="4"/>
        <v>3</v>
      </c>
      <c r="T16" s="73">
        <f>Table1[[#This Row],[Finishes]]/($Q$5-Table1[[#This Row],[Missed Games]])</f>
        <v>0.5</v>
      </c>
      <c r="U16" s="72">
        <f t="shared" si="5"/>
        <v>13</v>
      </c>
      <c r="V16" s="73">
        <f>Table1[[#This Row],[Midranges]]/($Q$5-Table1[[#This Row],[Missed Games]])</f>
        <v>2.1666666666666665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5">
        <f>1.007842*9.7276%</f>
        <v>9.8038838391999991E-2</v>
      </c>
      <c r="AB16" s="125">
        <f>(Table1[[#This Row],[Averages]]+Table1[[#This Row],[Averages2]]+Table1[[#This Row],[Averages3]])/SUM(Table1[Averages],Table1[Averages2],Table1[Averages3])</f>
        <v>0.11469534050179211</v>
      </c>
      <c r="AC16" s="126">
        <f>AB16-AA16</f>
        <v>1.6656502109792123E-2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0.8571428571428571</v>
      </c>
      <c r="S17" s="72">
        <f t="shared" si="4"/>
        <v>1</v>
      </c>
      <c r="T17" s="73">
        <f>Table1[[#This Row],[Finishes]]/($Q$5-Table1[[#This Row],[Missed Games]])</f>
        <v>0.14285714285714285</v>
      </c>
      <c r="U17" s="72">
        <f t="shared" si="5"/>
        <v>5</v>
      </c>
      <c r="V17" s="73">
        <f>Table1[[#This Row],[Midranges]]/($Q$5-Table1[[#This Row],[Missed Games]])</f>
        <v>0.7142857142857143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5">
        <f>1.007842*1.9455%</f>
        <v>1.9607566109999999E-2</v>
      </c>
      <c r="AB17" s="125">
        <f>(Table1[[#This Row],[Averages]]+Table1[[#This Row],[Averages2]]+Table1[[#This Row],[Averages3]])/SUM(Table1[Averages],Table1[Averages2],Table1[Averages3])</f>
        <v>3.6866359447004608E-2</v>
      </c>
      <c r="AC17" s="126">
        <f>AB17-AA17</f>
        <v>1.725879333700461E-2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188</v>
      </c>
      <c r="Q18" s="70">
        <f t="shared" si="3"/>
        <v>7</v>
      </c>
      <c r="R18" s="71">
        <f>Table1[[#This Row],[Points]]/($Q$5-Table1[[#This Row],[Missed Games]])</f>
        <v>1.4</v>
      </c>
      <c r="S18" s="72">
        <f t="shared" si="4"/>
        <v>7</v>
      </c>
      <c r="T18" s="73">
        <f>Table1[[#This Row],[Finishes]]/($Q$5-Table1[[#This Row],[Missed Games]])</f>
        <v>1.4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5">
        <f>1.007842*3.8911%</f>
        <v>3.9216140061999999E-2</v>
      </c>
      <c r="AB18" s="125">
        <f>(Table1[[#This Row],[Averages]]+Table1[[#This Row],[Averages2]]+Table1[[#This Row],[Averages3]])/SUM(Table1[Averages],Table1[Averages2],Table1[Averages3])</f>
        <v>6.0215053763440857E-2</v>
      </c>
      <c r="AC18" s="126">
        <f>AB18-AA18</f>
        <v>2.0998913701440858E-2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187</v>
      </c>
      <c r="Q19" s="78">
        <f t="shared" si="3"/>
        <v>5</v>
      </c>
      <c r="R19" s="79">
        <f>Table1[[#This Row],[Points]]/($Q$5-Table1[[#This Row],[Missed Games]])</f>
        <v>0.7142857142857143</v>
      </c>
      <c r="S19" s="80">
        <f t="shared" si="4"/>
        <v>3</v>
      </c>
      <c r="T19" s="81">
        <f>Table1[[#This Row],[Finishes]]/($Q$5-Table1[[#This Row],[Missed Games]])</f>
        <v>0.42857142857142855</v>
      </c>
      <c r="U19" s="80">
        <f t="shared" si="5"/>
        <v>2</v>
      </c>
      <c r="V19" s="81">
        <f>Table1[[#This Row],[Midranges]]/($Q$5-Table1[[#This Row],[Missed Games]])</f>
        <v>0.2857142857142857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8">
        <f>1.007842*3.8911%</f>
        <v>3.9216140061999999E-2</v>
      </c>
      <c r="AB19" s="128">
        <f>(Table1[[#This Row],[Averages]]+Table1[[#This Row],[Averages2]]+Table1[[#This Row],[Averages3]])/SUM(Table1[Averages],Table1[Averages2],Table1[Averages3])</f>
        <v>3.072196620583717E-2</v>
      </c>
      <c r="AC19" s="126">
        <f>AB19-AA19</f>
        <v>-8.4941738561628288E-3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3.5</v>
      </c>
      <c r="S20" s="80">
        <f t="shared" si="4"/>
        <v>10</v>
      </c>
      <c r="T20" s="81">
        <f>Table1[[#This Row],[Finishes]]/($Q$5-Table1[[#This Row],[Missed Games]])</f>
        <v>2.5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0.5</v>
      </c>
      <c r="Y20" s="86" t="s">
        <v>57</v>
      </c>
      <c r="Z20" s="87">
        <f t="shared" si="7"/>
        <v>3</v>
      </c>
      <c r="AA20" s="128">
        <f>1.007842*12.8405%</f>
        <v>0.12941195200999997</v>
      </c>
      <c r="AB20" s="128">
        <f>(Table1[[#This Row],[Averages]]+Table1[[#This Row],[Averages2]]+Table1[[#This Row],[Averages3]])/SUM(Table1[Averages],Table1[Averages2],Table1[Averages3])</f>
        <v>0.12903225806451613</v>
      </c>
      <c r="AC20" s="126">
        <f>AB20-AA20</f>
        <v>-3.7969394548384439E-4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1</v>
      </c>
      <c r="R21" s="75">
        <f>Table1[[#This Row],[Points]]/($Q$5-Table1[[#This Row],[Missed Games]])</f>
        <v>0.14285714285714285</v>
      </c>
      <c r="S21" s="76">
        <f t="shared" si="4"/>
        <v>1</v>
      </c>
      <c r="T21" s="77">
        <f>Table1[[#This Row],[Finishes]]/($Q$5-Table1[[#This Row],[Missed Games]])</f>
        <v>0.14285714285714285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7">
        <f>1.007842*2.7237%</f>
        <v>2.7450592553999998E-2</v>
      </c>
      <c r="AB21" s="127">
        <f>(Table1[[#This Row],[Averages]]+Table1[[#This Row],[Averages2]]+Table1[[#This Row],[Averages3]])/SUM(Table1[Averages],Table1[Averages2],Table1[Averages3])</f>
        <v>6.1443932411674347E-3</v>
      </c>
      <c r="AC21" s="126">
        <f>AB21-AA21</f>
        <v>-2.1306199312832563E-2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4</v>
      </c>
      <c r="R22" s="79">
        <f>Table1[[#This Row],[Points]]/($Q$5-Table1[[#This Row],[Missed Games]])</f>
        <v>0.5714285714285714</v>
      </c>
      <c r="S22" s="80">
        <f t="shared" si="4"/>
        <v>3</v>
      </c>
      <c r="T22" s="81">
        <f>Table1[[#This Row],[Finishes]]/($Q$5-Table1[[#This Row],[Missed Games]])</f>
        <v>0.42857142857142855</v>
      </c>
      <c r="U22" s="80">
        <f t="shared" si="5"/>
        <v>1</v>
      </c>
      <c r="V22" s="81">
        <f>Table1[[#This Row],[Midranges]]/($Q$5-Table1[[#This Row],[Missed Games]])</f>
        <v>0.14285714285714285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8">
        <f>1.007842*2.3346%</f>
        <v>2.3529079331999995E-2</v>
      </c>
      <c r="AB22" s="128">
        <f>(Table1[[#This Row],[Averages]]+Table1[[#This Row],[Averages2]]+Table1[[#This Row],[Averages3]])/SUM(Table1[Averages],Table1[Averages2],Table1[Averages3])</f>
        <v>2.4577572964669739E-2</v>
      </c>
      <c r="AC22" s="126">
        <f>AB22-AA22</f>
        <v>1.048493632669744E-3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3</v>
      </c>
      <c r="R23" s="79">
        <f>Table1[[#This Row],[Points]]/($Q$5-Table1[[#This Row],[Missed Games]])</f>
        <v>0.42857142857142855</v>
      </c>
      <c r="S23" s="80">
        <f t="shared" si="4"/>
        <v>3</v>
      </c>
      <c r="T23" s="81">
        <f>Table1[[#This Row],[Finishes]]/($Q$5-Table1[[#This Row],[Missed Games]])</f>
        <v>0.42857142857142855</v>
      </c>
      <c r="U23" s="80">
        <f t="shared" si="5"/>
        <v>0</v>
      </c>
      <c r="V23" s="81">
        <f>Table1[[#This Row],[Midranges]]/($Q$5-Table1[[#This Row],[Missed Games]])</f>
        <v>0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8">
        <f>1.007842*1.1673%</f>
        <v>1.1764539665999997E-2</v>
      </c>
      <c r="AB23" s="128">
        <f>(Table1[[#This Row],[Averages]]+Table1[[#This Row],[Averages2]]+Table1[[#This Row],[Averages3]])/SUM(Table1[Averages],Table1[Averages2],Table1[Averages3])</f>
        <v>1.8433179723502304E-2</v>
      </c>
      <c r="AC23" s="126">
        <f>AB23-AA23</f>
        <v>6.6686400575023067E-3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3"/>
      <c r="AC24" s="124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  <c r="AA26" s="3" t="s">
        <v>175</v>
      </c>
      <c r="AB26" s="24">
        <v>0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'1505'!$R$3</f>
        <v>0</v>
      </c>
      <c r="AC29" s="29" t="e">
        <f>AB29/(AB$26-AJ29)</f>
        <v>#DIV/0!</v>
      </c>
      <c r="AD29" s="27">
        <f>'1505'!$S$3</f>
        <v>0</v>
      </c>
      <c r="AE29" s="28">
        <f>AD29/($Q$26-AJ29)</f>
        <v>0</v>
      </c>
      <c r="AF29" s="27">
        <f>'1505'!$T$3</f>
        <v>0</v>
      </c>
      <c r="AG29" s="28">
        <f>AF29/($Q$26-AJ29)</f>
        <v>0</v>
      </c>
      <c r="AH29" s="27">
        <f>'1505'!$U$3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9">Q30/(Q$26-Y30)</f>
        <v>0</v>
      </c>
      <c r="S30" s="27">
        <f>'2404'!S4+'2604'!S4</f>
        <v>0</v>
      </c>
      <c r="T30" s="28">
        <f t="shared" ref="T30:T44" si="10">S30/($Q$26-Y30)</f>
        <v>0</v>
      </c>
      <c r="U30" s="27">
        <f>'2404'!T4+'2604'!T4</f>
        <v>0</v>
      </c>
      <c r="V30" s="28">
        <f t="shared" ref="V30:V44" si="11">U30/($Q$26-Y30)</f>
        <v>0</v>
      </c>
      <c r="W30" s="27">
        <f>'2404'!U4+'2604'!U4</f>
        <v>0</v>
      </c>
      <c r="X30" s="28">
        <f t="shared" ref="X30:X44" si="12">W30/($Q$26-Y30)</f>
        <v>0</v>
      </c>
      <c r="Y30" s="40">
        <v>1</v>
      </c>
      <c r="AA30" s="30" t="s">
        <v>59</v>
      </c>
      <c r="AB30" s="44">
        <f>'1505'!$R$3</f>
        <v>0</v>
      </c>
      <c r="AC30" s="29" t="e">
        <f t="shared" ref="AC30:AC44" si="13">AB30/(AB$26-AJ30)</f>
        <v>#DIV/0!</v>
      </c>
      <c r="AD30" s="27">
        <f>'1505'!$S$3</f>
        <v>0</v>
      </c>
      <c r="AE30" s="28">
        <f t="shared" ref="AE30:AE44" si="14">AD30/($Q$26-AJ30)</f>
        <v>0</v>
      </c>
      <c r="AF30" s="27">
        <f>'1505'!$T$3</f>
        <v>0</v>
      </c>
      <c r="AG30" s="28">
        <f t="shared" ref="AG30:AG44" si="15">AF30/($Q$26-AJ30)</f>
        <v>0</v>
      </c>
      <c r="AH30" s="27">
        <f>'1505'!$U$3</f>
        <v>0</v>
      </c>
      <c r="AI30" s="28">
        <f t="shared" ref="AI30:AI44" si="16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9"/>
        <v>1.5</v>
      </c>
      <c r="S31" s="27">
        <f>'2404'!S5+'2604'!S5</f>
        <v>3</v>
      </c>
      <c r="T31" s="28">
        <f t="shared" si="10"/>
        <v>1.5</v>
      </c>
      <c r="U31" s="27">
        <f>'2404'!T5+'2604'!T5</f>
        <v>0</v>
      </c>
      <c r="V31" s="28">
        <f t="shared" si="11"/>
        <v>0</v>
      </c>
      <c r="W31" s="27">
        <f>'2404'!U5+'2604'!U5</f>
        <v>0</v>
      </c>
      <c r="X31" s="28">
        <f t="shared" si="12"/>
        <v>0</v>
      </c>
      <c r="Y31" s="40">
        <v>0</v>
      </c>
      <c r="AA31" s="30" t="s">
        <v>62</v>
      </c>
      <c r="AB31" s="44">
        <f>'1505'!$R$3</f>
        <v>0</v>
      </c>
      <c r="AC31" s="29" t="e">
        <f t="shared" si="13"/>
        <v>#DIV/0!</v>
      </c>
      <c r="AD31" s="27">
        <f>'1505'!$S$3</f>
        <v>0</v>
      </c>
      <c r="AE31" s="28">
        <f t="shared" si="14"/>
        <v>0</v>
      </c>
      <c r="AF31" s="27">
        <f>'1505'!$T$3</f>
        <v>0</v>
      </c>
      <c r="AG31" s="28">
        <f t="shared" si="15"/>
        <v>0</v>
      </c>
      <c r="AH31" s="27">
        <f>'1505'!$U$3</f>
        <v>0</v>
      </c>
      <c r="AI31" s="28">
        <f t="shared" si="16"/>
        <v>0</v>
      </c>
      <c r="AJ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9"/>
        <v>1.5</v>
      </c>
      <c r="S32" s="27">
        <f>'2404'!S6+'2604'!S6</f>
        <v>3</v>
      </c>
      <c r="T32" s="28">
        <f t="shared" si="10"/>
        <v>1.5</v>
      </c>
      <c r="U32" s="27">
        <f>'2404'!T6+'2604'!T6</f>
        <v>0</v>
      </c>
      <c r="V32" s="28">
        <f t="shared" si="11"/>
        <v>0</v>
      </c>
      <c r="W32" s="27">
        <f>'2404'!U6+'2604'!U6</f>
        <v>0</v>
      </c>
      <c r="X32" s="28">
        <f t="shared" si="12"/>
        <v>0</v>
      </c>
      <c r="Y32" s="40">
        <v>0</v>
      </c>
      <c r="AA32" s="30" t="s">
        <v>65</v>
      </c>
      <c r="AB32" s="44">
        <f>'1505'!$R$3</f>
        <v>0</v>
      </c>
      <c r="AC32" s="29" t="e">
        <f t="shared" si="13"/>
        <v>#DIV/0!</v>
      </c>
      <c r="AD32" s="27">
        <f>'1505'!$S$3</f>
        <v>0</v>
      </c>
      <c r="AE32" s="28">
        <f t="shared" si="14"/>
        <v>0</v>
      </c>
      <c r="AF32" s="27">
        <f>'1505'!$T$3</f>
        <v>0</v>
      </c>
      <c r="AG32" s="28">
        <f t="shared" si="15"/>
        <v>0</v>
      </c>
      <c r="AH32" s="27">
        <f>'1505'!$U$3</f>
        <v>0</v>
      </c>
      <c r="AI32" s="28">
        <f t="shared" si="16"/>
        <v>0</v>
      </c>
      <c r="AJ32" s="40">
        <v>0</v>
      </c>
    </row>
    <row r="33" spans="9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9"/>
        <v>0.5</v>
      </c>
      <c r="S33" s="27">
        <f>'2404'!S7+'2604'!S7</f>
        <v>1</v>
      </c>
      <c r="T33" s="28">
        <f t="shared" si="10"/>
        <v>0.5</v>
      </c>
      <c r="U33" s="27">
        <f>'2404'!T7+'2604'!T7</f>
        <v>0</v>
      </c>
      <c r="V33" s="28">
        <f t="shared" si="11"/>
        <v>0</v>
      </c>
      <c r="W33" s="27">
        <f>'2404'!U7+'2604'!U7</f>
        <v>0</v>
      </c>
      <c r="X33" s="28">
        <f t="shared" si="12"/>
        <v>0</v>
      </c>
      <c r="Y33" s="40">
        <v>0</v>
      </c>
      <c r="AA33" s="30" t="s">
        <v>68</v>
      </c>
      <c r="AB33" s="44">
        <f>'1505'!$R$3</f>
        <v>0</v>
      </c>
      <c r="AC33" s="29" t="e">
        <f t="shared" si="13"/>
        <v>#DIV/0!</v>
      </c>
      <c r="AD33" s="27">
        <f>'1505'!$S$3</f>
        <v>0</v>
      </c>
      <c r="AE33" s="28">
        <f t="shared" si="14"/>
        <v>0</v>
      </c>
      <c r="AF33" s="27">
        <f>'1505'!$T$3</f>
        <v>0</v>
      </c>
      <c r="AG33" s="28">
        <f t="shared" si="15"/>
        <v>0</v>
      </c>
      <c r="AH33" s="27">
        <f>'1505'!$U$3</f>
        <v>0</v>
      </c>
      <c r="AI33" s="28">
        <f t="shared" si="16"/>
        <v>0</v>
      </c>
      <c r="AJ33" s="40">
        <v>0</v>
      </c>
    </row>
    <row r="34" spans="9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9"/>
        <v>1</v>
      </c>
      <c r="S34" s="27">
        <f>'2404'!S8+'2604'!S8</f>
        <v>2</v>
      </c>
      <c r="T34" s="28">
        <f t="shared" si="10"/>
        <v>1</v>
      </c>
      <c r="U34" s="27">
        <f>'2404'!T8+'2604'!T8</f>
        <v>0</v>
      </c>
      <c r="V34" s="28">
        <f t="shared" si="11"/>
        <v>0</v>
      </c>
      <c r="W34" s="27">
        <f>'2404'!U8+'2604'!U8</f>
        <v>0</v>
      </c>
      <c r="X34" s="28">
        <f t="shared" si="12"/>
        <v>0</v>
      </c>
      <c r="Y34" s="40">
        <v>0</v>
      </c>
      <c r="AA34" s="30" t="s">
        <v>71</v>
      </c>
      <c r="AB34" s="44">
        <f>'1505'!$R$3</f>
        <v>0</v>
      </c>
      <c r="AC34" s="29" t="e">
        <f t="shared" si="13"/>
        <v>#DIV/0!</v>
      </c>
      <c r="AD34" s="27">
        <f>'1505'!$S$3</f>
        <v>0</v>
      </c>
      <c r="AE34" s="28">
        <f t="shared" si="14"/>
        <v>0</v>
      </c>
      <c r="AF34" s="27">
        <f>'1505'!$T$3</f>
        <v>0</v>
      </c>
      <c r="AG34" s="28">
        <f t="shared" si="15"/>
        <v>0</v>
      </c>
      <c r="AH34" s="27">
        <f>'1505'!$U$3</f>
        <v>0</v>
      </c>
      <c r="AI34" s="28">
        <f t="shared" si="16"/>
        <v>0</v>
      </c>
      <c r="AJ34" s="40">
        <v>0</v>
      </c>
    </row>
    <row r="35" spans="9:36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9"/>
        <v>0</v>
      </c>
      <c r="S35" s="27">
        <f>'2404'!S9+'2604'!S9</f>
        <v>0</v>
      </c>
      <c r="T35" s="28">
        <f t="shared" si="10"/>
        <v>0</v>
      </c>
      <c r="U35" s="27">
        <f>'2404'!T9+'2604'!T9</f>
        <v>0</v>
      </c>
      <c r="V35" s="28">
        <f t="shared" si="11"/>
        <v>0</v>
      </c>
      <c r="W35" s="27">
        <f>'2404'!U9+'2604'!U9</f>
        <v>0</v>
      </c>
      <c r="X35" s="28">
        <f t="shared" si="12"/>
        <v>0</v>
      </c>
      <c r="Y35" s="40">
        <v>0</v>
      </c>
      <c r="AA35" s="30" t="s">
        <v>75</v>
      </c>
      <c r="AB35" s="44">
        <f>'1505'!$R$3</f>
        <v>0</v>
      </c>
      <c r="AC35" s="29" t="e">
        <f t="shared" si="13"/>
        <v>#DIV/0!</v>
      </c>
      <c r="AD35" s="27">
        <f>'1505'!$S$3</f>
        <v>0</v>
      </c>
      <c r="AE35" s="28">
        <f t="shared" si="14"/>
        <v>0</v>
      </c>
      <c r="AF35" s="27">
        <f>'1505'!$T$3</f>
        <v>0</v>
      </c>
      <c r="AG35" s="28">
        <f t="shared" si="15"/>
        <v>0</v>
      </c>
      <c r="AH35" s="27">
        <f>'1505'!$U$3</f>
        <v>0</v>
      </c>
      <c r="AI35" s="28">
        <f t="shared" si="16"/>
        <v>0</v>
      </c>
      <c r="AJ35" s="40">
        <v>0</v>
      </c>
    </row>
    <row r="36" spans="9:36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9"/>
        <v>0</v>
      </c>
      <c r="S36" s="27">
        <f>'2404'!S10+'2604'!S10</f>
        <v>0</v>
      </c>
      <c r="T36" s="28">
        <f t="shared" si="10"/>
        <v>0</v>
      </c>
      <c r="U36" s="27">
        <f>'2404'!T10+'2604'!T10</f>
        <v>0</v>
      </c>
      <c r="V36" s="28">
        <f t="shared" si="11"/>
        <v>0</v>
      </c>
      <c r="W36" s="27">
        <f>'2404'!U10+'2604'!U10</f>
        <v>0</v>
      </c>
      <c r="X36" s="28">
        <f t="shared" si="12"/>
        <v>0</v>
      </c>
      <c r="Y36" s="40">
        <v>0</v>
      </c>
      <c r="AA36" s="30" t="s">
        <v>78</v>
      </c>
      <c r="AB36" s="44">
        <f>'1505'!$R$3</f>
        <v>0</v>
      </c>
      <c r="AC36" s="29" t="e">
        <f t="shared" si="13"/>
        <v>#DIV/0!</v>
      </c>
      <c r="AD36" s="27">
        <f>'1505'!$S$3</f>
        <v>0</v>
      </c>
      <c r="AE36" s="28">
        <f t="shared" si="14"/>
        <v>0</v>
      </c>
      <c r="AF36" s="27">
        <f>'1505'!$T$3</f>
        <v>0</v>
      </c>
      <c r="AG36" s="28">
        <f t="shared" si="15"/>
        <v>0</v>
      </c>
      <c r="AH36" s="27">
        <f>'1505'!$U$3</f>
        <v>0</v>
      </c>
      <c r="AI36" s="28">
        <f t="shared" si="16"/>
        <v>0</v>
      </c>
      <c r="AJ36" s="40">
        <v>0</v>
      </c>
    </row>
    <row r="37" spans="9:36" ht="14.25" customHeight="1" x14ac:dyDescent="0.45">
      <c r="P37" s="30" t="s">
        <v>80</v>
      </c>
      <c r="Q37" s="44">
        <f>'2404'!R11+'2604'!R11</f>
        <v>2</v>
      </c>
      <c r="R37" s="29">
        <f t="shared" si="9"/>
        <v>2</v>
      </c>
      <c r="S37" s="27">
        <f>'2404'!S11+'2604'!S11</f>
        <v>1</v>
      </c>
      <c r="T37" s="28">
        <f t="shared" si="10"/>
        <v>1</v>
      </c>
      <c r="U37" s="27">
        <f>'2404'!T11+'2604'!T11</f>
        <v>1</v>
      </c>
      <c r="V37" s="28">
        <f t="shared" si="11"/>
        <v>1</v>
      </c>
      <c r="W37" s="27">
        <f>'2404'!U11+'2604'!U11</f>
        <v>0</v>
      </c>
      <c r="X37" s="28">
        <f t="shared" si="12"/>
        <v>0</v>
      </c>
      <c r="Y37" s="40">
        <v>1</v>
      </c>
      <c r="AA37" s="30" t="s">
        <v>80</v>
      </c>
      <c r="AB37" s="44">
        <f>'1505'!$R$3</f>
        <v>0</v>
      </c>
      <c r="AC37" s="29" t="e">
        <f t="shared" si="13"/>
        <v>#DIV/0!</v>
      </c>
      <c r="AD37" s="27">
        <f>'1505'!$S$3</f>
        <v>0</v>
      </c>
      <c r="AE37" s="28">
        <f t="shared" si="14"/>
        <v>0</v>
      </c>
      <c r="AF37" s="27">
        <f>'1505'!$T$3</f>
        <v>0</v>
      </c>
      <c r="AG37" s="28">
        <f t="shared" si="15"/>
        <v>0</v>
      </c>
      <c r="AH37" s="27">
        <f>'1505'!$U$3</f>
        <v>0</v>
      </c>
      <c r="AI37" s="28">
        <f t="shared" si="16"/>
        <v>0</v>
      </c>
      <c r="AJ37" s="40">
        <v>0</v>
      </c>
    </row>
    <row r="38" spans="9:36" ht="14.25" customHeight="1" x14ac:dyDescent="0.45">
      <c r="P38" s="30" t="s">
        <v>81</v>
      </c>
      <c r="Q38" s="44">
        <f>'2404'!R12+'2604'!R12</f>
        <v>0</v>
      </c>
      <c r="R38" s="29">
        <f t="shared" si="9"/>
        <v>0</v>
      </c>
      <c r="S38" s="27">
        <f>'2404'!S12+'2604'!S12</f>
        <v>0</v>
      </c>
      <c r="T38" s="28">
        <f t="shared" si="10"/>
        <v>0</v>
      </c>
      <c r="U38" s="27">
        <f>'2404'!T12+'2604'!T12</f>
        <v>0</v>
      </c>
      <c r="V38" s="28">
        <f t="shared" si="11"/>
        <v>0</v>
      </c>
      <c r="W38" s="27">
        <f>'2404'!U12+'2604'!U12</f>
        <v>0</v>
      </c>
      <c r="X38" s="28">
        <f t="shared" si="12"/>
        <v>0</v>
      </c>
      <c r="Y38" s="40">
        <v>0</v>
      </c>
      <c r="AA38" s="30" t="s">
        <v>81</v>
      </c>
      <c r="AB38" s="44">
        <f>'1505'!$R$3</f>
        <v>0</v>
      </c>
      <c r="AC38" s="29" t="e">
        <f t="shared" si="13"/>
        <v>#DIV/0!</v>
      </c>
      <c r="AD38" s="27">
        <f>'1505'!$S$3</f>
        <v>0</v>
      </c>
      <c r="AE38" s="28">
        <f t="shared" si="14"/>
        <v>0</v>
      </c>
      <c r="AF38" s="27">
        <f>'1505'!$T$3</f>
        <v>0</v>
      </c>
      <c r="AG38" s="28">
        <f t="shared" si="15"/>
        <v>0</v>
      </c>
      <c r="AH38" s="27">
        <f>'1505'!$U$3</f>
        <v>0</v>
      </c>
      <c r="AI38" s="28">
        <f t="shared" si="16"/>
        <v>0</v>
      </c>
      <c r="AJ38" s="40">
        <v>0</v>
      </c>
    </row>
    <row r="39" spans="9:36" ht="14.25" customHeight="1" x14ac:dyDescent="0.45">
      <c r="P39" s="30" t="s">
        <v>188</v>
      </c>
      <c r="Q39" s="44">
        <f>'2404'!R13+'2604'!R13</f>
        <v>4</v>
      </c>
      <c r="R39" s="29">
        <f t="shared" si="9"/>
        <v>2</v>
      </c>
      <c r="S39" s="27">
        <f>'2404'!S13+'2604'!S13</f>
        <v>4</v>
      </c>
      <c r="T39" s="28">
        <f t="shared" si="10"/>
        <v>2</v>
      </c>
      <c r="U39" s="27">
        <f>'2404'!T13+'2604'!T13</f>
        <v>0</v>
      </c>
      <c r="V39" s="28">
        <f t="shared" si="11"/>
        <v>0</v>
      </c>
      <c r="W39" s="27">
        <f>'2404'!U13+'2604'!U13</f>
        <v>0</v>
      </c>
      <c r="X39" s="28">
        <f t="shared" si="12"/>
        <v>0</v>
      </c>
      <c r="Y39" s="40">
        <v>0</v>
      </c>
      <c r="Z39" s="12"/>
      <c r="AA39" s="30" t="s">
        <v>188</v>
      </c>
      <c r="AB39" s="44">
        <f>'1505'!$R$3</f>
        <v>0</v>
      </c>
      <c r="AC39" s="29" t="e">
        <f t="shared" si="13"/>
        <v>#DIV/0!</v>
      </c>
      <c r="AD39" s="27">
        <f>'1505'!$S$3</f>
        <v>0</v>
      </c>
      <c r="AE39" s="28">
        <f t="shared" si="14"/>
        <v>0</v>
      </c>
      <c r="AF39" s="27">
        <f>'1505'!$T$3</f>
        <v>0</v>
      </c>
      <c r="AG39" s="28">
        <f t="shared" si="15"/>
        <v>0</v>
      </c>
      <c r="AH39" s="27">
        <f>'1505'!$U$3</f>
        <v>0</v>
      </c>
      <c r="AI39" s="28">
        <f t="shared" si="16"/>
        <v>0</v>
      </c>
      <c r="AJ39" s="40">
        <v>0</v>
      </c>
    </row>
    <row r="40" spans="9:36" ht="14.25" customHeight="1" x14ac:dyDescent="0.45">
      <c r="I40" s="33" t="s">
        <v>155</v>
      </c>
      <c r="P40" s="30" t="s">
        <v>187</v>
      </c>
      <c r="Q40" s="44">
        <f>'2404'!R14+'2604'!R14</f>
        <v>0</v>
      </c>
      <c r="R40" s="29">
        <f t="shared" si="9"/>
        <v>0</v>
      </c>
      <c r="S40" s="27">
        <f>'2404'!S14+'2604'!S14</f>
        <v>0</v>
      </c>
      <c r="T40" s="28">
        <f t="shared" si="10"/>
        <v>0</v>
      </c>
      <c r="U40" s="27">
        <f>'2404'!T14+'2604'!T14</f>
        <v>0</v>
      </c>
      <c r="V40" s="28">
        <f t="shared" si="11"/>
        <v>0</v>
      </c>
      <c r="W40" s="27">
        <f>'2404'!U14+'2604'!U14</f>
        <v>0</v>
      </c>
      <c r="X40" s="28">
        <f t="shared" si="12"/>
        <v>0</v>
      </c>
      <c r="Y40" s="40">
        <v>0</v>
      </c>
      <c r="AA40" s="30" t="s">
        <v>187</v>
      </c>
      <c r="AB40" s="44">
        <f>'1505'!$R$3</f>
        <v>0</v>
      </c>
      <c r="AC40" s="29" t="e">
        <f t="shared" si="13"/>
        <v>#DIV/0!</v>
      </c>
      <c r="AD40" s="27">
        <f>'1505'!$S$3</f>
        <v>0</v>
      </c>
      <c r="AE40" s="28">
        <f t="shared" si="14"/>
        <v>0</v>
      </c>
      <c r="AF40" s="27">
        <f>'1505'!$T$3</f>
        <v>0</v>
      </c>
      <c r="AG40" s="28">
        <f t="shared" si="15"/>
        <v>0</v>
      </c>
      <c r="AH40" s="27">
        <f>'1505'!$U$3</f>
        <v>0</v>
      </c>
      <c r="AI40" s="28">
        <f t="shared" si="16"/>
        <v>0</v>
      </c>
      <c r="AJ40" s="40">
        <v>0</v>
      </c>
    </row>
    <row r="41" spans="9:36" ht="14.25" customHeight="1" x14ac:dyDescent="0.45">
      <c r="I41" s="33" t="s">
        <v>132</v>
      </c>
      <c r="J41">
        <f>'Statistics LG'!J4</f>
        <v>14</v>
      </c>
      <c r="P41" s="30" t="s">
        <v>85</v>
      </c>
      <c r="Q41" s="44">
        <f>'2404'!R15+'2604'!R15</f>
        <v>4</v>
      </c>
      <c r="R41" s="29">
        <f t="shared" si="9"/>
        <v>2</v>
      </c>
      <c r="S41" s="27">
        <f>'2404'!S15+'2604'!S15</f>
        <v>4</v>
      </c>
      <c r="T41" s="28">
        <f t="shared" si="10"/>
        <v>2</v>
      </c>
      <c r="U41" s="27">
        <f>'2404'!T15+'2604'!T15</f>
        <v>0</v>
      </c>
      <c r="V41" s="28">
        <f t="shared" si="11"/>
        <v>0</v>
      </c>
      <c r="W41" s="27">
        <f>'2404'!U15+'2604'!U15</f>
        <v>0</v>
      </c>
      <c r="X41" s="28">
        <f t="shared" si="12"/>
        <v>0</v>
      </c>
      <c r="Y41" s="40">
        <v>0</v>
      </c>
      <c r="AA41" s="30" t="s">
        <v>85</v>
      </c>
      <c r="AB41" s="44">
        <f>'1505'!$R$3</f>
        <v>0</v>
      </c>
      <c r="AC41" s="29" t="e">
        <f t="shared" si="13"/>
        <v>#DIV/0!</v>
      </c>
      <c r="AD41" s="27">
        <f>'1505'!$S$3</f>
        <v>0</v>
      </c>
      <c r="AE41" s="28">
        <f t="shared" si="14"/>
        <v>0</v>
      </c>
      <c r="AF41" s="27">
        <f>'1505'!$T$3</f>
        <v>0</v>
      </c>
      <c r="AG41" s="28">
        <f t="shared" si="15"/>
        <v>0</v>
      </c>
      <c r="AH41" s="27">
        <f>'1505'!$U$3</f>
        <v>0</v>
      </c>
      <c r="AI41" s="28">
        <f t="shared" si="16"/>
        <v>0</v>
      </c>
      <c r="AJ41" s="40">
        <v>0</v>
      </c>
    </row>
    <row r="42" spans="9:36" ht="14.25" customHeight="1" x14ac:dyDescent="0.45">
      <c r="I42" s="33" t="s">
        <v>133</v>
      </c>
      <c r="J42">
        <f>'Statistics WW'!J4</f>
        <v>11</v>
      </c>
      <c r="P42" s="30" t="s">
        <v>86</v>
      </c>
      <c r="Q42" s="44">
        <f>'2404'!R16+'2604'!R16</f>
        <v>0</v>
      </c>
      <c r="R42" s="29">
        <f t="shared" si="9"/>
        <v>0</v>
      </c>
      <c r="S42" s="27">
        <f>'2404'!S16+'2604'!S16</f>
        <v>0</v>
      </c>
      <c r="T42" s="28">
        <f t="shared" si="10"/>
        <v>0</v>
      </c>
      <c r="U42" s="27">
        <f>'2404'!T16+'2604'!T16</f>
        <v>0</v>
      </c>
      <c r="V42" s="28">
        <f t="shared" si="11"/>
        <v>0</v>
      </c>
      <c r="W42" s="27">
        <f>'2404'!U16+'2604'!U16</f>
        <v>0</v>
      </c>
      <c r="X42" s="28">
        <f t="shared" si="12"/>
        <v>0</v>
      </c>
      <c r="Y42" s="40">
        <v>0</v>
      </c>
      <c r="AA42" s="30" t="s">
        <v>86</v>
      </c>
      <c r="AB42" s="44">
        <f>'1505'!$R$3</f>
        <v>0</v>
      </c>
      <c r="AC42" s="29" t="e">
        <f t="shared" si="13"/>
        <v>#DIV/0!</v>
      </c>
      <c r="AD42" s="27">
        <f>'1505'!$S$3</f>
        <v>0</v>
      </c>
      <c r="AE42" s="28">
        <f t="shared" si="14"/>
        <v>0</v>
      </c>
      <c r="AF42" s="27">
        <f>'1505'!$T$3</f>
        <v>0</v>
      </c>
      <c r="AG42" s="28">
        <f t="shared" si="15"/>
        <v>0</v>
      </c>
      <c r="AH42" s="27">
        <f>'1505'!$U$3</f>
        <v>0</v>
      </c>
      <c r="AI42" s="28">
        <f t="shared" si="16"/>
        <v>0</v>
      </c>
      <c r="AJ42" s="40">
        <v>0</v>
      </c>
    </row>
    <row r="43" spans="9:36" ht="14.25" customHeight="1" x14ac:dyDescent="0.45">
      <c r="I43" s="33" t="s">
        <v>134</v>
      </c>
      <c r="J43">
        <f>'Statistics 5M'!I4</f>
        <v>17</v>
      </c>
      <c r="P43" s="30" t="s">
        <v>87</v>
      </c>
      <c r="Q43" s="44">
        <f>'2404'!R17+'2604'!R17</f>
        <v>1</v>
      </c>
      <c r="R43" s="29">
        <f t="shared" si="9"/>
        <v>0.5</v>
      </c>
      <c r="S43" s="27">
        <f>'2404'!S17+'2604'!S17</f>
        <v>1</v>
      </c>
      <c r="T43" s="28">
        <f t="shared" si="10"/>
        <v>0.5</v>
      </c>
      <c r="U43" s="27">
        <f>'2404'!T17+'2604'!T17</f>
        <v>0</v>
      </c>
      <c r="V43" s="28">
        <f t="shared" si="11"/>
        <v>0</v>
      </c>
      <c r="W43" s="27">
        <f>'2404'!U17+'2604'!U17</f>
        <v>0</v>
      </c>
      <c r="X43" s="28">
        <f t="shared" si="12"/>
        <v>0</v>
      </c>
      <c r="Y43" s="40">
        <v>0</v>
      </c>
      <c r="AA43" s="30" t="s">
        <v>87</v>
      </c>
      <c r="AB43" s="44">
        <f>'1505'!$R$3</f>
        <v>0</v>
      </c>
      <c r="AC43" s="29" t="e">
        <f t="shared" si="13"/>
        <v>#DIV/0!</v>
      </c>
      <c r="AD43" s="27">
        <f>'1505'!$S$3</f>
        <v>0</v>
      </c>
      <c r="AE43" s="28">
        <f t="shared" si="14"/>
        <v>0</v>
      </c>
      <c r="AF43" s="27">
        <f>'1505'!$T$3</f>
        <v>0</v>
      </c>
      <c r="AG43" s="28">
        <f t="shared" si="15"/>
        <v>0</v>
      </c>
      <c r="AH43" s="27">
        <f>'1505'!$U$3</f>
        <v>0</v>
      </c>
      <c r="AI43" s="28">
        <f t="shared" si="16"/>
        <v>0</v>
      </c>
      <c r="AJ43" s="40">
        <v>0</v>
      </c>
    </row>
    <row r="44" spans="9:36" ht="14.25" customHeight="1" x14ac:dyDescent="0.45">
      <c r="P44" s="53" t="s">
        <v>107</v>
      </c>
      <c r="Q44" s="44">
        <f>'2404'!R18+'2604'!R18</f>
        <v>1</v>
      </c>
      <c r="R44" s="29">
        <f t="shared" si="9"/>
        <v>0.5</v>
      </c>
      <c r="S44" s="27">
        <f>'2404'!S18+'2604'!S18</f>
        <v>1</v>
      </c>
      <c r="T44" s="28">
        <f t="shared" si="10"/>
        <v>0.5</v>
      </c>
      <c r="U44" s="27">
        <f>'2404'!T18+'2604'!T18</f>
        <v>0</v>
      </c>
      <c r="V44" s="28">
        <f t="shared" si="11"/>
        <v>0</v>
      </c>
      <c r="W44" s="27">
        <f>'2404'!U18+'2604'!U18</f>
        <v>0</v>
      </c>
      <c r="X44" s="28">
        <f t="shared" si="12"/>
        <v>0</v>
      </c>
      <c r="Y44" s="40">
        <v>0</v>
      </c>
      <c r="AA44" s="53" t="s">
        <v>107</v>
      </c>
      <c r="AB44" s="44">
        <f>'1505'!$R$3</f>
        <v>0</v>
      </c>
      <c r="AC44" s="29" t="e">
        <f t="shared" si="13"/>
        <v>#DIV/0!</v>
      </c>
      <c r="AD44" s="27">
        <f>'1505'!$S$3</f>
        <v>0</v>
      </c>
      <c r="AE44" s="28">
        <f t="shared" si="14"/>
        <v>0</v>
      </c>
      <c r="AF44" s="27">
        <f>'1505'!$T$3</f>
        <v>0</v>
      </c>
      <c r="AG44" s="28">
        <f t="shared" si="15"/>
        <v>0</v>
      </c>
      <c r="AH44" s="27">
        <f>'1505'!$U$3</f>
        <v>0</v>
      </c>
      <c r="AI44" s="28">
        <f t="shared" si="16"/>
        <v>0</v>
      </c>
      <c r="AJ44" s="40">
        <v>0</v>
      </c>
    </row>
    <row r="45" spans="9:36" ht="14.25" customHeight="1" x14ac:dyDescent="0.45">
      <c r="I45" s="33" t="s">
        <v>160</v>
      </c>
    </row>
    <row r="46" spans="9:36" ht="14.25" customHeight="1" x14ac:dyDescent="0.45">
      <c r="I46" s="33" t="s">
        <v>9</v>
      </c>
      <c r="J46" s="42">
        <f>SUM(Table1[Finishes])</f>
        <v>87</v>
      </c>
      <c r="K46">
        <f>J46/Q5</f>
        <v>12.428571428571429</v>
      </c>
      <c r="L46" s="57">
        <f>J46/SUM($J$46:$J$48)</f>
        <v>0.62142857142857144</v>
      </c>
      <c r="P46" s="65" t="s">
        <v>176</v>
      </c>
      <c r="Q46" s="13">
        <v>2</v>
      </c>
      <c r="R46" s="13"/>
      <c r="S46" s="13"/>
    </row>
    <row r="47" spans="9:36" ht="14.25" customHeight="1" x14ac:dyDescent="0.45">
      <c r="I47" s="33" t="s">
        <v>10</v>
      </c>
      <c r="J47" s="42">
        <f>SUM(Table1[Midranges])</f>
        <v>48</v>
      </c>
      <c r="K47">
        <f>Q5</f>
        <v>7</v>
      </c>
      <c r="L47" s="57">
        <f t="shared" ref="L47:L48" si="17">J47/SUM($J$46:$J$48)</f>
        <v>0.34285714285714286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36" ht="14.25" customHeight="1" x14ac:dyDescent="0.45">
      <c r="I48" s="33" t="s">
        <v>11</v>
      </c>
      <c r="J48" s="42">
        <f>SUM(Table1[Threes])</f>
        <v>5</v>
      </c>
      <c r="K48">
        <f>J48/Q5</f>
        <v>0.7142857142857143</v>
      </c>
      <c r="L48" s="57">
        <f t="shared" si="17"/>
        <v>3.5714285714285712E-2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8">Q49/(Q$46-Y49)</f>
        <v>0.5</v>
      </c>
      <c r="S49" s="27">
        <f>'0205'!S4+'0305'!S4</f>
        <v>1</v>
      </c>
      <c r="T49" s="28">
        <f t="shared" ref="T49:T63" si="19">S49/($Q$46-Y49)</f>
        <v>0.5</v>
      </c>
      <c r="U49" s="27">
        <f>'0205'!T4+'0305'!T4</f>
        <v>0</v>
      </c>
      <c r="V49" s="28">
        <f t="shared" ref="V49:V63" si="20">U49/($Q$46-Y49)</f>
        <v>0</v>
      </c>
      <c r="W49" s="27">
        <f>'0205'!U4+'0305'!U4</f>
        <v>0</v>
      </c>
      <c r="X49" s="28">
        <f t="shared" ref="X49:X63" si="21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8"/>
        <v>4</v>
      </c>
      <c r="S50" s="27">
        <f>'0205'!S5+'0305'!S5</f>
        <v>8</v>
      </c>
      <c r="T50" s="28">
        <f t="shared" si="19"/>
        <v>4</v>
      </c>
      <c r="U50" s="27">
        <f>'0205'!T5+'0305'!T5</f>
        <v>0</v>
      </c>
      <c r="V50" s="28">
        <f t="shared" si="20"/>
        <v>0</v>
      </c>
      <c r="W50" s="27">
        <f>'0205'!U5+'0305'!U5</f>
        <v>0</v>
      </c>
      <c r="X50" s="28">
        <f t="shared" si="21"/>
        <v>0</v>
      </c>
      <c r="Y50" s="40">
        <v>0</v>
      </c>
    </row>
    <row r="51" spans="8:25" ht="14.25" customHeight="1" x14ac:dyDescent="0.45">
      <c r="I51" s="33" t="s">
        <v>191</v>
      </c>
      <c r="P51" s="30" t="s">
        <v>65</v>
      </c>
      <c r="Q51" s="44">
        <f>'0205'!R6+'0305'!R6</f>
        <v>4</v>
      </c>
      <c r="R51" s="29">
        <f t="shared" si="18"/>
        <v>2</v>
      </c>
      <c r="S51" s="27">
        <f>'0205'!S6+'0305'!S6</f>
        <v>4</v>
      </c>
      <c r="T51" s="28">
        <f t="shared" si="19"/>
        <v>2</v>
      </c>
      <c r="U51" s="27">
        <f>'0205'!T6+'0305'!T6</f>
        <v>0</v>
      </c>
      <c r="V51" s="28">
        <f t="shared" si="20"/>
        <v>0</v>
      </c>
      <c r="W51" s="27">
        <f>'0205'!U6+'0305'!U6</f>
        <v>0</v>
      </c>
      <c r="X51" s="28">
        <f t="shared" si="21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8"/>
        <v>1.5</v>
      </c>
      <c r="S52" s="27">
        <f>'0205'!S7+'0305'!S7</f>
        <v>0</v>
      </c>
      <c r="T52" s="28">
        <f t="shared" si="19"/>
        <v>0</v>
      </c>
      <c r="U52" s="27">
        <f>'0205'!T7+'0305'!T7</f>
        <v>3</v>
      </c>
      <c r="V52" s="28">
        <f t="shared" si="20"/>
        <v>1.5</v>
      </c>
      <c r="W52" s="27">
        <f>'0205'!U7+'0305'!U7</f>
        <v>0</v>
      </c>
      <c r="X52" s="28">
        <f t="shared" si="21"/>
        <v>0</v>
      </c>
      <c r="Y52" s="40">
        <v>0</v>
      </c>
    </row>
    <row r="53" spans="8:25" ht="14.25" customHeight="1" x14ac:dyDescent="0.45">
      <c r="H53" s="33" t="s">
        <v>193</v>
      </c>
      <c r="I53" s="111" t="s">
        <v>192</v>
      </c>
      <c r="J53" s="68">
        <f>'Statistics LG'!S31</f>
        <v>0.44680851063829785</v>
      </c>
      <c r="K53" s="68">
        <f>'Statistics LG'!X31</f>
        <v>0.5</v>
      </c>
      <c r="L53" s="68">
        <f>AVERAGE(J53:K53)</f>
        <v>0.47340425531914893</v>
      </c>
      <c r="P53" s="30" t="s">
        <v>71</v>
      </c>
      <c r="Q53" s="44">
        <f>'0205'!R8+'0305'!R8</f>
        <v>1</v>
      </c>
      <c r="R53" s="29">
        <f t="shared" si="18"/>
        <v>0.5</v>
      </c>
      <c r="S53" s="27">
        <f>'0205'!S8+'0305'!S8</f>
        <v>0</v>
      </c>
      <c r="T53" s="28">
        <f t="shared" si="19"/>
        <v>0</v>
      </c>
      <c r="U53" s="27">
        <f>'0205'!T8+'0305'!T8</f>
        <v>1</v>
      </c>
      <c r="V53" s="28">
        <f t="shared" si="20"/>
        <v>0.5</v>
      </c>
      <c r="W53" s="27">
        <f>'0205'!U8+'0305'!U8</f>
        <v>0</v>
      </c>
      <c r="X53" s="28">
        <f t="shared" si="21"/>
        <v>0</v>
      </c>
      <c r="Y53" s="40">
        <v>0</v>
      </c>
    </row>
    <row r="54" spans="8:25" ht="14.25" customHeight="1" x14ac:dyDescent="0.45">
      <c r="H54" s="33" t="s">
        <v>194</v>
      </c>
      <c r="I54" s="68">
        <f>1-'Statistics LG'!S31</f>
        <v>0.55319148936170215</v>
      </c>
      <c r="J54" s="111" t="s">
        <v>192</v>
      </c>
      <c r="K54" s="68">
        <f>'Statistics WW'!R31</f>
        <v>0.48</v>
      </c>
      <c r="L54" s="68">
        <f>AVERAGE(I54:K54)</f>
        <v>0.51659574468085112</v>
      </c>
      <c r="P54" s="30" t="s">
        <v>75</v>
      </c>
      <c r="Q54" s="44">
        <f>'0205'!R9+'0305'!R9</f>
        <v>5</v>
      </c>
      <c r="R54" s="29">
        <f t="shared" si="18"/>
        <v>2.5</v>
      </c>
      <c r="S54" s="27">
        <f>'0205'!S9+'0305'!S9</f>
        <v>0</v>
      </c>
      <c r="T54" s="28">
        <f t="shared" si="19"/>
        <v>0</v>
      </c>
      <c r="U54" s="27">
        <f>'0205'!T9+'0305'!T9</f>
        <v>1</v>
      </c>
      <c r="V54" s="28">
        <f t="shared" si="20"/>
        <v>0.5</v>
      </c>
      <c r="W54" s="27">
        <f>'0205'!U9+'0305'!U9</f>
        <v>2</v>
      </c>
      <c r="X54" s="28">
        <f t="shared" si="21"/>
        <v>1</v>
      </c>
      <c r="Y54" s="40">
        <v>0</v>
      </c>
    </row>
    <row r="55" spans="8:25" ht="14.25" customHeight="1" x14ac:dyDescent="0.45">
      <c r="H55" s="33" t="s">
        <v>195</v>
      </c>
      <c r="I55" s="68">
        <f>1-K53</f>
        <v>0.5</v>
      </c>
      <c r="J55" s="68">
        <f>1-K54</f>
        <v>0.52</v>
      </c>
      <c r="K55" s="111" t="s">
        <v>192</v>
      </c>
      <c r="L55" s="68">
        <f>AVERAGE(I55:K55)</f>
        <v>0.51</v>
      </c>
      <c r="P55" s="30" t="s">
        <v>78</v>
      </c>
      <c r="Q55" s="44">
        <f>'0205'!R10+'0305'!R10</f>
        <v>3</v>
      </c>
      <c r="R55" s="29">
        <f t="shared" si="18"/>
        <v>1.5</v>
      </c>
      <c r="S55" s="27">
        <f>'0205'!S10+'0305'!S10</f>
        <v>1</v>
      </c>
      <c r="T55" s="28">
        <f t="shared" si="19"/>
        <v>0.5</v>
      </c>
      <c r="U55" s="27">
        <f>'0205'!T10+'0305'!T10</f>
        <v>2</v>
      </c>
      <c r="V55" s="28">
        <f t="shared" si="20"/>
        <v>1</v>
      </c>
      <c r="W55" s="27">
        <f>'0205'!U10+'0305'!U10</f>
        <v>0</v>
      </c>
      <c r="X55" s="28">
        <f t="shared" si="21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18"/>
        <v>2.5</v>
      </c>
      <c r="S56" s="27">
        <f>'0205'!S11+'0305'!S11</f>
        <v>2</v>
      </c>
      <c r="T56" s="28">
        <f t="shared" si="19"/>
        <v>1</v>
      </c>
      <c r="U56" s="27">
        <f>'0205'!T11+'0305'!T11</f>
        <v>3</v>
      </c>
      <c r="V56" s="28">
        <f t="shared" si="20"/>
        <v>1.5</v>
      </c>
      <c r="W56" s="27">
        <f>'0205'!U11+'0305'!U11</f>
        <v>0</v>
      </c>
      <c r="X56" s="28">
        <f t="shared" si="21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8"/>
        <v>2</v>
      </c>
      <c r="S57" s="27">
        <f>'0205'!S12+'0305'!S12</f>
        <v>1</v>
      </c>
      <c r="T57" s="28">
        <f t="shared" si="19"/>
        <v>0.5</v>
      </c>
      <c r="U57" s="27">
        <f>'0205'!T12+'0305'!T12</f>
        <v>3</v>
      </c>
      <c r="V57" s="28">
        <f t="shared" si="20"/>
        <v>1.5</v>
      </c>
      <c r="W57" s="27">
        <f>'0205'!U12+'0305'!U12</f>
        <v>0</v>
      </c>
      <c r="X57" s="28">
        <f t="shared" si="21"/>
        <v>0</v>
      </c>
      <c r="Y57" s="40">
        <v>0</v>
      </c>
    </row>
    <row r="58" spans="8:25" ht="14.25" customHeight="1" x14ac:dyDescent="0.45">
      <c r="P58" s="30" t="s">
        <v>188</v>
      </c>
      <c r="Q58" s="44">
        <f>'0205'!R13+'0305'!R13</f>
        <v>3</v>
      </c>
      <c r="R58" s="29">
        <f t="shared" si="18"/>
        <v>1.5</v>
      </c>
      <c r="S58" s="27">
        <f>'0205'!S13+'0305'!S13</f>
        <v>3</v>
      </c>
      <c r="T58" s="28">
        <f t="shared" si="19"/>
        <v>1.5</v>
      </c>
      <c r="U58" s="27">
        <f>'0205'!T13+'0305'!T13</f>
        <v>0</v>
      </c>
      <c r="V58" s="28">
        <f t="shared" si="20"/>
        <v>0</v>
      </c>
      <c r="W58" s="27">
        <f>'0205'!U13+'0305'!U13</f>
        <v>0</v>
      </c>
      <c r="X58" s="28">
        <f t="shared" si="21"/>
        <v>0</v>
      </c>
      <c r="Y58" s="40">
        <v>0</v>
      </c>
    </row>
    <row r="59" spans="8:25" ht="14.25" customHeight="1" x14ac:dyDescent="0.45">
      <c r="H59" s="122" t="s">
        <v>217</v>
      </c>
      <c r="P59" s="30" t="s">
        <v>187</v>
      </c>
      <c r="Q59" s="44">
        <f>'0205'!R14+'0305'!R14</f>
        <v>2</v>
      </c>
      <c r="R59" s="29">
        <f t="shared" si="18"/>
        <v>1</v>
      </c>
      <c r="S59" s="27">
        <f>'0205'!S14+'0305'!S14</f>
        <v>2</v>
      </c>
      <c r="T59" s="28">
        <f t="shared" si="19"/>
        <v>1</v>
      </c>
      <c r="U59" s="27">
        <f>'0205'!T14+'0305'!T14</f>
        <v>0</v>
      </c>
      <c r="V59" s="28">
        <f t="shared" si="20"/>
        <v>0</v>
      </c>
      <c r="W59" s="27">
        <f>'0205'!U14+'0305'!U14</f>
        <v>0</v>
      </c>
      <c r="X59" s="28">
        <f t="shared" si="21"/>
        <v>0</v>
      </c>
      <c r="Y59" s="40">
        <v>0</v>
      </c>
    </row>
    <row r="60" spans="8:25" ht="14.25" customHeight="1" x14ac:dyDescent="0.45">
      <c r="H60" s="122" t="s">
        <v>215</v>
      </c>
      <c r="P60" s="30" t="s">
        <v>85</v>
      </c>
      <c r="Q60" s="44">
        <f>'0205'!R15+'0305'!R15</f>
        <v>6</v>
      </c>
      <c r="R60" s="29">
        <f t="shared" si="18"/>
        <v>6</v>
      </c>
      <c r="S60" s="27">
        <f>'0205'!S15+'0305'!S15</f>
        <v>4</v>
      </c>
      <c r="T60" s="28">
        <f t="shared" si="19"/>
        <v>4</v>
      </c>
      <c r="U60" s="27">
        <f>'0205'!T15+'0305'!T15</f>
        <v>0</v>
      </c>
      <c r="V60" s="28">
        <f t="shared" si="20"/>
        <v>0</v>
      </c>
      <c r="W60" s="27">
        <f>'0205'!U15+'0305'!U15</f>
        <v>1</v>
      </c>
      <c r="X60" s="28">
        <f t="shared" si="21"/>
        <v>1</v>
      </c>
      <c r="Y60" s="40">
        <v>1</v>
      </c>
    </row>
    <row r="61" spans="8:25" ht="14.25" customHeight="1" x14ac:dyDescent="0.45">
      <c r="H61" s="122" t="s">
        <v>216</v>
      </c>
      <c r="P61" s="30" t="s">
        <v>86</v>
      </c>
      <c r="Q61" s="44">
        <f>'0205'!R16+'0305'!R16</f>
        <v>0</v>
      </c>
      <c r="R61" s="29">
        <f t="shared" si="18"/>
        <v>0</v>
      </c>
      <c r="S61" s="27">
        <f>'0205'!S16+'0305'!S16</f>
        <v>0</v>
      </c>
      <c r="T61" s="28">
        <f t="shared" si="19"/>
        <v>0</v>
      </c>
      <c r="U61" s="27">
        <f>'0205'!T16+'0305'!T16</f>
        <v>0</v>
      </c>
      <c r="V61" s="28">
        <f t="shared" si="20"/>
        <v>0</v>
      </c>
      <c r="W61" s="27">
        <f>'0205'!U16+'0305'!U16</f>
        <v>0</v>
      </c>
      <c r="X61" s="28">
        <f t="shared" si="21"/>
        <v>0</v>
      </c>
      <c r="Y61" s="40">
        <v>0</v>
      </c>
    </row>
    <row r="62" spans="8:25" ht="14.25" customHeight="1" x14ac:dyDescent="0.45">
      <c r="H62" s="122" t="s">
        <v>218</v>
      </c>
      <c r="P62" s="30" t="s">
        <v>87</v>
      </c>
      <c r="Q62" s="44">
        <f>'0205'!R17+'0305'!R17</f>
        <v>0</v>
      </c>
      <c r="R62" s="29">
        <f t="shared" si="18"/>
        <v>0</v>
      </c>
      <c r="S62" s="27">
        <f>'0205'!S17+'0305'!S17</f>
        <v>0</v>
      </c>
      <c r="T62" s="28">
        <f t="shared" si="19"/>
        <v>0</v>
      </c>
      <c r="U62" s="27">
        <f>'0205'!T17+'0305'!T17</f>
        <v>0</v>
      </c>
      <c r="V62" s="28">
        <f t="shared" si="20"/>
        <v>0</v>
      </c>
      <c r="W62" s="27">
        <f>'0205'!U17+'0305'!U17</f>
        <v>0</v>
      </c>
      <c r="X62" s="28">
        <f t="shared" si="21"/>
        <v>0</v>
      </c>
      <c r="Y62" s="40">
        <v>0</v>
      </c>
    </row>
    <row r="63" spans="8:25" ht="14.25" customHeight="1" x14ac:dyDescent="0.45">
      <c r="P63" s="53" t="s">
        <v>107</v>
      </c>
      <c r="Q63" s="44">
        <f>'0205'!R18+'0305'!R18</f>
        <v>2</v>
      </c>
      <c r="R63" s="29">
        <f t="shared" si="18"/>
        <v>1</v>
      </c>
      <c r="S63" s="27">
        <f>'0205'!S18+'0305'!S18</f>
        <v>2</v>
      </c>
      <c r="T63" s="28">
        <f t="shared" si="19"/>
        <v>1</v>
      </c>
      <c r="U63" s="27">
        <f>'0205'!T18+'0305'!T18</f>
        <v>0</v>
      </c>
      <c r="V63" s="28">
        <f t="shared" si="20"/>
        <v>0</v>
      </c>
      <c r="W63" s="27">
        <f>'0205'!U18+'0305'!U18</f>
        <v>0</v>
      </c>
      <c r="X63" s="28">
        <f t="shared" si="21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189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2">Q67/(Q$65-Y67)</f>
        <v>1.3333333333333333</v>
      </c>
      <c r="S67" s="27">
        <f>'0805'!$S3+'0905'!$S3+'1005'!$S3</f>
        <v>2</v>
      </c>
      <c r="T67" s="28">
        <f t="shared" ref="T67:T82" si="23">S67/($Q$65-Y67)</f>
        <v>0.66666666666666663</v>
      </c>
      <c r="U67" s="27">
        <f>'0805'!$T3+'0905'!$T3+'1005'!$T3</f>
        <v>2</v>
      </c>
      <c r="V67" s="28">
        <f t="shared" ref="V67:V82" si="24">U67/($Q$65-Y67)</f>
        <v>0.66666666666666663</v>
      </c>
      <c r="W67" s="27">
        <f>'0805'!$U3+'0905'!$U3+'1005'!$U3</f>
        <v>0</v>
      </c>
      <c r="X67" s="28">
        <f t="shared" ref="X67:X82" si="25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2"/>
        <v>1.3333333333333333</v>
      </c>
      <c r="S68" s="27">
        <f>'0805'!$S4+'0905'!$S4+'1005'!$S4</f>
        <v>4</v>
      </c>
      <c r="T68" s="28">
        <f t="shared" si="23"/>
        <v>1.3333333333333333</v>
      </c>
      <c r="U68" s="27">
        <f>'0805'!$T4+'0905'!$T4+'1005'!$T4</f>
        <v>0</v>
      </c>
      <c r="V68" s="28">
        <f t="shared" si="24"/>
        <v>0</v>
      </c>
      <c r="W68" s="27">
        <f>'0805'!$U4+'0905'!$U4+'1005'!$U4</f>
        <v>0</v>
      </c>
      <c r="X68" s="28">
        <f t="shared" si="25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2"/>
        <v>2</v>
      </c>
      <c r="S69" s="27">
        <f>'0805'!$S5+'0905'!$S5+'1005'!$S5</f>
        <v>2</v>
      </c>
      <c r="T69" s="28">
        <f t="shared" si="23"/>
        <v>2</v>
      </c>
      <c r="U69" s="27">
        <f>'0805'!$T5+'0905'!$T5+'1005'!$T5</f>
        <v>0</v>
      </c>
      <c r="V69" s="28">
        <f t="shared" si="24"/>
        <v>0</v>
      </c>
      <c r="W69" s="27">
        <f>'0805'!$U5+'0905'!$U5+'1005'!$U5</f>
        <v>0</v>
      </c>
      <c r="X69" s="28">
        <f t="shared" si="25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2"/>
        <v>6.333333333333333</v>
      </c>
      <c r="S70" s="27">
        <f>'0805'!$S6+'0905'!$S6+'1005'!$S6</f>
        <v>17</v>
      </c>
      <c r="T70" s="28">
        <f t="shared" si="23"/>
        <v>5.666666666666667</v>
      </c>
      <c r="U70" s="27">
        <f>'0805'!$T6+'0905'!$T6+'1005'!$T6</f>
        <v>2</v>
      </c>
      <c r="V70" s="28">
        <f t="shared" si="24"/>
        <v>0.66666666666666663</v>
      </c>
      <c r="W70" s="27">
        <f>'0805'!$U6+'0905'!$U6+'1005'!$U6</f>
        <v>0</v>
      </c>
      <c r="X70" s="28">
        <f t="shared" si="25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2"/>
        <v>3.6666666666666665</v>
      </c>
      <c r="S71" s="27">
        <f>'0805'!$S7+'0905'!$S7+'1005'!$S7</f>
        <v>2</v>
      </c>
      <c r="T71" s="28">
        <f t="shared" si="23"/>
        <v>0.66666666666666663</v>
      </c>
      <c r="U71" s="27">
        <f>'0805'!$T7+'0905'!$T7+'1005'!$T7</f>
        <v>9</v>
      </c>
      <c r="V71" s="28">
        <f t="shared" si="24"/>
        <v>3</v>
      </c>
      <c r="W71" s="27">
        <f>'0805'!$U7+'0905'!$U7+'1005'!$U7</f>
        <v>0</v>
      </c>
      <c r="X71" s="28">
        <f t="shared" si="25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2"/>
        <v>#DIV/0!</v>
      </c>
      <c r="S72" s="27">
        <f>'0805'!$S8+'0905'!$S8+'1005'!$S8</f>
        <v>0</v>
      </c>
      <c r="T72" s="28" t="e">
        <f t="shared" si="23"/>
        <v>#DIV/0!</v>
      </c>
      <c r="U72" s="27">
        <f>'0805'!$T8+'0905'!$T8+'1005'!$T8</f>
        <v>0</v>
      </c>
      <c r="V72" s="28" t="e">
        <f t="shared" si="24"/>
        <v>#DIV/0!</v>
      </c>
      <c r="W72" s="27">
        <f>'0805'!$U8+'0905'!$U8+'1005'!$U8</f>
        <v>0</v>
      </c>
      <c r="X72" s="28" t="e">
        <f t="shared" si="25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2"/>
        <v>1.3333333333333333</v>
      </c>
      <c r="S73" s="27">
        <f>'0805'!$S9+'0905'!$S9+'1005'!$S9</f>
        <v>2</v>
      </c>
      <c r="T73" s="28">
        <f t="shared" si="23"/>
        <v>0.66666666666666663</v>
      </c>
      <c r="U73" s="27">
        <f>'0805'!$T9+'0905'!$T9+'1005'!$T9</f>
        <v>0</v>
      </c>
      <c r="V73" s="28">
        <f t="shared" si="24"/>
        <v>0</v>
      </c>
      <c r="W73" s="27">
        <f>'0805'!$U9+'0905'!$U9+'1005'!$U9</f>
        <v>1</v>
      </c>
      <c r="X73" s="28">
        <f t="shared" si="25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2"/>
        <v>3.3333333333333335</v>
      </c>
      <c r="S74" s="27">
        <f>'0805'!$S10+'0905'!$S10+'1005'!$S10</f>
        <v>4</v>
      </c>
      <c r="T74" s="28">
        <f t="shared" si="23"/>
        <v>1.3333333333333333</v>
      </c>
      <c r="U74" s="27">
        <f>'0805'!$T10+'0905'!$T10+'1005'!$T10</f>
        <v>6</v>
      </c>
      <c r="V74" s="28">
        <f t="shared" si="24"/>
        <v>2</v>
      </c>
      <c r="W74" s="27">
        <f>'0805'!$U10+'0905'!$U10+'1005'!$U10</f>
        <v>0</v>
      </c>
      <c r="X74" s="28">
        <f t="shared" si="25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2"/>
        <v>3</v>
      </c>
      <c r="S75" s="27">
        <f>'0805'!$S11+'0905'!$S11+'1005'!$S11</f>
        <v>0</v>
      </c>
      <c r="T75" s="28">
        <f t="shared" si="23"/>
        <v>0</v>
      </c>
      <c r="U75" s="27">
        <f>'0805'!$T11+'0905'!$T11+'1005'!$T11</f>
        <v>9</v>
      </c>
      <c r="V75" s="28">
        <f t="shared" si="24"/>
        <v>3</v>
      </c>
      <c r="W75" s="27">
        <f>'0805'!$U11+'0905'!$U11+'1005'!$U11</f>
        <v>0</v>
      </c>
      <c r="X75" s="28">
        <f t="shared" si="25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2"/>
        <v>0.66666666666666663</v>
      </c>
      <c r="S76" s="27">
        <f>'0805'!$S12+'0905'!$S12+'1005'!$S12</f>
        <v>0</v>
      </c>
      <c r="T76" s="28">
        <f t="shared" si="23"/>
        <v>0</v>
      </c>
      <c r="U76" s="27">
        <f>'0805'!$T12+'0905'!$T12+'1005'!$T12</f>
        <v>2</v>
      </c>
      <c r="V76" s="28">
        <f t="shared" si="24"/>
        <v>0.66666666666666663</v>
      </c>
      <c r="W76" s="27">
        <f>'0805'!$U12+'0905'!$U12+'1005'!$U12</f>
        <v>0</v>
      </c>
      <c r="X76" s="28">
        <f t="shared" si="25"/>
        <v>0</v>
      </c>
      <c r="Y76" s="40">
        <v>0</v>
      </c>
    </row>
    <row r="77" spans="16:25" ht="14.25" customHeight="1" x14ac:dyDescent="0.45">
      <c r="P77" s="30" t="s">
        <v>188</v>
      </c>
      <c r="Q77" s="44">
        <f>'0805'!$R13+'0905'!$R13+'1005'!$R13</f>
        <v>0</v>
      </c>
      <c r="R77" s="29">
        <f t="shared" si="22"/>
        <v>0</v>
      </c>
      <c r="S77" s="27">
        <f>'0805'!$S13+'0905'!$S13+'1005'!$S13</f>
        <v>0</v>
      </c>
      <c r="T77" s="28">
        <f t="shared" si="23"/>
        <v>0</v>
      </c>
      <c r="U77" s="27">
        <f>'0805'!$T13+'0905'!$T13+'1005'!$T13</f>
        <v>0</v>
      </c>
      <c r="V77" s="28">
        <f t="shared" si="24"/>
        <v>0</v>
      </c>
      <c r="W77" s="27">
        <f>'0805'!$U13+'0905'!$U13+'1005'!$U13</f>
        <v>0</v>
      </c>
      <c r="X77" s="28">
        <f t="shared" si="25"/>
        <v>0</v>
      </c>
      <c r="Y77" s="40">
        <v>2</v>
      </c>
    </row>
    <row r="78" spans="16:25" ht="14.25" customHeight="1" x14ac:dyDescent="0.45">
      <c r="P78" s="30" t="s">
        <v>187</v>
      </c>
      <c r="Q78" s="44">
        <f>'0805'!$R14+'0905'!$R14+'1005'!$R14</f>
        <v>3</v>
      </c>
      <c r="R78" s="29">
        <f t="shared" si="22"/>
        <v>1</v>
      </c>
      <c r="S78" s="27">
        <f>'0805'!$S14+'0905'!$S14+'1005'!$S14</f>
        <v>1</v>
      </c>
      <c r="T78" s="28">
        <f t="shared" si="23"/>
        <v>0.33333333333333331</v>
      </c>
      <c r="U78" s="27">
        <f>'0805'!$T14+'0905'!$T14+'1005'!$T14</f>
        <v>2</v>
      </c>
      <c r="V78" s="28">
        <f t="shared" si="24"/>
        <v>0.66666666666666663</v>
      </c>
      <c r="W78" s="27">
        <f>'0805'!$U14+'0905'!$U14+'1005'!$U14</f>
        <v>0</v>
      </c>
      <c r="X78" s="28">
        <f t="shared" si="25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2"/>
        <v>4</v>
      </c>
      <c r="S79" s="27">
        <f>'0805'!$S15+'0905'!$S15+'1005'!$S15</f>
        <v>2</v>
      </c>
      <c r="T79" s="28">
        <f t="shared" si="23"/>
        <v>2</v>
      </c>
      <c r="U79" s="27">
        <f>'0805'!$T15+'0905'!$T15+'1005'!$T15</f>
        <v>0</v>
      </c>
      <c r="V79" s="28">
        <f t="shared" si="24"/>
        <v>0</v>
      </c>
      <c r="W79" s="27">
        <f>'0805'!$U15+'0905'!$U15+'1005'!$U15</f>
        <v>1</v>
      </c>
      <c r="X79" s="28">
        <f t="shared" si="25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2"/>
        <v>0.33333333333333331</v>
      </c>
      <c r="S80" s="27">
        <f>'0805'!$S16+'0905'!$S16+'1005'!$S16</f>
        <v>1</v>
      </c>
      <c r="T80" s="28">
        <f t="shared" si="23"/>
        <v>0.33333333333333331</v>
      </c>
      <c r="U80" s="27">
        <f>'0805'!$T16+'0905'!$T16+'1005'!$T16</f>
        <v>0</v>
      </c>
      <c r="V80" s="28">
        <f t="shared" si="24"/>
        <v>0</v>
      </c>
      <c r="W80" s="27">
        <f>'0805'!$U16+'0905'!$U16+'1005'!$U16</f>
        <v>0</v>
      </c>
      <c r="X80" s="28">
        <f t="shared" si="25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2"/>
        <v>1</v>
      </c>
      <c r="S81" s="27">
        <f>'0805'!$S17+'0905'!$S17+'1005'!$S17</f>
        <v>2</v>
      </c>
      <c r="T81" s="28">
        <f t="shared" si="23"/>
        <v>0.66666666666666663</v>
      </c>
      <c r="U81" s="27">
        <f>'0805'!$T17+'0905'!$T17+'1005'!$T17</f>
        <v>1</v>
      </c>
      <c r="V81" s="28">
        <f t="shared" si="24"/>
        <v>0.33333333333333331</v>
      </c>
      <c r="W81" s="27">
        <f>'0805'!$U17+'0905'!$U17+'1005'!$U17</f>
        <v>0</v>
      </c>
      <c r="X81" s="28">
        <f t="shared" si="25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2"/>
        <v>0</v>
      </c>
      <c r="S82" s="27">
        <f>'0805'!$S18+'0905'!$S18+'1005'!$S18</f>
        <v>0</v>
      </c>
      <c r="T82" s="28">
        <f t="shared" si="23"/>
        <v>0</v>
      </c>
      <c r="U82" s="27">
        <f>'0805'!$T18+'0905'!$T18+'1005'!$T18</f>
        <v>0</v>
      </c>
      <c r="V82" s="28">
        <f t="shared" si="24"/>
        <v>0</v>
      </c>
      <c r="W82" s="27">
        <f>'0805'!$U18+'0905'!$U18+'1005'!$U18</f>
        <v>0</v>
      </c>
      <c r="X82" s="28">
        <f t="shared" si="25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2" type="noConversion"/>
  <conditionalFormatting sqref="AE8:AE23">
    <cfRule type="cellIs" dxfId="15" priority="9" operator="lessThan">
      <formula>$AE$6</formula>
    </cfRule>
    <cfRule type="cellIs" dxfId="14" priority="10" operator="greaterThan">
      <formula>$AE$6</formula>
    </cfRule>
  </conditionalFormatting>
  <conditionalFormatting sqref="AC8:AC23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workbookViewId="0"/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163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205</v>
      </c>
      <c r="F3" s="40" t="s">
        <v>206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187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167</v>
      </c>
      <c r="AF3" s="59" t="s">
        <v>9</v>
      </c>
      <c r="AG3" s="60" t="s">
        <v>164</v>
      </c>
      <c r="AH3" s="60" t="s">
        <v>10</v>
      </c>
      <c r="AI3" s="60" t="s">
        <v>165</v>
      </c>
      <c r="AJ3" s="59" t="s">
        <v>11</v>
      </c>
      <c r="AK3" s="60" t="s">
        <v>166</v>
      </c>
      <c r="AL3" s="60" t="s">
        <v>183</v>
      </c>
      <c r="AN3" t="s">
        <v>184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43</v>
      </c>
      <c r="I4" s="1">
        <f>SUM(C4:C30)</f>
        <v>48</v>
      </c>
      <c r="J4" s="1">
        <f>SUM(D4:D30)</f>
        <v>14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</f>
        <v>2</v>
      </c>
      <c r="AG4" s="115">
        <f>Table2[[#This Row],[Finishes]]/($AE$2-Table2[[#This Row],[DNP]])</f>
        <v>0.2857142857142857</v>
      </c>
      <c r="AH4" s="63">
        <f>'2404'!AD3+'2604'!AD3+'0205'!AD3+'0305'!AD3+'0805'!AD3+'0905'!AD3+'1005'!AD3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0.4285714285714286</v>
      </c>
      <c r="AO4" s="57">
        <f>Table2[[#This Row],[Avg P]]/(Table2[[#This Row],[Avg P]]+AN4)</f>
        <v>0.39999999999999997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202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170</v>
      </c>
      <c r="V5" s="55" t="s">
        <v>172</v>
      </c>
      <c r="X5" s="17">
        <f>COUNTIF('2604'!$X$4:$X$26,"LG/5M")</f>
        <v>2</v>
      </c>
      <c r="Y5" s="17">
        <f>COUNTIF('2604'!$Z$4:$Z$26,"5M/LG")</f>
        <v>1</v>
      </c>
      <c r="Z5" s="55" t="s">
        <v>171</v>
      </c>
      <c r="AA5" s="55" t="s">
        <v>188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</f>
        <v>2</v>
      </c>
      <c r="AG5" s="115">
        <f>Table2[[#This Row],[Finishes]]/($AE$2-Table2[[#This Row],[DNP]])</f>
        <v>0.33333333333333331</v>
      </c>
      <c r="AH5" s="63">
        <f>'2404'!AD4+'2604'!AD4+'0205'!AD4+'0305'!AD4+'0805'!AD4+'0905'!AD4+'1005'!AD4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0.5</v>
      </c>
      <c r="AO5" s="57">
        <f>Table2[[#This Row],[Avg P]]/(Table2[[#This Row],[Avg P]]+AN5)</f>
        <v>0.4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203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177</v>
      </c>
      <c r="AA6" s="17" t="s">
        <v>178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</f>
        <v>10</v>
      </c>
      <c r="AG6" s="115">
        <f>Table2[[#This Row],[Finishes]]/($AE$2-Table2[[#This Row],[DNP]])</f>
        <v>2</v>
      </c>
      <c r="AH6" s="63">
        <f>'2404'!AD5+'2604'!AD5+'0205'!AD5+'0305'!AD5+'0805'!AD5+'0905'!AD5+'1005'!AD5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</f>
        <v>0</v>
      </c>
      <c r="AK6" s="64">
        <f>Table2[[#This Row],[Threes]]/($AE$2-Table2[[#This Row],[DNP]])</f>
        <v>0</v>
      </c>
      <c r="AL6" s="91">
        <f>'Stats Global'!Z10</f>
        <v>2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170</v>
      </c>
      <c r="V7" s="17" t="s">
        <v>181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17</v>
      </c>
      <c r="AE7" s="62">
        <f>Table2[[#This Row],[Points]]/($AE$2-Table2[[#This Row],[DNP]])</f>
        <v>2.4285714285714284</v>
      </c>
      <c r="AF7" s="63">
        <f>'2404'!AC6+'2604'!AC6+'0205'!AC6+'0305'!AC6+'0805'!AC6+'0905'!AC6+'1005'!AC6</f>
        <v>16</v>
      </c>
      <c r="AG7" s="115">
        <f>Table2[[#This Row],[Finishes]]/($AE$2-Table2[[#This Row],[DNP]])</f>
        <v>2.2857142857142856</v>
      </c>
      <c r="AH7" s="63">
        <f>'2404'!AD6+'2604'!AD6+'0205'!AD6+'0305'!AD6+'0805'!AD6+'0905'!AD6+'1005'!AD6</f>
        <v>1</v>
      </c>
      <c r="AI7" s="115">
        <f>Table2[[#This Row],[Midranges]]/($AE$2-Table2[[#This Row],[DNP]])</f>
        <v>0.14285714285714285</v>
      </c>
      <c r="AJ7" s="63">
        <f>'2404'!AE6+'2604'!AE6+'0205'!AE6+'0305'!AE6+'0805'!AE6+'0905'!AE6+'1005'!AE6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1.285714285714286</v>
      </c>
      <c r="AO7" s="57">
        <f>Table2[[#This Row],[Avg P]]/(Table2[[#This Row],[Avg P]]+AN7)</f>
        <v>0.65384615384615374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190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7</v>
      </c>
      <c r="AE8" s="62">
        <f>Table2[[#This Row],[Points]]/($AE$2-Table2[[#This Row],[DNP]])</f>
        <v>1</v>
      </c>
      <c r="AF8" s="63">
        <f>'2404'!AC7+'2604'!AC7+'0205'!AC7+'0305'!AC7+'0805'!AC7+'0905'!AC7+'1005'!AC7</f>
        <v>2</v>
      </c>
      <c r="AG8" s="115">
        <f>Table2[[#This Row],[Finishes]]/($AE$2-Table2[[#This Row],[DNP]])</f>
        <v>0.2857142857142857</v>
      </c>
      <c r="AH8" s="63">
        <f>'2404'!AD7+'2604'!AD7+'0205'!AD7+'0305'!AD7+'0805'!AD7+'0905'!AD7+'1005'!AD7</f>
        <v>5</v>
      </c>
      <c r="AI8" s="115">
        <f>Table2[[#This Row],[Midranges]]/($AE$2-Table2[[#This Row],[DNP]])</f>
        <v>0.7142857142857143</v>
      </c>
      <c r="AJ8" s="63">
        <f>'2404'!AE7+'2604'!AE7+'0205'!AE7+'0305'!AE7+'0805'!AE7+'0905'!AE7+'1005'!AE7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1.1428571428571428</v>
      </c>
      <c r="AO8" s="57">
        <f>Table2[[#This Row],[Avg P]]/(Table2[[#This Row],[Avg P]]+AN8)</f>
        <v>0.46666666666666667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204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196</v>
      </c>
      <c r="AA9" s="17" t="s">
        <v>170</v>
      </c>
      <c r="AC9" s="3" t="s">
        <v>51</v>
      </c>
      <c r="AD9" s="61">
        <f>Table2[[#This Row],[Finishes]]+Table2[[#This Row],[Midranges]]+Table2[[#This Row],[Threes]]+Table2[[#This Row],[Threes]]</f>
        <v>0</v>
      </c>
      <c r="AE9" s="62">
        <f>Table2[[#This Row],[Points]]/($AE$2-Table2[[#This Row],[DNP]])</f>
        <v>0</v>
      </c>
      <c r="AF9" s="63">
        <f>'2404'!AC8+'2604'!AC8+'0205'!AC8+'0305'!AC8+'0805'!AC8+'0905'!AC8+'1005'!AC8</f>
        <v>0</v>
      </c>
      <c r="AG9" s="115">
        <f>Table2[[#This Row],[Finishes]]/($AE$2-Table2[[#This Row],[DNP]])</f>
        <v>0</v>
      </c>
      <c r="AH9" s="63">
        <f>'2404'!AD8+'2604'!AD8+'0205'!AD8+'0305'!AD8+'0805'!AD8+'0905'!AD8+'1005'!AD8</f>
        <v>0</v>
      </c>
      <c r="AI9" s="115">
        <f>Table2[[#This Row],[Midranges]]/($AE$2-Table2[[#This Row],[DNP]])</f>
        <v>0</v>
      </c>
      <c r="AJ9" s="63">
        <f>'2404'!AE8+'2604'!AE8+'0205'!AE8+'0305'!AE8+'0805'!AE8+'0905'!AE8+'1005'!AE8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0.75</v>
      </c>
      <c r="AO9" s="57">
        <f>Table2[[#This Row],[Avg P]]/(Table2[[#This Row],[Avg P]]+AN9)</f>
        <v>0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1.2857142857142858</v>
      </c>
      <c r="AO10" s="102"/>
    </row>
    <row r="11" spans="1:41" ht="14.35" customHeight="1" x14ac:dyDescent="0.45">
      <c r="A11" s="4"/>
      <c r="B11" s="16"/>
      <c r="C11" s="16"/>
      <c r="D11" s="16"/>
      <c r="I11" s="1" t="s">
        <v>115</v>
      </c>
      <c r="J11" s="18"/>
      <c r="L11" s="17"/>
      <c r="M11" s="17"/>
      <c r="N11" s="17"/>
      <c r="O11" s="17"/>
      <c r="P11" s="17"/>
      <c r="Q11" s="17"/>
      <c r="S11" s="17"/>
      <c r="T11" s="17"/>
      <c r="U11" s="17"/>
      <c r="V11" s="17"/>
      <c r="X11" s="17"/>
      <c r="Y11" s="17"/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1.8571428571428572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</f>
        <v>4</v>
      </c>
      <c r="AI12" s="115">
        <f>Table2[[#This Row],[Midranges]]/($AE$2-Table2[[#This Row],[DNP]])</f>
        <v>0.66666666666666663</v>
      </c>
      <c r="AJ12" s="63">
        <f>'2404'!AE11+'2604'!AE11+'0205'!AE11+'0305'!AE11+'0805'!AE11+'0905'!AE11+'1005'!AE11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2</v>
      </c>
      <c r="AO12" s="57">
        <f>Table2[[#This Row],[Avg P]]/(Table2[[#This Row],[Avg P]]+AN12)</f>
        <v>0.25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</f>
        <v>1</v>
      </c>
      <c r="AG13" s="115">
        <f>Table2[[#This Row],[Finishes]]/($AE$2-Table2[[#This Row],[DNP]])</f>
        <v>0.14285714285714285</v>
      </c>
      <c r="AH13" s="63">
        <f>'2404'!AD12+'2604'!AD12+'0205'!AD12+'0305'!AD12+'0805'!AD12+'0905'!AD12+'1005'!AD12</f>
        <v>2</v>
      </c>
      <c r="AI13" s="115">
        <f>Table2[[#This Row],[Midranges]]/($AE$2-Table2[[#This Row],[DNP]])</f>
        <v>0.2857142857142857</v>
      </c>
      <c r="AJ13" s="63">
        <f>'2404'!AE12+'2604'!AE12+'0205'!AE12+'0305'!AE12+'0805'!AE12+'0905'!AE12+'1005'!AE12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0.42857142857142855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1">
        <f>'2404'!AC13+'2604'!AC13+'0205'!AC13+'0305'!AC13+'0805'!AC13+'0905'!AC13+'1005'!AC13</f>
        <v>3</v>
      </c>
      <c r="AG14" s="117">
        <f>Table2[[#This Row],[Finishes]]/($AE$2-Table2[[#This Row],[DNP]])</f>
        <v>0.6</v>
      </c>
      <c r="AH14" s="91">
        <f>'2404'!AD13+'2604'!AD13+'0205'!AD13+'0305'!AD13+'0805'!AD13+'0905'!AD13+'1005'!AD13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0.79999999999999993</v>
      </c>
      <c r="AO14" s="57">
        <f>Table2[[#This Row],[Avg P]]/(Table2[[#This Row],[Avg P]]+AN14)</f>
        <v>0.4285714285714286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0.7142857142857143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3.5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0</v>
      </c>
      <c r="AE17" s="62">
        <f>Table2[[#This Row],[Points]]/($AE$2-Table2[[#This Row],[DNP]])</f>
        <v>0</v>
      </c>
      <c r="AF17" s="91">
        <f>'2404'!AC16+'2604'!AC16+'0205'!AC16+'0305'!AC16+'0805'!AC16+'0905'!AC16+'1005'!AC16</f>
        <v>0</v>
      </c>
      <c r="AG17" s="117">
        <f>Table2[[#This Row],[Finishes]]/($AE$2-Table2[[#This Row],[DNP]])</f>
        <v>0</v>
      </c>
      <c r="AH17" s="91">
        <f>'2404'!AD16+'2604'!AD16+'0205'!AD16+'0305'!AD16+'0805'!AD16+'0905'!AD16+'1005'!AD16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0.14285714285714285</v>
      </c>
      <c r="AO17" s="57">
        <f>Table2[[#This Row],[Avg P]]/(Table2[[#This Row],[Avg P]]+AN17)</f>
        <v>0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0.5714285714285714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0.42857142857142855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185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186</v>
      </c>
      <c r="AD23" s="109" t="s">
        <v>170</v>
      </c>
      <c r="AE23" s="110" t="s">
        <v>78</v>
      </c>
      <c r="AF23" s="109" t="s">
        <v>187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187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187</v>
      </c>
      <c r="AE26" s="107" t="s">
        <v>75</v>
      </c>
      <c r="AF26" s="106" t="s">
        <v>75</v>
      </c>
      <c r="AG26" s="107" t="s">
        <v>187</v>
      </c>
      <c r="AH26" s="106" t="s">
        <v>187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170</v>
      </c>
      <c r="AF28" s="106" t="s">
        <v>170</v>
      </c>
      <c r="AG28" s="107" t="s">
        <v>170</v>
      </c>
      <c r="AH28" s="106" t="s">
        <v>170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21</v>
      </c>
      <c r="T30" s="17">
        <f t="shared" si="0"/>
        <v>26</v>
      </c>
      <c r="U30" s="17"/>
      <c r="V30" s="17"/>
      <c r="X30" s="17">
        <f t="shared" ref="X30:Y30" si="1">SUM(X4:X29)</f>
        <v>22</v>
      </c>
      <c r="Y30" s="17">
        <f t="shared" si="1"/>
        <v>22</v>
      </c>
      <c r="Z30" s="17"/>
      <c r="AA30" s="17"/>
      <c r="AC30" s="108" t="s">
        <v>186</v>
      </c>
      <c r="AD30" s="109" t="s">
        <v>170</v>
      </c>
      <c r="AE30" s="110" t="s">
        <v>78</v>
      </c>
      <c r="AF30" s="109" t="s">
        <v>187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0.44680851063829785</v>
      </c>
      <c r="X31" s="22">
        <f>X30/(Y30+X30)</f>
        <v>0.5</v>
      </c>
      <c r="AC31" s="105" t="s">
        <v>170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"PartA":[43,48],</v>
      </c>
      <c r="M32" s="1"/>
      <c r="N32" s="1"/>
      <c r="O32" s="1"/>
      <c r="P32" s="1"/>
      <c r="Q32" s="1"/>
      <c r="R32" t="s">
        <v>197</v>
      </c>
      <c r="T32" t="s">
        <v>201</v>
      </c>
      <c r="V32" s="66">
        <f>ROUND(SUM('Stats Global'!Q14:Q15,'Stats Global'!Q19:Q20,'Stats Global'!Q22:Q23)/COUNT(B4:B40),1)</f>
        <v>6.9</v>
      </c>
      <c r="X32" s="22"/>
      <c r="AC32" s="105" t="s">
        <v>62</v>
      </c>
      <c r="AD32" s="104" t="s">
        <v>78</v>
      </c>
      <c r="AE32" s="105" t="s">
        <v>187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Kim",3,"Clarrie Jones"],</v>
      </c>
      <c r="R33" t="s">
        <v>198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42">
        <f>ROUND(SUM('Stats Global'!S14:S15,'Stats Global'!S19:S20,'Stats Global'!S22:S23)/COUNT(B4:B40),1)</f>
        <v>3.7</v>
      </c>
      <c r="AC33" s="105" t="s">
        <v>188</v>
      </c>
      <c r="AD33" s="104" t="s">
        <v>187</v>
      </c>
      <c r="AE33" s="105" t="s">
        <v>75</v>
      </c>
      <c r="AF33" s="104" t="s">
        <v>75</v>
      </c>
      <c r="AG33" s="105" t="s">
        <v>187</v>
      </c>
      <c r="AH33" s="104" t="s">
        <v>187</v>
      </c>
    </row>
    <row r="34" spans="12:34" ht="14.25" customHeight="1" x14ac:dyDescent="0.45">
      <c r="L34" t="str">
        <f>R34&amp;V32&amp;","&amp;V33&amp;","&amp;V34&amp;","&amp;V35&amp;","&amp;V36&amp;","&amp;V37&amp;"],"</f>
        <v>"PartC":[6.9,3.7,1.7,0.7,6.1,6.9],</v>
      </c>
      <c r="R34" t="s">
        <v>199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42">
        <f>ROUND(SUM('Stats Global'!U14:U15,'Stats Global'!U19:U20,'Stats Global'!U22:U23)/COUNT(B4:B40),1)</f>
        <v>1.7</v>
      </c>
      <c r="AC34" s="105" t="s">
        <v>55</v>
      </c>
      <c r="AD34" s="104" t="s">
        <v>87</v>
      </c>
      <c r="AE34" s="105" t="s">
        <v>170</v>
      </c>
      <c r="AF34" s="104" t="s">
        <v>170</v>
      </c>
      <c r="AG34" s="105" t="s">
        <v>170</v>
      </c>
      <c r="AH34" s="104" t="s">
        <v>170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"PartD":[21,26,44.7,22,22,50],</v>
      </c>
      <c r="R35" t="s">
        <v>200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42">
        <f>ROUND(SUM('Stats Global'!W14:W15,'Stats Global'!W19:W20,'Stats Global'!W22:W23)/COUNT(B4:B40),1)</f>
        <v>0.7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3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1" priority="1" operator="lessThan">
      <formula>0.3333</formula>
    </cfRule>
    <cfRule type="cellIs" dxfId="10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/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205</v>
      </c>
      <c r="F3" s="40" t="s">
        <v>206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50</v>
      </c>
      <c r="I4" s="24">
        <f>SUM(C4:C30)</f>
        <v>47</v>
      </c>
      <c r="J4" s="24">
        <f>SUM(D4:D30)</f>
        <v>11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208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209</v>
      </c>
      <c r="F7" s="40" t="s">
        <v>211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210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/>
      <c r="B11" s="16"/>
      <c r="C11" s="16"/>
      <c r="D11" s="16"/>
      <c r="I11" s="24" t="s">
        <v>115</v>
      </c>
      <c r="J11" s="18"/>
      <c r="L11" s="17"/>
      <c r="M11" s="17"/>
      <c r="N11" s="17"/>
      <c r="O11" s="17"/>
      <c r="P11" s="17"/>
      <c r="R11" s="17"/>
      <c r="S11" s="17"/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24</v>
      </c>
      <c r="S30" s="17">
        <f t="shared" si="0"/>
        <v>26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0.48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"PartA":[50,47],</v>
      </c>
      <c r="M32" s="24"/>
      <c r="N32" s="24"/>
      <c r="O32" s="24"/>
      <c r="P32" s="24"/>
      <c r="Q32" s="24"/>
      <c r="R32" s="40" t="s">
        <v>197</v>
      </c>
      <c r="T32" s="40" t="s">
        <v>201</v>
      </c>
      <c r="V32" s="66">
        <f>ROUND(SUM('Stats Global'!Q9,'Stats Global'!Q11:Q13,'Stats Global'!Q21)/COUNT(B4:B40),1)</f>
        <v>7.1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"PartB":[26,"Rudy Hoschke",24,"Rudy Hoschke",12,"Michael Iffland",0,"N/A"],</v>
      </c>
      <c r="R33" s="40" t="s">
        <v>198</v>
      </c>
      <c r="T33" s="42">
        <f>MAX('Stats Global'!Q9,'Stats Global'!Q11:Q13,'Stats Global'!Q21)</f>
        <v>26</v>
      </c>
      <c r="U33" s="40" t="s">
        <v>44</v>
      </c>
      <c r="V33" s="66">
        <f>ROUND(SUM('Stats Global'!S9,'Stats Global'!S11:S13,'Stats Global'!S21)/COUNT(B4:B40),1)</f>
        <v>5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"PartC":[7.1,5,2.1,0,7.1,6.7],</v>
      </c>
      <c r="R34" s="40" t="s">
        <v>199</v>
      </c>
      <c r="T34" s="42">
        <f>MAX('Stats Global'!S9,'Stats Global'!S11:S13,'Stats Global'!S21)</f>
        <v>24</v>
      </c>
      <c r="U34" s="40" t="s">
        <v>44</v>
      </c>
      <c r="V34" s="66">
        <f>ROUND(SUM('Stats Global'!U9,'Stats Global'!U11:U13,'Stats Global'!U21)/COUNT(B4:B40),1)</f>
        <v>2.1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"PartD":[26,21,55.3,24,26,48],</v>
      </c>
      <c r="R35" s="40" t="s">
        <v>200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Global'!W21)/COUNT(B4:B40),1)</f>
        <v>0</v>
      </c>
    </row>
    <row r="36" spans="12:22" ht="14.25" customHeight="1" x14ac:dyDescent="0.45">
      <c r="T36" s="42">
        <f>MAX('Stats Global'!W9,'Stats Global'!W11:W13,'Stats Global'!W21)</f>
        <v>0</v>
      </c>
      <c r="U36" s="40" t="s">
        <v>207</v>
      </c>
      <c r="V36" s="40">
        <f>ROUND(H4/COUNT(B4:B40),1)</f>
        <v>7.1</v>
      </c>
    </row>
    <row r="37" spans="12:22" ht="14.25" customHeight="1" x14ac:dyDescent="0.45">
      <c r="V37" s="40">
        <f>ROUND(I4/COUNT(B4:B40),1)</f>
        <v>6.7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workbookViewId="0">
      <selection activeCell="H29" sqref="H29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205</v>
      </c>
      <c r="F3" s="40" t="s">
        <v>206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188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48</v>
      </c>
      <c r="H4" s="24">
        <f>SUM(C4:C30)</f>
        <v>46</v>
      </c>
      <c r="I4" s="24">
        <f>SUM(D4:D30)</f>
        <v>17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213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212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214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/>
      <c r="B11" s="16"/>
      <c r="C11" s="16"/>
      <c r="D11" s="16"/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8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 t="e">
        <f>Q30/(R30+Q30)</f>
        <v>#DIV/0!</v>
      </c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"PartA":[48,46],</v>
      </c>
      <c r="L32" s="24"/>
      <c r="M32" s="24"/>
      <c r="N32" s="24"/>
      <c r="O32" s="24"/>
      <c r="P32" s="24"/>
      <c r="Q32" s="40" t="s">
        <v>197</v>
      </c>
      <c r="S32" s="40" t="s">
        <v>201</v>
      </c>
      <c r="U32" s="66">
        <f>ROUND(SUM('Stats Global'!Q8,'Stats Global'!Q10,'Stats Global'!Q16:Q18)/COUNT(B4:B40),1)</f>
        <v>6.7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"PartB":[16,"Samuel McConaghy",13,"Alexander Galt",13,"Samuel McConaghy",0,"N/A"],</v>
      </c>
      <c r="Q33" s="40" t="s">
        <v>198</v>
      </c>
      <c r="S33" s="42">
        <f>MAX('Stats Global'!Q8,'Stats Global'!Q10,'Stats Global'!Q16:Q18)</f>
        <v>16</v>
      </c>
      <c r="T33" s="40" t="s">
        <v>60</v>
      </c>
      <c r="U33" s="66">
        <f>ROUND(SUM('Stats Global'!S8,'Stats Global'!S10,'Stats Global'!S16:S18)/COUNT(B4:B40),1)</f>
        <v>3.7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"PartC":[6.7,3.7,3,0,6.9,6.6],</v>
      </c>
      <c r="Q34" s="40" t="s">
        <v>199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"PartD":[22,22,50,26,24,52],</v>
      </c>
      <c r="Q35" s="40" t="s">
        <v>200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207</v>
      </c>
      <c r="U36" s="40">
        <f>ROUND(G4/COUNT(B4:B40),1)</f>
        <v>6.9</v>
      </c>
    </row>
    <row r="37" spans="11:21" ht="14.25" customHeight="1" x14ac:dyDescent="0.45">
      <c r="U37" s="40">
        <f>ROUND(H4/COUNT(B4:B40),1)</f>
        <v>6.6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20" t="s">
        <v>159</v>
      </c>
      <c r="R41" s="120"/>
      <c r="S41" s="120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20"/>
      <c r="R42" s="120"/>
      <c r="S42" s="120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0" t="s">
        <v>159</v>
      </c>
      <c r="R41" s="120"/>
      <c r="S41" s="120"/>
      <c r="T41" s="19"/>
      <c r="U41" s="19"/>
    </row>
    <row r="42" spans="17:21" ht="14.25" customHeight="1" x14ac:dyDescent="0.45">
      <c r="Q42" s="120"/>
      <c r="R42" s="120"/>
      <c r="S42" s="120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0" t="s">
        <v>159</v>
      </c>
      <c r="R41" s="120"/>
      <c r="S41" s="120"/>
      <c r="T41" s="19"/>
      <c r="U41" s="19"/>
    </row>
    <row r="42" spans="17:21" ht="14.25" customHeight="1" x14ac:dyDescent="0.45">
      <c r="Q42" s="120"/>
      <c r="R42" s="120"/>
      <c r="S42" s="120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0" t="s">
        <v>159</v>
      </c>
      <c r="R41" s="120"/>
      <c r="S41" s="120"/>
      <c r="T41" s="19"/>
      <c r="U41" s="19"/>
    </row>
    <row r="42" spans="17:21" ht="14.25" customHeight="1" x14ac:dyDescent="0.45">
      <c r="Q42" s="120"/>
      <c r="R42" s="120"/>
      <c r="S42" s="120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174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0" t="s">
        <v>159</v>
      </c>
      <c r="R41" s="120"/>
      <c r="S41" s="120"/>
      <c r="T41" s="19"/>
      <c r="U41" s="19"/>
    </row>
    <row r="42" spans="17:21" ht="14.25" customHeight="1" x14ac:dyDescent="0.45">
      <c r="Q42" s="120"/>
      <c r="R42" s="120"/>
      <c r="S42" s="120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0" t="s">
        <v>159</v>
      </c>
      <c r="R41" s="120"/>
      <c r="S41" s="120"/>
      <c r="T41" s="19"/>
      <c r="U41" s="19"/>
    </row>
    <row r="42" spans="17:21" ht="14.25" customHeight="1" x14ac:dyDescent="0.45">
      <c r="Q42" s="120"/>
      <c r="R42" s="120"/>
      <c r="S42" s="120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0" t="s">
        <v>159</v>
      </c>
      <c r="R41" s="120"/>
      <c r="S41" s="120"/>
      <c r="T41" s="19"/>
      <c r="U41" s="19"/>
    </row>
    <row r="42" spans="2:26" ht="14.25" customHeight="1" x14ac:dyDescent="0.45">
      <c r="Q42" s="120"/>
      <c r="R42" s="120"/>
      <c r="S42" s="120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24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174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0" t="s">
        <v>159</v>
      </c>
      <c r="R41" s="120"/>
      <c r="S41" s="120"/>
      <c r="T41" s="19"/>
      <c r="U41" s="19"/>
    </row>
    <row r="42" spans="2:26" ht="14.25" customHeight="1" x14ac:dyDescent="0.45">
      <c r="Q42" s="120"/>
      <c r="R42" s="120"/>
      <c r="S42" s="120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>
      <selection activeCell="B4" sqref="B4:I29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0</v>
      </c>
      <c r="M3" s="24">
        <f>COUNTIF(D3:D40,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/>
      <c r="C4" s="113"/>
      <c r="D4" s="113"/>
      <c r="E4" s="113"/>
      <c r="F4" s="113"/>
      <c r="G4" s="113"/>
      <c r="H4" s="113"/>
      <c r="I4" s="113"/>
      <c r="K4" s="24" t="s">
        <v>134</v>
      </c>
      <c r="L4" s="24">
        <f>COUNTIF(C3:C40, "5 Musketeers")</f>
        <v>0</v>
      </c>
      <c r="M4" s="24">
        <f>COUNTIF(D3:D40, "5 Musketeers")</f>
        <v>0</v>
      </c>
      <c r="N4" s="23" t="e">
        <f t="shared" ref="N4:N5" si="7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/>
      <c r="C5" s="113"/>
      <c r="D5" s="113"/>
      <c r="E5" s="113"/>
      <c r="F5" s="113"/>
      <c r="G5" s="113"/>
      <c r="H5" s="113"/>
      <c r="I5" s="113"/>
      <c r="K5" s="24" t="s">
        <v>133</v>
      </c>
      <c r="L5" s="24">
        <f>COUNTIF(C3:C40, "Wet Willies")</f>
        <v>0</v>
      </c>
      <c r="M5" s="24">
        <f>COUNTIF(D3:D40, "Wet Willies")</f>
        <v>0</v>
      </c>
      <c r="N5" s="23" t="e">
        <f t="shared" si="7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/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/>
      <c r="C6" s="113"/>
      <c r="D6" s="113"/>
      <c r="E6" s="113"/>
      <c r="F6" s="113"/>
      <c r="G6" s="113"/>
      <c r="H6" s="113"/>
      <c r="I6" s="113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5">
      <c r="B7" s="113"/>
      <c r="C7" s="113"/>
      <c r="D7" s="113"/>
      <c r="E7" s="113"/>
      <c r="F7" s="113"/>
      <c r="G7" s="113"/>
      <c r="H7" s="113"/>
      <c r="I7" s="113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0</v>
      </c>
    </row>
    <row r="8" spans="2:31" ht="14.25" customHeight="1" x14ac:dyDescent="0.5">
      <c r="B8" s="113"/>
      <c r="C8" s="113"/>
      <c r="D8" s="113"/>
      <c r="E8" s="113"/>
      <c r="F8" s="113"/>
      <c r="G8" s="113"/>
      <c r="H8" s="113"/>
      <c r="I8" s="113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/>
      <c r="C9" s="113"/>
      <c r="D9" s="113"/>
      <c r="E9" s="113"/>
      <c r="F9" s="113"/>
      <c r="G9" s="113"/>
      <c r="H9" s="113"/>
      <c r="I9" s="113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/>
      <c r="C10" s="113"/>
      <c r="D10" s="113"/>
      <c r="E10" s="113"/>
      <c r="F10" s="113"/>
      <c r="G10" s="113"/>
      <c r="H10" s="113"/>
      <c r="I10" s="113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/>
      <c r="C11" s="113"/>
      <c r="D11" s="113"/>
      <c r="E11" s="113"/>
      <c r="F11" s="113"/>
      <c r="G11" s="113"/>
      <c r="H11" s="113"/>
      <c r="I11" s="113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/>
      <c r="C12" s="113"/>
      <c r="D12" s="113"/>
      <c r="E12" s="113"/>
      <c r="F12" s="113"/>
      <c r="G12" s="113"/>
      <c r="H12" s="113"/>
      <c r="I12" s="113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/>
      <c r="C13" s="113"/>
      <c r="D13" s="113"/>
      <c r="E13" s="113"/>
      <c r="F13" s="113"/>
      <c r="G13" s="113"/>
      <c r="H13" s="113"/>
      <c r="I13" s="11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/>
      <c r="C14" s="113"/>
      <c r="D14" s="113"/>
      <c r="E14" s="113"/>
      <c r="F14" s="113"/>
      <c r="G14" s="113"/>
      <c r="H14" s="113"/>
      <c r="I14" s="113"/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/>
      <c r="C15" s="113"/>
      <c r="D15" s="113"/>
      <c r="E15" s="113"/>
      <c r="F15" s="113"/>
      <c r="G15" s="113"/>
      <c r="H15" s="113"/>
      <c r="I15" s="113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/>
      <c r="C16" s="113"/>
      <c r="D16" s="113"/>
      <c r="E16" s="113"/>
      <c r="F16" s="113"/>
      <c r="G16" s="113"/>
      <c r="H16" s="113"/>
      <c r="I16" s="11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/>
      <c r="C17" s="113"/>
      <c r="D17" s="113"/>
      <c r="E17" s="113"/>
      <c r="F17" s="113"/>
      <c r="G17" s="113"/>
      <c r="H17" s="113"/>
      <c r="I17" s="11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/>
      <c r="C18" s="113"/>
      <c r="D18" s="113"/>
      <c r="E18" s="113"/>
      <c r="F18" s="113"/>
      <c r="G18" s="113"/>
      <c r="H18" s="113"/>
      <c r="I18" s="11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/>
      <c r="C19" s="113"/>
      <c r="D19" s="113"/>
      <c r="E19" s="113"/>
      <c r="F19" s="113"/>
      <c r="G19" s="113"/>
      <c r="H19" s="113"/>
      <c r="I19" s="113"/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/>
      <c r="C20" s="113"/>
      <c r="D20" s="113"/>
      <c r="E20" s="113"/>
      <c r="F20" s="113"/>
      <c r="G20" s="113"/>
      <c r="H20" s="113"/>
      <c r="I20" s="113"/>
      <c r="X20" s="24" t="str">
        <f t="shared" si="8"/>
        <v/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/>
      <c r="C21" s="113"/>
      <c r="D21" s="113"/>
      <c r="E21" s="113"/>
      <c r="F21" s="113"/>
      <c r="G21" s="113"/>
      <c r="H21" s="113"/>
      <c r="I21" s="113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113"/>
      <c r="C22" s="113"/>
      <c r="D22" s="113"/>
      <c r="E22" s="113"/>
      <c r="F22" s="113"/>
      <c r="G22" s="113"/>
      <c r="H22" s="113"/>
      <c r="I22" s="113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113"/>
      <c r="C23" s="113"/>
      <c r="D23" s="113"/>
      <c r="E23" s="113"/>
      <c r="F23" s="113"/>
      <c r="G23" s="113"/>
      <c r="H23" s="113"/>
      <c r="I23" s="11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0" t="s">
        <v>159</v>
      </c>
      <c r="R41" s="120"/>
      <c r="S41" s="120"/>
      <c r="T41" s="19"/>
      <c r="U41" s="19"/>
    </row>
    <row r="42" spans="2:26" ht="14.25" customHeight="1" x14ac:dyDescent="0.45">
      <c r="Q42" s="120"/>
      <c r="R42" s="120"/>
      <c r="S42" s="120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"Points":[0,0,"Did not Play",0,0,"Did not Play",0,0,0,0,"Did not Play",0,"Did not Play",0,0,0],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Play",0,0,"Did not Play",0,0,0,0,"Did not Play",0,"Did not Play",0,0,0],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Play",0,0,"Did not Play",0,0,0,0,"Did not Play",0,"Did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Play",0,0,0,0,"Did not Play",0,"Did not Play",0,0,0]</v>
      </c>
    </row>
    <row r="48" spans="2:26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2023-05-11T04:29:29Z</dcterms:modified>
</cp:coreProperties>
</file>