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E9C8B431-6CDD-46E1-AA6A-B895116140AE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" i="3" l="1"/>
  <c r="AC30" i="3" s="1"/>
  <c r="AD30" i="3"/>
  <c r="AE30" i="3"/>
  <c r="AF30" i="3"/>
  <c r="AG30" i="3" s="1"/>
  <c r="AH30" i="3"/>
  <c r="AI30" i="3"/>
  <c r="AB31" i="3"/>
  <c r="AC31" i="3" s="1"/>
  <c r="AD31" i="3"/>
  <c r="AE31" i="3"/>
  <c r="AF31" i="3"/>
  <c r="AG31" i="3" s="1"/>
  <c r="AH31" i="3"/>
  <c r="AI31" i="3"/>
  <c r="AB32" i="3"/>
  <c r="AC32" i="3" s="1"/>
  <c r="AD32" i="3"/>
  <c r="AE32" i="3"/>
  <c r="AF32" i="3"/>
  <c r="AG32" i="3" s="1"/>
  <c r="AH32" i="3"/>
  <c r="AI32" i="3"/>
  <c r="AB33" i="3"/>
  <c r="AC33" i="3"/>
  <c r="AD33" i="3"/>
  <c r="AE33" i="3"/>
  <c r="AF33" i="3"/>
  <c r="AG33" i="3" s="1"/>
  <c r="AH33" i="3"/>
  <c r="AI33" i="3"/>
  <c r="AB34" i="3"/>
  <c r="AC34" i="3"/>
  <c r="AD34" i="3"/>
  <c r="AE34" i="3"/>
  <c r="AF34" i="3"/>
  <c r="AG34" i="3" s="1"/>
  <c r="AH34" i="3"/>
  <c r="AI34" i="3"/>
  <c r="AB35" i="3"/>
  <c r="AC35" i="3"/>
  <c r="AD35" i="3"/>
  <c r="AE35" i="3"/>
  <c r="AF35" i="3"/>
  <c r="AG35" i="3" s="1"/>
  <c r="AH35" i="3"/>
  <c r="AI35" i="3"/>
  <c r="AB36" i="3"/>
  <c r="AC36" i="3"/>
  <c r="AD36" i="3"/>
  <c r="AE36" i="3"/>
  <c r="AF36" i="3"/>
  <c r="AG36" i="3" s="1"/>
  <c r="AH36" i="3"/>
  <c r="AI36" i="3"/>
  <c r="AB37" i="3"/>
  <c r="AC37" i="3"/>
  <c r="AD37" i="3"/>
  <c r="AE37" i="3"/>
  <c r="AF37" i="3"/>
  <c r="AG37" i="3" s="1"/>
  <c r="AH37" i="3"/>
  <c r="AI37" i="3"/>
  <c r="AB38" i="3"/>
  <c r="AC38" i="3"/>
  <c r="AD38" i="3"/>
  <c r="AE38" i="3"/>
  <c r="AF38" i="3"/>
  <c r="AG38" i="3" s="1"/>
  <c r="AH38" i="3"/>
  <c r="AI38" i="3"/>
  <c r="AB39" i="3"/>
  <c r="AC39" i="3"/>
  <c r="AD39" i="3"/>
  <c r="AE39" i="3"/>
  <c r="AF39" i="3"/>
  <c r="AG39" i="3" s="1"/>
  <c r="AH39" i="3"/>
  <c r="AI39" i="3"/>
  <c r="AB40" i="3"/>
  <c r="AC40" i="3"/>
  <c r="AD40" i="3"/>
  <c r="AE40" i="3"/>
  <c r="AF40" i="3"/>
  <c r="AG40" i="3" s="1"/>
  <c r="AH40" i="3"/>
  <c r="AI40" i="3"/>
  <c r="AB41" i="3"/>
  <c r="AC41" i="3"/>
  <c r="AD41" i="3"/>
  <c r="AE41" i="3"/>
  <c r="AF41" i="3"/>
  <c r="AG41" i="3" s="1"/>
  <c r="AH41" i="3"/>
  <c r="AI41" i="3"/>
  <c r="AB42" i="3"/>
  <c r="AC42" i="3"/>
  <c r="AD42" i="3"/>
  <c r="AE42" i="3"/>
  <c r="AF42" i="3"/>
  <c r="AG42" i="3" s="1"/>
  <c r="AH42" i="3"/>
  <c r="AI42" i="3"/>
  <c r="AB43" i="3"/>
  <c r="AC43" i="3"/>
  <c r="AD43" i="3"/>
  <c r="AE43" i="3"/>
  <c r="AF43" i="3"/>
  <c r="AG43" i="3" s="1"/>
  <c r="AH43" i="3"/>
  <c r="AI43" i="3"/>
  <c r="AB44" i="3"/>
  <c r="AC44" i="3"/>
  <c r="AD44" i="3"/>
  <c r="AE44" i="3"/>
  <c r="AF44" i="3"/>
  <c r="AG44" i="3" s="1"/>
  <c r="AH44" i="3"/>
  <c r="AI44" i="3"/>
  <c r="AH29" i="3"/>
  <c r="AF29" i="3"/>
  <c r="AD29" i="3"/>
  <c r="AB29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J19" i="4" s="1"/>
  <c r="AD18" i="16"/>
  <c r="AH19" i="4" s="1"/>
  <c r="AC18" i="16"/>
  <c r="AF19" i="4" s="1"/>
  <c r="Z18" i="16"/>
  <c r="Y18" i="16"/>
  <c r="X18" i="16"/>
  <c r="U18" i="16"/>
  <c r="U38" i="16" s="1"/>
  <c r="T18" i="16"/>
  <c r="T38" i="16" s="1"/>
  <c r="S18" i="16"/>
  <c r="S38" i="16" s="1"/>
  <c r="AE17" i="16"/>
  <c r="AJ18" i="4" s="1"/>
  <c r="AD17" i="16"/>
  <c r="AH18" i="4" s="1"/>
  <c r="AC17" i="16"/>
  <c r="AF18" i="4" s="1"/>
  <c r="Z17" i="16"/>
  <c r="Y17" i="16"/>
  <c r="X17" i="16"/>
  <c r="U17" i="16"/>
  <c r="U37" i="16" s="1"/>
  <c r="T17" i="16"/>
  <c r="T37" i="16" s="1"/>
  <c r="S17" i="16"/>
  <c r="S37" i="16" s="1"/>
  <c r="AE16" i="16"/>
  <c r="AJ17" i="4" s="1"/>
  <c r="AD16" i="16"/>
  <c r="AH17" i="4" s="1"/>
  <c r="AC16" i="16"/>
  <c r="AF17" i="4" s="1"/>
  <c r="Z16" i="16"/>
  <c r="Y16" i="16"/>
  <c r="X16" i="16"/>
  <c r="U16" i="16"/>
  <c r="U36" i="16" s="1"/>
  <c r="T16" i="16"/>
  <c r="T36" i="16" s="1"/>
  <c r="S16" i="16"/>
  <c r="S36" i="16" s="1"/>
  <c r="AE15" i="16"/>
  <c r="AJ16" i="4" s="1"/>
  <c r="AD15" i="16"/>
  <c r="AH16" i="4" s="1"/>
  <c r="AC15" i="16"/>
  <c r="AF16" i="4" s="1"/>
  <c r="Z15" i="16"/>
  <c r="Y15" i="16"/>
  <c r="X15" i="16"/>
  <c r="U15" i="16"/>
  <c r="R15" i="16" s="1"/>
  <c r="T15" i="16"/>
  <c r="S15" i="16"/>
  <c r="AE14" i="16"/>
  <c r="AJ15" i="4" s="1"/>
  <c r="AD14" i="16"/>
  <c r="AH15" i="4" s="1"/>
  <c r="AC14" i="16"/>
  <c r="AF15" i="4" s="1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J14" i="4" s="1"/>
  <c r="AD13" i="16"/>
  <c r="AH14" i="4" s="1"/>
  <c r="AC13" i="16"/>
  <c r="AF14" i="4" s="1"/>
  <c r="Z13" i="16"/>
  <c r="Y13" i="16"/>
  <c r="X13" i="16"/>
  <c r="U13" i="16"/>
  <c r="R13" i="16" s="1"/>
  <c r="T13" i="16"/>
  <c r="S13" i="16"/>
  <c r="AE12" i="16"/>
  <c r="AJ13" i="4" s="1"/>
  <c r="AD12" i="16"/>
  <c r="AH13" i="4" s="1"/>
  <c r="AC12" i="16"/>
  <c r="AF13" i="4" s="1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J12" i="4" s="1"/>
  <c r="AD11" i="16"/>
  <c r="AH12" i="4" s="1"/>
  <c r="AC11" i="16"/>
  <c r="AF12" i="4" s="1"/>
  <c r="Z11" i="16"/>
  <c r="Y11" i="16"/>
  <c r="X11" i="16"/>
  <c r="U11" i="16"/>
  <c r="U31" i="16" s="1"/>
  <c r="T11" i="16"/>
  <c r="T31" i="16" s="1"/>
  <c r="S11" i="16"/>
  <c r="S31" i="16" s="1"/>
  <c r="AE10" i="16"/>
  <c r="AJ11" i="4" s="1"/>
  <c r="AD10" i="16"/>
  <c r="AH11" i="4" s="1"/>
  <c r="AC10" i="16"/>
  <c r="AF11" i="4" s="1"/>
  <c r="Z10" i="16"/>
  <c r="Y10" i="16"/>
  <c r="X10" i="16"/>
  <c r="U10" i="16"/>
  <c r="U30" i="16" s="1"/>
  <c r="T10" i="16"/>
  <c r="T30" i="16" s="1"/>
  <c r="S10" i="16"/>
  <c r="S30" i="16" s="1"/>
  <c r="AE9" i="16"/>
  <c r="AJ10" i="4" s="1"/>
  <c r="AD9" i="16"/>
  <c r="AH10" i="4" s="1"/>
  <c r="AC9" i="16"/>
  <c r="AF10" i="4" s="1"/>
  <c r="Z9" i="16"/>
  <c r="Y9" i="16"/>
  <c r="X9" i="16"/>
  <c r="U9" i="16"/>
  <c r="U29" i="16" s="1"/>
  <c r="T9" i="16"/>
  <c r="T29" i="16" s="1"/>
  <c r="S9" i="16"/>
  <c r="S29" i="16" s="1"/>
  <c r="AE8" i="16"/>
  <c r="AJ9" i="4" s="1"/>
  <c r="AD8" i="16"/>
  <c r="AH9" i="4" s="1"/>
  <c r="AC8" i="16"/>
  <c r="AF9" i="4" s="1"/>
  <c r="Z8" i="16"/>
  <c r="Y8" i="16"/>
  <c r="X8" i="16"/>
  <c r="U8" i="16"/>
  <c r="R8" i="16" s="1"/>
  <c r="T8" i="16"/>
  <c r="S8" i="16"/>
  <c r="AE7" i="16"/>
  <c r="AJ8" i="4" s="1"/>
  <c r="AD7" i="16"/>
  <c r="AH8" i="4" s="1"/>
  <c r="AC7" i="16"/>
  <c r="AF8" i="4" s="1"/>
  <c r="Z7" i="16"/>
  <c r="Y7" i="16"/>
  <c r="X7" i="16"/>
  <c r="U7" i="16"/>
  <c r="U27" i="16" s="1"/>
  <c r="T7" i="16"/>
  <c r="T27" i="16" s="1"/>
  <c r="S7" i="16"/>
  <c r="S27" i="16" s="1"/>
  <c r="AE6" i="16"/>
  <c r="AJ7" i="4" s="1"/>
  <c r="AD6" i="16"/>
  <c r="AH7" i="4" s="1"/>
  <c r="AC6" i="16"/>
  <c r="AF7" i="4" s="1"/>
  <c r="Z6" i="16"/>
  <c r="Y6" i="16"/>
  <c r="X6" i="16"/>
  <c r="U6" i="16"/>
  <c r="R6" i="16" s="1"/>
  <c r="R26" i="16" s="1"/>
  <c r="T6" i="16"/>
  <c r="T26" i="16" s="1"/>
  <c r="S6" i="16"/>
  <c r="S26" i="16" s="1"/>
  <c r="AE5" i="16"/>
  <c r="AJ6" i="4" s="1"/>
  <c r="AD5" i="16"/>
  <c r="AH6" i="4" s="1"/>
  <c r="AC5" i="16"/>
  <c r="AF6" i="4" s="1"/>
  <c r="Z5" i="16"/>
  <c r="Y5" i="16"/>
  <c r="X5" i="16"/>
  <c r="U5" i="16"/>
  <c r="R5" i="16" s="1"/>
  <c r="T5" i="16"/>
  <c r="S5" i="16"/>
  <c r="M5" i="16"/>
  <c r="C11" i="5" s="1"/>
  <c r="L5" i="16"/>
  <c r="B11" i="5" s="1"/>
  <c r="AE4" i="16"/>
  <c r="AJ5" i="4" s="1"/>
  <c r="AD4" i="16"/>
  <c r="AH5" i="4" s="1"/>
  <c r="AC4" i="16"/>
  <c r="AF5" i="4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AE3" i="16"/>
  <c r="AJ4" i="4" s="1"/>
  <c r="AD3" i="16"/>
  <c r="AH4" i="4" s="1"/>
  <c r="AC3" i="16"/>
  <c r="AF4" i="4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5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Y11" i="4" l="1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W20" i="3" l="1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N9" i="4"/>
  <c r="AO9" i="4" s="1"/>
  <c r="AN12" i="4"/>
  <c r="AO12" i="4" s="1"/>
  <c r="AN18" i="4"/>
  <c r="E13" i="2"/>
  <c r="E32" i="2" s="1"/>
  <c r="E18" i="2"/>
  <c r="E37" i="2" s="1"/>
  <c r="AN14" i="4"/>
  <c r="AO14" i="4" s="1"/>
  <c r="AN10" i="4"/>
  <c r="AN19" i="4"/>
  <c r="AN8" i="4"/>
  <c r="AO8" i="4" s="1"/>
  <c r="AN5" i="4"/>
  <c r="AO5" i="4" s="1"/>
  <c r="AN17" i="4"/>
  <c r="AO17" i="4" s="1"/>
  <c r="D13" i="2"/>
  <c r="D32" i="2" s="1"/>
  <c r="AN11" i="4"/>
  <c r="AN7" i="4"/>
  <c r="AO7" i="4" s="1"/>
  <c r="AN13" i="4"/>
  <c r="AO13" i="4" s="1"/>
  <c r="AN15" i="4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<sst xmlns="http://schemas.openxmlformats.org/spreadsheetml/2006/main" count="1821" uniqueCount="226">
  <si>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</si>
  <si>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</si>
  <si>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</si>
  <si>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</si>
  <si>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</si>
  <si>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</si>
  <si>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</si>
  <si>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</si>
  <si>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</si>
  <si>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</si>
  <si>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</si>
  <si>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</si>
  <si>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</si>
  <si>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</si>
  <si>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</si>
  <si>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</si>
  <si>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</si>
  <si>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</si>
  <si>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</si>
  <si>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</si>
  <si>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</si>
  <si>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</si>
  <si>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</si>
  <si>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</si>
  <si>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</si>
  <si>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</si>
  <si>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</si>
  <si>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</si>
  <si>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</si>
  <si>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</si>
  <si>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</si>
  <si>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</si>
  <si>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</si>
  <si>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</si>
  <si>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</si>
  <si>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</si>
  <si>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</si>
  <si>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</si>
  <si>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</si>
  <si>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</si>
  <si>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</si>
  <si>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</si>
  <si>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</si>
  <si>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</si>
  <si>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</si>
  <si>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</si>
  <si>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</si>
  <si>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</si>
  <si>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</si>
  <si>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</si>
  <si>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</si>
  <si>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</si>
  <si>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</si>
  <si>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</si>
  <si>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</si>
  <si>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</si>
  <si>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</si>
  <si>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</si>
  <si>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</si>
  <si>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</si>
  <si>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</si>
  <si>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</si>
  <si>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</si>
  <si>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</si>
  <si>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</si>
  <si>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</si>
  <si>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</si>
  <si>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</si>
  <si>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</si>
  <si>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</si>
  <si>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</si>
  <si>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</si>
  <si>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</si>
  <si>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</si>
  <si>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</si>
  <si>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</si>
  <si>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</si>
  <si>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</si>
  <si>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</si>
  <si>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</si>
  <si>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</si>
  <si>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</si>
  <si>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</si>
  <si>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</si>
  <si>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</si>
  <si>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</si>
  <si>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</si>
  <si>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</si>
  <si>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</si>
  <si>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</si>
  <si>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</si>
  <si>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</si>
  <si>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</si>
  <si>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</si>
  <si>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</si>
  <si>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</si>
  <si>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</si>
  <si>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</si>
  <si>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</si>
  <si>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</si>
  <si>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</si>
  <si>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</si>
  <si>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</si>
  <si>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</si>
  <si>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</si>
  <si>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</si>
  <si>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</si>
  <si>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</si>
  <si>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</si>
  <si>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</si>
  <si>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</si>
  <si>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</si>
  <si>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</si>
  <si>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</si>
  <si>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</si>
  <si>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</si>
  <si>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</si>
  <si>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</si>
  <si>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</si>
  <si>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</si>
  <si>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</si>
  <si>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</si>
  <si>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</si>
  <si>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</si>
  <si>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</si>
  <si>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</si>
  <si>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</si>
  <si>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</si>
  <si>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</si>
  <si>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</si>
  <si>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</si>
  <si>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</si>
  <si>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</si>
  <si>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</si>
  <si>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</si>
  <si>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</si>
  <si>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</si>
  <si>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</si>
  <si>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</si>
  <si>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</si>
  <si>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</si>
  <si>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</si>
  <si>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</si>
  <si>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</si>
  <si>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</si>
  <si>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</si>
  <si>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</si>
  <si>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</si>
  <si>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</si>
  <si>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</si>
  <si>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</si>
  <si>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</si>
  <si>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</si>
  <si>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</si>
  <si>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</si>
  <si>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</si>
  <si>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</si>
  <si>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</si>
  <si>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</si>
  <si>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</si>
  <si>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</si>
  <si>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</si>
  <si>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</si>
  <si>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</si>
  <si>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</si>
  <si>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</si>
  <si>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</si>
  <si>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</si>
  <si>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</si>
  <si>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</si>
  <si>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</si>
  <si>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</si>
  <si>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</si>
  <si>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</si>
  <si>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</si>
  <si>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</si>
  <si>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</si>
  <si>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</si>
  <si>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</si>
  <si>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</si>
  <si>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</si>
  <si>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</si>
  <si>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</si>
  <si>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</si>
  <si>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</si>
  <si>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</si>
  <si>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</si>
  <si>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</si>
  <si>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</si>
  <si>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</si>
  <si>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</si>
  <si>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</si>
  <si>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</si>
  <si>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</si>
  <si>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</si>
  <si>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</si>
  <si>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</si>
  <si>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</si>
  <si>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</si>
  <si>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</si>
  <si>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</si>
  <si>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</si>
  <si>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</si>
  <si>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</si>
  <si>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</si>
  <si>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</si>
  <si>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</si>
  <si>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</si>
  <si>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</si>
  <si>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</si>
  <si>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</si>
  <si>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</si>
  <si>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</si>
  <si>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</si>
  <si>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</si>
  <si>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</si>
  <si>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</si>
  <si>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</si>
  <si>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</si>
  <si>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</si>
  <si>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</si>
  <si>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</si>
  <si>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</si>
  <si>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</si>
  <si>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</si>
  <si>
    <t>Mitch Yue, Christopher Tomkinson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</si>
</sst>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2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0.51552795031055898</c:v>
                </c:pt>
                <c:pt idx="1">
                  <c:v>0.3105590062111801</c:v>
                </c:pt>
                <c:pt idx="2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C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0.625</v>
      </c>
      <c r="E3" s="1">
        <f>'Stats Global'!Q8</f>
        <v>5</v>
      </c>
      <c r="F3" s="14">
        <f>'Stats Global'!T8</f>
        <v>0.25</v>
      </c>
      <c r="G3" s="24">
        <f>'Stats Global'!S8</f>
        <v>2</v>
      </c>
      <c r="H3" s="14">
        <f>'Stats Global'!V8</f>
        <v>0.375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1</v>
      </c>
      <c r="E4" s="24">
        <f>'Stats Global'!Q9</f>
        <v>7</v>
      </c>
      <c r="F4" s="14">
        <f>'Stats Global'!T9</f>
        <v>0.7142857142857143</v>
      </c>
      <c r="G4" s="24">
        <f>'Stats Global'!S9</f>
        <v>5</v>
      </c>
      <c r="H4" s="14">
        <f>'Stats Global'!V9</f>
        <v>0.2857142857142857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3.75</v>
      </c>
      <c r="E6" s="24">
        <f>'Stats Global'!Q11</f>
        <v>30</v>
      </c>
      <c r="F6" s="14">
        <f>'Stats Global'!T11</f>
        <v>3.5</v>
      </c>
      <c r="G6" s="24">
        <f>'Stats Global'!S11</f>
        <v>28</v>
      </c>
      <c r="H6" s="14">
        <f>'Stats Global'!V11</f>
        <v>0.25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2.5</v>
      </c>
      <c r="E7" s="24">
        <f>'Stats Global'!Q12</f>
        <v>20</v>
      </c>
      <c r="F7" s="14">
        <f>'Stats Global'!T12</f>
        <v>0.75</v>
      </c>
      <c r="G7" s="24">
        <f>'Stats Global'!S12</f>
        <v>6</v>
      </c>
      <c r="H7" s="14">
        <f>'Stats Global'!V12</f>
        <v>1.5</v>
      </c>
      <c r="I7" s="24">
        <f>'Stats Global'!U12</f>
        <v>12</v>
      </c>
      <c r="J7" s="14">
        <f>'Stats Global'!X12</f>
        <v>0.125</v>
      </c>
      <c r="K7" s="24">
        <f>'Stats Global'!W12</f>
        <v>1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</v>
      </c>
      <c r="E8" s="24">
        <f>'Stats Global'!Q13</f>
        <v>5</v>
      </c>
      <c r="F8" s="14">
        <f>'Stats Global'!T13</f>
        <v>0.6</v>
      </c>
      <c r="G8" s="24">
        <f>'Stats Global'!S13</f>
        <v>3</v>
      </c>
      <c r="H8" s="14">
        <f>'Stats Global'!V13</f>
        <v>0.4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12</v>
      </c>
      <c r="F9" s="14">
        <f>'Stats Global'!T14</f>
        <v>0.375</v>
      </c>
      <c r="G9" s="24">
        <f>'Stats Global'!S14</f>
        <v>3</v>
      </c>
      <c r="H9" s="14">
        <f>'Stats Global'!V14</f>
        <v>0.125</v>
      </c>
      <c r="I9" s="24">
        <f>'Stats Global'!U14</f>
        <v>1</v>
      </c>
      <c r="J9" s="14">
        <f>'Stats Global'!X14</f>
        <v>0.5</v>
      </c>
      <c r="K9" s="24">
        <f>'Stats Global'!W14</f>
        <v>4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1.625</v>
      </c>
      <c r="E10" s="24">
        <f>'Stats Global'!Q15</f>
        <v>13</v>
      </c>
      <c r="F10" s="14">
        <f>'Stats Global'!T15</f>
        <v>0.625</v>
      </c>
      <c r="G10" s="24">
        <f>'Stats Global'!S15</f>
        <v>5</v>
      </c>
      <c r="H10" s="14">
        <f>'Stats Global'!V15</f>
        <v>1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2.4285714285714284</v>
      </c>
      <c r="E11" s="24">
        <f>'Stats Global'!Q16</f>
        <v>17</v>
      </c>
      <c r="F11" s="14">
        <f>'Stats Global'!T16</f>
        <v>0.5714285714285714</v>
      </c>
      <c r="G11" s="24">
        <f>'Stats Global'!S16</f>
        <v>4</v>
      </c>
      <c r="H11" s="14">
        <f>'Stats Global'!V16</f>
        <v>1.8571428571428572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0.75</v>
      </c>
      <c r="E12" s="24">
        <f>'Stats Global'!Q17</f>
        <v>6</v>
      </c>
      <c r="F12" s="14">
        <f>'Stats Global'!T17</f>
        <v>0.125</v>
      </c>
      <c r="G12" s="24">
        <f>'Stats Global'!S17</f>
        <v>1</v>
      </c>
      <c r="H12" s="14">
        <f>'Stats Global'!V17</f>
        <v>0.625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0.75</v>
      </c>
      <c r="E14" s="24">
        <f>'Stats Global'!Q19</f>
        <v>6</v>
      </c>
      <c r="F14" s="14">
        <f>'Stats Global'!T19</f>
        <v>0.375</v>
      </c>
      <c r="G14" s="24">
        <f>'Stats Global'!S19</f>
        <v>3</v>
      </c>
      <c r="H14" s="14">
        <f>'Stats Global'!V19</f>
        <v>0.375</v>
      </c>
      <c r="I14" s="24">
        <f>'Stats Global'!U19</f>
        <v>3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2.8</v>
      </c>
      <c r="E15" s="24">
        <f>'Stats Global'!Q20</f>
        <v>14</v>
      </c>
      <c r="F15" s="14">
        <f>'Stats Global'!T20</f>
        <v>2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0.4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0.25</v>
      </c>
      <c r="E16" s="24">
        <f>'Stats Global'!Q21</f>
        <v>2</v>
      </c>
      <c r="F16" s="14">
        <f>'Stats Global'!T21</f>
        <v>0.25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0.75</v>
      </c>
      <c r="E17" s="24">
        <f>'Stats Global'!Q22</f>
        <v>6</v>
      </c>
      <c r="F17" s="14">
        <f>'Stats Global'!T22</f>
        <v>0.375</v>
      </c>
      <c r="G17" s="24">
        <f>'Stats Global'!S22</f>
        <v>3</v>
      </c>
      <c r="H17" s="14">
        <f>'Stats Global'!V22</f>
        <v>0.375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4</v>
      </c>
      <c r="F18" s="14">
        <f>'Stats Global'!T23</f>
        <v>0.375</v>
      </c>
      <c r="G18" s="24">
        <f>'Stats Global'!S23</f>
        <v>3</v>
      </c>
      <c r="H18" s="14">
        <f>'Stats Global'!V23</f>
        <v>0.125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1" t="s">
        <v>159</v>
      </c>
      <c r="M20" s="131"/>
      <c r="N20" s="131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1"/>
      <c r="M21" s="131"/>
      <c r="N21" s="131"/>
      <c r="X21" s="3" t="s">
        <v>85</v>
      </c>
    </row>
    <row r="22" spans="2:24" ht="14.25" customHeight="1" x14ac:dyDescent="0.45">
      <c r="B22" s="4"/>
      <c r="D22" s="41" t="str">
        <f>ROUND(D3,2)&amp;","</f>
        <v>0.63,</v>
      </c>
      <c r="E22" s="41" t="str">
        <f>E3&amp;","</f>
        <v>5,</v>
      </c>
      <c r="F22" s="41" t="str">
        <f t="shared" ref="F22:F37" si="2">ROUND(F3,2)&amp;","</f>
        <v>0.25,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"PPG":[0.63,1,2.6,3.75,2.5,1,1.5,1.63,2.43,0.75,1.17,0.75,2.8,0.25,0.75,0.5,],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1,</v>
      </c>
      <c r="E23" s="41" t="str">
        <f t="shared" ref="E23:E37" si="9">E4&amp;","</f>
        <v>7,</v>
      </c>
      <c r="F23" s="41" t="str">
        <f t="shared" si="2"/>
        <v>0.71,</v>
      </c>
      <c r="G23" s="41" t="str">
        <f t="shared" si="3"/>
        <v>5,</v>
      </c>
      <c r="H23" s="41" t="str">
        <f t="shared" si="4"/>
        <v>0.29,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"TP":[5,7,13,30,20,5,12,13,17,6,7,6,14,2,6,4,],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"FPG":[0.25,0.71,2.6,3.5,0.75,0.6,0.38,0.63,0.57,0.13,1.17,0.38,2,0.25,0.38,0.38,],</v>
      </c>
      <c r="X24" s="40" t="s">
        <v>107</v>
      </c>
    </row>
    <row r="25" spans="2:24" ht="14.25" customHeight="1" x14ac:dyDescent="0.45">
      <c r="D25" s="41" t="str">
        <f t="shared" si="8"/>
        <v>3.75,</v>
      </c>
      <c r="E25" s="41" t="str">
        <f t="shared" si="9"/>
        <v>30,</v>
      </c>
      <c r="F25" s="41" t="str">
        <f t="shared" si="2"/>
        <v>3.5,</v>
      </c>
      <c r="G25" s="41" t="str">
        <f t="shared" si="3"/>
        <v>28,</v>
      </c>
      <c r="H25" s="41" t="str">
        <f t="shared" si="4"/>
        <v>0.25,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"TF":[2,5,13,28,6,3,3,5,4,1,7,3,10,2,3,3],</v>
      </c>
    </row>
    <row r="26" spans="2:24" ht="14.25" customHeight="1" x14ac:dyDescent="0.45">
      <c r="D26" s="41" t="str">
        <f t="shared" si="8"/>
        <v>2.5,</v>
      </c>
      <c r="E26" s="41" t="str">
        <f t="shared" si="9"/>
        <v>20,</v>
      </c>
      <c r="F26" s="41" t="str">
        <f t="shared" si="2"/>
        <v>0.75,</v>
      </c>
      <c r="G26" s="41" t="str">
        <f t="shared" si="3"/>
        <v>6,</v>
      </c>
      <c r="H26" s="41" t="str">
        <f t="shared" si="4"/>
        <v>1.5,</v>
      </c>
      <c r="I26" s="41" t="str">
        <f t="shared" si="5"/>
        <v>12,</v>
      </c>
      <c r="J26" s="41" t="str">
        <f t="shared" si="6"/>
        <v>0.13,</v>
      </c>
      <c r="K26" s="41" t="str">
        <f t="shared" si="7"/>
        <v>1,</v>
      </c>
      <c r="L26" t="str">
        <f>H21&amp;":["&amp;H22&amp;H23&amp;H24&amp;H25&amp;H26&amp;H27&amp;H28&amp;H29&amp;H30&amp;H31&amp;H32&amp;H33&amp;H34&amp;H35&amp;H36&amp;H37&amp;"],"</f>
        <v>"MPG":[0.38,0.29,0,0.25,1.5,0.4,0.13,1,1.86,0.63,0,0.38,0,0,0.38,0.13,],</v>
      </c>
    </row>
    <row r="27" spans="2:24" ht="14.25" customHeight="1" x14ac:dyDescent="0.45">
      <c r="D27" s="41" t="str">
        <f t="shared" si="8"/>
        <v>1,</v>
      </c>
      <c r="E27" s="41" t="str">
        <f t="shared" si="9"/>
        <v>5,</v>
      </c>
      <c r="F27" s="41" t="str">
        <f t="shared" si="2"/>
        <v>0.6,</v>
      </c>
      <c r="G27" s="41" t="str">
        <f t="shared" si="3"/>
        <v>3,</v>
      </c>
      <c r="H27" s="41" t="str">
        <f t="shared" si="4"/>
        <v>0.4,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"TM":[3,2,0,2,12,2,1,8,13,5,0,3,0,0,3,1],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12,</v>
      </c>
      <c r="F28" s="41" t="str">
        <f t="shared" si="2"/>
        <v>0.38,</v>
      </c>
      <c r="G28" s="41" t="str">
        <f t="shared" si="3"/>
        <v>3,</v>
      </c>
      <c r="H28" s="41" t="str">
        <f t="shared" si="4"/>
        <v>0.13,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4,</v>
      </c>
      <c r="L28" t="str">
        <f>J21&amp;":["&amp;J22&amp;J23&amp;J24&amp;J25&amp;J26&amp;J27&amp;J28&amp;J29&amp;J30&amp;J31&amp;J32&amp;J33&amp;J34&amp;J35&amp;J36&amp;J37&amp;"],"</f>
        <v>"TPG":[0,0,0,0,0.13,0,0.5,0,0,0,0,0,0.4,0,0,0,],</v>
      </c>
    </row>
    <row r="29" spans="2:24" ht="14.25" customHeight="1" x14ac:dyDescent="0.45">
      <c r="D29" s="41" t="str">
        <f t="shared" si="8"/>
        <v>1.63,</v>
      </c>
      <c r="E29" s="41" t="str">
        <f t="shared" si="9"/>
        <v>13,</v>
      </c>
      <c r="F29" s="41" t="str">
        <f t="shared" si="2"/>
        <v>0.63,</v>
      </c>
      <c r="G29" s="41" t="str">
        <f t="shared" si="3"/>
        <v>5,</v>
      </c>
      <c r="H29" s="41" t="str">
        <f t="shared" si="4"/>
        <v>1,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"TT":[0,0,0,0,1,0,4,0,0,0,0,0,2,0,0,0],</v>
      </c>
    </row>
    <row r="30" spans="2:24" ht="14.25" customHeight="1" x14ac:dyDescent="0.45">
      <c r="C30" s="41"/>
      <c r="D30" s="41" t="str">
        <f t="shared" si="8"/>
        <v>2.43,</v>
      </c>
      <c r="E30" s="41" t="str">
        <f t="shared" si="9"/>
        <v>17,</v>
      </c>
      <c r="F30" s="41" t="str">
        <f t="shared" si="2"/>
        <v>0.57,</v>
      </c>
      <c r="G30" s="41" t="str">
        <f t="shared" si="3"/>
        <v>4,</v>
      </c>
      <c r="H30" s="41" t="str">
        <f t="shared" si="4"/>
        <v>1.86,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"NBAMODENUMBER":[11.88],</v>
      </c>
    </row>
    <row r="31" spans="2:24" ht="14.25" customHeight="1" x14ac:dyDescent="0.45">
      <c r="C31" s="41"/>
      <c r="D31" s="41" t="str">
        <f t="shared" si="8"/>
        <v>0.75,</v>
      </c>
      <c r="E31" s="41" t="str">
        <f t="shared" si="9"/>
        <v>6,</v>
      </c>
      <c r="F31" s="41" t="str">
        <f t="shared" si="2"/>
        <v>0.13,</v>
      </c>
      <c r="G31" s="41" t="str">
        <f t="shared" si="3"/>
        <v>1,</v>
      </c>
      <c r="H31" s="41" t="str">
        <f t="shared" si="4"/>
        <v>0.63,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11.877356618376661</v>
      </c>
    </row>
    <row r="32" spans="2:24" ht="14.25" customHeight="1" x14ac:dyDescent="0.45">
      <c r="C32" s="41"/>
      <c r="D32" s="41" t="str">
        <f t="shared" si="8"/>
        <v>1.17,</v>
      </c>
      <c r="E32" s="41" t="str">
        <f t="shared" si="9"/>
        <v>7,</v>
      </c>
      <c r="F32" s="41" t="str">
        <f t="shared" si="2"/>
        <v>1.17,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0.75,</v>
      </c>
      <c r="E33" s="41" t="str">
        <f t="shared" si="9"/>
        <v>6,</v>
      </c>
      <c r="F33" s="41" t="str">
        <f t="shared" si="2"/>
        <v>0.38,</v>
      </c>
      <c r="G33" s="41" t="str">
        <f t="shared" si="3"/>
        <v>3,</v>
      </c>
      <c r="H33" s="41" t="str">
        <f t="shared" si="4"/>
        <v>0.38,</v>
      </c>
      <c r="I33" s="41" t="str">
        <f t="shared" si="5"/>
        <v>3,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2.8,</v>
      </c>
      <c r="E34" s="41" t="str">
        <f t="shared" si="9"/>
        <v>14,</v>
      </c>
      <c r="F34" s="41" t="str">
        <f t="shared" si="2"/>
        <v>2,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0.4,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0.25,</v>
      </c>
      <c r="E35" s="41" t="str">
        <f t="shared" si="9"/>
        <v>2,</v>
      </c>
      <c r="F35" s="41" t="str">
        <f t="shared" si="2"/>
        <v>0.25,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0.75,</v>
      </c>
      <c r="E36" s="41" t="str">
        <f t="shared" si="9"/>
        <v>6,</v>
      </c>
      <c r="F36" s="41" t="str">
        <f t="shared" si="2"/>
        <v>0.38,</v>
      </c>
      <c r="G36" s="41" t="str">
        <f t="shared" si="3"/>
        <v>3,</v>
      </c>
      <c r="H36" s="41" t="str">
        <f t="shared" si="4"/>
        <v>0.38,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0.5,</v>
      </c>
      <c r="E37" s="41" t="str">
        <f t="shared" si="9"/>
        <v>4,</v>
      </c>
      <c r="F37" s="41" t="str">
        <f t="shared" si="2"/>
        <v>0.38,</v>
      </c>
      <c r="G37" s="41">
        <f>G18</f>
        <v>3</v>
      </c>
      <c r="H37" s="41" t="str">
        <f t="shared" si="4"/>
        <v>0.13,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J4" zoomScale="70" zoomScaleNormal="70" workbookViewId="0">
      <selection activeCell="AJ42" sqref="AJ42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8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20.125</v>
      </c>
      <c r="J6" s="1">
        <f t="shared" si="1"/>
        <v>10.375</v>
      </c>
      <c r="K6" s="1">
        <f t="shared" si="1"/>
        <v>6.25</v>
      </c>
      <c r="L6" s="1">
        <f t="shared" si="1"/>
        <v>3.5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0.51552795031055898</v>
      </c>
      <c r="K7" s="8">
        <f t="shared" si="2"/>
        <v>0.3105590062111801</v>
      </c>
      <c r="L7" s="8">
        <f t="shared" si="2"/>
        <v>0.17391304347826086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0.625</v>
      </c>
      <c r="S8" s="72">
        <f t="shared" ref="S8:S23" si="4">S29+S48+S67+AD29</f>
        <v>2</v>
      </c>
      <c r="T8" s="73">
        <f>Table1[[#This Row],[Finishes]]/($Q$5-Table1[[#This Row],[Missed Games]])</f>
        <v>0.25</v>
      </c>
      <c r="U8" s="72">
        <f t="shared" ref="U8:U23" si="5">U29+U48+U67+AF29</f>
        <v>3</v>
      </c>
      <c r="V8" s="73">
        <f>Table1[[#This Row],[Midranges]]/($Q$5-Table1[[#This Row],[Missed Games]])</f>
        <v>0.375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2.7209121534076189E-2</v>
      </c>
      <c r="AC8" s="125">
        <f t="shared" ref="AC8:AC23" si="8">AB8-AA8</f>
        <v>1.152306864607619E-2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7</v>
      </c>
      <c r="R9" s="75">
        <f>Table1[[#This Row],[Points]]/($Q$5-Table1[[#This Row],[Missed Games]])</f>
        <v>1</v>
      </c>
      <c r="S9" s="76">
        <f t="shared" si="4"/>
        <v>5</v>
      </c>
      <c r="T9" s="77">
        <f>Table1[[#This Row],[Finishes]]/($Q$5-Table1[[#This Row],[Missed Games]])</f>
        <v>0.7142857142857143</v>
      </c>
      <c r="U9" s="76">
        <f t="shared" si="5"/>
        <v>2</v>
      </c>
      <c r="V9" s="77">
        <f>Table1[[#This Row],[Midranges]]/($Q$5-Table1[[#This Row],[Missed Games]])</f>
        <v>0.2857142857142857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4.3534594454521902E-2</v>
      </c>
      <c r="AC9" s="125">
        <f t="shared" si="8"/>
        <v>1.6084001900521904E-2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3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0.11318994558175695</v>
      </c>
      <c r="AC10" s="125">
        <f t="shared" si="8"/>
        <v>-8.3789799842430429E-3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30</v>
      </c>
      <c r="R11" s="75">
        <f>Table1[[#This Row],[Points]]/($Q$5-Table1[[#This Row],[Missed Games]])</f>
        <v>3.75</v>
      </c>
      <c r="S11" s="76">
        <f t="shared" si="4"/>
        <v>28</v>
      </c>
      <c r="T11" s="77">
        <f>Table1[[#This Row],[Finishes]]/($Q$5-Table1[[#This Row],[Missed Games]])</f>
        <v>3.5</v>
      </c>
      <c r="U11" s="76">
        <f t="shared" si="5"/>
        <v>2</v>
      </c>
      <c r="V11" s="77">
        <f>Table1[[#This Row],[Midranges]]/($Q$5-Table1[[#This Row],[Missed Games]])</f>
        <v>0.25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0.16325472920445713</v>
      </c>
      <c r="AC11" s="125">
        <f t="shared" si="8"/>
        <v>3.7764290416457152E-2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4" t="s">
        <v>68</v>
      </c>
      <c r="Q12" s="74">
        <f t="shared" si="3"/>
        <v>20</v>
      </c>
      <c r="R12" s="75">
        <f>Table1[[#This Row],[Points]]/($Q$5-Table1[[#This Row],[Missed Games]])</f>
        <v>2.5</v>
      </c>
      <c r="S12" s="76">
        <f t="shared" si="4"/>
        <v>6</v>
      </c>
      <c r="T12" s="77">
        <f>Table1[[#This Row],[Finishes]]/($Q$5-Table1[[#This Row],[Missed Games]])</f>
        <v>0.75</v>
      </c>
      <c r="U12" s="76">
        <f t="shared" si="5"/>
        <v>12</v>
      </c>
      <c r="V12" s="77">
        <f>Table1[[#This Row],[Midranges]]/($Q$5-Table1[[#This Row],[Missed Games]])</f>
        <v>1.5</v>
      </c>
      <c r="W12" s="76">
        <f t="shared" si="6"/>
        <v>1</v>
      </c>
      <c r="X12" s="77">
        <f>Table1[[#This Row],[Threes]]/($Q$5-Table1[[#This Row],[Missed Games]])</f>
        <v>0.125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0.10339466182948952</v>
      </c>
      <c r="AC12" s="125">
        <f t="shared" si="8"/>
        <v>4.8492468879489527E-2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5</v>
      </c>
      <c r="R13" s="75">
        <f>Table1[[#This Row],[Points]]/($Q$5-Table1[[#This Row],[Missed Games]])</f>
        <v>1</v>
      </c>
      <c r="S13" s="76">
        <f t="shared" si="4"/>
        <v>3</v>
      </c>
      <c r="T13" s="77">
        <f>Table1[[#This Row],[Finishes]]/($Q$5-Table1[[#This Row],[Missed Games]])</f>
        <v>0.6</v>
      </c>
      <c r="U13" s="76">
        <f t="shared" si="5"/>
        <v>2</v>
      </c>
      <c r="V13" s="77">
        <f>Table1[[#This Row],[Midranges]]/($Q$5-Table1[[#This Row],[Missed Games]])</f>
        <v>0.4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4.3534594454521902E-2</v>
      </c>
      <c r="AC13" s="125">
        <f t="shared" si="8"/>
        <v>-5.8425757159478078E-2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12</v>
      </c>
      <c r="R14" s="79">
        <f>Table1[[#This Row],[Points]]/($Q$5-Table1[[#This Row],[Missed Games]])</f>
        <v>1.5</v>
      </c>
      <c r="S14" s="80">
        <f t="shared" si="4"/>
        <v>3</v>
      </c>
      <c r="T14" s="81">
        <f>Table1[[#This Row],[Finishes]]/($Q$5-Table1[[#This Row],[Missed Games]])</f>
        <v>0.375</v>
      </c>
      <c r="U14" s="80">
        <f t="shared" si="5"/>
        <v>1</v>
      </c>
      <c r="V14" s="81">
        <f>Table1[[#This Row],[Midranges]]/($Q$5-Table1[[#This Row],[Missed Games]])</f>
        <v>0.125</v>
      </c>
      <c r="W14" s="80">
        <f t="shared" si="6"/>
        <v>4</v>
      </c>
      <c r="X14" s="81">
        <f>Table1[[#This Row],[Threes]]/($Q$5-Table1[[#This Row],[Missed Games]])</f>
        <v>0.5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4.3534594454521902E-2</v>
      </c>
      <c r="AC14" s="125">
        <f t="shared" si="8"/>
        <v>4.3184543925219032E-3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1.625</v>
      </c>
      <c r="S15" s="80">
        <f t="shared" si="4"/>
        <v>5</v>
      </c>
      <c r="T15" s="81">
        <f>Table1[[#This Row],[Finishes]]/($Q$5-Table1[[#This Row],[Missed Games]])</f>
        <v>0.625</v>
      </c>
      <c r="U15" s="80">
        <f t="shared" si="5"/>
        <v>8</v>
      </c>
      <c r="V15" s="81">
        <f>Table1[[#This Row],[Midranges]]/($Q$5-Table1[[#This Row],[Missed Games]])</f>
        <v>1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7.0743715988598091E-2</v>
      </c>
      <c r="AC15" s="125">
        <f t="shared" si="8"/>
        <v>-5.474672279940189E-2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17</v>
      </c>
      <c r="R16" s="71">
        <f>Table1[[#This Row],[Points]]/($Q$5-Table1[[#This Row],[Missed Games]])</f>
        <v>2.4285714285714284</v>
      </c>
      <c r="S16" s="72">
        <f t="shared" si="4"/>
        <v>4</v>
      </c>
      <c r="T16" s="73">
        <f>Table1[[#This Row],[Finishes]]/($Q$5-Table1[[#This Row],[Missed Games]])</f>
        <v>0.5714285714285714</v>
      </c>
      <c r="U16" s="72">
        <f t="shared" si="5"/>
        <v>13</v>
      </c>
      <c r="V16" s="73">
        <f>Table1[[#This Row],[Midranges]]/($Q$5-Table1[[#This Row],[Missed Games]])</f>
        <v>1.8571428571428572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0.10572687224669607</v>
      </c>
      <c r="AC16" s="125">
        <f t="shared" si="8"/>
        <v>7.6880338546960747E-3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0.75</v>
      </c>
      <c r="S17" s="72">
        <f t="shared" si="4"/>
        <v>1</v>
      </c>
      <c r="T17" s="73">
        <f>Table1[[#This Row],[Finishes]]/($Q$5-Table1[[#This Row],[Missed Games]])</f>
        <v>0.125</v>
      </c>
      <c r="U17" s="72">
        <f t="shared" si="5"/>
        <v>5</v>
      </c>
      <c r="V17" s="73">
        <f>Table1[[#This Row],[Midranges]]/($Q$5-Table1[[#This Row],[Missed Games]])</f>
        <v>0.625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3.2650945840891427E-2</v>
      </c>
      <c r="AC17" s="125">
        <f t="shared" si="8"/>
        <v>1.3043379730891428E-2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1.1666666666666667</v>
      </c>
      <c r="S18" s="72">
        <f t="shared" si="4"/>
        <v>7</v>
      </c>
      <c r="T18" s="73">
        <f>Table1[[#This Row],[Finishes]]/($Q$5-Table1[[#This Row],[Missed Games]])</f>
        <v>1.1666666666666667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5.0790360196942226E-2</v>
      </c>
      <c r="AC18" s="125">
        <f t="shared" si="8"/>
        <v>1.1574220134942227E-2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6</v>
      </c>
      <c r="R19" s="79">
        <f>Table1[[#This Row],[Points]]/($Q$5-Table1[[#This Row],[Missed Games]])</f>
        <v>0.75</v>
      </c>
      <c r="S19" s="80">
        <f t="shared" si="4"/>
        <v>3</v>
      </c>
      <c r="T19" s="81">
        <f>Table1[[#This Row],[Finishes]]/($Q$5-Table1[[#This Row],[Missed Games]])</f>
        <v>0.375</v>
      </c>
      <c r="U19" s="80">
        <f t="shared" si="5"/>
        <v>3</v>
      </c>
      <c r="V19" s="81">
        <f>Table1[[#This Row],[Midranges]]/($Q$5-Table1[[#This Row],[Missed Games]])</f>
        <v>0.375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3.2650945840891427E-2</v>
      </c>
      <c r="AC19" s="125">
        <f t="shared" si="8"/>
        <v>-6.5651942211085723E-3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2.8</v>
      </c>
      <c r="S20" s="80">
        <f t="shared" si="4"/>
        <v>10</v>
      </c>
      <c r="T20" s="81">
        <f>Table1[[#This Row],[Finishes]]/($Q$5-Table1[[#This Row],[Missed Games]])</f>
        <v>2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0.4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0.10448302669085256</v>
      </c>
      <c r="AC20" s="125">
        <f t="shared" si="8"/>
        <v>-2.4928925319147408E-2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2</v>
      </c>
      <c r="R21" s="75">
        <f>Table1[[#This Row],[Points]]/($Q$5-Table1[[#This Row],[Missed Games]])</f>
        <v>0.25</v>
      </c>
      <c r="S21" s="76">
        <f t="shared" si="4"/>
        <v>2</v>
      </c>
      <c r="T21" s="77">
        <f>Table1[[#This Row],[Finishes]]/($Q$5-Table1[[#This Row],[Missed Games]])</f>
        <v>0.25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1.0883648613630476E-2</v>
      </c>
      <c r="AC21" s="125">
        <f t="shared" si="8"/>
        <v>-1.6566943940369522E-2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6</v>
      </c>
      <c r="R22" s="79">
        <f>Table1[[#This Row],[Points]]/($Q$5-Table1[[#This Row],[Missed Games]])</f>
        <v>0.75</v>
      </c>
      <c r="S22" s="80">
        <f t="shared" si="4"/>
        <v>3</v>
      </c>
      <c r="T22" s="81">
        <f>Table1[[#This Row],[Finishes]]/($Q$5-Table1[[#This Row],[Missed Games]])</f>
        <v>0.375</v>
      </c>
      <c r="U22" s="80">
        <f t="shared" si="5"/>
        <v>3</v>
      </c>
      <c r="V22" s="81">
        <f>Table1[[#This Row],[Midranges]]/($Q$5-Table1[[#This Row],[Missed Games]])</f>
        <v>0.375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3.2650945840891427E-2</v>
      </c>
      <c r="AC22" s="125">
        <f t="shared" si="8"/>
        <v>9.1218665088914318E-3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4</v>
      </c>
      <c r="R23" s="79">
        <f>Table1[[#This Row],[Points]]/($Q$5-Table1[[#This Row],[Missed Games]])</f>
        <v>0.5</v>
      </c>
      <c r="S23" s="80">
        <f t="shared" si="4"/>
        <v>3</v>
      </c>
      <c r="T23" s="81">
        <f>Table1[[#This Row],[Finishes]]/($Q$5-Table1[[#This Row],[Missed Games]])</f>
        <v>0.375</v>
      </c>
      <c r="U23" s="80">
        <f t="shared" si="5"/>
        <v>1</v>
      </c>
      <c r="V23" s="81">
        <f>Table1[[#This Row],[Midranges]]/($Q$5-Table1[[#This Row],[Missed Games]])</f>
        <v>0.125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2.1767297227260951E-2</v>
      </c>
      <c r="AC23" s="125">
        <f t="shared" si="8"/>
        <v>1.0002757561260954E-2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1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</f>
        <v>0</v>
      </c>
      <c r="AC29" s="29">
        <f>AB29/(AB$26-AJ29)</f>
        <v>0</v>
      </c>
      <c r="AD29" s="27">
        <f>'1505'!$S3</f>
        <v>0</v>
      </c>
      <c r="AE29" s="28">
        <f>AD29/($Q$26-AJ29)</f>
        <v>0</v>
      </c>
      <c r="AF29" s="27">
        <f>'1505'!$T3</f>
        <v>0</v>
      </c>
      <c r="AG29" s="28">
        <f>AF29/($Q$26-AJ29)</f>
        <v>0</v>
      </c>
      <c r="AH29" s="27">
        <f>'1505'!$U3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'1505'!$R4</f>
        <v>2</v>
      </c>
      <c r="AC30" s="29">
        <f t="shared" ref="AC30:AC44" si="15">AB30/(AB$26-AJ30)</f>
        <v>2</v>
      </c>
      <c r="AD30" s="27">
        <f>'1505'!$S4</f>
        <v>0</v>
      </c>
      <c r="AE30" s="28">
        <f t="shared" ref="AE30:AE44" si="16">AD30/($Q$26-AJ30)</f>
        <v>0</v>
      </c>
      <c r="AF30" s="27">
        <f>'1505'!$T4</f>
        <v>2</v>
      </c>
      <c r="AG30" s="28">
        <f t="shared" ref="AG30:AG44" si="17">AF30/($Q$26-AJ30)</f>
        <v>1</v>
      </c>
      <c r="AH30" s="27">
        <f>'1505'!$U4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'1505'!$R5</f>
        <v>0</v>
      </c>
      <c r="AC31" s="29" t="e">
        <f t="shared" si="15"/>
        <v>#DIV/0!</v>
      </c>
      <c r="AD31" s="27">
        <f>'1505'!$S5</f>
        <v>0</v>
      </c>
      <c r="AE31" s="28">
        <f t="shared" si="16"/>
        <v>0</v>
      </c>
      <c r="AF31" s="27">
        <f>'1505'!$T5</f>
        <v>0</v>
      </c>
      <c r="AG31" s="28">
        <f t="shared" si="17"/>
        <v>0</v>
      </c>
      <c r="AH31" s="27">
        <f>'1505'!$U5</f>
        <v>0</v>
      </c>
      <c r="AI31" s="28">
        <f t="shared" si="18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'1505'!$R6</f>
        <v>4</v>
      </c>
      <c r="AC32" s="29">
        <f t="shared" si="15"/>
        <v>4</v>
      </c>
      <c r="AD32" s="27">
        <f>'1505'!$S6</f>
        <v>4</v>
      </c>
      <c r="AE32" s="28">
        <f t="shared" si="16"/>
        <v>2</v>
      </c>
      <c r="AF32" s="27">
        <f>'1505'!$T6</f>
        <v>0</v>
      </c>
      <c r="AG32" s="28">
        <f t="shared" si="17"/>
        <v>0</v>
      </c>
      <c r="AH32" s="27">
        <f>'1505'!$U6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'1505'!$R7</f>
        <v>5</v>
      </c>
      <c r="AC33" s="29">
        <f t="shared" si="15"/>
        <v>5</v>
      </c>
      <c r="AD33" s="27">
        <f>'1505'!$S7</f>
        <v>3</v>
      </c>
      <c r="AE33" s="28">
        <f t="shared" si="16"/>
        <v>1.5</v>
      </c>
      <c r="AF33" s="27">
        <f>'1505'!$T7</f>
        <v>0</v>
      </c>
      <c r="AG33" s="28">
        <f t="shared" si="17"/>
        <v>0</v>
      </c>
      <c r="AH33" s="27">
        <f>'1505'!$U7</f>
        <v>1</v>
      </c>
      <c r="AI33" s="28">
        <f t="shared" si="18"/>
        <v>0.5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'1505'!$R8</f>
        <v>2</v>
      </c>
      <c r="AC34" s="29">
        <f t="shared" si="15"/>
        <v>2</v>
      </c>
      <c r="AD34" s="27">
        <f>'1505'!$S8</f>
        <v>1</v>
      </c>
      <c r="AE34" s="28">
        <f t="shared" si="16"/>
        <v>0.5</v>
      </c>
      <c r="AF34" s="27">
        <f>'1505'!$T8</f>
        <v>1</v>
      </c>
      <c r="AG34" s="28">
        <f t="shared" si="17"/>
        <v>0.5</v>
      </c>
      <c r="AH34" s="27">
        <f>'1505'!$U8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'1505'!$R9</f>
        <v>3</v>
      </c>
      <c r="AC35" s="29">
        <f t="shared" si="15"/>
        <v>3</v>
      </c>
      <c r="AD35" s="27">
        <f>'1505'!$S9</f>
        <v>1</v>
      </c>
      <c r="AE35" s="28">
        <f t="shared" si="16"/>
        <v>0.5</v>
      </c>
      <c r="AF35" s="27">
        <f>'1505'!$T9</f>
        <v>0</v>
      </c>
      <c r="AG35" s="28">
        <f t="shared" si="17"/>
        <v>0</v>
      </c>
      <c r="AH35" s="27">
        <f>'1505'!$U9</f>
        <v>1</v>
      </c>
      <c r="AI35" s="28">
        <f t="shared" si="18"/>
        <v>0.5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'1505'!$R10</f>
        <v>0</v>
      </c>
      <c r="AC36" s="29">
        <f t="shared" si="15"/>
        <v>0</v>
      </c>
      <c r="AD36" s="27">
        <f>'1505'!$S10</f>
        <v>0</v>
      </c>
      <c r="AE36" s="28">
        <f t="shared" si="16"/>
        <v>0</v>
      </c>
      <c r="AF36" s="27">
        <f>'1505'!$T10</f>
        <v>0</v>
      </c>
      <c r="AG36" s="28">
        <f t="shared" si="17"/>
        <v>0</v>
      </c>
      <c r="AH36" s="27">
        <f>'1505'!$U10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'1505'!$R11</f>
        <v>1</v>
      </c>
      <c r="AC37" s="29">
        <f t="shared" si="15"/>
        <v>1</v>
      </c>
      <c r="AD37" s="27">
        <f>'1505'!$S11</f>
        <v>1</v>
      </c>
      <c r="AE37" s="28">
        <f t="shared" si="16"/>
        <v>0.5</v>
      </c>
      <c r="AF37" s="27">
        <f>'1505'!$T11</f>
        <v>0</v>
      </c>
      <c r="AG37" s="28">
        <f t="shared" si="17"/>
        <v>0</v>
      </c>
      <c r="AH37" s="27">
        <f>'1505'!$U11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'1505'!$R12</f>
        <v>0</v>
      </c>
      <c r="AC38" s="29">
        <f t="shared" si="15"/>
        <v>0</v>
      </c>
      <c r="AD38" s="27">
        <f>'1505'!$S12</f>
        <v>0</v>
      </c>
      <c r="AE38" s="28">
        <f t="shared" si="16"/>
        <v>0</v>
      </c>
      <c r="AF38" s="27">
        <f>'1505'!$T12</f>
        <v>0</v>
      </c>
      <c r="AG38" s="28">
        <f t="shared" si="17"/>
        <v>0</v>
      </c>
      <c r="AH38" s="27">
        <f>'1505'!$U12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'1505'!$R13</f>
        <v>0</v>
      </c>
      <c r="AC39" s="29">
        <f t="shared" si="15"/>
        <v>0</v>
      </c>
      <c r="AD39" s="27">
        <f>'1505'!$S13</f>
        <v>0</v>
      </c>
      <c r="AE39" s="28">
        <f t="shared" si="16"/>
        <v>0</v>
      </c>
      <c r="AF39" s="27">
        <f>'1505'!$T13</f>
        <v>0</v>
      </c>
      <c r="AG39" s="28">
        <f t="shared" si="17"/>
        <v>0</v>
      </c>
      <c r="AH39" s="27">
        <f>'1505'!$U13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'1505'!$R14</f>
        <v>1</v>
      </c>
      <c r="AC40" s="29">
        <f t="shared" si="15"/>
        <v>1</v>
      </c>
      <c r="AD40" s="27">
        <f>'1505'!$S14</f>
        <v>0</v>
      </c>
      <c r="AE40" s="28">
        <f t="shared" si="16"/>
        <v>0</v>
      </c>
      <c r="AF40" s="27">
        <f>'1505'!$T14</f>
        <v>1</v>
      </c>
      <c r="AG40" s="28">
        <f t="shared" si="17"/>
        <v>0.5</v>
      </c>
      <c r="AH40" s="27">
        <f>'1505'!$U14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16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'1505'!$R15</f>
        <v>0</v>
      </c>
      <c r="AC41" s="29">
        <f t="shared" si="15"/>
        <v>0</v>
      </c>
      <c r="AD41" s="27">
        <f>'1505'!$S15</f>
        <v>0</v>
      </c>
      <c r="AE41" s="28">
        <f t="shared" si="16"/>
        <v>0</v>
      </c>
      <c r="AF41" s="27">
        <f>'1505'!$T15</f>
        <v>0</v>
      </c>
      <c r="AG41" s="28">
        <f t="shared" si="17"/>
        <v>0</v>
      </c>
      <c r="AH41" s="27">
        <f>'1505'!$U15</f>
        <v>0</v>
      </c>
      <c r="AI41" s="28">
        <f t="shared" si="18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14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'1505'!$R16</f>
        <v>1</v>
      </c>
      <c r="AC42" s="29">
        <f t="shared" si="15"/>
        <v>1</v>
      </c>
      <c r="AD42" s="27">
        <f>'1505'!$S16</f>
        <v>1</v>
      </c>
      <c r="AE42" s="28">
        <f t="shared" si="16"/>
        <v>0.5</v>
      </c>
      <c r="AF42" s="27">
        <f>'1505'!$T16</f>
        <v>0</v>
      </c>
      <c r="AG42" s="28">
        <f t="shared" si="17"/>
        <v>0</v>
      </c>
      <c r="AH42" s="27">
        <f>'1505'!$U16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18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'1505'!$R17</f>
        <v>2</v>
      </c>
      <c r="AC43" s="29">
        <f t="shared" si="15"/>
        <v>2</v>
      </c>
      <c r="AD43" s="27">
        <f>'1505'!$S17</f>
        <v>0</v>
      </c>
      <c r="AE43" s="28">
        <f t="shared" si="16"/>
        <v>0</v>
      </c>
      <c r="AF43" s="27">
        <f>'1505'!$T17</f>
        <v>2</v>
      </c>
      <c r="AG43" s="28">
        <f t="shared" si="17"/>
        <v>1</v>
      </c>
      <c r="AH43" s="27">
        <f>'1505'!$U17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'1505'!$R18</f>
        <v>1</v>
      </c>
      <c r="AC44" s="29">
        <f t="shared" si="15"/>
        <v>1</v>
      </c>
      <c r="AD44" s="27">
        <f>'1505'!$S18</f>
        <v>0</v>
      </c>
      <c r="AE44" s="28">
        <f t="shared" si="16"/>
        <v>0</v>
      </c>
      <c r="AF44" s="27">
        <f>'1505'!$T18</f>
        <v>1</v>
      </c>
      <c r="AG44" s="28">
        <f t="shared" si="17"/>
        <v>0.5</v>
      </c>
      <c r="AH44" s="27">
        <f>'1505'!$U18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98</v>
      </c>
      <c r="K46" s="41">
        <f>J46/Q5</f>
        <v>12.25</v>
      </c>
      <c r="L46" s="57">
        <f>J46/SUM($J$46:$J$48)</f>
        <v>0.61250000000000004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55</v>
      </c>
      <c r="K47" s="41">
        <f>J47/Q5</f>
        <v>6.875</v>
      </c>
      <c r="L47" s="57">
        <f t="shared" ref="L47:L48" si="19">J47/SUM($J$46:$J$48)</f>
        <v>0.34375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7</v>
      </c>
      <c r="K48" s="41">
        <f>J48/Q5</f>
        <v>0.875</v>
      </c>
      <c r="L48" s="57">
        <f t="shared" si="19"/>
        <v>4.3749999999999997E-2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0.4107142857142857</v>
      </c>
      <c r="K53" s="68">
        <f>'Statistics LG'!X31</f>
        <v>0.54166666666666663</v>
      </c>
      <c r="L53" s="68">
        <f>AVERAGE(J53:K53)</f>
        <v>0.47619047619047616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0.5892857142857143</v>
      </c>
      <c r="J54" s="111" t="s">
        <v>191</v>
      </c>
      <c r="K54" s="68">
        <f>'Statistics WW'!R31</f>
        <v>0.52631578947368418</v>
      </c>
      <c r="L54" s="68">
        <f>AVERAGE(I54:K54)</f>
        <v>0.55780075187969924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0.45833333333333337</v>
      </c>
      <c r="J55" s="68">
        <f>1-K54</f>
        <v>0.47368421052631582</v>
      </c>
      <c r="K55" s="111" t="s">
        <v>191</v>
      </c>
      <c r="L55" s="68">
        <f>AVERAGE(I55:K55)</f>
        <v>0.46600877192982459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1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49</v>
      </c>
      <c r="I4" s="1">
        <f>SUM(C4:C30)</f>
        <v>55</v>
      </c>
      <c r="J4" s="1">
        <f>SUM(D4:D30)</f>
        <v>16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0.3392857142857143</v>
      </c>
      <c r="AO4" s="57">
        <f>Table2[[#This Row],[Avg P]]/(Table2[[#This Row],[Avg P]]+AN4)</f>
        <v>0.45714285714285713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0.66666666666666674</v>
      </c>
      <c r="AO5" s="57">
        <f>Table2[[#This Row],[Avg P]]/(Table2[[#This Row],[Avg P]]+AN5)</f>
        <v>0.33333333333333331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2.5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2.5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3</v>
      </c>
      <c r="AN6" s="41">
        <f>'Stats Global'!R10-Table2[[#This Row],[Avg P]]</f>
        <v>0.10000000000000009</v>
      </c>
      <c r="AO6" s="57">
        <f>Table2[[#This Row],[Avg P]]/(Table2[[#This Row],[Avg P]]+AN6)</f>
        <v>0.96153846153846145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18</v>
      </c>
      <c r="AE7" s="62">
        <f>Table2[[#This Row],[Points]]/($AE$2-Table2[[#This Row],[DNP]])</f>
        <v>2.5714285714285716</v>
      </c>
      <c r="AF7" s="63">
        <f>'2404'!AC6+'2604'!AC6+'0205'!AC6+'0305'!AC6+'0805'!AC6+'0905'!AC6+'1005'!AC6+'1505'!AC6</f>
        <v>17</v>
      </c>
      <c r="AG7" s="115">
        <f>Table2[[#This Row],[Finishes]]/($AE$2-Table2[[#This Row],[DNP]])</f>
        <v>2.4285714285714284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1.1785714285714284</v>
      </c>
      <c r="AO7" s="57">
        <f>Table2[[#This Row],[Avg P]]/(Table2[[#This Row],[Avg P]]+AN7)</f>
        <v>0.68571428571428572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10</v>
      </c>
      <c r="AE8" s="62">
        <f>Table2[[#This Row],[Points]]/($AE$2-Table2[[#This Row],[DNP]])</f>
        <v>1.4285714285714286</v>
      </c>
      <c r="AF8" s="63">
        <f>'2404'!AC7+'2604'!AC7+'0205'!AC7+'0305'!AC7+'0805'!AC7+'0905'!AC7+'1005'!AC7+'1505'!AC7</f>
        <v>5</v>
      </c>
      <c r="AG8" s="115">
        <f>Table2[[#This Row],[Finishes]]/($AE$2-Table2[[#This Row],[DNP]])</f>
        <v>0.7142857142857143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1.0714285714285714</v>
      </c>
      <c r="AO8" s="57">
        <f>Table2[[#This Row],[Avg P]]/(Table2[[#This Row],[Avg P]]+AN8)</f>
        <v>0.5714285714285714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2</v>
      </c>
      <c r="AE9" s="62">
        <f>Table2[[#This Row],[Points]]/($AE$2-Table2[[#This Row],[DNP]])</f>
        <v>0.5</v>
      </c>
      <c r="AF9" s="63">
        <f>'2404'!AC8+'2604'!AC8+'0205'!AC8+'0305'!AC8+'0805'!AC8+'0905'!AC8+'1005'!AC8+'1505'!AC8</f>
        <v>1</v>
      </c>
      <c r="AG9" s="115">
        <f>Table2[[#This Row],[Finishes]]/($AE$2-Table2[[#This Row],[DNP]])</f>
        <v>0.25</v>
      </c>
      <c r="AH9" s="63">
        <f>'2404'!AD8+'2604'!AD8+'0205'!AD8+'0305'!AD8+'0805'!AD8+'0905'!AD8+'1005'!AD8+'1505'!AD8</f>
        <v>1</v>
      </c>
      <c r="AI9" s="115">
        <f>Table2[[#This Row],[Midranges]]/($AE$2-Table2[[#This Row],[DNP]])</f>
        <v>0.25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0.5</v>
      </c>
      <c r="AO9" s="57">
        <f>Table2[[#This Row],[Avg P]]/(Table2[[#This Row],[Avg P]]+AN9)</f>
        <v>0.5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1.5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225</v>
      </c>
      <c r="F11" t="s">
        <v>53</v>
      </c>
      <c r="I11" s="1" t="s">
        <v>115</v>
      </c>
      <c r="J11" s="18"/>
      <c r="L11" s="17"/>
      <c r="M11" s="17"/>
      <c r="N11" s="17">
        <v>1</v>
      </c>
      <c r="O11" s="17">
        <v>1</v>
      </c>
      <c r="P11" s="17">
        <v>1</v>
      </c>
      <c r="Q11" s="17">
        <v>1</v>
      </c>
      <c r="S11" s="17">
        <f>COUNTIF('1505'!$X$4:$X$40,"LG/WW")</f>
        <v>2</v>
      </c>
      <c r="T11" s="17">
        <f>COUNTIF('1505'!$Y$4:$Y$40,"WW/LG")</f>
        <v>7</v>
      </c>
      <c r="U11" s="17"/>
      <c r="V11" s="17"/>
      <c r="X11" s="17">
        <f>COUNTIF('1505'!$X$4:$X$40,"LG/5M")</f>
        <v>4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1.625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1.7619047619047619</v>
      </c>
      <c r="AO12" s="57">
        <f>Table2[[#This Row],[Avg P]]/(Table2[[#This Row],[Avg P]]+AN12)</f>
        <v>0.27450980392156865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0.32142857142857145</v>
      </c>
      <c r="AO13" s="57">
        <f>Table2[[#This Row],[Avg P]]/(Table2[[#This Row],[Avg P]]+AN13)</f>
        <v>0.5714285714285714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0.56666666666666676</v>
      </c>
      <c r="AO14" s="57">
        <f>Table2[[#This Row],[Avg P]]/(Table2[[#This Row],[Avg P]]+AN14)</f>
        <v>0.51428571428571423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0.75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2.8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1</v>
      </c>
      <c r="AE17" s="62">
        <f>Table2[[#This Row],[Points]]/($AE$2-Table2[[#This Row],[DNP]])</f>
        <v>0.14285714285714285</v>
      </c>
      <c r="AF17" s="91">
        <f>'2404'!AC16+'2604'!AC16+'0205'!AC16+'0305'!AC16+'0805'!AC16+'0905'!AC16+'1005'!AC16+'1505'!AC16</f>
        <v>1</v>
      </c>
      <c r="AG17" s="117">
        <f>Table2[[#This Row],[Finishes]]/($AE$2-Table2[[#This Row],[DNP]])</f>
        <v>0.14285714285714285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0.10714285714285715</v>
      </c>
      <c r="AO17" s="57">
        <f>Table2[[#This Row],[Avg P]]/(Table2[[#This Row],[Avg P]]+AN17)</f>
        <v>0.5714285714285714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0.75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23</v>
      </c>
      <c r="T30" s="17">
        <f t="shared" si="0"/>
        <v>33</v>
      </c>
      <c r="U30" s="17"/>
      <c r="V30" s="17"/>
      <c r="X30" s="17">
        <f t="shared" ref="X30:Y30" si="1">SUM(X4:X29)</f>
        <v>26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0.4107142857142857</v>
      </c>
      <c r="X31" s="22">
        <f>X30/(Y30+X30)</f>
        <v>0.54166666666666663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"PartA":[49,55],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Kim",4,"Clarrie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3.4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"PartC":[6.9,3.4,2,0.8,6.1,6.9],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2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"PartD":[23,33,41.1,26,22,54.2],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0.8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4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63</v>
      </c>
      <c r="I4" s="24">
        <f>SUM(C4:C30)</f>
        <v>50</v>
      </c>
      <c r="J4" s="24">
        <f>SUM(D4:D30)</f>
        <v>14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6</v>
      </c>
      <c r="S11" s="17">
        <f>COUNTIF('1505'!$Z$4:$Z$40,"5M/WW")</f>
        <v>1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30</v>
      </c>
      <c r="S30" s="17">
        <f t="shared" si="0"/>
        <v>27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0.52631578947368418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"PartA":[63,50],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8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"PartB":[30,"Rudy Hoschke",28,"Rudy Hoschke",12,"Michael Iffland",1,"Michael Iffland"],</v>
      </c>
      <c r="R33" s="40" t="s">
        <v>197</v>
      </c>
      <c r="T33" s="42">
        <f>MAX('Stats Global'!Q9,'Stats Global'!Q11:Q13,'Stats Global'!Q21)</f>
        <v>30</v>
      </c>
      <c r="U33" s="40" t="s">
        <v>44</v>
      </c>
      <c r="V33" s="66">
        <f>ROUND(SUM('Stats Global'!S9,'Stats Global'!S11:S13,'Stats Global'!S21)/COUNT(B4:B40),1)</f>
        <v>5.5</v>
      </c>
    </row>
    <row r="34" spans="12:22" ht="14.25" customHeight="1" x14ac:dyDescent="0.45">
      <c r="L34" s="40" t="str">
        <f>R34&amp;V32&amp;","&amp;V33&amp;","&amp;V34&amp;","&amp;V35&amp;","&amp;V36&amp;","&amp;V37&amp;"],"</f>
        <v>"PartC":[8,5.5,2.3,0.13,7.9,6.3],</v>
      </c>
      <c r="R34" s="40" t="s">
        <v>198</v>
      </c>
      <c r="T34" s="42">
        <f>MAX('Stats Global'!S9,'Stats Global'!S11:S13,'Stats Global'!S21)</f>
        <v>28</v>
      </c>
      <c r="U34" s="40" t="s">
        <v>44</v>
      </c>
      <c r="V34" s="66">
        <f>ROUND(SUM('Stats Global'!U9,'Stats Global'!U11:U13,'Stats Global'!U21)/COUNT(B4:B40),1)</f>
        <v>2.2999999999999998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"PartD":[33,23,58.9,30,27,52.6],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Global'!W21)/COUNT(B4:B40),2)</f>
        <v>0.13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7.9</v>
      </c>
    </row>
    <row r="37" spans="12:22" ht="14.25" customHeight="1" x14ac:dyDescent="0.45">
      <c r="V37" s="40">
        <f>ROUND(I4/COUNT(B4:B40),1)</f>
        <v>6.3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55" zoomScaleNormal="55" workbookViewId="0">
      <selection activeCell="A3" sqref="A3:F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49</v>
      </c>
      <c r="H4" s="24">
        <f>SUM(C4:C30)</f>
        <v>56</v>
      </c>
      <c r="I4" s="24">
        <f>SUM(D4:D30)</f>
        <v>18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30" t="s">
        <v>206</v>
      </c>
      <c r="F11" s="40" t="s">
        <v>60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"PartA":[49,56],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"PartB":[17,"Samuel McConaghy",13,"Alexander Galt",13,"Samuel McConaghy",0,"N/A"],</v>
      </c>
      <c r="Q33" s="40" t="s">
        <v>197</v>
      </c>
      <c r="S33" s="42">
        <f>MAX('Stats Global'!Q8,'Stats Global'!Q10,'Stats Global'!Q16:Q18)</f>
        <v>17</v>
      </c>
      <c r="T33" s="40" t="s">
        <v>60</v>
      </c>
      <c r="U33" s="66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"PartC":[6.1,3.4,2.6,0,6.1,7],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"PartD":[22,26,45.8,27,30,47.4],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7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1" t="s">
        <v>159</v>
      </c>
      <c r="R41" s="131"/>
      <c r="S41" s="131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1"/>
      <c r="R42" s="131"/>
      <c r="S42" s="131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1" t="s">
        <v>159</v>
      </c>
      <c r="R41" s="131"/>
      <c r="S41" s="131"/>
      <c r="T41" s="19"/>
      <c r="U41" s="19"/>
    </row>
    <row r="42" spans="17:21" ht="14.25" customHeight="1" x14ac:dyDescent="0.45">
      <c r="Q42" s="131"/>
      <c r="R42" s="131"/>
      <c r="S42" s="131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G22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79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7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>LG/5M</v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51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7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1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57</v>
      </c>
      <c r="D7" s="54" t="s">
        <v>34</v>
      </c>
      <c r="E7" s="54" t="s">
        <v>53</v>
      </c>
      <c r="F7" s="54" t="s">
        <v>173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3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57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>WW/LG</v>
      </c>
      <c r="Z8" s="24" t="str">
        <f t="shared" si="10"/>
        <v/>
      </c>
      <c r="AB8" s="3" t="s">
        <v>51</v>
      </c>
      <c r="AC8" s="40">
        <f t="shared" si="4"/>
        <v>1</v>
      </c>
      <c r="AD8" s="40">
        <f t="shared" si="5"/>
        <v>1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36</v>
      </c>
      <c r="F9" s="54" t="s">
        <v>123</v>
      </c>
      <c r="G9" s="54">
        <v>2</v>
      </c>
      <c r="H9" s="54">
        <v>2</v>
      </c>
      <c r="I9" s="54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/>
      </c>
      <c r="Y9" s="24" t="str">
        <f t="shared" si="9"/>
        <v>WW/5M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79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>LG/WW</v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57</v>
      </c>
      <c r="D11" s="54" t="s">
        <v>34</v>
      </c>
      <c r="E11" s="54" t="s">
        <v>148</v>
      </c>
      <c r="F11" s="54" t="s">
        <v>123</v>
      </c>
      <c r="G11" s="54">
        <v>2</v>
      </c>
      <c r="H11" s="54">
        <v>3</v>
      </c>
      <c r="I11" s="54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>LG/5M</v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36</v>
      </c>
      <c r="F13" s="54" t="s">
        <v>123</v>
      </c>
      <c r="G13" s="54">
        <v>2</v>
      </c>
      <c r="H13" s="54">
        <v>4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76</v>
      </c>
      <c r="F14" s="54" t="s">
        <v>154</v>
      </c>
      <c r="G14" s="54">
        <v>3</v>
      </c>
      <c r="H14" s="54">
        <v>2</v>
      </c>
      <c r="I14" s="54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39</v>
      </c>
      <c r="D15" s="54" t="s">
        <v>34</v>
      </c>
      <c r="E15" s="54" t="s">
        <v>44</v>
      </c>
      <c r="F15" s="54" t="s">
        <v>154</v>
      </c>
      <c r="G15" s="54">
        <v>4</v>
      </c>
      <c r="H15" s="54">
        <v>5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0</v>
      </c>
      <c r="X15" s="24" t="str">
        <f t="shared" si="8"/>
        <v/>
      </c>
      <c r="Y15" s="24" t="str">
        <f t="shared" si="9"/>
        <v>WW/5M</v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39</v>
      </c>
      <c r="E16" s="54" t="s">
        <v>69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LG/WW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1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34</v>
      </c>
      <c r="E17" s="54" t="s">
        <v>53</v>
      </c>
      <c r="F17" s="54" t="s">
        <v>154</v>
      </c>
      <c r="G17" s="54">
        <v>2</v>
      </c>
      <c r="H17" s="54">
        <v>6</v>
      </c>
      <c r="I17" s="54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6" t="b">
        <v>0</v>
      </c>
      <c r="X17" s="24" t="str">
        <f t="shared" si="8"/>
        <v>LG/5M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39</v>
      </c>
      <c r="D18" s="54" t="s">
        <v>57</v>
      </c>
      <c r="E18" s="54" t="s">
        <v>46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WW/LG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44</v>
      </c>
      <c r="F19" s="54" t="s">
        <v>154</v>
      </c>
      <c r="G19" s="54">
        <v>2</v>
      </c>
      <c r="H19" s="54">
        <v>7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51</v>
      </c>
      <c r="F20" s="54" t="s">
        <v>123</v>
      </c>
      <c r="G20" s="54">
        <v>3</v>
      </c>
      <c r="H20" s="54">
        <v>2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44</v>
      </c>
      <c r="F21" s="54" t="s">
        <v>154</v>
      </c>
      <c r="G21" s="54">
        <v>4</v>
      </c>
      <c r="H21" s="54">
        <v>8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5</v>
      </c>
      <c r="H22" s="54">
        <v>3</v>
      </c>
      <c r="I22" s="54">
        <v>2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46</v>
      </c>
      <c r="F23" s="54" t="s">
        <v>173</v>
      </c>
      <c r="G23" s="54">
        <v>6</v>
      </c>
      <c r="H23" s="54">
        <v>9</v>
      </c>
      <c r="I23" s="5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1" t="s">
        <v>159</v>
      </c>
      <c r="R41" s="131"/>
      <c r="S41" s="131"/>
      <c r="T41" s="19"/>
      <c r="U41" s="19"/>
    </row>
    <row r="42" spans="2:26" ht="14.25" customHeight="1" x14ac:dyDescent="0.45">
      <c r="Q42" s="131"/>
      <c r="R42" s="131"/>
      <c r="S42" s="131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2023-05-15T04:32:52Z</dcterms:modified>
</cp:coreProperties>
</file>