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563AC0EC-F7FA-4029-A780-C2F23C287975}" xr6:coauthVersionLast="47" xr6:coauthVersionMax="47" xr10:uidLastSave="{00000000-0000-0000-0000-000000000000}"/>
  <bookViews>
    <workbookView xWindow="-98" yWindow="-98" windowWidth="22695" windowHeight="14595" firstSheet="1" activeTab="1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2" l="1"/>
  <c r="L30" i="2" s="1"/>
  <c r="G37" i="2"/>
  <c r="I37" i="2"/>
  <c r="K37" i="2"/>
  <c r="J37" i="2"/>
  <c r="H37" i="2"/>
  <c r="F37" i="2"/>
  <c r="K36" i="2"/>
  <c r="J36" i="2"/>
  <c r="I36" i="2"/>
  <c r="H36" i="2"/>
  <c r="G36" i="2"/>
  <c r="F36" i="2"/>
  <c r="K35" i="2"/>
  <c r="J35" i="2"/>
  <c r="I35" i="2"/>
  <c r="H35" i="2"/>
  <c r="G35" i="2"/>
  <c r="F35" i="2"/>
  <c r="K34" i="2"/>
  <c r="J34" i="2"/>
  <c r="I34" i="2"/>
  <c r="H34" i="2"/>
  <c r="G34" i="2"/>
  <c r="F34" i="2"/>
  <c r="K33" i="2"/>
  <c r="J33" i="2"/>
  <c r="I33" i="2"/>
  <c r="H33" i="2"/>
  <c r="G33" i="2"/>
  <c r="F33" i="2"/>
  <c r="K32" i="2"/>
  <c r="J32" i="2"/>
  <c r="I32" i="2"/>
  <c r="H32" i="2"/>
  <c r="G32" i="2"/>
  <c r="F32" i="2"/>
  <c r="K31" i="2"/>
  <c r="J31" i="2"/>
  <c r="I31" i="2"/>
  <c r="H31" i="2"/>
  <c r="G31" i="2"/>
  <c r="F31" i="2"/>
  <c r="K30" i="2"/>
  <c r="J30" i="2"/>
  <c r="I30" i="2"/>
  <c r="H30" i="2"/>
  <c r="G30" i="2"/>
  <c r="F30" i="2"/>
  <c r="K29" i="2"/>
  <c r="J29" i="2"/>
  <c r="I29" i="2"/>
  <c r="H29" i="2"/>
  <c r="G29" i="2"/>
  <c r="F29" i="2"/>
  <c r="K28" i="2"/>
  <c r="J28" i="2"/>
  <c r="I28" i="2"/>
  <c r="H28" i="2"/>
  <c r="G28" i="2"/>
  <c r="F28" i="2"/>
  <c r="K27" i="2"/>
  <c r="J27" i="2"/>
  <c r="I27" i="2"/>
  <c r="H27" i="2"/>
  <c r="G27" i="2"/>
  <c r="F27" i="2"/>
  <c r="K26" i="2"/>
  <c r="J26" i="2"/>
  <c r="I26" i="2"/>
  <c r="H26" i="2"/>
  <c r="G26" i="2"/>
  <c r="F26" i="2"/>
  <c r="K25" i="2"/>
  <c r="J25" i="2"/>
  <c r="I25" i="2"/>
  <c r="H25" i="2"/>
  <c r="G25" i="2"/>
  <c r="F25" i="2"/>
  <c r="K24" i="2"/>
  <c r="J24" i="2"/>
  <c r="I24" i="2"/>
  <c r="H24" i="2"/>
  <c r="G24" i="2"/>
  <c r="F24" i="2"/>
  <c r="K23" i="2"/>
  <c r="J23" i="2"/>
  <c r="I23" i="2"/>
  <c r="H23" i="2"/>
  <c r="G23" i="2"/>
  <c r="F23" i="2"/>
  <c r="K22" i="2"/>
  <c r="J22" i="2"/>
  <c r="I22" i="2"/>
  <c r="H22" i="2"/>
  <c r="G22" i="2"/>
  <c r="F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22" i="2"/>
  <c r="K47" i="3"/>
  <c r="B10" i="3"/>
  <c r="C10" i="3"/>
  <c r="E10" i="3" s="1"/>
  <c r="D10" i="3"/>
  <c r="F10" i="3"/>
  <c r="U32" i="6"/>
  <c r="AH30" i="3"/>
  <c r="AH31" i="3"/>
  <c r="AH32" i="3"/>
  <c r="AH33" i="3"/>
  <c r="AH34" i="3"/>
  <c r="AH35" i="3"/>
  <c r="AH36" i="3"/>
  <c r="AI36" i="3" s="1"/>
  <c r="AH37" i="3"/>
  <c r="W16" i="3" s="1"/>
  <c r="AH38" i="3"/>
  <c r="AH39" i="3"/>
  <c r="AH40" i="3"/>
  <c r="AH41" i="3"/>
  <c r="AH42" i="3"/>
  <c r="AH43" i="3"/>
  <c r="AH44" i="3"/>
  <c r="AI44" i="3" s="1"/>
  <c r="AH29" i="3"/>
  <c r="AF30" i="3"/>
  <c r="AF31" i="3"/>
  <c r="AF32" i="3"/>
  <c r="AF33" i="3"/>
  <c r="AF34" i="3"/>
  <c r="AF35" i="3"/>
  <c r="AF36" i="3"/>
  <c r="AF37" i="3"/>
  <c r="AG37" i="3" s="1"/>
  <c r="AF38" i="3"/>
  <c r="AF39" i="3"/>
  <c r="AF40" i="3"/>
  <c r="AF41" i="3"/>
  <c r="AF42" i="3"/>
  <c r="AF43" i="3"/>
  <c r="AF44" i="3"/>
  <c r="AF29" i="3"/>
  <c r="AD30" i="3"/>
  <c r="AD31" i="3"/>
  <c r="S10" i="3" s="1"/>
  <c r="AD32" i="3"/>
  <c r="AD33" i="3"/>
  <c r="AD34" i="3"/>
  <c r="AD35" i="3"/>
  <c r="AE35" i="3" s="1"/>
  <c r="AD36" i="3"/>
  <c r="AD37" i="3"/>
  <c r="S16" i="3" s="1"/>
  <c r="AD38" i="3"/>
  <c r="AD39" i="3"/>
  <c r="AD40" i="3"/>
  <c r="AD41" i="3"/>
  <c r="AD42" i="3"/>
  <c r="AD43" i="3"/>
  <c r="AD44" i="3"/>
  <c r="AD29" i="3"/>
  <c r="AB30" i="3"/>
  <c r="AB31" i="3"/>
  <c r="AB32" i="3"/>
  <c r="AB33" i="3"/>
  <c r="AB34" i="3"/>
  <c r="AB35" i="3"/>
  <c r="AB36" i="3"/>
  <c r="AB37" i="3"/>
  <c r="Q16" i="3" s="1"/>
  <c r="AB38" i="3"/>
  <c r="AB39" i="3"/>
  <c r="AB40" i="3"/>
  <c r="AB41" i="3"/>
  <c r="AB42" i="3"/>
  <c r="AB43" i="3"/>
  <c r="AB44" i="3"/>
  <c r="AB29" i="3"/>
  <c r="Q43" i="16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AE18" i="16"/>
  <c r="AD18" i="16"/>
  <c r="AC18" i="16"/>
  <c r="Z18" i="16"/>
  <c r="Y18" i="16"/>
  <c r="X18" i="16"/>
  <c r="U18" i="16"/>
  <c r="U38" i="16" s="1"/>
  <c r="T18" i="16"/>
  <c r="T38" i="16" s="1"/>
  <c r="S18" i="16"/>
  <c r="S38" i="16" s="1"/>
  <c r="AE17" i="16"/>
  <c r="AD17" i="16"/>
  <c r="AC17" i="16"/>
  <c r="Z17" i="16"/>
  <c r="Y17" i="16"/>
  <c r="X17" i="16"/>
  <c r="U17" i="16"/>
  <c r="U37" i="16" s="1"/>
  <c r="T17" i="16"/>
  <c r="T37" i="16" s="1"/>
  <c r="S17" i="16"/>
  <c r="S37" i="16" s="1"/>
  <c r="AE16" i="16"/>
  <c r="AD16" i="16"/>
  <c r="AC16" i="16"/>
  <c r="Z16" i="16"/>
  <c r="Y16" i="16"/>
  <c r="X16" i="16"/>
  <c r="U16" i="16"/>
  <c r="U36" i="16" s="1"/>
  <c r="T16" i="16"/>
  <c r="T36" i="16" s="1"/>
  <c r="S16" i="16"/>
  <c r="S36" i="16" s="1"/>
  <c r="AE15" i="16"/>
  <c r="AD15" i="16"/>
  <c r="AC15" i="16"/>
  <c r="Z15" i="16"/>
  <c r="Y15" i="16"/>
  <c r="X15" i="16"/>
  <c r="U15" i="16"/>
  <c r="R15" i="16" s="1"/>
  <c r="T15" i="16"/>
  <c r="S15" i="16"/>
  <c r="AE14" i="16"/>
  <c r="AD14" i="16"/>
  <c r="AC14" i="16"/>
  <c r="Z14" i="16"/>
  <c r="Y14" i="16"/>
  <c r="X14" i="16"/>
  <c r="U14" i="16"/>
  <c r="R14" i="16" s="1"/>
  <c r="R34" i="16" s="1"/>
  <c r="T14" i="16"/>
  <c r="T34" i="16" s="1"/>
  <c r="S14" i="16"/>
  <c r="S34" i="16" s="1"/>
  <c r="AE13" i="16"/>
  <c r="AD13" i="16"/>
  <c r="AC13" i="16"/>
  <c r="Z13" i="16"/>
  <c r="Y13" i="16"/>
  <c r="X13" i="16"/>
  <c r="U13" i="16"/>
  <c r="T13" i="16"/>
  <c r="S13" i="16"/>
  <c r="R13" i="16"/>
  <c r="AE12" i="16"/>
  <c r="AD12" i="16"/>
  <c r="AC12" i="16"/>
  <c r="Z12" i="16"/>
  <c r="Y12" i="16"/>
  <c r="X12" i="16"/>
  <c r="U12" i="16"/>
  <c r="R12" i="16" s="1"/>
  <c r="R32" i="16" s="1"/>
  <c r="T12" i="16"/>
  <c r="T32" i="16" s="1"/>
  <c r="S12" i="16"/>
  <c r="S32" i="16" s="1"/>
  <c r="AE11" i="16"/>
  <c r="AD11" i="16"/>
  <c r="AC11" i="16"/>
  <c r="Z11" i="16"/>
  <c r="Y11" i="16"/>
  <c r="X11" i="16"/>
  <c r="U11" i="16"/>
  <c r="U31" i="16" s="1"/>
  <c r="T11" i="16"/>
  <c r="T31" i="16" s="1"/>
  <c r="S11" i="16"/>
  <c r="S31" i="16" s="1"/>
  <c r="AE10" i="16"/>
  <c r="AD10" i="16"/>
  <c r="AC10" i="16"/>
  <c r="Z10" i="16"/>
  <c r="Y10" i="16"/>
  <c r="X10" i="16"/>
  <c r="U10" i="16"/>
  <c r="U30" i="16" s="1"/>
  <c r="T10" i="16"/>
  <c r="T30" i="16" s="1"/>
  <c r="S10" i="16"/>
  <c r="S30" i="16" s="1"/>
  <c r="AE9" i="16"/>
  <c r="AD9" i="16"/>
  <c r="AC9" i="16"/>
  <c r="Z9" i="16"/>
  <c r="Y9" i="16"/>
  <c r="X9" i="16"/>
  <c r="U9" i="16"/>
  <c r="U29" i="16" s="1"/>
  <c r="T9" i="16"/>
  <c r="T29" i="16" s="1"/>
  <c r="S9" i="16"/>
  <c r="S29" i="16" s="1"/>
  <c r="AE8" i="16"/>
  <c r="AD8" i="16"/>
  <c r="AC8" i="16"/>
  <c r="Z8" i="16"/>
  <c r="Y8" i="16"/>
  <c r="X8" i="16"/>
  <c r="U8" i="16"/>
  <c r="R8" i="16" s="1"/>
  <c r="T8" i="16"/>
  <c r="S8" i="16"/>
  <c r="AE7" i="16"/>
  <c r="AD7" i="16"/>
  <c r="AC7" i="16"/>
  <c r="Z7" i="16"/>
  <c r="Y7" i="16"/>
  <c r="X7" i="16"/>
  <c r="U7" i="16"/>
  <c r="U27" i="16" s="1"/>
  <c r="T7" i="16"/>
  <c r="T27" i="16" s="1"/>
  <c r="S7" i="16"/>
  <c r="S27" i="16" s="1"/>
  <c r="R7" i="16"/>
  <c r="R27" i="16" s="1"/>
  <c r="AE6" i="16"/>
  <c r="AD6" i="16"/>
  <c r="AC6" i="16"/>
  <c r="Z6" i="16"/>
  <c r="Y6" i="16"/>
  <c r="X6" i="16"/>
  <c r="U6" i="16"/>
  <c r="R6" i="16" s="1"/>
  <c r="R26" i="16" s="1"/>
  <c r="T6" i="16"/>
  <c r="T26" i="16" s="1"/>
  <c r="S6" i="16"/>
  <c r="S26" i="16" s="1"/>
  <c r="AE5" i="16"/>
  <c r="AD5" i="16"/>
  <c r="AC5" i="16"/>
  <c r="Z5" i="16"/>
  <c r="Y5" i="16"/>
  <c r="X5" i="16"/>
  <c r="U5" i="16"/>
  <c r="R5" i="16" s="1"/>
  <c r="T5" i="16"/>
  <c r="S5" i="16"/>
  <c r="M5" i="16"/>
  <c r="L5" i="16"/>
  <c r="AE4" i="16"/>
  <c r="AD4" i="16"/>
  <c r="AC4" i="16"/>
  <c r="Z4" i="16"/>
  <c r="Y4" i="16"/>
  <c r="X4" i="16"/>
  <c r="U4" i="16"/>
  <c r="U24" i="16" s="1"/>
  <c r="T4" i="16"/>
  <c r="T24" i="16" s="1"/>
  <c r="S4" i="16"/>
  <c r="S24" i="16" s="1"/>
  <c r="M4" i="16"/>
  <c r="L4" i="16"/>
  <c r="AE3" i="16"/>
  <c r="AD3" i="16"/>
  <c r="AC3" i="16"/>
  <c r="U3" i="16"/>
  <c r="U23" i="16" s="1"/>
  <c r="T3" i="16"/>
  <c r="T23" i="16" s="1"/>
  <c r="S3" i="16"/>
  <c r="S23" i="16" s="1"/>
  <c r="R3" i="16"/>
  <c r="R23" i="16" s="1"/>
  <c r="M3" i="16"/>
  <c r="N3" i="16" s="1"/>
  <c r="L3" i="16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U8" i="3"/>
  <c r="U9" i="3"/>
  <c r="U10" i="3"/>
  <c r="U11" i="3"/>
  <c r="U12" i="3"/>
  <c r="U13" i="3"/>
  <c r="U14" i="3"/>
  <c r="U15" i="3"/>
  <c r="U17" i="3"/>
  <c r="U18" i="3"/>
  <c r="U19" i="3"/>
  <c r="U20" i="3"/>
  <c r="U21" i="3"/>
  <c r="U22" i="3"/>
  <c r="U23" i="3"/>
  <c r="S8" i="3"/>
  <c r="S9" i="3"/>
  <c r="S11" i="3"/>
  <c r="S12" i="3"/>
  <c r="S13" i="3"/>
  <c r="S15" i="3"/>
  <c r="S17" i="3"/>
  <c r="S18" i="3"/>
  <c r="S19" i="3"/>
  <c r="S20" i="3"/>
  <c r="S21" i="3"/>
  <c r="S22" i="3"/>
  <c r="S23" i="3"/>
  <c r="Q8" i="3"/>
  <c r="Q9" i="3"/>
  <c r="Q10" i="3"/>
  <c r="Q11" i="3"/>
  <c r="Q12" i="3"/>
  <c r="Q13" i="3"/>
  <c r="Q14" i="3"/>
  <c r="Q15" i="3"/>
  <c r="Q17" i="3"/>
  <c r="Q18" i="3"/>
  <c r="Q19" i="3"/>
  <c r="Q20" i="3"/>
  <c r="Q21" i="3"/>
  <c r="Q22" i="3"/>
  <c r="Q23" i="3"/>
  <c r="Q5" i="3"/>
  <c r="AG44" i="3"/>
  <c r="AE44" i="3"/>
  <c r="AC44" i="3"/>
  <c r="AI43" i="3"/>
  <c r="AG43" i="3"/>
  <c r="AE43" i="3"/>
  <c r="AC43" i="3"/>
  <c r="AI42" i="3"/>
  <c r="AG42" i="3"/>
  <c r="AE42" i="3"/>
  <c r="AC42" i="3"/>
  <c r="AI41" i="3"/>
  <c r="AG41" i="3"/>
  <c r="AE41" i="3"/>
  <c r="AC41" i="3"/>
  <c r="AI40" i="3"/>
  <c r="AG40" i="3"/>
  <c r="AE40" i="3"/>
  <c r="AC40" i="3"/>
  <c r="AI39" i="3"/>
  <c r="AG39" i="3"/>
  <c r="AE39" i="3"/>
  <c r="AC39" i="3"/>
  <c r="AI38" i="3"/>
  <c r="AG38" i="3"/>
  <c r="AE38" i="3"/>
  <c r="AC38" i="3"/>
  <c r="AE37" i="3"/>
  <c r="AC37" i="3"/>
  <c r="AG36" i="3"/>
  <c r="AE36" i="3"/>
  <c r="AC36" i="3"/>
  <c r="AI35" i="3"/>
  <c r="AG35" i="3"/>
  <c r="AC35" i="3"/>
  <c r="AI34" i="3"/>
  <c r="AG34" i="3"/>
  <c r="AE34" i="3"/>
  <c r="AC34" i="3"/>
  <c r="AI33" i="3"/>
  <c r="AG33" i="3"/>
  <c r="AE33" i="3"/>
  <c r="AC33" i="3"/>
  <c r="AI32" i="3"/>
  <c r="AG32" i="3"/>
  <c r="AE32" i="3"/>
  <c r="AC32" i="3"/>
  <c r="AI31" i="3"/>
  <c r="AG31" i="3"/>
  <c r="AE31" i="3"/>
  <c r="AC31" i="3"/>
  <c r="AI30" i="3"/>
  <c r="AG30" i="3"/>
  <c r="AE30" i="3"/>
  <c r="AC30" i="3"/>
  <c r="AI29" i="3"/>
  <c r="AG29" i="3"/>
  <c r="AE29" i="3"/>
  <c r="AC29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W23" i="3" l="1"/>
  <c r="W15" i="3"/>
  <c r="AI37" i="3"/>
  <c r="U16" i="3"/>
  <c r="S14" i="3"/>
  <c r="Q45" i="16"/>
  <c r="N5" i="16"/>
  <c r="R9" i="16"/>
  <c r="R29" i="16" s="1"/>
  <c r="R11" i="16"/>
  <c r="R31" i="16" s="1"/>
  <c r="R17" i="16"/>
  <c r="R37" i="16" s="1"/>
  <c r="N4" i="16"/>
  <c r="Q46" i="16"/>
  <c r="O3" i="16"/>
  <c r="O4" i="16"/>
  <c r="U26" i="16"/>
  <c r="U34" i="16"/>
  <c r="R4" i="16"/>
  <c r="R24" i="16" s="1"/>
  <c r="R10" i="16"/>
  <c r="R30" i="16" s="1"/>
  <c r="R18" i="16"/>
  <c r="R38" i="16" s="1"/>
  <c r="U32" i="16"/>
  <c r="Q47" i="16" s="1"/>
  <c r="R16" i="16"/>
  <c r="R36" i="16" s="1"/>
  <c r="Q44" i="16" l="1"/>
  <c r="O5" i="16"/>
  <c r="S36" i="6" l="1"/>
  <c r="S35" i="6"/>
  <c r="S34" i="6"/>
  <c r="S33" i="6"/>
  <c r="K35" i="6"/>
  <c r="U35" i="6"/>
  <c r="U34" i="6"/>
  <c r="U33" i="6"/>
  <c r="U37" i="6"/>
  <c r="U36" i="6"/>
  <c r="K32" i="6"/>
  <c r="V34" i="4"/>
  <c r="T36" i="5"/>
  <c r="T35" i="5"/>
  <c r="T34" i="5"/>
  <c r="T33" i="5"/>
  <c r="V35" i="5"/>
  <c r="V34" i="5"/>
  <c r="V33" i="5"/>
  <c r="V37" i="5"/>
  <c r="V36" i="5"/>
  <c r="V32" i="5"/>
  <c r="L32" i="5"/>
  <c r="T36" i="4"/>
  <c r="U36" i="4" s="1"/>
  <c r="T34" i="4"/>
  <c r="U34" i="4" s="1"/>
  <c r="T33" i="4"/>
  <c r="U33" i="4" s="1"/>
  <c r="V37" i="4"/>
  <c r="V36" i="4"/>
  <c r="V35" i="4"/>
  <c r="V33" i="4"/>
  <c r="V32" i="4"/>
  <c r="L32" i="4"/>
  <c r="AI8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G10" i="4" l="1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L34" i="4"/>
  <c r="K33" i="6"/>
  <c r="K34" i="6"/>
  <c r="T35" i="4"/>
  <c r="L33" i="5"/>
  <c r="L34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I6" i="3"/>
  <c r="R16" i="10"/>
  <c r="R5" i="10"/>
  <c r="R3" i="10"/>
  <c r="R4" i="10"/>
  <c r="R15" i="10"/>
  <c r="I4" i="4"/>
  <c r="D6" i="3"/>
  <c r="F6" i="3"/>
  <c r="N4" i="8"/>
  <c r="N5" i="8"/>
  <c r="O5" i="8" s="1"/>
  <c r="D4" i="5" s="1"/>
  <c r="O4" i="8"/>
  <c r="D4" i="6" s="1"/>
  <c r="R30" i="5"/>
  <c r="H4" i="6"/>
  <c r="S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L35" i="5" l="1"/>
  <c r="S31" i="4"/>
  <c r="I54" i="3" s="1"/>
  <c r="L54" i="3" s="1"/>
  <c r="L35" i="4"/>
  <c r="L55" i="3"/>
  <c r="J53" i="3"/>
  <c r="L53" i="3" s="1"/>
  <c r="Q44" i="10"/>
  <c r="R17" i="3"/>
  <c r="R57" i="3"/>
  <c r="R48" i="3"/>
  <c r="E3" i="2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R53" i="3"/>
  <c r="R13" i="3"/>
  <c r="R60" i="3"/>
  <c r="R20" i="3"/>
  <c r="R40" i="3"/>
  <c r="J4" i="4"/>
  <c r="J41" i="3" s="1"/>
  <c r="J4" i="5"/>
  <c r="J42" i="3" s="1"/>
  <c r="K14" i="2"/>
  <c r="X23" i="3"/>
  <c r="J18" i="2" s="1"/>
  <c r="X17" i="3"/>
  <c r="J12" i="2" s="1"/>
  <c r="J46" i="3"/>
  <c r="J47" i="3"/>
  <c r="R29" i="3"/>
  <c r="J48" i="3"/>
  <c r="K6" i="3"/>
  <c r="K7" i="3" s="1"/>
  <c r="J3" i="2"/>
  <c r="K3" i="2"/>
  <c r="K18" i="2"/>
  <c r="K6" i="2"/>
  <c r="J10" i="2"/>
  <c r="K12" i="2"/>
  <c r="K4" i="2"/>
  <c r="J4" i="2"/>
  <c r="J16" i="2"/>
  <c r="K8" i="2"/>
  <c r="H11" i="2"/>
  <c r="H18" i="2"/>
  <c r="I18" i="2"/>
  <c r="F18" i="2"/>
  <c r="G18" i="2"/>
  <c r="F11" i="2"/>
  <c r="K10" i="2"/>
  <c r="K16" i="2"/>
  <c r="J14" i="2"/>
  <c r="I11" i="2"/>
  <c r="G11" i="2"/>
  <c r="H10" i="2"/>
  <c r="I10" i="2"/>
  <c r="J7" i="2"/>
  <c r="K7" i="2"/>
  <c r="F13" i="2"/>
  <c r="G13" i="2"/>
  <c r="I4" i="2"/>
  <c r="H4" i="2"/>
  <c r="F4" i="2"/>
  <c r="G4" i="2"/>
  <c r="I17" i="2"/>
  <c r="H17" i="2"/>
  <c r="F6" i="2"/>
  <c r="G6" i="2"/>
  <c r="I9" i="2"/>
  <c r="I12" i="2"/>
  <c r="H12" i="2"/>
  <c r="I7" i="2"/>
  <c r="H7" i="2"/>
  <c r="G3" i="2"/>
  <c r="F3" i="2"/>
  <c r="G17" i="2"/>
  <c r="F17" i="2"/>
  <c r="J15" i="2"/>
  <c r="K15" i="2"/>
  <c r="G16" i="2"/>
  <c r="F16" i="2"/>
  <c r="F7" i="2"/>
  <c r="G7" i="2"/>
  <c r="J11" i="2"/>
  <c r="K11" i="2"/>
  <c r="I15" i="2"/>
  <c r="H15" i="2"/>
  <c r="I16" i="2"/>
  <c r="H16" i="2"/>
  <c r="J5" i="2"/>
  <c r="K5" i="2"/>
  <c r="F10" i="2"/>
  <c r="G10" i="2"/>
  <c r="I8" i="2"/>
  <c r="H8" i="2"/>
  <c r="F9" i="2"/>
  <c r="G9" i="2"/>
  <c r="I14" i="2"/>
  <c r="H14" i="2"/>
  <c r="H6" i="2"/>
  <c r="I6" i="2"/>
  <c r="G5" i="2"/>
  <c r="F5" i="2"/>
  <c r="J17" i="2"/>
  <c r="K17" i="2"/>
  <c r="F15" i="2"/>
  <c r="G15" i="2"/>
  <c r="J9" i="2"/>
  <c r="K9" i="2"/>
  <c r="J13" i="2"/>
  <c r="K13" i="2"/>
  <c r="I3" i="2"/>
  <c r="H3" i="2"/>
  <c r="H5" i="2"/>
  <c r="I5" i="2"/>
  <c r="F8" i="2"/>
  <c r="G8" i="2"/>
  <c r="H13" i="2"/>
  <c r="I13" i="2"/>
  <c r="G12" i="2"/>
  <c r="F12" i="2"/>
  <c r="F14" i="2"/>
  <c r="G14" i="2"/>
  <c r="AB13" i="3" l="1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AN6" i="4"/>
  <c r="AO6" i="4" s="1"/>
  <c r="AN16" i="4"/>
  <c r="AN9" i="4"/>
  <c r="AO9" i="4" s="1"/>
  <c r="AN12" i="4"/>
  <c r="AO12" i="4" s="1"/>
  <c r="AN18" i="4"/>
  <c r="E13" i="2"/>
  <c r="E18" i="2"/>
  <c r="AN14" i="4"/>
  <c r="AO14" i="4" s="1"/>
  <c r="AN10" i="4"/>
  <c r="AN19" i="4"/>
  <c r="AN8" i="4"/>
  <c r="AO8" i="4" s="1"/>
  <c r="AN5" i="4"/>
  <c r="AO5" i="4" s="1"/>
  <c r="AN17" i="4"/>
  <c r="AO17" i="4" s="1"/>
  <c r="D13" i="2"/>
  <c r="AN11" i="4"/>
  <c r="AN7" i="4"/>
  <c r="AO7" i="4" s="1"/>
  <c r="AN13" i="4"/>
  <c r="AO13" i="4" s="1"/>
  <c r="AN15" i="4"/>
  <c r="E14" i="2"/>
  <c r="E11" i="2"/>
  <c r="K48" i="3"/>
  <c r="L48" i="3"/>
  <c r="E16" i="2"/>
  <c r="R8" i="3"/>
  <c r="K46" i="3"/>
  <c r="L46" i="3"/>
  <c r="L47" i="3"/>
  <c r="E8" i="2"/>
  <c r="L25" i="2"/>
  <c r="L27" i="2"/>
  <c r="L29" i="2"/>
  <c r="L24" i="2"/>
  <c r="L28" i="2"/>
  <c r="H9" i="2"/>
  <c r="E17" i="2"/>
  <c r="E5" i="2"/>
  <c r="E15" i="2"/>
  <c r="E9" i="2"/>
  <c r="D11" i="2"/>
  <c r="D16" i="2"/>
  <c r="E10" i="2"/>
  <c r="D9" i="2"/>
  <c r="E12" i="2"/>
  <c r="E6" i="2"/>
  <c r="E4" i="2"/>
  <c r="AN4" i="4" l="1"/>
  <c r="AO4" i="4" s="1"/>
  <c r="D3" i="2"/>
  <c r="L26" i="2"/>
  <c r="L23" i="2"/>
  <c r="D17" i="2"/>
  <c r="D7" i="2"/>
  <c r="D6" i="2"/>
  <c r="D4" i="2"/>
  <c r="D14" i="2"/>
  <c r="D5" i="2"/>
  <c r="D12" i="2"/>
  <c r="D15" i="2"/>
  <c r="D10" i="2"/>
  <c r="D8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<sst xmlns="http://schemas.openxmlformats.org/spreadsheetml/2006/main" count="1731" uniqueCount="224">
  <si>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</si>
  <si>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</si>
  <si>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</si>
  <si>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</si>
  <si>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</si>
  <si>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</si>
  <si>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</si>
  <si>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</si>
  <si>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</si>
  <si>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</si>
  <si>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</si>
  <si>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</si>
  <si>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</si>
  <si>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</si>
  <si>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</si>
  <si>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</si>
  <si>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</si>
  <si>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</si>
  <si>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</si>
  <si>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</si>
  <si>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</si>
  <si>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</si>
  <si>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</si>
  <si>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</si>
  <si>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</si>
  <si>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</si>
  <si>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</si>
  <si>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</si>
  <si>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</si>
  <si>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</si>
  <si>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</si>
  <si>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</si>
  <si>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</si>
  <si>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</si>
  <si>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</si>
  <si>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</si>
  <si>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</si>
  <si>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</si>
  <si>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</si>
  <si>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</si>
  <si>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</si>
  <si>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</si>
  <si>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</si>
  <si>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</si>
  <si>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</si>
  <si>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</si>
  <si>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</si>
  <si>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</si>
  <si>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</si>
  <si>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</si>
  <si>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</si>
  <si>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</si>
  <si>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</si>
  <si>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</si>
  <si>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</si>
  <si>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</si>
  <si>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</si>
  <si>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</si>
  <si>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</si>
  <si>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</si>
  <si>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</si>
  <si>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</si>
  <si>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</si>
  <si>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</si>
  <si>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</si>
  <si>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</si>
  <si>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</si>
  <si>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</si>
  <si>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</si>
  <si>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</si>
  <si>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</si>
  <si>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</si>
  <si>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</si>
  <si>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</si>
  <si>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</si>
  <si>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</si>
  <si>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</si>
  <si>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</si>
  <si>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</si>
  <si>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</si>
  <si>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</si>
  <si>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</si>
  <si>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</si>
  <si>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</si>
  <si>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</si>
  <si>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</si>
  <si>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</si>
  <si>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</si>
  <si>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</si>
  <si>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</si>
  <si>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</si>
  <si>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</si>
  <si>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</si>
  <si>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</si>
  <si>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</si>
  <si>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</si>
  <si>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</si>
  <si>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</si>
  <si>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</si>
  <si>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</si>
  <si>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</si>
  <si>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</si>
  <si>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</si>
  <si>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</si>
  <si>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</si>
  <si>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</si>
  <si>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</si>
  <si>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</si>
  <si>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</si>
  <si>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</si>
  <si>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</si>
  <si>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</si>
  <si>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</si>
  <si>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</si>
  <si>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</si>
  <si>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</si>
  <si>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</si>
  <si>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</si>
  <si>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</si>
  <si>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</si>
  <si>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</si>
  <si>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</si>
  <si>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</si>
  <si>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</si>
  <si>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</si>
  <si>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</si>
  <si>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</si>
  <si>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</si>
  <si>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</si>
  <si>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</si>
  <si>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</si>
  <si>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</si>
  <si>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</si>
  <si>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</si>
  <si>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</si>
  <si>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</si>
  <si>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</si>
  <si>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</si>
  <si>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</si>
  <si>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</si>
  <si>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</si>
  <si>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</si>
  <si>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</si>
  <si>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</si>
  <si>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</si>
  <si>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</si>
  <si>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</si>
  <si>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</si>
  <si>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</si>
  <si>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</si>
  <si>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</si>
  <si>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</si>
  <si>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</si>
  <si>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</si>
  <si>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</si>
  <si>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</si>
  <si>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</si>
  <si>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</si>
  <si>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</si>
  <si>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</si>
  <si>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</si>
  <si>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</si>
  <si>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</si>
  <si>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</si>
  <si>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</si>
  <si>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</si>
  <si>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</si>
  <si>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</si>
  <si>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</si>
  <si>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</si>
  <si>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</si>
  <si>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</si>
  <si>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</si>
  <si>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</si>
  <si>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</si>
  <si>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</si>
  <si>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</si>
  <si>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</si>
  <si>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</si>
  <si>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</si>
  <si>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</si>
  <si>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</si>
  <si>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</si>
  <si>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</si>
  <si>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</si>
  <si>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</si>
  <si>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</si>
  <si>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</si>
  <si>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</si>
  <si>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</si>
  <si>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</si>
  <si>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</si>
  <si>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</si>
  <si>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</si>
  <si>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</si>
  <si>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</si>
  <si>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</si>
  <si>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</si>
  <si>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</si>
  <si>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</si>
  <si>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</si>
  <si>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</si>
  <si>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</si>
  <si>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</si>
  <si>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</si>
  <si>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</si>
  <si>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</si>
  <si>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</si>
  <si>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</si>
  <si>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</si>
  <si>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</si>
  <si>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</si>
  <si>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</si>
  <si>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</si>
  <si>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1st, 2nd and 3rd win% are nearly identical (largest difference of 1%)</t>
  </si>
  <si>
    <t>On average there are 5 more games per day (33% higher)</t>
  </si>
  <si>
    <t>Interesting stats:</t>
  </si>
  <si>
    <t>This Season</t>
  </si>
  <si>
    <t>Usage rates</t>
  </si>
  <si>
    <t>Lukas Johnston has had the biggest decrease in performance, down 7%</t>
  </si>
  <si>
    <t>Michael Iffland has had the biggest increase in performance, up 3.7%</t>
  </si>
  <si>
    <t>Week 4</t>
  </si>
  <si>
    <t>League Stats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</si>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</sst>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1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6" fillId="4" borderId="1" xfId="0" applyFont="1" applyFill="1" applyBorder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2" borderId="1" xfId="0" applyFont="1" applyFill="1" applyBorder="1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1" fontId="0" fillId="7" borderId="2" xfId="0" quotePrefix="1" applyNumberFormat="1" applyFont="1" applyFill="1" applyBorder="1" applyAlignment="1"/>
    <xf numFmtId="2" fontId="6" fillId="7" borderId="2" xfId="0" applyNumberFormat="1" applyFont="1" applyFill="1" applyBorder="1"/>
    <xf numFmtId="1" fontId="4" fillId="7" borderId="2" xfId="0" applyNumberFormat="1" applyFont="1" applyFill="1" applyBorder="1" applyAlignment="1"/>
    <xf numFmtId="0" fontId="4" fillId="7" borderId="2" xfId="0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4" fillId="7" borderId="2" xfId="0" applyFont="1" applyFill="1" applyBorder="1" applyAlignment="1"/>
    <xf numFmtId="1" fontId="6" fillId="7" borderId="2" xfId="0" applyNumberFormat="1" applyFont="1" applyFill="1" applyBorder="1"/>
    <xf numFmtId="0" fontId="0" fillId="7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4" fillId="8" borderId="0" xfId="0" applyFont="1" applyFill="1" applyAlignment="1"/>
    <xf numFmtId="1" fontId="0" fillId="8" borderId="0" xfId="0" applyNumberFormat="1" applyFont="1" applyFill="1" applyAlignment="1"/>
    <xf numFmtId="2" fontId="6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6" fillId="8" borderId="0" xfId="0" applyNumberFormat="1" applyFont="1" applyFill="1"/>
    <xf numFmtId="1" fontId="4" fillId="8" borderId="0" xfId="0" applyNumberFormat="1" applyFont="1" applyFill="1" applyAlignment="1"/>
    <xf numFmtId="0" fontId="4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0" fontId="0" fillId="10" borderId="0" xfId="0" applyFont="1" applyFill="1" applyAlignment="1"/>
    <xf numFmtId="2" fontId="4" fillId="0" borderId="0" xfId="0" applyNumberFormat="1" applyFont="1" applyFill="1"/>
    <xf numFmtId="2" fontId="4" fillId="8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5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6" borderId="2" xfId="2" applyNumberFormat="1" applyFont="1" applyFill="1" applyBorder="1" applyAlignment="1"/>
    <xf numFmtId="10" fontId="0" fillId="7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abSelected="1" topLeftCell="D13" workbookViewId="0">
      <selection activeCell="L30" sqref="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0.2857142857142857</v>
      </c>
      <c r="I6" s="24">
        <f>'Stats Global'!U11</f>
        <v>2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1.7142857142857142</v>
      </c>
      <c r="I7" s="24">
        <f>'Stats Global'!U12</f>
        <v>12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0.14285714285714285</v>
      </c>
      <c r="I9" s="24">
        <f>'Stats Global'!U14</f>
        <v>1</v>
      </c>
      <c r="J9" s="14">
        <f>'Stats Global'!X14</f>
        <v>0.42857142857142855</v>
      </c>
      <c r="K9" s="24">
        <f>'Stats Global'!W14</f>
        <v>3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1.1428571428571428</v>
      </c>
      <c r="I10" s="24">
        <f>'Stats Global'!U15</f>
        <v>8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2.1666666666666665</v>
      </c>
      <c r="I11" s="24">
        <f>'Stats Global'!U16</f>
        <v>13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0.7142857142857143</v>
      </c>
      <c r="I12" s="24">
        <f>'Stats Global'!U17</f>
        <v>5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0.2857142857142857</v>
      </c>
      <c r="I14" s="24">
        <f>'Stats Global'!U19</f>
        <v>2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</v>
      </c>
      <c r="I15" s="24">
        <f>'Stats Global'!U20</f>
        <v>0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0.14285714285714285</v>
      </c>
      <c r="I17" s="24">
        <f>'Stats Global'!U22</f>
        <v>1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0" t="s">
        <v>159</v>
      </c>
      <c r="M20" s="130"/>
      <c r="N20" s="130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0"/>
      <c r="M21" s="130"/>
      <c r="N21" s="130"/>
      <c r="X21" s="3" t="s">
        <v>85</v>
      </c>
    </row>
    <row r="22" spans="2:24" ht="14.25" customHeight="1" x14ac:dyDescent="0.45">
      <c r="B22" s="4"/>
      <c r="D22" s="41" t="str">
        <f>ROUND(D3,2)&amp;","</f>
        <v>0.71,</v>
      </c>
      <c r="E22" s="41" t="str">
        <f>E3&amp;","</f>
        <v>5,</v>
      </c>
      <c r="F22" s="41" t="str">
        <f>ROUND(F3,2)&amp;","</f>
        <v>0.29,</v>
      </c>
      <c r="G22" s="41" t="str">
        <f>G3&amp;","</f>
        <v>2,</v>
      </c>
      <c r="H22" s="41" t="str">
        <f>ROUND(H3,2)&amp;","</f>
        <v>0.43,</v>
      </c>
      <c r="I22" s="41" t="str">
        <f>I3&amp;","</f>
        <v>3,</v>
      </c>
      <c r="J22" s="41" t="str">
        <f>ROUND(J3,2)&amp;","</f>
        <v>0,</v>
      </c>
      <c r="K22" s="41" t="str">
        <f>K3&amp;","</f>
        <v>0,</v>
      </c>
      <c r="L22" s="41" t="str">
        <f>D21&amp;":["&amp;D22&amp;D23&amp;D24&amp;D25&amp;D26&amp;D27&amp;D28&amp;D29&amp;D30&amp;D31&amp;D32&amp;D33&amp;D34&amp;D35&amp;D36&amp;D37&amp;"],"</f>
        <v>"PPG":[0.71,0.83,2.6,3.71,2.14,0.75,1.29,1.86,2.67,0.86,1.4,0.71,3.5,0.14,0.57,0.43,],</v>
      </c>
      <c r="X22" s="3" t="s">
        <v>86</v>
      </c>
    </row>
    <row r="23" spans="2:24" ht="14.25" customHeight="1" x14ac:dyDescent="0.45">
      <c r="B23" s="4"/>
      <c r="D23" s="41" t="str">
        <f t="shared" ref="D23:D37" si="2">ROUND(D4,2)&amp;","</f>
        <v>0.83,</v>
      </c>
      <c r="E23" s="41" t="str">
        <f t="shared" ref="E23:E37" si="3">E4&amp;","</f>
        <v>5,</v>
      </c>
      <c r="F23" s="41" t="str">
        <f>ROUND(F4,2)&amp;","</f>
        <v>0.83,</v>
      </c>
      <c r="G23" s="41" t="str">
        <f>G4&amp;","</f>
        <v>5,</v>
      </c>
      <c r="H23" s="41" t="str">
        <f>ROUND(H4,2)&amp;","</f>
        <v>0,</v>
      </c>
      <c r="I23" s="41" t="str">
        <f>I4&amp;","</f>
        <v>0,</v>
      </c>
      <c r="J23" s="41" t="str">
        <f>ROUND(J4,2)&amp;","</f>
        <v>0,</v>
      </c>
      <c r="K23" s="41" t="str">
        <f>K4&amp;","</f>
        <v>0,</v>
      </c>
      <c r="L23" t="str">
        <f>E21&amp;":["&amp;E22&amp;E23&amp;E24&amp;E25&amp;E26&amp;E27&amp;E28&amp;E29&amp;E30&amp;E31&amp;E32&amp;E33&amp;E34&amp;E35&amp;E36&amp;E37&amp;"],"</f>
        <v>"TP":[5,5,13,26,15,3,9,13,16,6,7,5,14,1,4,3,],</v>
      </c>
      <c r="X23" s="3" t="s">
        <v>87</v>
      </c>
    </row>
    <row r="24" spans="2:24" ht="14.25" customHeight="1" x14ac:dyDescent="0.45">
      <c r="D24" s="41" t="str">
        <f t="shared" si="2"/>
        <v>2.6,</v>
      </c>
      <c r="E24" s="41" t="str">
        <f t="shared" si="3"/>
        <v>13,</v>
      </c>
      <c r="F24" s="41" t="str">
        <f>ROUND(F5,2)&amp;","</f>
        <v>2.6,</v>
      </c>
      <c r="G24" s="41" t="str">
        <f>G5&amp;","</f>
        <v>13,</v>
      </c>
      <c r="H24" s="41" t="str">
        <f>ROUND(H5,2)&amp;","</f>
        <v>0,</v>
      </c>
      <c r="I24" s="41" t="str">
        <f>I5&amp;","</f>
        <v>0,</v>
      </c>
      <c r="J24" s="41" t="str">
        <f>ROUND(J5,2)&amp;","</f>
        <v>0,</v>
      </c>
      <c r="K24" s="41" t="str">
        <f>K5&amp;","</f>
        <v>0,</v>
      </c>
      <c r="L24" t="str">
        <f>F21&amp;":["&amp;F22&amp;F23&amp;F24&amp;F25&amp;F26&amp;F27&amp;F28&amp;F29&amp;F30&amp;F31&amp;F32&amp;F33&amp;F34&amp;F35&amp;F36&amp;F37&amp;"],"</f>
        <v>"FPG":[0.29,0.83,2.6,3.43,0.43,0.5,0.29,0.71,0.5,0.14,1.4,0.43,2.5,0.14,0.43,0.43,],</v>
      </c>
      <c r="X24" s="40" t="s">
        <v>107</v>
      </c>
    </row>
    <row r="25" spans="2:24" ht="14.25" customHeight="1" x14ac:dyDescent="0.45">
      <c r="D25" s="41" t="str">
        <f t="shared" si="2"/>
        <v>3.71,</v>
      </c>
      <c r="E25" s="41" t="str">
        <f t="shared" si="3"/>
        <v>26,</v>
      </c>
      <c r="F25" s="41" t="str">
        <f>ROUND(F6,2)&amp;","</f>
        <v>3.43,</v>
      </c>
      <c r="G25" s="41" t="str">
        <f>G6&amp;","</f>
        <v>24,</v>
      </c>
      <c r="H25" s="41" t="str">
        <f>ROUND(H6,2)&amp;","</f>
        <v>0.29,</v>
      </c>
      <c r="I25" s="41" t="str">
        <f>I6&amp;","</f>
        <v>2,</v>
      </c>
      <c r="J25" s="41" t="str">
        <f>ROUND(J6,2)&amp;","</f>
        <v>0,</v>
      </c>
      <c r="K25" s="41" t="str">
        <f>K6&amp;","</f>
        <v>0,</v>
      </c>
      <c r="L25" t="str">
        <f>G21&amp;":["&amp;G22&amp;G23&amp;G24&amp;G25&amp;G26&amp;G27&amp;G28&amp;G29&amp;G30&amp;G31&amp;G32&amp;G33&amp;G34&amp;G35&amp;G36&amp;G37&amp;"],"</f>
        <v>"TF":[2,5,13,24,3,2,2,5,3,1,7,3,10,1,3,3],</v>
      </c>
    </row>
    <row r="26" spans="2:24" ht="14.25" customHeight="1" x14ac:dyDescent="0.45">
      <c r="D26" s="41" t="str">
        <f t="shared" si="2"/>
        <v>2.14,</v>
      </c>
      <c r="E26" s="41" t="str">
        <f t="shared" si="3"/>
        <v>15,</v>
      </c>
      <c r="F26" s="41" t="str">
        <f>ROUND(F7,2)&amp;","</f>
        <v>0.43,</v>
      </c>
      <c r="G26" s="41" t="str">
        <f>G7&amp;","</f>
        <v>3,</v>
      </c>
      <c r="H26" s="41" t="str">
        <f>ROUND(H7,2)&amp;","</f>
        <v>1.71,</v>
      </c>
      <c r="I26" s="41" t="str">
        <f>I7&amp;","</f>
        <v>12,</v>
      </c>
      <c r="J26" s="41" t="str">
        <f>ROUND(J7,2)&amp;","</f>
        <v>0,</v>
      </c>
      <c r="K26" s="41" t="str">
        <f>K7&amp;","</f>
        <v>0,</v>
      </c>
      <c r="L26" t="str">
        <f>H21&amp;":["&amp;H22&amp;H23&amp;H24&amp;H25&amp;H26&amp;H27&amp;H28&amp;H29&amp;H30&amp;H31&amp;H32&amp;H33&amp;H34&amp;H35&amp;H36&amp;H37&amp;"],"</f>
        <v>"MPG":[0.43,0,0,0.29,1.71,0.25,0.14,1.14,2.17,0.71,0,0.29,0,0,0.14,0,],</v>
      </c>
    </row>
    <row r="27" spans="2:24" ht="14.25" customHeight="1" x14ac:dyDescent="0.45">
      <c r="D27" s="41" t="str">
        <f t="shared" si="2"/>
        <v>0.75,</v>
      </c>
      <c r="E27" s="41" t="str">
        <f t="shared" si="3"/>
        <v>3,</v>
      </c>
      <c r="F27" s="41" t="str">
        <f>ROUND(F8,2)&amp;","</f>
        <v>0.5,</v>
      </c>
      <c r="G27" s="41" t="str">
        <f>G8&amp;","</f>
        <v>2,</v>
      </c>
      <c r="H27" s="41" t="str">
        <f>ROUND(H8,2)&amp;","</f>
        <v>0.25,</v>
      </c>
      <c r="I27" s="41" t="str">
        <f>I8&amp;","</f>
        <v>1,</v>
      </c>
      <c r="J27" s="41" t="str">
        <f>ROUND(J8,2)&amp;","</f>
        <v>0,</v>
      </c>
      <c r="K27" s="41" t="str">
        <f>K8&amp;","</f>
        <v>0,</v>
      </c>
      <c r="L27" t="str">
        <f>I21&amp;":["&amp;I22&amp;I23&amp;I24&amp;I25&amp;I26&amp;I27&amp;I28&amp;I29&amp;I30&amp;I31&amp;I32&amp;I33&amp;I34&amp;I35&amp;I36&amp;I37&amp;"],"</f>
        <v>"TM":[3,0,0,2,12,1,1,8,13,5,0,2,0,0,1,0],</v>
      </c>
    </row>
    <row r="28" spans="2:24" ht="14.25" customHeight="1" x14ac:dyDescent="0.45">
      <c r="D28" s="41" t="str">
        <f t="shared" si="2"/>
        <v>1.29,</v>
      </c>
      <c r="E28" s="41" t="str">
        <f t="shared" si="3"/>
        <v>9,</v>
      </c>
      <c r="F28" s="41" t="str">
        <f>ROUND(F9,2)&amp;","</f>
        <v>0.29,</v>
      </c>
      <c r="G28" s="41" t="str">
        <f>G9&amp;","</f>
        <v>2,</v>
      </c>
      <c r="H28" s="41" t="str">
        <f>ROUND(H9,2)&amp;","</f>
        <v>0.14,</v>
      </c>
      <c r="I28" s="41" t="str">
        <f>I9&amp;","</f>
        <v>1,</v>
      </c>
      <c r="J28" s="41" t="str">
        <f>ROUND(J9,2)&amp;","</f>
        <v>0.43,</v>
      </c>
      <c r="K28" s="41" t="str">
        <f>K9&amp;","</f>
        <v>3,</v>
      </c>
      <c r="L28" t="str">
        <f>J21&amp;":["&amp;J22&amp;J23&amp;J24&amp;J25&amp;J26&amp;J27&amp;J28&amp;J29&amp;J30&amp;J31&amp;J32&amp;J33&amp;J34&amp;J35&amp;J36&amp;J37&amp;"],"</f>
        <v>"TPG":[0,0,0,0,0,0,0.43,0,0,0,0,0,0.5,0,0,0,],</v>
      </c>
    </row>
    <row r="29" spans="2:24" ht="14.25" customHeight="1" x14ac:dyDescent="0.45">
      <c r="D29" s="41" t="str">
        <f t="shared" si="2"/>
        <v>1.86,</v>
      </c>
      <c r="E29" s="41" t="str">
        <f t="shared" si="3"/>
        <v>13,</v>
      </c>
      <c r="F29" s="41" t="str">
        <f>ROUND(F10,2)&amp;","</f>
        <v>0.71,</v>
      </c>
      <c r="G29" s="41" t="str">
        <f>G10&amp;","</f>
        <v>5,</v>
      </c>
      <c r="H29" s="41" t="str">
        <f>ROUND(H10,2)&amp;","</f>
        <v>1.14,</v>
      </c>
      <c r="I29" s="41" t="str">
        <f>I10&amp;","</f>
        <v>8,</v>
      </c>
      <c r="J29" s="41" t="str">
        <f>ROUND(J10,2)&amp;","</f>
        <v>0,</v>
      </c>
      <c r="K29" s="41" t="str">
        <f>K10&amp;","</f>
        <v>0,</v>
      </c>
      <c r="L29" t="str">
        <f>K21&amp;":["&amp;K22&amp;K23&amp;K24&amp;K25&amp;K26&amp;K27&amp;K28&amp;K29&amp;K30&amp;K31&amp;K32&amp;K33&amp;K34&amp;K35&amp;K36&amp;K37&amp;"],"</f>
        <v>"TT":[0,0,0,0,0,0,3,0,0,0,0,0,2,0,0,0],</v>
      </c>
    </row>
    <row r="30" spans="2:24" ht="14.25" customHeight="1" x14ac:dyDescent="0.45">
      <c r="C30" s="41"/>
      <c r="D30" s="41" t="str">
        <f t="shared" si="2"/>
        <v>2.67,</v>
      </c>
      <c r="E30" s="41" t="str">
        <f t="shared" si="3"/>
        <v>16,</v>
      </c>
      <c r="F30" s="41" t="str">
        <f>ROUND(F11,2)&amp;","</f>
        <v>0.5,</v>
      </c>
      <c r="G30" s="41" t="str">
        <f>G11&amp;","</f>
        <v>3,</v>
      </c>
      <c r="H30" s="41" t="str">
        <f>ROUND(H11,2)&amp;","</f>
        <v>2.17,</v>
      </c>
      <c r="I30" s="41" t="str">
        <f>I11&amp;","</f>
        <v>13,</v>
      </c>
      <c r="J30" s="41" t="str">
        <f>ROUND(J11,2)&amp;","</f>
        <v>0,</v>
      </c>
      <c r="K30" s="41" t="str">
        <f>K11&amp;","</f>
        <v>0,</v>
      </c>
      <c r="L30" t="str">
        <f>CHAR(34)&amp;"NBAMODENUMBER"&amp;CHAR(34)&amp;":["&amp;ROUND(L31,2)&amp;"],"</f>
        <v>"NBAMODENUMBER":[11.79],</v>
      </c>
    </row>
    <row r="31" spans="2:24" ht="14.25" customHeight="1" x14ac:dyDescent="0.45">
      <c r="C31" s="41"/>
      <c r="D31" s="41" t="str">
        <f t="shared" si="2"/>
        <v>0.86,</v>
      </c>
      <c r="E31" s="41" t="str">
        <f t="shared" si="3"/>
        <v>6,</v>
      </c>
      <c r="F31" s="41" t="str">
        <f>ROUND(F12,2)&amp;","</f>
        <v>0.14,</v>
      </c>
      <c r="G31" s="41" t="str">
        <f>G12&amp;","</f>
        <v>1,</v>
      </c>
      <c r="H31" s="41" t="str">
        <f>ROUND(H12,2)&amp;","</f>
        <v>0.71,</v>
      </c>
      <c r="I31" s="41" t="str">
        <f>I12&amp;","</f>
        <v>5,</v>
      </c>
      <c r="J31" s="41" t="str">
        <f>ROUND(J12,2)&amp;","</f>
        <v>0,</v>
      </c>
      <c r="K31" s="41" t="str">
        <f>K12&amp;","</f>
        <v>0,</v>
      </c>
      <c r="L31" s="41">
        <f>95/(SUM(Table1[Average])/3)</f>
        <v>11.787296898079763</v>
      </c>
    </row>
    <row r="32" spans="2:24" ht="14.25" customHeight="1" x14ac:dyDescent="0.45">
      <c r="C32" s="41"/>
      <c r="D32" s="41" t="str">
        <f t="shared" si="2"/>
        <v>1.4,</v>
      </c>
      <c r="E32" s="41" t="str">
        <f t="shared" si="3"/>
        <v>7,</v>
      </c>
      <c r="F32" s="41" t="str">
        <f>ROUND(F13,2)&amp;","</f>
        <v>1.4,</v>
      </c>
      <c r="G32" s="41" t="str">
        <f>G13&amp;","</f>
        <v>7,</v>
      </c>
      <c r="H32" s="41" t="str">
        <f>ROUND(H13,2)&amp;","</f>
        <v>0,</v>
      </c>
      <c r="I32" s="41" t="str">
        <f>I13&amp;","</f>
        <v>0,</v>
      </c>
      <c r="J32" s="41" t="str">
        <f>ROUND(J13,2)&amp;","</f>
        <v>0,</v>
      </c>
      <c r="K32" s="41" t="str">
        <f>K13&amp;","</f>
        <v>0,</v>
      </c>
    </row>
    <row r="33" spans="3:11" ht="14.25" customHeight="1" x14ac:dyDescent="0.45">
      <c r="C33" s="41"/>
      <c r="D33" s="41" t="str">
        <f t="shared" si="2"/>
        <v>0.71,</v>
      </c>
      <c r="E33" s="41" t="str">
        <f t="shared" si="3"/>
        <v>5,</v>
      </c>
      <c r="F33" s="41" t="str">
        <f>ROUND(F14,2)&amp;","</f>
        <v>0.43,</v>
      </c>
      <c r="G33" s="41" t="str">
        <f>G14&amp;","</f>
        <v>3,</v>
      </c>
      <c r="H33" s="41" t="str">
        <f>ROUND(H14,2)&amp;","</f>
        <v>0.29,</v>
      </c>
      <c r="I33" s="41" t="str">
        <f>I14&amp;","</f>
        <v>2,</v>
      </c>
      <c r="J33" s="41" t="str">
        <f>ROUND(J14,2)&amp;","</f>
        <v>0,</v>
      </c>
      <c r="K33" s="41" t="str">
        <f>K14&amp;","</f>
        <v>0,</v>
      </c>
    </row>
    <row r="34" spans="3:11" ht="14.25" customHeight="1" x14ac:dyDescent="0.45">
      <c r="C34" s="41"/>
      <c r="D34" s="41" t="str">
        <f t="shared" si="2"/>
        <v>3.5,</v>
      </c>
      <c r="E34" s="41" t="str">
        <f t="shared" si="3"/>
        <v>14,</v>
      </c>
      <c r="F34" s="41" t="str">
        <f>ROUND(F15,2)&amp;","</f>
        <v>2.5,</v>
      </c>
      <c r="G34" s="41" t="str">
        <f>G15&amp;","</f>
        <v>10,</v>
      </c>
      <c r="H34" s="41" t="str">
        <f>ROUND(H15,2)&amp;","</f>
        <v>0,</v>
      </c>
      <c r="I34" s="41" t="str">
        <f>I15&amp;","</f>
        <v>0,</v>
      </c>
      <c r="J34" s="41" t="str">
        <f>ROUND(J15,2)&amp;","</f>
        <v>0.5,</v>
      </c>
      <c r="K34" s="41" t="str">
        <f>K15&amp;","</f>
        <v>2,</v>
      </c>
    </row>
    <row r="35" spans="3:11" ht="14.25" customHeight="1" x14ac:dyDescent="0.45">
      <c r="C35" s="41"/>
      <c r="D35" s="41" t="str">
        <f t="shared" si="2"/>
        <v>0.14,</v>
      </c>
      <c r="E35" s="41" t="str">
        <f t="shared" si="3"/>
        <v>1,</v>
      </c>
      <c r="F35" s="41" t="str">
        <f>ROUND(F16,2)&amp;","</f>
        <v>0.14,</v>
      </c>
      <c r="G35" s="41" t="str">
        <f>G16&amp;","</f>
        <v>1,</v>
      </c>
      <c r="H35" s="41" t="str">
        <f>ROUND(H16,2)&amp;","</f>
        <v>0,</v>
      </c>
      <c r="I35" s="41" t="str">
        <f>I16&amp;","</f>
        <v>0,</v>
      </c>
      <c r="J35" s="41" t="str">
        <f>ROUND(J16,2)&amp;","</f>
        <v>0,</v>
      </c>
      <c r="K35" s="41" t="str">
        <f>K16&amp;","</f>
        <v>0,</v>
      </c>
    </row>
    <row r="36" spans="3:11" ht="14.25" customHeight="1" x14ac:dyDescent="0.45">
      <c r="C36" s="41"/>
      <c r="D36" s="41" t="str">
        <f t="shared" si="2"/>
        <v>0.57,</v>
      </c>
      <c r="E36" s="41" t="str">
        <f t="shared" si="3"/>
        <v>4,</v>
      </c>
      <c r="F36" s="41" t="str">
        <f>ROUND(F17,2)&amp;","</f>
        <v>0.43,</v>
      </c>
      <c r="G36" s="41" t="str">
        <f>G17&amp;","</f>
        <v>3,</v>
      </c>
      <c r="H36" s="41" t="str">
        <f>ROUND(H17,2)&amp;","</f>
        <v>0.14,</v>
      </c>
      <c r="I36" s="41" t="str">
        <f>I17&amp;","</f>
        <v>1,</v>
      </c>
      <c r="J36" s="41" t="str">
        <f>ROUND(J17,2)&amp;","</f>
        <v>0,</v>
      </c>
      <c r="K36" s="41" t="str">
        <f>K17&amp;","</f>
        <v>0,</v>
      </c>
    </row>
    <row r="37" spans="3:11" ht="14.25" customHeight="1" x14ac:dyDescent="0.45">
      <c r="C37" s="41"/>
      <c r="D37" s="41" t="str">
        <f t="shared" si="2"/>
        <v>0.43,</v>
      </c>
      <c r="E37" s="41" t="str">
        <f t="shared" si="3"/>
        <v>3,</v>
      </c>
      <c r="F37" s="41" t="str">
        <f>ROUND(F18,2)&amp;","</f>
        <v>0.43,</v>
      </c>
      <c r="G37" s="41">
        <f>G18</f>
        <v>3</v>
      </c>
      <c r="H37" s="41" t="str">
        <f>ROUND(H18,2)&amp;","</f>
        <v>0,</v>
      </c>
      <c r="I37" s="41">
        <f>I18</f>
        <v>0</v>
      </c>
      <c r="J37" s="41" t="str">
        <f>ROUND(J18,2)&amp;","</f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L24" sqref="L24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20.142857142857142</v>
      </c>
      <c r="J6" s="1">
        <f t="shared" si="1"/>
        <v>10</v>
      </c>
      <c r="K6" s="1">
        <f t="shared" si="1"/>
        <v>6.2857142857142856</v>
      </c>
      <c r="L6" s="1">
        <f t="shared" si="1"/>
        <v>3.8571428571428572</v>
      </c>
      <c r="AA6" s="33" t="s">
        <v>218</v>
      </c>
      <c r="AB6" s="33"/>
      <c r="AE6" s="120"/>
      <c r="AF6" s="57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160</v>
      </c>
      <c r="AA7" s="48" t="s">
        <v>178</v>
      </c>
      <c r="AB7" s="48" t="s">
        <v>217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2" t="s">
        <v>55</v>
      </c>
      <c r="Q8" s="70">
        <f t="shared" ref="Q8:Q23" si="3">Q29+Q48+Q67+AB29</f>
        <v>5</v>
      </c>
      <c r="R8" s="71">
        <f>Table1[[#This Row],[Points]]/($Q$5-Table1[[#This Row],[Missed Games]])</f>
        <v>0.7142857142857143</v>
      </c>
      <c r="S8" s="72">
        <f t="shared" ref="S8:S23" si="4">S29+S48+S67+AD29</f>
        <v>2</v>
      </c>
      <c r="T8" s="73">
        <f>Table1[[#This Row],[Finishes]]/($Q$5-Table1[[#This Row],[Missed Games]])</f>
        <v>0.2857142857142857</v>
      </c>
      <c r="U8" s="72">
        <f t="shared" ref="U8:U23" si="5">U29+U48+U67+AF29</f>
        <v>3</v>
      </c>
      <c r="V8" s="73">
        <f>Table1[[#This Row],[Midranges]]/($Q$5-Table1[[#This Row],[Missed Games]])</f>
        <v>0.42857142857142855</v>
      </c>
      <c r="W8" s="72">
        <f t="shared" ref="W8:W23" si="6">W29+W48+W67+AH29</f>
        <v>0</v>
      </c>
      <c r="X8" s="73">
        <f>Table1[[#This Row],[Threes]]/($Q$5-Table1[[#This Row],[Missed Games]])</f>
        <v>0</v>
      </c>
      <c r="Y8" s="82" t="s">
        <v>34</v>
      </c>
      <c r="Z8" s="83">
        <f t="shared" ref="Z8:Z23" si="7">Y29+Y48+Y67+AJ29</f>
        <v>0</v>
      </c>
      <c r="AA8" s="124">
        <f>1.5564%*1.007842</f>
        <v>1.5686052887999999E-2</v>
      </c>
      <c r="AB8" s="124">
        <f>(Table1[[#This Row],[Averages]]+Table1[[#This Row],[Averages2]]+Table1[[#This Row],[Averages3]])/SUM(Table1[Averages],Table1[Averages2],Table1[Averages3])</f>
        <v>3.072196620583717E-2</v>
      </c>
      <c r="AC8" s="125">
        <f t="shared" ref="AC8:AC23" si="8">AB8-AA8</f>
        <v>1.5035913317837171E-2</v>
      </c>
      <c r="AE8" s="66"/>
      <c r="AI8" s="68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4" t="s">
        <v>59</v>
      </c>
      <c r="Q9" s="74">
        <f t="shared" si="3"/>
        <v>5</v>
      </c>
      <c r="R9" s="75">
        <f>Table1[[#This Row],[Points]]/($Q$5-Table1[[#This Row],[Missed Games]])</f>
        <v>0.83333333333333337</v>
      </c>
      <c r="S9" s="76">
        <f t="shared" si="4"/>
        <v>5</v>
      </c>
      <c r="T9" s="77">
        <f>Table1[[#This Row],[Finishes]]/($Q$5-Table1[[#This Row],[Missed Games]])</f>
        <v>0.83333333333333337</v>
      </c>
      <c r="U9" s="76">
        <f t="shared" si="5"/>
        <v>0</v>
      </c>
      <c r="V9" s="77">
        <f>Table1[[#This Row],[Midranges]]/($Q$5-Table1[[#This Row],[Missed Games]])</f>
        <v>0</v>
      </c>
      <c r="W9" s="76">
        <f t="shared" si="6"/>
        <v>0</v>
      </c>
      <c r="X9" s="77">
        <f>Table1[[#This Row],[Threes]]/($Q$5-Table1[[#This Row],[Missed Games]])</f>
        <v>0</v>
      </c>
      <c r="Y9" s="84" t="s">
        <v>39</v>
      </c>
      <c r="Z9" s="85">
        <f t="shared" si="7"/>
        <v>1</v>
      </c>
      <c r="AA9" s="126">
        <f>1.007842*2.7237%</f>
        <v>2.7450592553999998E-2</v>
      </c>
      <c r="AB9" s="126">
        <f>(Table1[[#This Row],[Averages]]+Table1[[#This Row],[Averages2]]+Table1[[#This Row],[Averages3]])/SUM(Table1[Averages],Table1[Averages2],Table1[Averages3])</f>
        <v>3.5842293906810034E-2</v>
      </c>
      <c r="AC9" s="125">
        <f t="shared" si="8"/>
        <v>8.3917013528100361E-3</v>
      </c>
      <c r="AE9" s="66"/>
      <c r="AI9" s="68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2" t="s">
        <v>62</v>
      </c>
      <c r="Q10" s="70">
        <f t="shared" si="3"/>
        <v>13</v>
      </c>
      <c r="R10" s="71">
        <f>Table1[[#This Row],[Points]]/($Q$5-Table1[[#This Row],[Missed Games]])</f>
        <v>2.6</v>
      </c>
      <c r="S10" s="72">
        <f t="shared" si="4"/>
        <v>13</v>
      </c>
      <c r="T10" s="73">
        <f>Table1[[#This Row],[Finishes]]/($Q$5-Table1[[#This Row],[Missed Games]])</f>
        <v>2.6</v>
      </c>
      <c r="U10" s="72">
        <f t="shared" si="5"/>
        <v>0</v>
      </c>
      <c r="V10" s="73">
        <f>Table1[[#This Row],[Midranges]]/($Q$5-Table1[[#This Row],[Missed Games]])</f>
        <v>0</v>
      </c>
      <c r="W10" s="72">
        <f t="shared" si="6"/>
        <v>0</v>
      </c>
      <c r="X10" s="73">
        <f>Table1[[#This Row],[Threes]]/($Q$5-Table1[[#This Row],[Missed Games]])</f>
        <v>0</v>
      </c>
      <c r="Y10" s="82" t="s">
        <v>34</v>
      </c>
      <c r="Z10" s="83">
        <f t="shared" si="7"/>
        <v>2</v>
      </c>
      <c r="AA10" s="124">
        <f>1.007842*12.0623%</f>
        <v>0.12156892556599999</v>
      </c>
      <c r="AB10" s="124">
        <f>(Table1[[#This Row],[Averages]]+Table1[[#This Row],[Averages2]]+Table1[[#This Row],[Averages3]])/SUM(Table1[Averages],Table1[Averages2],Table1[Averages3])</f>
        <v>0.11182795698924732</v>
      </c>
      <c r="AC10" s="125">
        <f t="shared" si="8"/>
        <v>-9.740968576752676E-3</v>
      </c>
      <c r="AE10" s="66"/>
      <c r="AI10" s="68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4" t="s">
        <v>65</v>
      </c>
      <c r="Q11" s="74">
        <f t="shared" si="3"/>
        <v>26</v>
      </c>
      <c r="R11" s="75">
        <f>Table1[[#This Row],[Points]]/($Q$5-Table1[[#This Row],[Missed Games]])</f>
        <v>3.7142857142857144</v>
      </c>
      <c r="S11" s="76">
        <f t="shared" si="4"/>
        <v>24</v>
      </c>
      <c r="T11" s="77">
        <f>Table1[[#This Row],[Finishes]]/($Q$5-Table1[[#This Row],[Missed Games]])</f>
        <v>3.4285714285714284</v>
      </c>
      <c r="U11" s="76">
        <f t="shared" si="5"/>
        <v>2</v>
      </c>
      <c r="V11" s="77">
        <f>Table1[[#This Row],[Midranges]]/($Q$5-Table1[[#This Row],[Missed Games]])</f>
        <v>0.2857142857142857</v>
      </c>
      <c r="W11" s="76">
        <f t="shared" si="6"/>
        <v>0</v>
      </c>
      <c r="X11" s="77">
        <f>Table1[[#This Row],[Threes]]/($Q$5-Table1[[#This Row],[Missed Games]])</f>
        <v>0</v>
      </c>
      <c r="Y11" s="84" t="s">
        <v>39</v>
      </c>
      <c r="Z11" s="85">
        <f t="shared" si="7"/>
        <v>0</v>
      </c>
      <c r="AA11" s="126">
        <f>1.007842*12.4514%</f>
        <v>0.12549043878799998</v>
      </c>
      <c r="AB11" s="126">
        <f>(Table1[[#This Row],[Averages]]+Table1[[#This Row],[Averages2]]+Table1[[#This Row],[Averages3]])/SUM(Table1[Averages],Table1[Averages2],Table1[Averages3])</f>
        <v>0.1597542242703533</v>
      </c>
      <c r="AC11" s="125">
        <f t="shared" si="8"/>
        <v>3.4263785482353315E-2</v>
      </c>
      <c r="AE11" s="66"/>
      <c r="AI11" s="68"/>
      <c r="AJ11" s="6"/>
      <c r="AK11" s="6"/>
      <c r="AL11" s="11"/>
    </row>
    <row r="12" spans="2:38" ht="14.25" customHeight="1" x14ac:dyDescent="0.45">
      <c r="B12" s="4"/>
      <c r="P12" s="84" t="s">
        <v>68</v>
      </c>
      <c r="Q12" s="74">
        <f t="shared" si="3"/>
        <v>15</v>
      </c>
      <c r="R12" s="75">
        <f>Table1[[#This Row],[Points]]/($Q$5-Table1[[#This Row],[Missed Games]])</f>
        <v>2.1428571428571428</v>
      </c>
      <c r="S12" s="76">
        <f t="shared" si="4"/>
        <v>3</v>
      </c>
      <c r="T12" s="77">
        <f>Table1[[#This Row],[Finishes]]/($Q$5-Table1[[#This Row],[Missed Games]])</f>
        <v>0.42857142857142855</v>
      </c>
      <c r="U12" s="76">
        <f t="shared" si="5"/>
        <v>12</v>
      </c>
      <c r="V12" s="77">
        <f>Table1[[#This Row],[Midranges]]/($Q$5-Table1[[#This Row],[Missed Games]])</f>
        <v>1.7142857142857142</v>
      </c>
      <c r="W12" s="76">
        <f t="shared" si="6"/>
        <v>0</v>
      </c>
      <c r="X12" s="77">
        <f>Table1[[#This Row],[Threes]]/($Q$5-Table1[[#This Row],[Missed Games]])</f>
        <v>0</v>
      </c>
      <c r="Y12" s="84" t="s">
        <v>39</v>
      </c>
      <c r="Z12" s="85">
        <f t="shared" si="7"/>
        <v>0</v>
      </c>
      <c r="AA12" s="126">
        <f>1.007842*5.4475%</f>
        <v>5.4902192949999991E-2</v>
      </c>
      <c r="AB12" s="126">
        <f>(Table1[[#This Row],[Averages]]+Table1[[#This Row],[Averages2]]+Table1[[#This Row],[Averages3]])/SUM(Table1[Averages],Table1[Averages2],Table1[Averages3])</f>
        <v>9.2165898617511524E-2</v>
      </c>
      <c r="AC12" s="125">
        <f t="shared" si="8"/>
        <v>3.7263705667511533E-2</v>
      </c>
      <c r="AE12" s="66"/>
      <c r="AI12" s="68"/>
      <c r="AJ12" s="6"/>
      <c r="AK12" s="6"/>
      <c r="AL12" s="11"/>
    </row>
    <row r="13" spans="2:38" ht="14.25" customHeight="1" x14ac:dyDescent="0.45">
      <c r="B13" s="4"/>
      <c r="E13" s="40"/>
      <c r="F13" s="40"/>
      <c r="P13" s="84" t="s">
        <v>71</v>
      </c>
      <c r="Q13" s="74">
        <f t="shared" si="3"/>
        <v>3</v>
      </c>
      <c r="R13" s="75">
        <f>Table1[[#This Row],[Points]]/($Q$5-Table1[[#This Row],[Missed Games]])</f>
        <v>0.75</v>
      </c>
      <c r="S13" s="76">
        <f t="shared" si="4"/>
        <v>2</v>
      </c>
      <c r="T13" s="77">
        <f>Table1[[#This Row],[Finishes]]/($Q$5-Table1[[#This Row],[Missed Games]])</f>
        <v>0.5</v>
      </c>
      <c r="U13" s="76">
        <f t="shared" si="5"/>
        <v>1</v>
      </c>
      <c r="V13" s="77">
        <f>Table1[[#This Row],[Midranges]]/($Q$5-Table1[[#This Row],[Missed Games]])</f>
        <v>0.25</v>
      </c>
      <c r="W13" s="76">
        <f t="shared" si="6"/>
        <v>0</v>
      </c>
      <c r="X13" s="77">
        <f>Table1[[#This Row],[Threes]]/($Q$5-Table1[[#This Row],[Missed Games]])</f>
        <v>0</v>
      </c>
      <c r="Y13" s="84" t="s">
        <v>39</v>
      </c>
      <c r="Z13" s="85">
        <f t="shared" si="7"/>
        <v>3</v>
      </c>
      <c r="AA13" s="126">
        <f>1.007842*10.1167%</f>
        <v>0.10196035161399998</v>
      </c>
      <c r="AB13" s="126">
        <f>(Table1[[#This Row],[Averages]]+Table1[[#This Row],[Averages2]]+Table1[[#This Row],[Averages3]])/SUM(Table1[Averages],Table1[Averages2],Table1[Averages3])</f>
        <v>3.2258064516129031E-2</v>
      </c>
      <c r="AC13" s="125">
        <f t="shared" si="8"/>
        <v>-6.9702287097870949E-2</v>
      </c>
      <c r="AE13" s="66"/>
      <c r="AI13" s="68"/>
      <c r="AJ13" s="6"/>
      <c r="AK13" s="6"/>
      <c r="AL13" s="11"/>
    </row>
    <row r="14" spans="2:38" ht="14.25" customHeight="1" x14ac:dyDescent="0.45">
      <c r="B14" s="4"/>
      <c r="P14" s="86" t="s">
        <v>75</v>
      </c>
      <c r="Q14" s="78">
        <f t="shared" si="3"/>
        <v>9</v>
      </c>
      <c r="R14" s="79">
        <f>Table1[[#This Row],[Points]]/($Q$5-Table1[[#This Row],[Missed Games]])</f>
        <v>1.2857142857142858</v>
      </c>
      <c r="S14" s="80">
        <f t="shared" si="4"/>
        <v>2</v>
      </c>
      <c r="T14" s="81">
        <f>Table1[[#This Row],[Finishes]]/($Q$5-Table1[[#This Row],[Missed Games]])</f>
        <v>0.2857142857142857</v>
      </c>
      <c r="U14" s="80">
        <f t="shared" si="5"/>
        <v>1</v>
      </c>
      <c r="V14" s="81">
        <f>Table1[[#This Row],[Midranges]]/($Q$5-Table1[[#This Row],[Missed Games]])</f>
        <v>0.14285714285714285</v>
      </c>
      <c r="W14" s="80">
        <f t="shared" si="6"/>
        <v>3</v>
      </c>
      <c r="X14" s="81">
        <f>Table1[[#This Row],[Threes]]/($Q$5-Table1[[#This Row],[Missed Games]])</f>
        <v>0.42857142857142855</v>
      </c>
      <c r="Y14" s="86" t="s">
        <v>57</v>
      </c>
      <c r="Z14" s="87">
        <f t="shared" si="7"/>
        <v>0</v>
      </c>
      <c r="AA14" s="127">
        <f>1.007842*3.8911%</f>
        <v>3.9216140061999999E-2</v>
      </c>
      <c r="AB14" s="127">
        <f>(Table1[[#This Row],[Averages]]+Table1[[#This Row],[Averages2]]+Table1[[#This Row],[Averages3]])/SUM(Table1[Averages],Table1[Averages2],Table1[Averages3])</f>
        <v>3.6866359447004608E-2</v>
      </c>
      <c r="AC14" s="125">
        <f t="shared" si="8"/>
        <v>-2.3497806149953906E-3</v>
      </c>
      <c r="AE14" s="66"/>
      <c r="AI14" s="68"/>
      <c r="AJ14" s="6"/>
      <c r="AK14" s="6"/>
      <c r="AL14" s="11"/>
    </row>
    <row r="15" spans="2:38" ht="14.25" customHeight="1" x14ac:dyDescent="0.45">
      <c r="B15" s="4"/>
      <c r="P15" s="86" t="s">
        <v>78</v>
      </c>
      <c r="Q15" s="78">
        <f t="shared" si="3"/>
        <v>13</v>
      </c>
      <c r="R15" s="79">
        <f>Table1[[#This Row],[Points]]/($Q$5-Table1[[#This Row],[Missed Games]])</f>
        <v>1.8571428571428572</v>
      </c>
      <c r="S15" s="80">
        <f t="shared" si="4"/>
        <v>5</v>
      </c>
      <c r="T15" s="81">
        <f>Table1[[#This Row],[Finishes]]/($Q$5-Table1[[#This Row],[Missed Games]])</f>
        <v>0.7142857142857143</v>
      </c>
      <c r="U15" s="80">
        <f t="shared" si="5"/>
        <v>8</v>
      </c>
      <c r="V15" s="81">
        <f>Table1[[#This Row],[Midranges]]/($Q$5-Table1[[#This Row],[Missed Games]])</f>
        <v>1.1428571428571428</v>
      </c>
      <c r="W15" s="80">
        <f t="shared" si="6"/>
        <v>0</v>
      </c>
      <c r="X15" s="81">
        <f>Table1[[#This Row],[Threes]]/($Q$5-Table1[[#This Row],[Missed Games]])</f>
        <v>0</v>
      </c>
      <c r="Y15" s="86" t="s">
        <v>57</v>
      </c>
      <c r="Z15" s="87">
        <f t="shared" si="7"/>
        <v>0</v>
      </c>
      <c r="AA15" s="127">
        <f>1.007842*12.4514%</f>
        <v>0.12549043878799998</v>
      </c>
      <c r="AB15" s="127">
        <f>(Table1[[#This Row],[Averages]]+Table1[[#This Row],[Averages2]]+Table1[[#This Row],[Averages3]])/SUM(Table1[Averages],Table1[Averages2],Table1[Averages3])</f>
        <v>7.9877112135176648E-2</v>
      </c>
      <c r="AC15" s="125">
        <f t="shared" si="8"/>
        <v>-4.5613326652823333E-2</v>
      </c>
      <c r="AE15" s="66"/>
      <c r="AI15" s="68"/>
      <c r="AJ15" s="6"/>
      <c r="AK15" s="6"/>
      <c r="AL15" s="11"/>
    </row>
    <row r="16" spans="2:38" ht="14.25" customHeight="1" x14ac:dyDescent="0.45">
      <c r="B16" s="4"/>
      <c r="P16" s="82" t="s">
        <v>80</v>
      </c>
      <c r="Q16" s="70">
        <f t="shared" si="3"/>
        <v>16</v>
      </c>
      <c r="R16" s="71">
        <f>Table1[[#This Row],[Points]]/($Q$5-Table1[[#This Row],[Missed Games]])</f>
        <v>2.6666666666666665</v>
      </c>
      <c r="S16" s="72">
        <f t="shared" si="4"/>
        <v>3</v>
      </c>
      <c r="T16" s="73">
        <f>Table1[[#This Row],[Finishes]]/($Q$5-Table1[[#This Row],[Missed Games]])</f>
        <v>0.5</v>
      </c>
      <c r="U16" s="72">
        <f t="shared" si="5"/>
        <v>13</v>
      </c>
      <c r="V16" s="73">
        <f>Table1[[#This Row],[Midranges]]/($Q$5-Table1[[#This Row],[Missed Games]])</f>
        <v>2.1666666666666665</v>
      </c>
      <c r="W16" s="72">
        <f t="shared" si="6"/>
        <v>0</v>
      </c>
      <c r="X16" s="73">
        <f>Table1[[#This Row],[Threes]]/($Q$5-Table1[[#This Row],[Missed Games]])</f>
        <v>0</v>
      </c>
      <c r="Y16" s="82" t="s">
        <v>34</v>
      </c>
      <c r="Z16" s="83">
        <f t="shared" si="7"/>
        <v>1</v>
      </c>
      <c r="AA16" s="124">
        <f>1.007842*9.7276%</f>
        <v>9.8038838391999991E-2</v>
      </c>
      <c r="AB16" s="124">
        <f>(Table1[[#This Row],[Averages]]+Table1[[#This Row],[Averages2]]+Table1[[#This Row],[Averages3]])/SUM(Table1[Averages],Table1[Averages2],Table1[Averages3])</f>
        <v>0.11469534050179211</v>
      </c>
      <c r="AC16" s="125">
        <f t="shared" si="8"/>
        <v>1.6656502109792123E-2</v>
      </c>
      <c r="AE16" s="66"/>
      <c r="AI16" s="68"/>
      <c r="AJ16" s="6"/>
      <c r="AK16" s="6"/>
      <c r="AL16" s="11"/>
    </row>
    <row r="17" spans="2:38" ht="14.25" customHeight="1" x14ac:dyDescent="0.45">
      <c r="B17" s="4"/>
      <c r="P17" s="82" t="s">
        <v>81</v>
      </c>
      <c r="Q17" s="70">
        <f t="shared" si="3"/>
        <v>6</v>
      </c>
      <c r="R17" s="71">
        <f>Table1[[#This Row],[Points]]/($Q$5-Table1[[#This Row],[Missed Games]])</f>
        <v>0.8571428571428571</v>
      </c>
      <c r="S17" s="72">
        <f t="shared" si="4"/>
        <v>1</v>
      </c>
      <c r="T17" s="73">
        <f>Table1[[#This Row],[Finishes]]/($Q$5-Table1[[#This Row],[Missed Games]])</f>
        <v>0.14285714285714285</v>
      </c>
      <c r="U17" s="72">
        <f t="shared" si="5"/>
        <v>5</v>
      </c>
      <c r="V17" s="73">
        <f>Table1[[#This Row],[Midranges]]/($Q$5-Table1[[#This Row],[Missed Games]])</f>
        <v>0.7142857142857143</v>
      </c>
      <c r="W17" s="72">
        <f t="shared" si="6"/>
        <v>0</v>
      </c>
      <c r="X17" s="73">
        <f>Table1[[#This Row],[Threes]]/($Q$5-Table1[[#This Row],[Missed Games]])</f>
        <v>0</v>
      </c>
      <c r="Y17" s="82" t="s">
        <v>34</v>
      </c>
      <c r="Z17" s="83">
        <f t="shared" si="7"/>
        <v>0</v>
      </c>
      <c r="AA17" s="124">
        <f>1.007842*1.9455%</f>
        <v>1.9607566109999999E-2</v>
      </c>
      <c r="AB17" s="124">
        <f>(Table1[[#This Row],[Averages]]+Table1[[#This Row],[Averages2]]+Table1[[#This Row],[Averages3]])/SUM(Table1[Averages],Table1[Averages2],Table1[Averages3])</f>
        <v>3.6866359447004608E-2</v>
      </c>
      <c r="AC17" s="125">
        <f t="shared" si="8"/>
        <v>1.725879333700461E-2</v>
      </c>
      <c r="AE17" s="66"/>
      <c r="AI17" s="68"/>
      <c r="AJ17" s="6"/>
      <c r="AK17" s="6"/>
      <c r="AL17" s="11"/>
    </row>
    <row r="18" spans="2:38" ht="14.25" customHeight="1" x14ac:dyDescent="0.45">
      <c r="B18" s="4"/>
      <c r="P18" s="82" t="s">
        <v>187</v>
      </c>
      <c r="Q18" s="70">
        <f t="shared" si="3"/>
        <v>7</v>
      </c>
      <c r="R18" s="71">
        <f>Table1[[#This Row],[Points]]/($Q$5-Table1[[#This Row],[Missed Games]])</f>
        <v>1.4</v>
      </c>
      <c r="S18" s="72">
        <f t="shared" si="4"/>
        <v>7</v>
      </c>
      <c r="T18" s="73">
        <f>Table1[[#This Row],[Finishes]]/($Q$5-Table1[[#This Row],[Missed Games]])</f>
        <v>1.4</v>
      </c>
      <c r="U18" s="72">
        <f t="shared" si="5"/>
        <v>0</v>
      </c>
      <c r="V18" s="73">
        <f>Table1[[#This Row],[Midranges]]/($Q$5-Table1[[#This Row],[Missed Games]])</f>
        <v>0</v>
      </c>
      <c r="W18" s="72">
        <f t="shared" si="6"/>
        <v>0</v>
      </c>
      <c r="X18" s="73">
        <f>Table1[[#This Row],[Threes]]/($Q$5-Table1[[#This Row],[Missed Games]])</f>
        <v>0</v>
      </c>
      <c r="Y18" s="82" t="s">
        <v>34</v>
      </c>
      <c r="Z18" s="83">
        <f t="shared" si="7"/>
        <v>2</v>
      </c>
      <c r="AA18" s="124">
        <f>1.007842*3.8911%</f>
        <v>3.9216140061999999E-2</v>
      </c>
      <c r="AB18" s="124">
        <f>(Table1[[#This Row],[Averages]]+Table1[[#This Row],[Averages2]]+Table1[[#This Row],[Averages3]])/SUM(Table1[Averages],Table1[Averages2],Table1[Averages3])</f>
        <v>6.0215053763440857E-2</v>
      </c>
      <c r="AC18" s="125">
        <f t="shared" si="8"/>
        <v>2.0998913701440858E-2</v>
      </c>
      <c r="AE18" s="66"/>
      <c r="AI18" s="68"/>
      <c r="AJ18" s="6"/>
      <c r="AK18" s="6"/>
      <c r="AL18" s="11"/>
    </row>
    <row r="19" spans="2:38" ht="14.25" customHeight="1" x14ac:dyDescent="0.45">
      <c r="B19" s="4"/>
      <c r="P19" s="86" t="s">
        <v>186</v>
      </c>
      <c r="Q19" s="78">
        <f t="shared" si="3"/>
        <v>5</v>
      </c>
      <c r="R19" s="79">
        <f>Table1[[#This Row],[Points]]/($Q$5-Table1[[#This Row],[Missed Games]])</f>
        <v>0.7142857142857143</v>
      </c>
      <c r="S19" s="80">
        <f t="shared" si="4"/>
        <v>3</v>
      </c>
      <c r="T19" s="81">
        <f>Table1[[#This Row],[Finishes]]/($Q$5-Table1[[#This Row],[Missed Games]])</f>
        <v>0.42857142857142855</v>
      </c>
      <c r="U19" s="80">
        <f t="shared" si="5"/>
        <v>2</v>
      </c>
      <c r="V19" s="81">
        <f>Table1[[#This Row],[Midranges]]/($Q$5-Table1[[#This Row],[Missed Games]])</f>
        <v>0.2857142857142857</v>
      </c>
      <c r="W19" s="80">
        <f t="shared" si="6"/>
        <v>0</v>
      </c>
      <c r="X19" s="81">
        <f>Table1[[#This Row],[Threes]]/($Q$5-Table1[[#This Row],[Missed Games]])</f>
        <v>0</v>
      </c>
      <c r="Y19" s="86" t="s">
        <v>57</v>
      </c>
      <c r="Z19" s="87">
        <f t="shared" si="7"/>
        <v>0</v>
      </c>
      <c r="AA19" s="127">
        <f>1.007842*3.8911%</f>
        <v>3.9216140061999999E-2</v>
      </c>
      <c r="AB19" s="127">
        <f>(Table1[[#This Row],[Averages]]+Table1[[#This Row],[Averages2]]+Table1[[#This Row],[Averages3]])/SUM(Table1[Averages],Table1[Averages2],Table1[Averages3])</f>
        <v>3.072196620583717E-2</v>
      </c>
      <c r="AC19" s="125">
        <f t="shared" si="8"/>
        <v>-8.4941738561628288E-3</v>
      </c>
      <c r="AE19" s="66"/>
      <c r="AI19" s="68"/>
      <c r="AJ19" s="6"/>
      <c r="AK19" s="6"/>
      <c r="AL19" s="11"/>
    </row>
    <row r="20" spans="2:38" ht="14.25" customHeight="1" x14ac:dyDescent="0.45">
      <c r="B20" s="4"/>
      <c r="P20" s="86" t="s">
        <v>85</v>
      </c>
      <c r="Q20" s="78">
        <f t="shared" si="3"/>
        <v>14</v>
      </c>
      <c r="R20" s="79">
        <f>Table1[[#This Row],[Points]]/($Q$5-Table1[[#This Row],[Missed Games]])</f>
        <v>3.5</v>
      </c>
      <c r="S20" s="80">
        <f t="shared" si="4"/>
        <v>10</v>
      </c>
      <c r="T20" s="81">
        <f>Table1[[#This Row],[Finishes]]/($Q$5-Table1[[#This Row],[Missed Games]])</f>
        <v>2.5</v>
      </c>
      <c r="U20" s="80">
        <f t="shared" si="5"/>
        <v>0</v>
      </c>
      <c r="V20" s="81">
        <f>Table1[[#This Row],[Midranges]]/($Q$5-Table1[[#This Row],[Missed Games]])</f>
        <v>0</v>
      </c>
      <c r="W20" s="80">
        <f t="shared" si="6"/>
        <v>2</v>
      </c>
      <c r="X20" s="81">
        <f>Table1[[#This Row],[Threes]]/($Q$5-Table1[[#This Row],[Missed Games]])</f>
        <v>0.5</v>
      </c>
      <c r="Y20" s="86" t="s">
        <v>57</v>
      </c>
      <c r="Z20" s="87">
        <f t="shared" si="7"/>
        <v>3</v>
      </c>
      <c r="AA20" s="127">
        <f>1.007842*12.8405%</f>
        <v>0.12941195200999997</v>
      </c>
      <c r="AB20" s="127">
        <f>(Table1[[#This Row],[Averages]]+Table1[[#This Row],[Averages2]]+Table1[[#This Row],[Averages3]])/SUM(Table1[Averages],Table1[Averages2],Table1[Averages3])</f>
        <v>0.12903225806451613</v>
      </c>
      <c r="AC20" s="125">
        <f t="shared" si="8"/>
        <v>-3.7969394548384439E-4</v>
      </c>
      <c r="AE20" s="66"/>
      <c r="AI20" s="68"/>
      <c r="AJ20" s="6"/>
      <c r="AK20" s="6"/>
      <c r="AL20" s="11"/>
    </row>
    <row r="21" spans="2:38" ht="14.25" customHeight="1" x14ac:dyDescent="0.45">
      <c r="B21" s="4"/>
      <c r="P21" s="84" t="s">
        <v>86</v>
      </c>
      <c r="Q21" s="74">
        <f t="shared" si="3"/>
        <v>1</v>
      </c>
      <c r="R21" s="75">
        <f>Table1[[#This Row],[Points]]/($Q$5-Table1[[#This Row],[Missed Games]])</f>
        <v>0.14285714285714285</v>
      </c>
      <c r="S21" s="76">
        <f t="shared" si="4"/>
        <v>1</v>
      </c>
      <c r="T21" s="77">
        <f>Table1[[#This Row],[Finishes]]/($Q$5-Table1[[#This Row],[Missed Games]])</f>
        <v>0.14285714285714285</v>
      </c>
      <c r="U21" s="76">
        <f t="shared" si="5"/>
        <v>0</v>
      </c>
      <c r="V21" s="77">
        <f>Table1[[#This Row],[Midranges]]/($Q$5-Table1[[#This Row],[Missed Games]])</f>
        <v>0</v>
      </c>
      <c r="W21" s="76">
        <f t="shared" si="6"/>
        <v>0</v>
      </c>
      <c r="X21" s="77">
        <f>Table1[[#This Row],[Threes]]/($Q$5-Table1[[#This Row],[Missed Games]])</f>
        <v>0</v>
      </c>
      <c r="Y21" s="84" t="s">
        <v>39</v>
      </c>
      <c r="Z21" s="85">
        <f t="shared" si="7"/>
        <v>0</v>
      </c>
      <c r="AA21" s="126">
        <f>1.007842*2.7237%</f>
        <v>2.7450592553999998E-2</v>
      </c>
      <c r="AB21" s="126">
        <f>(Table1[[#This Row],[Averages]]+Table1[[#This Row],[Averages2]]+Table1[[#This Row],[Averages3]])/SUM(Table1[Averages],Table1[Averages2],Table1[Averages3])</f>
        <v>6.1443932411674347E-3</v>
      </c>
      <c r="AC21" s="125">
        <f t="shared" si="8"/>
        <v>-2.1306199312832563E-2</v>
      </c>
      <c r="AE21" s="66"/>
      <c r="AI21" s="68"/>
      <c r="AJ21" s="6"/>
      <c r="AK21" s="6"/>
      <c r="AL21" s="11"/>
    </row>
    <row r="22" spans="2:38" ht="14.25" customHeight="1" x14ac:dyDescent="0.45">
      <c r="P22" s="86" t="s">
        <v>87</v>
      </c>
      <c r="Q22" s="78">
        <f t="shared" si="3"/>
        <v>4</v>
      </c>
      <c r="R22" s="79">
        <f>Table1[[#This Row],[Points]]/($Q$5-Table1[[#This Row],[Missed Games]])</f>
        <v>0.5714285714285714</v>
      </c>
      <c r="S22" s="80">
        <f t="shared" si="4"/>
        <v>3</v>
      </c>
      <c r="T22" s="81">
        <f>Table1[[#This Row],[Finishes]]/($Q$5-Table1[[#This Row],[Missed Games]])</f>
        <v>0.42857142857142855</v>
      </c>
      <c r="U22" s="80">
        <f t="shared" si="5"/>
        <v>1</v>
      </c>
      <c r="V22" s="81">
        <f>Table1[[#This Row],[Midranges]]/($Q$5-Table1[[#This Row],[Missed Games]])</f>
        <v>0.14285714285714285</v>
      </c>
      <c r="W22" s="80">
        <f t="shared" si="6"/>
        <v>0</v>
      </c>
      <c r="X22" s="81">
        <f>Table1[[#This Row],[Threes]]/($Q$5-Table1[[#This Row],[Missed Games]])</f>
        <v>0</v>
      </c>
      <c r="Y22" s="86" t="s">
        <v>57</v>
      </c>
      <c r="Z22" s="87">
        <f t="shared" si="7"/>
        <v>0</v>
      </c>
      <c r="AA22" s="127">
        <f>1.007842*2.3346%</f>
        <v>2.3529079331999995E-2</v>
      </c>
      <c r="AB22" s="127">
        <f>(Table1[[#This Row],[Averages]]+Table1[[#This Row],[Averages2]]+Table1[[#This Row],[Averages3]])/SUM(Table1[Averages],Table1[Averages2],Table1[Averages3])</f>
        <v>2.4577572964669739E-2</v>
      </c>
      <c r="AC22" s="125">
        <f t="shared" si="8"/>
        <v>1.048493632669744E-3</v>
      </c>
      <c r="AE22" s="66"/>
      <c r="AI22" s="68"/>
      <c r="AJ22" s="6"/>
      <c r="AK22" s="6"/>
      <c r="AL22" s="11"/>
    </row>
    <row r="23" spans="2:38" ht="14.25" customHeight="1" x14ac:dyDescent="0.45">
      <c r="P23" s="88" t="s">
        <v>107</v>
      </c>
      <c r="Q23" s="78">
        <f t="shared" si="3"/>
        <v>3</v>
      </c>
      <c r="R23" s="79">
        <f>Table1[[#This Row],[Points]]/($Q$5-Table1[[#This Row],[Missed Games]])</f>
        <v>0.42857142857142855</v>
      </c>
      <c r="S23" s="80">
        <f t="shared" si="4"/>
        <v>3</v>
      </c>
      <c r="T23" s="81">
        <f>Table1[[#This Row],[Finishes]]/($Q$5-Table1[[#This Row],[Missed Games]])</f>
        <v>0.42857142857142855</v>
      </c>
      <c r="U23" s="80">
        <f t="shared" si="5"/>
        <v>0</v>
      </c>
      <c r="V23" s="81">
        <f>Table1[[#This Row],[Midranges]]/($Q$5-Table1[[#This Row],[Missed Games]])</f>
        <v>0</v>
      </c>
      <c r="W23" s="80">
        <f t="shared" si="6"/>
        <v>0</v>
      </c>
      <c r="X23" s="81">
        <f>Table1[[#This Row],[Threes]]/($Q$5-Table1[[#This Row],[Missed Games]])</f>
        <v>0</v>
      </c>
      <c r="Y23" s="88" t="s">
        <v>57</v>
      </c>
      <c r="Z23" s="87">
        <f t="shared" si="7"/>
        <v>0</v>
      </c>
      <c r="AA23" s="127">
        <f>1.007842*1.1673%</f>
        <v>1.1764539665999997E-2</v>
      </c>
      <c r="AB23" s="127">
        <f>(Table1[[#This Row],[Averages]]+Table1[[#This Row],[Averages2]]+Table1[[#This Row],[Averages3]])/SUM(Table1[Averages],Table1[Averages2],Table1[Averages3])</f>
        <v>1.8433179723502304E-2</v>
      </c>
      <c r="AC23" s="125">
        <f t="shared" si="8"/>
        <v>6.6686400575023067E-3</v>
      </c>
      <c r="AE23" s="66"/>
      <c r="AI23" s="68"/>
      <c r="AJ23" s="6"/>
      <c r="AK23" s="6"/>
      <c r="AL23" s="11"/>
    </row>
    <row r="24" spans="2:38" ht="14.25" customHeight="1" x14ac:dyDescent="0.45">
      <c r="R24" s="7"/>
      <c r="V24" s="7"/>
      <c r="Z24" s="7"/>
      <c r="AB24" s="122"/>
      <c r="AC24" s="123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221</v>
      </c>
      <c r="AB26" s="24">
        <v>0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'1505'!$R$3</f>
        <v>0</v>
      </c>
      <c r="AC29" s="29" t="e">
        <f>AB29/(AB$26-AJ29)</f>
        <v>#DIV/0!</v>
      </c>
      <c r="AD29" s="27">
        <f>'1505'!$S$3</f>
        <v>0</v>
      </c>
      <c r="AE29" s="28">
        <f>AD29/($Q$26-AJ29)</f>
        <v>0</v>
      </c>
      <c r="AF29" s="27">
        <f>'1505'!$T$3</f>
        <v>0</v>
      </c>
      <c r="AG29" s="28">
        <f>AF29/($Q$26-AJ29)</f>
        <v>0</v>
      </c>
      <c r="AH29" s="27">
        <f>'1505'!$U$3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0">Q30/(Q$26-Y30)</f>
        <v>0</v>
      </c>
      <c r="S30" s="27">
        <f>'2404'!S4+'2604'!S4</f>
        <v>0</v>
      </c>
      <c r="T30" s="28">
        <f t="shared" ref="T30:T44" si="11">S30/($Q$26-Y30)</f>
        <v>0</v>
      </c>
      <c r="U30" s="27">
        <f>'2404'!T4+'2604'!T4</f>
        <v>0</v>
      </c>
      <c r="V30" s="28">
        <f t="shared" ref="V30:V44" si="12">U30/($Q$26-Y30)</f>
        <v>0</v>
      </c>
      <c r="W30" s="27">
        <f>'2404'!U4+'2604'!U4</f>
        <v>0</v>
      </c>
      <c r="X30" s="28">
        <f t="shared" ref="X30:X44" si="13">W30/($Q$26-Y30)</f>
        <v>0</v>
      </c>
      <c r="Y30" s="40">
        <v>1</v>
      </c>
      <c r="AA30" s="30" t="s">
        <v>59</v>
      </c>
      <c r="AB30" s="44">
        <f>'1505'!$R$3</f>
        <v>0</v>
      </c>
      <c r="AC30" s="29" t="e">
        <f t="shared" ref="AC30:AC44" si="14">AB30/(AB$26-AJ30)</f>
        <v>#DIV/0!</v>
      </c>
      <c r="AD30" s="27">
        <f>'1505'!$S$3</f>
        <v>0</v>
      </c>
      <c r="AE30" s="28">
        <f t="shared" ref="AE30:AE44" si="15">AD30/($Q$26-AJ30)</f>
        <v>0</v>
      </c>
      <c r="AF30" s="27">
        <f>'1505'!$T$3</f>
        <v>0</v>
      </c>
      <c r="AG30" s="28">
        <f t="shared" ref="AG30:AG44" si="16">AF30/($Q$26-AJ30)</f>
        <v>0</v>
      </c>
      <c r="AH30" s="27">
        <f>'1505'!$U$3</f>
        <v>0</v>
      </c>
      <c r="AI30" s="28">
        <f t="shared" ref="AI30:AI44" si="17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0"/>
        <v>1.5</v>
      </c>
      <c r="S31" s="27">
        <f>'2404'!S5+'2604'!S5</f>
        <v>3</v>
      </c>
      <c r="T31" s="28">
        <f t="shared" si="11"/>
        <v>1.5</v>
      </c>
      <c r="U31" s="27">
        <f>'2404'!T5+'2604'!T5</f>
        <v>0</v>
      </c>
      <c r="V31" s="28">
        <f t="shared" si="12"/>
        <v>0</v>
      </c>
      <c r="W31" s="27">
        <f>'2404'!U5+'2604'!U5</f>
        <v>0</v>
      </c>
      <c r="X31" s="28">
        <f t="shared" si="13"/>
        <v>0</v>
      </c>
      <c r="Y31" s="40">
        <v>0</v>
      </c>
      <c r="AA31" s="30" t="s">
        <v>62</v>
      </c>
      <c r="AB31" s="44">
        <f>'1505'!$R$3</f>
        <v>0</v>
      </c>
      <c r="AC31" s="29" t="e">
        <f t="shared" si="14"/>
        <v>#DIV/0!</v>
      </c>
      <c r="AD31" s="27">
        <f>'1505'!$S$3</f>
        <v>0</v>
      </c>
      <c r="AE31" s="28">
        <f t="shared" si="15"/>
        <v>0</v>
      </c>
      <c r="AF31" s="27">
        <f>'1505'!$T$3</f>
        <v>0</v>
      </c>
      <c r="AG31" s="28">
        <f t="shared" si="16"/>
        <v>0</v>
      </c>
      <c r="AH31" s="27">
        <f>'1505'!$U$3</f>
        <v>0</v>
      </c>
      <c r="AI31" s="28">
        <f t="shared" si="17"/>
        <v>0</v>
      </c>
      <c r="AJ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0"/>
        <v>1.5</v>
      </c>
      <c r="S32" s="27">
        <f>'2404'!S6+'2604'!S6</f>
        <v>3</v>
      </c>
      <c r="T32" s="28">
        <f t="shared" si="11"/>
        <v>1.5</v>
      </c>
      <c r="U32" s="27">
        <f>'2404'!T6+'2604'!T6</f>
        <v>0</v>
      </c>
      <c r="V32" s="28">
        <f t="shared" si="12"/>
        <v>0</v>
      </c>
      <c r="W32" s="27">
        <f>'2404'!U6+'2604'!U6</f>
        <v>0</v>
      </c>
      <c r="X32" s="28">
        <f t="shared" si="13"/>
        <v>0</v>
      </c>
      <c r="Y32" s="40">
        <v>0</v>
      </c>
      <c r="AA32" s="30" t="s">
        <v>65</v>
      </c>
      <c r="AB32" s="44">
        <f>'1505'!$R$3</f>
        <v>0</v>
      </c>
      <c r="AC32" s="29" t="e">
        <f t="shared" si="14"/>
        <v>#DIV/0!</v>
      </c>
      <c r="AD32" s="27">
        <f>'1505'!$S$3</f>
        <v>0</v>
      </c>
      <c r="AE32" s="28">
        <f t="shared" si="15"/>
        <v>0</v>
      </c>
      <c r="AF32" s="27">
        <f>'1505'!$T$3</f>
        <v>0</v>
      </c>
      <c r="AG32" s="28">
        <f t="shared" si="16"/>
        <v>0</v>
      </c>
      <c r="AH32" s="27">
        <f>'1505'!$U$3</f>
        <v>0</v>
      </c>
      <c r="AI32" s="28">
        <f t="shared" si="17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0"/>
        <v>0.5</v>
      </c>
      <c r="S33" s="27">
        <f>'2404'!S7+'2604'!S7</f>
        <v>1</v>
      </c>
      <c r="T33" s="28">
        <f t="shared" si="11"/>
        <v>0.5</v>
      </c>
      <c r="U33" s="27">
        <f>'2404'!T7+'2604'!T7</f>
        <v>0</v>
      </c>
      <c r="V33" s="28">
        <f t="shared" si="12"/>
        <v>0</v>
      </c>
      <c r="W33" s="27">
        <f>'2404'!U7+'2604'!U7</f>
        <v>0</v>
      </c>
      <c r="X33" s="28">
        <f t="shared" si="13"/>
        <v>0</v>
      </c>
      <c r="Y33" s="40">
        <v>0</v>
      </c>
      <c r="AA33" s="30" t="s">
        <v>68</v>
      </c>
      <c r="AB33" s="44">
        <f>'1505'!$R$3</f>
        <v>0</v>
      </c>
      <c r="AC33" s="29" t="e">
        <f t="shared" si="14"/>
        <v>#DIV/0!</v>
      </c>
      <c r="AD33" s="27">
        <f>'1505'!$S$3</f>
        <v>0</v>
      </c>
      <c r="AE33" s="28">
        <f t="shared" si="15"/>
        <v>0</v>
      </c>
      <c r="AF33" s="27">
        <f>'1505'!$T$3</f>
        <v>0</v>
      </c>
      <c r="AG33" s="28">
        <f t="shared" si="16"/>
        <v>0</v>
      </c>
      <c r="AH33" s="27">
        <f>'1505'!$U$3</f>
        <v>0</v>
      </c>
      <c r="AI33" s="28">
        <f t="shared" si="17"/>
        <v>0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0"/>
        <v>1</v>
      </c>
      <c r="S34" s="27">
        <f>'2404'!S8+'2604'!S8</f>
        <v>2</v>
      </c>
      <c r="T34" s="28">
        <f t="shared" si="11"/>
        <v>1</v>
      </c>
      <c r="U34" s="27">
        <f>'2404'!T8+'2604'!T8</f>
        <v>0</v>
      </c>
      <c r="V34" s="28">
        <f t="shared" si="12"/>
        <v>0</v>
      </c>
      <c r="W34" s="27">
        <f>'2404'!U8+'2604'!U8</f>
        <v>0</v>
      </c>
      <c r="X34" s="28">
        <f t="shared" si="13"/>
        <v>0</v>
      </c>
      <c r="Y34" s="40">
        <v>0</v>
      </c>
      <c r="AA34" s="30" t="s">
        <v>71</v>
      </c>
      <c r="AB34" s="44">
        <f>'1505'!$R$3</f>
        <v>0</v>
      </c>
      <c r="AC34" s="29" t="e">
        <f t="shared" si="14"/>
        <v>#DIV/0!</v>
      </c>
      <c r="AD34" s="27">
        <f>'1505'!$S$3</f>
        <v>0</v>
      </c>
      <c r="AE34" s="28">
        <f t="shared" si="15"/>
        <v>0</v>
      </c>
      <c r="AF34" s="27">
        <f>'1505'!$T$3</f>
        <v>0</v>
      </c>
      <c r="AG34" s="28">
        <f t="shared" si="16"/>
        <v>0</v>
      </c>
      <c r="AH34" s="27">
        <f>'1505'!$U$3</f>
        <v>0</v>
      </c>
      <c r="AI34" s="28">
        <f t="shared" si="17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0"/>
        <v>0</v>
      </c>
      <c r="S35" s="27">
        <f>'2404'!S9+'2604'!S9</f>
        <v>0</v>
      </c>
      <c r="T35" s="28">
        <f t="shared" si="11"/>
        <v>0</v>
      </c>
      <c r="U35" s="27">
        <f>'2404'!T9+'2604'!T9</f>
        <v>0</v>
      </c>
      <c r="V35" s="28">
        <f t="shared" si="12"/>
        <v>0</v>
      </c>
      <c r="W35" s="27">
        <f>'2404'!U9+'2604'!U9</f>
        <v>0</v>
      </c>
      <c r="X35" s="28">
        <f t="shared" si="13"/>
        <v>0</v>
      </c>
      <c r="Y35" s="40">
        <v>0</v>
      </c>
      <c r="AA35" s="30" t="s">
        <v>75</v>
      </c>
      <c r="AB35" s="44">
        <f>'1505'!$R$3</f>
        <v>0</v>
      </c>
      <c r="AC35" s="29" t="e">
        <f t="shared" si="14"/>
        <v>#DIV/0!</v>
      </c>
      <c r="AD35" s="27">
        <f>'1505'!$S$3</f>
        <v>0</v>
      </c>
      <c r="AE35" s="28">
        <f t="shared" si="15"/>
        <v>0</v>
      </c>
      <c r="AF35" s="27">
        <f>'1505'!$T$3</f>
        <v>0</v>
      </c>
      <c r="AG35" s="28">
        <f t="shared" si="16"/>
        <v>0</v>
      </c>
      <c r="AH35" s="27">
        <f>'1505'!$U$3</f>
        <v>0</v>
      </c>
      <c r="AI35" s="28">
        <f t="shared" si="17"/>
        <v>0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0"/>
        <v>0</v>
      </c>
      <c r="S36" s="27">
        <f>'2404'!S10+'2604'!S10</f>
        <v>0</v>
      </c>
      <c r="T36" s="28">
        <f t="shared" si="11"/>
        <v>0</v>
      </c>
      <c r="U36" s="27">
        <f>'2404'!T10+'2604'!T10</f>
        <v>0</v>
      </c>
      <c r="V36" s="28">
        <f t="shared" si="12"/>
        <v>0</v>
      </c>
      <c r="W36" s="27">
        <f>'2404'!U10+'2604'!U10</f>
        <v>0</v>
      </c>
      <c r="X36" s="28">
        <f t="shared" si="13"/>
        <v>0</v>
      </c>
      <c r="Y36" s="40">
        <v>0</v>
      </c>
      <c r="AA36" s="30" t="s">
        <v>78</v>
      </c>
      <c r="AB36" s="44">
        <f>'1505'!$R$3</f>
        <v>0</v>
      </c>
      <c r="AC36" s="29" t="e">
        <f t="shared" si="14"/>
        <v>#DIV/0!</v>
      </c>
      <c r="AD36" s="27">
        <f>'1505'!$S$3</f>
        <v>0</v>
      </c>
      <c r="AE36" s="28">
        <f t="shared" si="15"/>
        <v>0</v>
      </c>
      <c r="AF36" s="27">
        <f>'1505'!$T$3</f>
        <v>0</v>
      </c>
      <c r="AG36" s="28">
        <f t="shared" si="16"/>
        <v>0</v>
      </c>
      <c r="AH36" s="27">
        <f>'1505'!$U$3</f>
        <v>0</v>
      </c>
      <c r="AI36" s="28">
        <f t="shared" si="17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0"/>
        <v>2</v>
      </c>
      <c r="S37" s="27">
        <f>'2404'!S11+'2604'!S11</f>
        <v>1</v>
      </c>
      <c r="T37" s="28">
        <f t="shared" si="11"/>
        <v>1</v>
      </c>
      <c r="U37" s="27">
        <f>'2404'!T11+'2604'!T11</f>
        <v>1</v>
      </c>
      <c r="V37" s="28">
        <f t="shared" si="12"/>
        <v>1</v>
      </c>
      <c r="W37" s="27">
        <f>'2404'!U11+'2604'!U11</f>
        <v>0</v>
      </c>
      <c r="X37" s="28">
        <f t="shared" si="13"/>
        <v>0</v>
      </c>
      <c r="Y37" s="40">
        <v>1</v>
      </c>
      <c r="AA37" s="30" t="s">
        <v>80</v>
      </c>
      <c r="AB37" s="44">
        <f>'1505'!$R$3</f>
        <v>0</v>
      </c>
      <c r="AC37" s="29" t="e">
        <f t="shared" si="14"/>
        <v>#DIV/0!</v>
      </c>
      <c r="AD37" s="27">
        <f>'1505'!$S$3</f>
        <v>0</v>
      </c>
      <c r="AE37" s="28">
        <f t="shared" si="15"/>
        <v>0</v>
      </c>
      <c r="AF37" s="27">
        <f>'1505'!$T$3</f>
        <v>0</v>
      </c>
      <c r="AG37" s="28">
        <f t="shared" si="16"/>
        <v>0</v>
      </c>
      <c r="AH37" s="27">
        <f>'1505'!$U$3</f>
        <v>0</v>
      </c>
      <c r="AI37" s="28">
        <f t="shared" si="17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0"/>
        <v>0</v>
      </c>
      <c r="S38" s="27">
        <f>'2404'!S12+'2604'!S12</f>
        <v>0</v>
      </c>
      <c r="T38" s="28">
        <f t="shared" si="11"/>
        <v>0</v>
      </c>
      <c r="U38" s="27">
        <f>'2404'!T12+'2604'!T12</f>
        <v>0</v>
      </c>
      <c r="V38" s="28">
        <f t="shared" si="12"/>
        <v>0</v>
      </c>
      <c r="W38" s="27">
        <f>'2404'!U12+'2604'!U12</f>
        <v>0</v>
      </c>
      <c r="X38" s="28">
        <f t="shared" si="13"/>
        <v>0</v>
      </c>
      <c r="Y38" s="40">
        <v>0</v>
      </c>
      <c r="AA38" s="30" t="s">
        <v>81</v>
      </c>
      <c r="AB38" s="44">
        <f>'1505'!$R$3</f>
        <v>0</v>
      </c>
      <c r="AC38" s="29" t="e">
        <f t="shared" si="14"/>
        <v>#DIV/0!</v>
      </c>
      <c r="AD38" s="27">
        <f>'1505'!$S$3</f>
        <v>0</v>
      </c>
      <c r="AE38" s="28">
        <f t="shared" si="15"/>
        <v>0</v>
      </c>
      <c r="AF38" s="27">
        <f>'1505'!$T$3</f>
        <v>0</v>
      </c>
      <c r="AG38" s="28">
        <f t="shared" si="16"/>
        <v>0</v>
      </c>
      <c r="AH38" s="27">
        <f>'1505'!$U$3</f>
        <v>0</v>
      </c>
      <c r="AI38" s="28">
        <f t="shared" si="17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0"/>
        <v>2</v>
      </c>
      <c r="S39" s="27">
        <f>'2404'!S13+'2604'!S13</f>
        <v>4</v>
      </c>
      <c r="T39" s="28">
        <f t="shared" si="11"/>
        <v>2</v>
      </c>
      <c r="U39" s="27">
        <f>'2404'!T13+'2604'!T13</f>
        <v>0</v>
      </c>
      <c r="V39" s="28">
        <f t="shared" si="12"/>
        <v>0</v>
      </c>
      <c r="W39" s="27">
        <f>'2404'!U13+'2604'!U13</f>
        <v>0</v>
      </c>
      <c r="X39" s="28">
        <f t="shared" si="13"/>
        <v>0</v>
      </c>
      <c r="Y39" s="40">
        <v>0</v>
      </c>
      <c r="Z39" s="12"/>
      <c r="AA39" s="30" t="s">
        <v>187</v>
      </c>
      <c r="AB39" s="44">
        <f>'1505'!$R$3</f>
        <v>0</v>
      </c>
      <c r="AC39" s="29" t="e">
        <f t="shared" si="14"/>
        <v>#DIV/0!</v>
      </c>
      <c r="AD39" s="27">
        <f>'1505'!$S$3</f>
        <v>0</v>
      </c>
      <c r="AE39" s="28">
        <f t="shared" si="15"/>
        <v>0</v>
      </c>
      <c r="AF39" s="27">
        <f>'1505'!$T$3</f>
        <v>0</v>
      </c>
      <c r="AG39" s="28">
        <f t="shared" si="16"/>
        <v>0</v>
      </c>
      <c r="AH39" s="27">
        <f>'1505'!$U$3</f>
        <v>0</v>
      </c>
      <c r="AI39" s="28">
        <f t="shared" si="17"/>
        <v>0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0"/>
        <v>0</v>
      </c>
      <c r="S40" s="27">
        <f>'2404'!S14+'2604'!S14</f>
        <v>0</v>
      </c>
      <c r="T40" s="28">
        <f t="shared" si="11"/>
        <v>0</v>
      </c>
      <c r="U40" s="27">
        <f>'2404'!T14+'2604'!T14</f>
        <v>0</v>
      </c>
      <c r="V40" s="28">
        <f t="shared" si="12"/>
        <v>0</v>
      </c>
      <c r="W40" s="27">
        <f>'2404'!U14+'2604'!U14</f>
        <v>0</v>
      </c>
      <c r="X40" s="28">
        <f t="shared" si="13"/>
        <v>0</v>
      </c>
      <c r="Y40" s="40">
        <v>0</v>
      </c>
      <c r="AA40" s="30" t="s">
        <v>186</v>
      </c>
      <c r="AB40" s="44">
        <f>'1505'!$R$3</f>
        <v>0</v>
      </c>
      <c r="AC40" s="29" t="e">
        <f t="shared" si="14"/>
        <v>#DIV/0!</v>
      </c>
      <c r="AD40" s="27">
        <f>'1505'!$S$3</f>
        <v>0</v>
      </c>
      <c r="AE40" s="28">
        <f t="shared" si="15"/>
        <v>0</v>
      </c>
      <c r="AF40" s="27">
        <f>'1505'!$T$3</f>
        <v>0</v>
      </c>
      <c r="AG40" s="28">
        <f t="shared" si="16"/>
        <v>0</v>
      </c>
      <c r="AH40" s="27">
        <f>'1505'!$U$3</f>
        <v>0</v>
      </c>
      <c r="AI40" s="28">
        <f t="shared" si="17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14</v>
      </c>
      <c r="P41" s="30" t="s">
        <v>85</v>
      </c>
      <c r="Q41" s="44">
        <f>'2404'!R15+'2604'!R15</f>
        <v>4</v>
      </c>
      <c r="R41" s="29">
        <f t="shared" si="10"/>
        <v>2</v>
      </c>
      <c r="S41" s="27">
        <f>'2404'!S15+'2604'!S15</f>
        <v>4</v>
      </c>
      <c r="T41" s="28">
        <f t="shared" si="11"/>
        <v>2</v>
      </c>
      <c r="U41" s="27">
        <f>'2404'!T15+'2604'!T15</f>
        <v>0</v>
      </c>
      <c r="V41" s="28">
        <f t="shared" si="12"/>
        <v>0</v>
      </c>
      <c r="W41" s="27">
        <f>'2404'!U15+'2604'!U15</f>
        <v>0</v>
      </c>
      <c r="X41" s="28">
        <f t="shared" si="13"/>
        <v>0</v>
      </c>
      <c r="Y41" s="40">
        <v>0</v>
      </c>
      <c r="AA41" s="30" t="s">
        <v>85</v>
      </c>
      <c r="AB41" s="44">
        <f>'1505'!$R$3</f>
        <v>0</v>
      </c>
      <c r="AC41" s="29" t="e">
        <f t="shared" si="14"/>
        <v>#DIV/0!</v>
      </c>
      <c r="AD41" s="27">
        <f>'1505'!$S$3</f>
        <v>0</v>
      </c>
      <c r="AE41" s="28">
        <f t="shared" si="15"/>
        <v>0</v>
      </c>
      <c r="AF41" s="27">
        <f>'1505'!$T$3</f>
        <v>0</v>
      </c>
      <c r="AG41" s="28">
        <f t="shared" si="16"/>
        <v>0</v>
      </c>
      <c r="AH41" s="27">
        <f>'1505'!$U$3</f>
        <v>0</v>
      </c>
      <c r="AI41" s="28">
        <f t="shared" si="17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11</v>
      </c>
      <c r="P42" s="30" t="s">
        <v>86</v>
      </c>
      <c r="Q42" s="44">
        <f>'2404'!R16+'2604'!R16</f>
        <v>0</v>
      </c>
      <c r="R42" s="29">
        <f t="shared" si="10"/>
        <v>0</v>
      </c>
      <c r="S42" s="27">
        <f>'2404'!S16+'2604'!S16</f>
        <v>0</v>
      </c>
      <c r="T42" s="28">
        <f t="shared" si="11"/>
        <v>0</v>
      </c>
      <c r="U42" s="27">
        <f>'2404'!T16+'2604'!T16</f>
        <v>0</v>
      </c>
      <c r="V42" s="28">
        <f t="shared" si="12"/>
        <v>0</v>
      </c>
      <c r="W42" s="27">
        <f>'2404'!U16+'2604'!U16</f>
        <v>0</v>
      </c>
      <c r="X42" s="28">
        <f t="shared" si="13"/>
        <v>0</v>
      </c>
      <c r="Y42" s="40">
        <v>0</v>
      </c>
      <c r="AA42" s="30" t="s">
        <v>86</v>
      </c>
      <c r="AB42" s="44">
        <f>'1505'!$R$3</f>
        <v>0</v>
      </c>
      <c r="AC42" s="29" t="e">
        <f t="shared" si="14"/>
        <v>#DIV/0!</v>
      </c>
      <c r="AD42" s="27">
        <f>'1505'!$S$3</f>
        <v>0</v>
      </c>
      <c r="AE42" s="28">
        <f t="shared" si="15"/>
        <v>0</v>
      </c>
      <c r="AF42" s="27">
        <f>'1505'!$T$3</f>
        <v>0</v>
      </c>
      <c r="AG42" s="28">
        <f t="shared" si="16"/>
        <v>0</v>
      </c>
      <c r="AH42" s="27">
        <f>'1505'!$U$3</f>
        <v>0</v>
      </c>
      <c r="AI42" s="28">
        <f t="shared" si="17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17</v>
      </c>
      <c r="P43" s="30" t="s">
        <v>87</v>
      </c>
      <c r="Q43" s="44">
        <f>'2404'!R17+'2604'!R17</f>
        <v>1</v>
      </c>
      <c r="R43" s="29">
        <f t="shared" si="10"/>
        <v>0.5</v>
      </c>
      <c r="S43" s="27">
        <f>'2404'!S17+'2604'!S17</f>
        <v>1</v>
      </c>
      <c r="T43" s="28">
        <f t="shared" si="11"/>
        <v>0.5</v>
      </c>
      <c r="U43" s="27">
        <f>'2404'!T17+'2604'!T17</f>
        <v>0</v>
      </c>
      <c r="V43" s="28">
        <f t="shared" si="12"/>
        <v>0</v>
      </c>
      <c r="W43" s="27">
        <f>'2404'!U17+'2604'!U17</f>
        <v>0</v>
      </c>
      <c r="X43" s="28">
        <f t="shared" si="13"/>
        <v>0</v>
      </c>
      <c r="Y43" s="40">
        <v>0</v>
      </c>
      <c r="AA43" s="30" t="s">
        <v>87</v>
      </c>
      <c r="AB43" s="44">
        <f>'1505'!$R$3</f>
        <v>0</v>
      </c>
      <c r="AC43" s="29" t="e">
        <f t="shared" si="14"/>
        <v>#DIV/0!</v>
      </c>
      <c r="AD43" s="27">
        <f>'1505'!$S$3</f>
        <v>0</v>
      </c>
      <c r="AE43" s="28">
        <f t="shared" si="15"/>
        <v>0</v>
      </c>
      <c r="AF43" s="27">
        <f>'1505'!$T$3</f>
        <v>0</v>
      </c>
      <c r="AG43" s="28">
        <f t="shared" si="16"/>
        <v>0</v>
      </c>
      <c r="AH43" s="27">
        <f>'1505'!$U$3</f>
        <v>0</v>
      </c>
      <c r="AI43" s="28">
        <f t="shared" si="17"/>
        <v>0</v>
      </c>
      <c r="AJ43" s="40">
        <v>0</v>
      </c>
    </row>
    <row r="44" spans="8:36" ht="14.25" customHeight="1" x14ac:dyDescent="0.45">
      <c r="P44" s="53" t="s">
        <v>107</v>
      </c>
      <c r="Q44" s="44">
        <f>'2404'!R18+'2604'!R18</f>
        <v>1</v>
      </c>
      <c r="R44" s="29">
        <f t="shared" si="10"/>
        <v>0.5</v>
      </c>
      <c r="S44" s="27">
        <f>'2404'!S18+'2604'!S18</f>
        <v>1</v>
      </c>
      <c r="T44" s="28">
        <f t="shared" si="11"/>
        <v>0.5</v>
      </c>
      <c r="U44" s="27">
        <f>'2404'!T18+'2604'!T18</f>
        <v>0</v>
      </c>
      <c r="V44" s="28">
        <f t="shared" si="12"/>
        <v>0</v>
      </c>
      <c r="W44" s="27">
        <f>'2404'!U18+'2604'!U18</f>
        <v>0</v>
      </c>
      <c r="X44" s="28">
        <f t="shared" si="13"/>
        <v>0</v>
      </c>
      <c r="Y44" s="40">
        <v>0</v>
      </c>
      <c r="AA44" s="53" t="s">
        <v>107</v>
      </c>
      <c r="AB44" s="44">
        <f>'1505'!$R$3</f>
        <v>0</v>
      </c>
      <c r="AC44" s="29" t="e">
        <f t="shared" si="14"/>
        <v>#DIV/0!</v>
      </c>
      <c r="AD44" s="27">
        <f>'1505'!$S$3</f>
        <v>0</v>
      </c>
      <c r="AE44" s="28">
        <f t="shared" si="15"/>
        <v>0</v>
      </c>
      <c r="AF44" s="27">
        <f>'1505'!$T$3</f>
        <v>0</v>
      </c>
      <c r="AG44" s="28">
        <f t="shared" si="16"/>
        <v>0</v>
      </c>
      <c r="AH44" s="27">
        <f>'1505'!$U$3</f>
        <v>0</v>
      </c>
      <c r="AI44" s="28">
        <f t="shared" si="17"/>
        <v>0</v>
      </c>
      <c r="AJ44" s="40">
        <v>0</v>
      </c>
    </row>
    <row r="45" spans="8:36" ht="14.25" customHeight="1" x14ac:dyDescent="0.45">
      <c r="H45" s="33" t="s">
        <v>222</v>
      </c>
      <c r="J45" s="33" t="s">
        <v>95</v>
      </c>
      <c r="K45" s="33" t="s">
        <v>98</v>
      </c>
      <c r="L45" s="33" t="s">
        <v>223</v>
      </c>
      <c r="O45" s="40"/>
    </row>
    <row r="46" spans="8:36" ht="14.25" customHeight="1" x14ac:dyDescent="0.45">
      <c r="I46" s="33" t="s">
        <v>9</v>
      </c>
      <c r="J46" s="42">
        <f>SUM(Table1[Finishes])</f>
        <v>87</v>
      </c>
      <c r="K46" s="41">
        <f>J46/Q5</f>
        <v>12.428571428571429</v>
      </c>
      <c r="L46" s="57">
        <f>J46/SUM($J$46:$J$48)</f>
        <v>0.62142857142857144</v>
      </c>
      <c r="P46" s="65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48</v>
      </c>
      <c r="K47" s="41">
        <f>J47/Q5</f>
        <v>6.8571428571428568</v>
      </c>
      <c r="L47" s="57">
        <f t="shared" ref="L47:L48" si="18">J47/SUM($J$46:$J$48)</f>
        <v>0.34285714285714286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5">
        <v>48</v>
      </c>
      <c r="AB47" s="129">
        <v>47</v>
      </c>
    </row>
    <row r="48" spans="8:36" ht="14.25" customHeight="1" x14ac:dyDescent="0.45">
      <c r="I48" s="33" t="s">
        <v>11</v>
      </c>
      <c r="J48" s="42">
        <f>SUM(Table1[Threes])</f>
        <v>5</v>
      </c>
      <c r="K48" s="41">
        <f>J48/Q5</f>
        <v>0.7142857142857143</v>
      </c>
      <c r="L48" s="57">
        <f t="shared" si="18"/>
        <v>3.5714285714285712E-2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9">Q49/(Q$46-Y49)</f>
        <v>0.5</v>
      </c>
      <c r="S49" s="27">
        <f>'0205'!S4+'0305'!S4</f>
        <v>1</v>
      </c>
      <c r="T49" s="28">
        <f t="shared" ref="T49:T63" si="20">S49/($Q$46-Y49)</f>
        <v>0.5</v>
      </c>
      <c r="U49" s="27">
        <f>'0205'!T4+'0305'!T4</f>
        <v>0</v>
      </c>
      <c r="V49" s="28">
        <f t="shared" ref="V49:V63" si="21">U49/($Q$46-Y49)</f>
        <v>0</v>
      </c>
      <c r="W49" s="27">
        <f>'0205'!U4+'0305'!U4</f>
        <v>0</v>
      </c>
      <c r="X49" s="28">
        <f t="shared" ref="X49:X63" si="22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9"/>
        <v>4</v>
      </c>
      <c r="S50" s="27">
        <f>'0205'!S5+'0305'!S5</f>
        <v>8</v>
      </c>
      <c r="T50" s="28">
        <f t="shared" si="20"/>
        <v>4</v>
      </c>
      <c r="U50" s="27">
        <f>'0205'!T5+'0305'!T5</f>
        <v>0</v>
      </c>
      <c r="V50" s="28">
        <f t="shared" si="21"/>
        <v>0</v>
      </c>
      <c r="W50" s="27">
        <f>'0205'!U5+'0305'!U5</f>
        <v>0</v>
      </c>
      <c r="X50" s="28">
        <f t="shared" si="22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19"/>
        <v>2</v>
      </c>
      <c r="S51" s="27">
        <f>'0205'!S6+'0305'!S6</f>
        <v>4</v>
      </c>
      <c r="T51" s="28">
        <f t="shared" si="20"/>
        <v>2</v>
      </c>
      <c r="U51" s="27">
        <f>'0205'!T6+'0305'!T6</f>
        <v>0</v>
      </c>
      <c r="V51" s="28">
        <f t="shared" si="21"/>
        <v>0</v>
      </c>
      <c r="W51" s="27">
        <f>'0205'!U6+'0305'!U6</f>
        <v>0</v>
      </c>
      <c r="X51" s="28">
        <f t="shared" si="22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9"/>
        <v>1.5</v>
      </c>
      <c r="S52" s="27">
        <f>'0205'!S7+'0305'!S7</f>
        <v>0</v>
      </c>
      <c r="T52" s="28">
        <f t="shared" si="20"/>
        <v>0</v>
      </c>
      <c r="U52" s="27">
        <f>'0205'!T7+'0305'!T7</f>
        <v>3</v>
      </c>
      <c r="V52" s="28">
        <f t="shared" si="21"/>
        <v>1.5</v>
      </c>
      <c r="W52" s="27">
        <f>'0205'!U7+'0305'!U7</f>
        <v>0</v>
      </c>
      <c r="X52" s="28">
        <f t="shared" si="22"/>
        <v>0</v>
      </c>
      <c r="Y52" s="40">
        <v>0</v>
      </c>
    </row>
    <row r="53" spans="8:25" ht="14.25" customHeight="1" x14ac:dyDescent="0.45">
      <c r="H53" s="33" t="s">
        <v>192</v>
      </c>
      <c r="I53" s="111" t="s">
        <v>191</v>
      </c>
      <c r="J53" s="68">
        <f>'Statistics LG'!S31</f>
        <v>0.44680851063829785</v>
      </c>
      <c r="K53" s="68">
        <f>'Statistics LG'!X31</f>
        <v>0.5</v>
      </c>
      <c r="L53" s="68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19"/>
        <v>0.5</v>
      </c>
      <c r="S53" s="27">
        <f>'0205'!S8+'0305'!S8</f>
        <v>0</v>
      </c>
      <c r="T53" s="28">
        <f t="shared" si="20"/>
        <v>0</v>
      </c>
      <c r="U53" s="27">
        <f>'0205'!T8+'0305'!T8</f>
        <v>1</v>
      </c>
      <c r="V53" s="28">
        <f t="shared" si="21"/>
        <v>0.5</v>
      </c>
      <c r="W53" s="27">
        <f>'0205'!U8+'0305'!U8</f>
        <v>0</v>
      </c>
      <c r="X53" s="28">
        <f t="shared" si="22"/>
        <v>0</v>
      </c>
      <c r="Y53" s="40">
        <v>0</v>
      </c>
    </row>
    <row r="54" spans="8:25" ht="14.25" customHeight="1" x14ac:dyDescent="0.45">
      <c r="H54" s="33" t="s">
        <v>193</v>
      </c>
      <c r="I54" s="68">
        <f>1-'Statistics LG'!S31</f>
        <v>0.55319148936170215</v>
      </c>
      <c r="J54" s="111" t="s">
        <v>191</v>
      </c>
      <c r="K54" s="68">
        <f>'Statistics WW'!R31</f>
        <v>0.48</v>
      </c>
      <c r="L54" s="68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19"/>
        <v>2.5</v>
      </c>
      <c r="S54" s="27">
        <f>'0205'!S9+'0305'!S9</f>
        <v>0</v>
      </c>
      <c r="T54" s="28">
        <f t="shared" si="20"/>
        <v>0</v>
      </c>
      <c r="U54" s="27">
        <f>'0205'!T9+'0305'!T9</f>
        <v>1</v>
      </c>
      <c r="V54" s="28">
        <f t="shared" si="21"/>
        <v>0.5</v>
      </c>
      <c r="W54" s="27">
        <f>'0205'!U9+'0305'!U9</f>
        <v>2</v>
      </c>
      <c r="X54" s="28">
        <f t="shared" si="22"/>
        <v>1</v>
      </c>
      <c r="Y54" s="40">
        <v>0</v>
      </c>
    </row>
    <row r="55" spans="8:25" ht="14.25" customHeight="1" x14ac:dyDescent="0.45">
      <c r="H55" s="33" t="s">
        <v>194</v>
      </c>
      <c r="I55" s="68">
        <f>1-K53</f>
        <v>0.5</v>
      </c>
      <c r="J55" s="68">
        <f>1-K54</f>
        <v>0.52</v>
      </c>
      <c r="K55" s="111" t="s">
        <v>191</v>
      </c>
      <c r="L55" s="68">
        <f>AVERAGE(I55:K55)</f>
        <v>0.51</v>
      </c>
      <c r="P55" s="30" t="s">
        <v>78</v>
      </c>
      <c r="Q55" s="44">
        <f>'0205'!R10+'0305'!R10</f>
        <v>3</v>
      </c>
      <c r="R55" s="29">
        <f t="shared" si="19"/>
        <v>1.5</v>
      </c>
      <c r="S55" s="27">
        <f>'0205'!S10+'0305'!S10</f>
        <v>1</v>
      </c>
      <c r="T55" s="28">
        <f t="shared" si="20"/>
        <v>0.5</v>
      </c>
      <c r="U55" s="27">
        <f>'0205'!T10+'0305'!T10</f>
        <v>2</v>
      </c>
      <c r="V55" s="28">
        <f t="shared" si="21"/>
        <v>1</v>
      </c>
      <c r="W55" s="27">
        <f>'0205'!U10+'0305'!U10</f>
        <v>0</v>
      </c>
      <c r="X55" s="28">
        <f t="shared" si="22"/>
        <v>0</v>
      </c>
      <c r="Y55" s="40">
        <v>0</v>
      </c>
    </row>
    <row r="56" spans="8:25" ht="14.25" customHeight="1" x14ac:dyDescent="0.45">
      <c r="L56" s="112"/>
      <c r="M56" s="112"/>
      <c r="P56" s="30" t="s">
        <v>80</v>
      </c>
      <c r="Q56" s="44">
        <f>'0205'!R11+'0305'!R11</f>
        <v>5</v>
      </c>
      <c r="R56" s="29">
        <f t="shared" si="19"/>
        <v>2.5</v>
      </c>
      <c r="S56" s="27">
        <f>'0205'!S11+'0305'!S11</f>
        <v>2</v>
      </c>
      <c r="T56" s="28">
        <f t="shared" si="20"/>
        <v>1</v>
      </c>
      <c r="U56" s="27">
        <f>'0205'!T11+'0305'!T11</f>
        <v>3</v>
      </c>
      <c r="V56" s="28">
        <f t="shared" si="21"/>
        <v>1.5</v>
      </c>
      <c r="W56" s="27">
        <f>'0205'!U11+'0305'!U11</f>
        <v>0</v>
      </c>
      <c r="X56" s="28">
        <f t="shared" si="22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9"/>
        <v>2</v>
      </c>
      <c r="S57" s="27">
        <f>'0205'!S12+'0305'!S12</f>
        <v>1</v>
      </c>
      <c r="T57" s="28">
        <f t="shared" si="20"/>
        <v>0.5</v>
      </c>
      <c r="U57" s="27">
        <f>'0205'!T12+'0305'!T12</f>
        <v>3</v>
      </c>
      <c r="V57" s="28">
        <f t="shared" si="21"/>
        <v>1.5</v>
      </c>
      <c r="W57" s="27">
        <f>'0205'!U12+'0305'!U12</f>
        <v>0</v>
      </c>
      <c r="X57" s="28">
        <f t="shared" si="22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19"/>
        <v>1.5</v>
      </c>
      <c r="S58" s="27">
        <f>'0205'!S13+'0305'!S13</f>
        <v>3</v>
      </c>
      <c r="T58" s="28">
        <f t="shared" si="20"/>
        <v>1.5</v>
      </c>
      <c r="U58" s="27">
        <f>'0205'!T13+'0305'!T13</f>
        <v>0</v>
      </c>
      <c r="V58" s="28">
        <f t="shared" si="21"/>
        <v>0</v>
      </c>
      <c r="W58" s="27">
        <f>'0205'!U13+'0305'!U13</f>
        <v>0</v>
      </c>
      <c r="X58" s="28">
        <f t="shared" si="22"/>
        <v>0</v>
      </c>
      <c r="Y58" s="40">
        <v>0</v>
      </c>
    </row>
    <row r="59" spans="8:25" ht="14.25" customHeight="1" x14ac:dyDescent="0.45">
      <c r="H59" s="121" t="s">
        <v>216</v>
      </c>
      <c r="P59" s="30" t="s">
        <v>186</v>
      </c>
      <c r="Q59" s="44">
        <f>'0205'!R14+'0305'!R14</f>
        <v>2</v>
      </c>
      <c r="R59" s="29">
        <f t="shared" si="19"/>
        <v>1</v>
      </c>
      <c r="S59" s="27">
        <f>'0205'!S14+'0305'!S14</f>
        <v>2</v>
      </c>
      <c r="T59" s="28">
        <f t="shared" si="20"/>
        <v>1</v>
      </c>
      <c r="U59" s="27">
        <f>'0205'!T14+'0305'!T14</f>
        <v>0</v>
      </c>
      <c r="V59" s="28">
        <f t="shared" si="21"/>
        <v>0</v>
      </c>
      <c r="W59" s="27">
        <f>'0205'!U14+'0305'!U14</f>
        <v>0</v>
      </c>
      <c r="X59" s="28">
        <f t="shared" si="22"/>
        <v>0</v>
      </c>
      <c r="Y59" s="40">
        <v>0</v>
      </c>
    </row>
    <row r="60" spans="8:25" ht="14.25" customHeight="1" x14ac:dyDescent="0.45">
      <c r="H60" s="121" t="s">
        <v>214</v>
      </c>
      <c r="P60" s="30" t="s">
        <v>85</v>
      </c>
      <c r="Q60" s="44">
        <f>'0205'!R15+'0305'!R15</f>
        <v>6</v>
      </c>
      <c r="R60" s="29">
        <f t="shared" si="19"/>
        <v>6</v>
      </c>
      <c r="S60" s="27">
        <f>'0205'!S15+'0305'!S15</f>
        <v>4</v>
      </c>
      <c r="T60" s="28">
        <f t="shared" si="20"/>
        <v>4</v>
      </c>
      <c r="U60" s="27">
        <f>'0205'!T15+'0305'!T15</f>
        <v>0</v>
      </c>
      <c r="V60" s="28">
        <f t="shared" si="21"/>
        <v>0</v>
      </c>
      <c r="W60" s="27">
        <f>'0205'!U15+'0305'!U15</f>
        <v>1</v>
      </c>
      <c r="X60" s="28">
        <f t="shared" si="22"/>
        <v>1</v>
      </c>
      <c r="Y60" s="40">
        <v>1</v>
      </c>
    </row>
    <row r="61" spans="8:25" ht="14.25" customHeight="1" x14ac:dyDescent="0.45">
      <c r="H61" s="121" t="s">
        <v>215</v>
      </c>
      <c r="P61" s="30" t="s">
        <v>86</v>
      </c>
      <c r="Q61" s="44">
        <f>'0205'!R16+'0305'!R16</f>
        <v>0</v>
      </c>
      <c r="R61" s="29">
        <f t="shared" si="19"/>
        <v>0</v>
      </c>
      <c r="S61" s="27">
        <f>'0205'!S16+'0305'!S16</f>
        <v>0</v>
      </c>
      <c r="T61" s="28">
        <f t="shared" si="20"/>
        <v>0</v>
      </c>
      <c r="U61" s="27">
        <f>'0205'!T16+'0305'!T16</f>
        <v>0</v>
      </c>
      <c r="V61" s="28">
        <f t="shared" si="21"/>
        <v>0</v>
      </c>
      <c r="W61" s="27">
        <f>'0205'!U16+'0305'!U16</f>
        <v>0</v>
      </c>
      <c r="X61" s="28">
        <f t="shared" si="22"/>
        <v>0</v>
      </c>
      <c r="Y61" s="40">
        <v>0</v>
      </c>
    </row>
    <row r="62" spans="8:25" ht="14.25" customHeight="1" x14ac:dyDescent="0.45">
      <c r="H62" s="128" t="s">
        <v>219</v>
      </c>
      <c r="P62" s="30" t="s">
        <v>87</v>
      </c>
      <c r="Q62" s="44">
        <f>'0205'!R17+'0305'!R17</f>
        <v>0</v>
      </c>
      <c r="R62" s="29">
        <f t="shared" si="19"/>
        <v>0</v>
      </c>
      <c r="S62" s="27">
        <f>'0205'!S17+'0305'!S17</f>
        <v>0</v>
      </c>
      <c r="T62" s="28">
        <f t="shared" si="20"/>
        <v>0</v>
      </c>
      <c r="U62" s="27">
        <f>'0205'!T17+'0305'!T17</f>
        <v>0</v>
      </c>
      <c r="V62" s="28">
        <f t="shared" si="21"/>
        <v>0</v>
      </c>
      <c r="W62" s="27">
        <f>'0205'!U17+'0305'!U17</f>
        <v>0</v>
      </c>
      <c r="X62" s="28">
        <f t="shared" si="22"/>
        <v>0</v>
      </c>
      <c r="Y62" s="40">
        <v>0</v>
      </c>
    </row>
    <row r="63" spans="8:25" ht="14.25" customHeight="1" x14ac:dyDescent="0.45">
      <c r="H63" s="128" t="s">
        <v>220</v>
      </c>
      <c r="P63" s="53" t="s">
        <v>107</v>
      </c>
      <c r="Q63" s="44">
        <f>'0205'!R18+'0305'!R18</f>
        <v>2</v>
      </c>
      <c r="R63" s="29">
        <f t="shared" si="19"/>
        <v>1</v>
      </c>
      <c r="S63" s="27">
        <f>'0205'!S18+'0305'!S18</f>
        <v>2</v>
      </c>
      <c r="T63" s="28">
        <f t="shared" si="20"/>
        <v>1</v>
      </c>
      <c r="U63" s="27">
        <f>'0205'!T18+'0305'!T18</f>
        <v>0</v>
      </c>
      <c r="V63" s="28">
        <f t="shared" si="21"/>
        <v>0</v>
      </c>
      <c r="W63" s="27">
        <f>'0205'!U18+'0305'!U18</f>
        <v>0</v>
      </c>
      <c r="X63" s="28">
        <f t="shared" si="22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3">Q67/(Q$65-Y67)</f>
        <v>1.3333333333333333</v>
      </c>
      <c r="S67" s="27">
        <f>'0805'!$S3+'0905'!$S3+'1005'!$S3</f>
        <v>2</v>
      </c>
      <c r="T67" s="28">
        <f t="shared" ref="T67:T82" si="24">S67/($Q$65-Y67)</f>
        <v>0.66666666666666663</v>
      </c>
      <c r="U67" s="27">
        <f>'0805'!$T3+'0905'!$T3+'1005'!$T3</f>
        <v>2</v>
      </c>
      <c r="V67" s="28">
        <f t="shared" ref="V67:V82" si="25">U67/($Q$65-Y67)</f>
        <v>0.66666666666666663</v>
      </c>
      <c r="W67" s="27">
        <f>'0805'!$U3+'0905'!$U3+'1005'!$U3</f>
        <v>0</v>
      </c>
      <c r="X67" s="28">
        <f t="shared" ref="X67:X82" si="26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3"/>
        <v>1.3333333333333333</v>
      </c>
      <c r="S68" s="27">
        <f>'0805'!$S4+'0905'!$S4+'1005'!$S4</f>
        <v>4</v>
      </c>
      <c r="T68" s="28">
        <f t="shared" si="24"/>
        <v>1.3333333333333333</v>
      </c>
      <c r="U68" s="27">
        <f>'0805'!$T4+'0905'!$T4+'1005'!$T4</f>
        <v>0</v>
      </c>
      <c r="V68" s="28">
        <f t="shared" si="25"/>
        <v>0</v>
      </c>
      <c r="W68" s="27">
        <f>'0805'!$U4+'0905'!$U4+'1005'!$U4</f>
        <v>0</v>
      </c>
      <c r="X68" s="28">
        <f t="shared" si="26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3"/>
        <v>2</v>
      </c>
      <c r="S69" s="27">
        <f>'0805'!$S5+'0905'!$S5+'1005'!$S5</f>
        <v>2</v>
      </c>
      <c r="T69" s="28">
        <f t="shared" si="24"/>
        <v>2</v>
      </c>
      <c r="U69" s="27">
        <f>'0805'!$T5+'0905'!$T5+'1005'!$T5</f>
        <v>0</v>
      </c>
      <c r="V69" s="28">
        <f t="shared" si="25"/>
        <v>0</v>
      </c>
      <c r="W69" s="27">
        <f>'0805'!$U5+'0905'!$U5+'1005'!$U5</f>
        <v>0</v>
      </c>
      <c r="X69" s="28">
        <f t="shared" si="26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3"/>
        <v>6.333333333333333</v>
      </c>
      <c r="S70" s="27">
        <f>'0805'!$S6+'0905'!$S6+'1005'!$S6</f>
        <v>17</v>
      </c>
      <c r="T70" s="28">
        <f t="shared" si="24"/>
        <v>5.666666666666667</v>
      </c>
      <c r="U70" s="27">
        <f>'0805'!$T6+'0905'!$T6+'1005'!$T6</f>
        <v>2</v>
      </c>
      <c r="V70" s="28">
        <f t="shared" si="25"/>
        <v>0.66666666666666663</v>
      </c>
      <c r="W70" s="27">
        <f>'0805'!$U6+'0905'!$U6+'1005'!$U6</f>
        <v>0</v>
      </c>
      <c r="X70" s="28">
        <f t="shared" si="26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3"/>
        <v>3.6666666666666665</v>
      </c>
      <c r="S71" s="27">
        <f>'0805'!$S7+'0905'!$S7+'1005'!$S7</f>
        <v>2</v>
      </c>
      <c r="T71" s="28">
        <f t="shared" si="24"/>
        <v>0.66666666666666663</v>
      </c>
      <c r="U71" s="27">
        <f>'0805'!$T7+'0905'!$T7+'1005'!$T7</f>
        <v>9</v>
      </c>
      <c r="V71" s="28">
        <f t="shared" si="25"/>
        <v>3</v>
      </c>
      <c r="W71" s="27">
        <f>'0805'!$U7+'0905'!$U7+'1005'!$U7</f>
        <v>0</v>
      </c>
      <c r="X71" s="28">
        <f t="shared" si="26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3"/>
        <v>#DIV/0!</v>
      </c>
      <c r="S72" s="27">
        <f>'0805'!$S8+'0905'!$S8+'1005'!$S8</f>
        <v>0</v>
      </c>
      <c r="T72" s="28" t="e">
        <f t="shared" si="24"/>
        <v>#DIV/0!</v>
      </c>
      <c r="U72" s="27">
        <f>'0805'!$T8+'0905'!$T8+'1005'!$T8</f>
        <v>0</v>
      </c>
      <c r="V72" s="28" t="e">
        <f t="shared" si="25"/>
        <v>#DIV/0!</v>
      </c>
      <c r="W72" s="27">
        <f>'0805'!$U8+'0905'!$U8+'1005'!$U8</f>
        <v>0</v>
      </c>
      <c r="X72" s="28" t="e">
        <f t="shared" si="26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3"/>
        <v>1.3333333333333333</v>
      </c>
      <c r="S73" s="27">
        <f>'0805'!$S9+'0905'!$S9+'1005'!$S9</f>
        <v>2</v>
      </c>
      <c r="T73" s="28">
        <f t="shared" si="24"/>
        <v>0.66666666666666663</v>
      </c>
      <c r="U73" s="27">
        <f>'0805'!$T9+'0905'!$T9+'1005'!$T9</f>
        <v>0</v>
      </c>
      <c r="V73" s="28">
        <f t="shared" si="25"/>
        <v>0</v>
      </c>
      <c r="W73" s="27">
        <f>'0805'!$U9+'0905'!$U9+'1005'!$U9</f>
        <v>1</v>
      </c>
      <c r="X73" s="28">
        <f t="shared" si="26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3"/>
        <v>3.3333333333333335</v>
      </c>
      <c r="S74" s="27">
        <f>'0805'!$S10+'0905'!$S10+'1005'!$S10</f>
        <v>4</v>
      </c>
      <c r="T74" s="28">
        <f t="shared" si="24"/>
        <v>1.3333333333333333</v>
      </c>
      <c r="U74" s="27">
        <f>'0805'!$T10+'0905'!$T10+'1005'!$T10</f>
        <v>6</v>
      </c>
      <c r="V74" s="28">
        <f t="shared" si="25"/>
        <v>2</v>
      </c>
      <c r="W74" s="27">
        <f>'0805'!$U10+'0905'!$U10+'1005'!$U10</f>
        <v>0</v>
      </c>
      <c r="X74" s="28">
        <f t="shared" si="26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3"/>
        <v>3</v>
      </c>
      <c r="S75" s="27">
        <f>'0805'!$S11+'0905'!$S11+'1005'!$S11</f>
        <v>0</v>
      </c>
      <c r="T75" s="28">
        <f t="shared" si="24"/>
        <v>0</v>
      </c>
      <c r="U75" s="27">
        <f>'0805'!$T11+'0905'!$T11+'1005'!$T11</f>
        <v>9</v>
      </c>
      <c r="V75" s="28">
        <f t="shared" si="25"/>
        <v>3</v>
      </c>
      <c r="W75" s="27">
        <f>'0805'!$U11+'0905'!$U11+'1005'!$U11</f>
        <v>0</v>
      </c>
      <c r="X75" s="28">
        <f t="shared" si="26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3"/>
        <v>0.66666666666666663</v>
      </c>
      <c r="S76" s="27">
        <f>'0805'!$S12+'0905'!$S12+'1005'!$S12</f>
        <v>0</v>
      </c>
      <c r="T76" s="28">
        <f t="shared" si="24"/>
        <v>0</v>
      </c>
      <c r="U76" s="27">
        <f>'0805'!$T12+'0905'!$T12+'1005'!$T12</f>
        <v>2</v>
      </c>
      <c r="V76" s="28">
        <f t="shared" si="25"/>
        <v>0.66666666666666663</v>
      </c>
      <c r="W76" s="27">
        <f>'0805'!$U12+'0905'!$U12+'1005'!$U12</f>
        <v>0</v>
      </c>
      <c r="X76" s="28">
        <f t="shared" si="26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3"/>
        <v>0</v>
      </c>
      <c r="S77" s="27">
        <f>'0805'!$S13+'0905'!$S13+'1005'!$S13</f>
        <v>0</v>
      </c>
      <c r="T77" s="28">
        <f t="shared" si="24"/>
        <v>0</v>
      </c>
      <c r="U77" s="27">
        <f>'0805'!$T13+'0905'!$T13+'1005'!$T13</f>
        <v>0</v>
      </c>
      <c r="V77" s="28">
        <f t="shared" si="25"/>
        <v>0</v>
      </c>
      <c r="W77" s="27">
        <f>'0805'!$U13+'0905'!$U13+'1005'!$U13</f>
        <v>0</v>
      </c>
      <c r="X77" s="28">
        <f t="shared" si="26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3"/>
        <v>1</v>
      </c>
      <c r="S78" s="27">
        <f>'0805'!$S14+'0905'!$S14+'1005'!$S14</f>
        <v>1</v>
      </c>
      <c r="T78" s="28">
        <f t="shared" si="24"/>
        <v>0.33333333333333331</v>
      </c>
      <c r="U78" s="27">
        <f>'0805'!$T14+'0905'!$T14+'1005'!$T14</f>
        <v>2</v>
      </c>
      <c r="V78" s="28">
        <f t="shared" si="25"/>
        <v>0.66666666666666663</v>
      </c>
      <c r="W78" s="27">
        <f>'0805'!$U14+'0905'!$U14+'1005'!$U14</f>
        <v>0</v>
      </c>
      <c r="X78" s="28">
        <f t="shared" si="26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3"/>
        <v>4</v>
      </c>
      <c r="S79" s="27">
        <f>'0805'!$S15+'0905'!$S15+'1005'!$S15</f>
        <v>2</v>
      </c>
      <c r="T79" s="28">
        <f t="shared" si="24"/>
        <v>2</v>
      </c>
      <c r="U79" s="27">
        <f>'0805'!$T15+'0905'!$T15+'1005'!$T15</f>
        <v>0</v>
      </c>
      <c r="V79" s="28">
        <f t="shared" si="25"/>
        <v>0</v>
      </c>
      <c r="W79" s="27">
        <f>'0805'!$U15+'0905'!$U15+'1005'!$U15</f>
        <v>1</v>
      </c>
      <c r="X79" s="28">
        <f t="shared" si="26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3"/>
        <v>0.33333333333333331</v>
      </c>
      <c r="S80" s="27">
        <f>'0805'!$S16+'0905'!$S16+'1005'!$S16</f>
        <v>1</v>
      </c>
      <c r="T80" s="28">
        <f t="shared" si="24"/>
        <v>0.33333333333333331</v>
      </c>
      <c r="U80" s="27">
        <f>'0805'!$T16+'0905'!$T16+'1005'!$T16</f>
        <v>0</v>
      </c>
      <c r="V80" s="28">
        <f t="shared" si="25"/>
        <v>0</v>
      </c>
      <c r="W80" s="27">
        <f>'0805'!$U16+'0905'!$U16+'1005'!$U16</f>
        <v>0</v>
      </c>
      <c r="X80" s="28">
        <f t="shared" si="26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3"/>
        <v>1</v>
      </c>
      <c r="S81" s="27">
        <f>'0805'!$S17+'0905'!$S17+'1005'!$S17</f>
        <v>2</v>
      </c>
      <c r="T81" s="28">
        <f t="shared" si="24"/>
        <v>0.66666666666666663</v>
      </c>
      <c r="U81" s="27">
        <f>'0805'!$T17+'0905'!$T17+'1005'!$T17</f>
        <v>1</v>
      </c>
      <c r="V81" s="28">
        <f t="shared" si="25"/>
        <v>0.33333333333333331</v>
      </c>
      <c r="W81" s="27">
        <f>'0805'!$U17+'0905'!$U17+'1005'!$U17</f>
        <v>0</v>
      </c>
      <c r="X81" s="28">
        <f t="shared" si="26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23"/>
        <v>0</v>
      </c>
      <c r="S82" s="27">
        <f>'0805'!$S18+'0905'!$S18+'1005'!$S18</f>
        <v>0</v>
      </c>
      <c r="T82" s="28">
        <f t="shared" si="24"/>
        <v>0</v>
      </c>
      <c r="U82" s="27">
        <f>'0805'!$T18+'0905'!$T18+'1005'!$T18</f>
        <v>0</v>
      </c>
      <c r="V82" s="28">
        <f t="shared" si="25"/>
        <v>0</v>
      </c>
      <c r="W82" s="27">
        <f>'0805'!$U18+'0905'!$U18+'1005'!$U18</f>
        <v>0</v>
      </c>
      <c r="X82" s="28">
        <f t="shared" si="26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opLeftCell="D1" zoomScale="70" zoomScaleNormal="70" workbookViewId="0">
      <selection activeCell="V34" sqref="V34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N2" s="1" t="s">
        <v>99</v>
      </c>
      <c r="S2" s="1" t="s">
        <v>100</v>
      </c>
      <c r="X2" s="1" t="s">
        <v>101</v>
      </c>
      <c r="AC2" t="s">
        <v>162</v>
      </c>
      <c r="AE2">
        <v>7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" t="s">
        <v>85</v>
      </c>
      <c r="M3" s="1" t="s">
        <v>78</v>
      </c>
      <c r="N3" s="1" t="s">
        <v>75</v>
      </c>
      <c r="O3" s="1" t="s">
        <v>186</v>
      </c>
      <c r="P3" s="1" t="s">
        <v>87</v>
      </c>
      <c r="Q3" s="1" t="s">
        <v>149</v>
      </c>
      <c r="S3" s="1" t="s">
        <v>102</v>
      </c>
      <c r="T3" s="1" t="s">
        <v>103</v>
      </c>
      <c r="U3" s="1" t="s">
        <v>108</v>
      </c>
      <c r="V3" s="1" t="s">
        <v>109</v>
      </c>
      <c r="X3" s="1" t="s">
        <v>102</v>
      </c>
      <c r="Y3" s="1" t="s">
        <v>103</v>
      </c>
      <c r="Z3" s="1" t="s">
        <v>108</v>
      </c>
      <c r="AA3" s="1" t="s">
        <v>109</v>
      </c>
      <c r="AC3" s="58" t="s">
        <v>97</v>
      </c>
      <c r="AD3" s="58" t="s">
        <v>8</v>
      </c>
      <c r="AE3" s="58" t="s">
        <v>166</v>
      </c>
      <c r="AF3" s="59" t="s">
        <v>9</v>
      </c>
      <c r="AG3" s="60" t="s">
        <v>163</v>
      </c>
      <c r="AH3" s="60" t="s">
        <v>10</v>
      </c>
      <c r="AI3" s="60" t="s">
        <v>164</v>
      </c>
      <c r="AJ3" s="59" t="s">
        <v>11</v>
      </c>
      <c r="AK3" s="60" t="s">
        <v>165</v>
      </c>
      <c r="AL3" s="60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43</v>
      </c>
      <c r="I4" s="1">
        <f>SUM(C4:C30)</f>
        <v>48</v>
      </c>
      <c r="J4" s="1">
        <f>SUM(D4:D30)</f>
        <v>14</v>
      </c>
      <c r="L4" s="17">
        <v>1</v>
      </c>
      <c r="M4" s="51"/>
      <c r="N4" s="51"/>
      <c r="O4" s="17"/>
      <c r="P4" s="17"/>
      <c r="Q4" s="51"/>
      <c r="S4" s="17">
        <f>COUNTIF('2404'!$X$4:$X$26,"LG/WW")</f>
        <v>2</v>
      </c>
      <c r="T4" s="17">
        <f>COUNTIF('2404'!$Y$4:$Y$26,"WW/LG")</f>
        <v>1</v>
      </c>
      <c r="U4" s="17" t="s">
        <v>85</v>
      </c>
      <c r="V4" s="17" t="s">
        <v>65</v>
      </c>
      <c r="X4" s="17">
        <f>COUNTIF('2404'!$X$4:$X$26,"LG/5M")</f>
        <v>1</v>
      </c>
      <c r="Y4" s="17">
        <f>COUNTIF('2404'!$Z$4:$Z$26,"5M/LG")</f>
        <v>4</v>
      </c>
      <c r="Z4" s="17" t="s">
        <v>85</v>
      </c>
      <c r="AA4" s="17" t="s">
        <v>62</v>
      </c>
      <c r="AC4" s="3" t="s">
        <v>33</v>
      </c>
      <c r="AD4" s="61">
        <f>Table2[[#This Row],[Finishes]]+Table2[[#This Row],[Midranges]]+Table2[[#This Row],[Threes]]+Table2[[#This Row],[Threes]]</f>
        <v>2</v>
      </c>
      <c r="AE4" s="62">
        <f>Table2[[#This Row],[Points]]/($AE$2-Table2[[#This Row],[DNP]])</f>
        <v>0.2857142857142857</v>
      </c>
      <c r="AF4" s="63">
        <f>'2404'!AC3+'2604'!AC3+'0205'!AC3+'0305'!AC3+'0805'!AC3+'0905'!AC3+'1005'!AC3</f>
        <v>2</v>
      </c>
      <c r="AG4" s="115">
        <f>Table2[[#This Row],[Finishes]]/($AE$2-Table2[[#This Row],[DNP]])</f>
        <v>0.2857142857142857</v>
      </c>
      <c r="AH4" s="63">
        <f>'2404'!AD3+'2604'!AD3+'0205'!AD3+'0305'!AD3+'0805'!AD3+'0905'!AD3+'1005'!AD3</f>
        <v>0</v>
      </c>
      <c r="AI4" s="115">
        <f>Table2[[#This Row],[Midranges]]/($AE$2-Table2[[#This Row],[DNP]])</f>
        <v>0</v>
      </c>
      <c r="AJ4" s="63">
        <f>'2404'!AE3+'2604'!AE3+'0205'!AE3+'0305'!AE3+'0805'!AE3+'0905'!AE3+'1005'!AE3</f>
        <v>0</v>
      </c>
      <c r="AK4" s="64">
        <f>Table2[[#This Row],[Threes]]/($AE$2-Table2[[#This Row],[DNP]])</f>
        <v>0</v>
      </c>
      <c r="AL4" s="91">
        <f>'Stats Global'!Z8</f>
        <v>0</v>
      </c>
      <c r="AN4" s="41">
        <f>'Stats Global'!R8-Table2[[#This Row],[Avg P]]</f>
        <v>0.4285714285714286</v>
      </c>
      <c r="AO4" s="57">
        <f>Table2[[#This Row],[Avg P]]/(Table2[[#This Row],[Avg P]]+AN4)</f>
        <v>0.39999999999999997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7">
        <v>1</v>
      </c>
      <c r="M5" s="51"/>
      <c r="N5" s="51"/>
      <c r="O5" s="17"/>
      <c r="P5" s="17">
        <v>1</v>
      </c>
      <c r="Q5" s="51">
        <v>1</v>
      </c>
      <c r="S5" s="17">
        <f>COUNTIF('2604'!$X$4:$X$26,"LG/WW")</f>
        <v>1</v>
      </c>
      <c r="T5" s="17">
        <f>COUNTIF('2604'!$Y$4:$Y$26,"WW/LG")</f>
        <v>2</v>
      </c>
      <c r="U5" s="55" t="s">
        <v>169</v>
      </c>
      <c r="V5" s="55" t="s">
        <v>171</v>
      </c>
      <c r="X5" s="17">
        <f>COUNTIF('2604'!$X$4:$X$26,"LG/5M")</f>
        <v>2</v>
      </c>
      <c r="Y5" s="17">
        <f>COUNTIF('2604'!$Z$4:$Z$26,"5M/LG")</f>
        <v>1</v>
      </c>
      <c r="Z5" s="55" t="s">
        <v>170</v>
      </c>
      <c r="AA5" s="55" t="s">
        <v>187</v>
      </c>
      <c r="AC5" s="3" t="s">
        <v>36</v>
      </c>
      <c r="AD5" s="61">
        <f>Table2[[#This Row],[Finishes]]+Table2[[#This Row],[Midranges]]+Table2[[#This Row],[Threes]]+Table2[[#This Row],[Threes]]</f>
        <v>2</v>
      </c>
      <c r="AE5" s="62">
        <f>Table2[[#This Row],[Points]]/($AE$2-Table2[[#This Row],[DNP]])</f>
        <v>0.33333333333333331</v>
      </c>
      <c r="AF5" s="63">
        <f>'2404'!AC4+'2604'!AC4+'0205'!AC4+'0305'!AC4+'0805'!AC4+'0905'!AC4+'1005'!AC4</f>
        <v>2</v>
      </c>
      <c r="AG5" s="115">
        <f>Table2[[#This Row],[Finishes]]/($AE$2-Table2[[#This Row],[DNP]])</f>
        <v>0.33333333333333331</v>
      </c>
      <c r="AH5" s="63">
        <f>'2404'!AD4+'2604'!AD4+'0205'!AD4+'0305'!AD4+'0805'!AD4+'0905'!AD4+'1005'!AD4</f>
        <v>0</v>
      </c>
      <c r="AI5" s="115">
        <f>Table2[[#This Row],[Midranges]]/($AE$2-Table2[[#This Row],[DNP]])</f>
        <v>0</v>
      </c>
      <c r="AJ5" s="63">
        <f>'2404'!AE4+'2604'!AE4+'0205'!AE4+'0305'!AE4+'0805'!AE4+'0905'!AE4+'1005'!AE4</f>
        <v>0</v>
      </c>
      <c r="AK5" s="64">
        <f>Table2[[#This Row],[Threes]]/($AE$2-Table2[[#This Row],[DNP]])</f>
        <v>0</v>
      </c>
      <c r="AL5" s="91">
        <f>'Stats Global'!Z9</f>
        <v>1</v>
      </c>
      <c r="AN5" s="41">
        <f>'Stats Global'!R9-Table2[[#This Row],[Avg P]]</f>
        <v>0.5</v>
      </c>
      <c r="AO5" s="57">
        <f>Table2[[#This Row],[Avg P]]/(Table2[[#This Row],[Avg P]]+AN5)</f>
        <v>0.4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7">
        <v>3</v>
      </c>
      <c r="M6" s="51"/>
      <c r="N6" s="51">
        <v>1</v>
      </c>
      <c r="O6" s="17">
        <v>1</v>
      </c>
      <c r="P6" s="17"/>
      <c r="Q6" s="51"/>
      <c r="S6" s="17">
        <f>COUNTIF('0205'!$X$4:$X$26,"LG/WW")</f>
        <v>4</v>
      </c>
      <c r="T6" s="17">
        <f>COUNTIF('0205'!$Y$4:$Y$26,"WW/LG")</f>
        <v>2</v>
      </c>
      <c r="U6" s="17" t="s">
        <v>85</v>
      </c>
      <c r="V6" s="17" t="s">
        <v>65</v>
      </c>
      <c r="X6" s="17">
        <f>COUNTIF('0205'!$X$4:$X$26,"LG/5M")</f>
        <v>4</v>
      </c>
      <c r="Y6" s="17">
        <f>COUNTIF('0205'!$Z$4:$Z$26,"5M/LG")</f>
        <v>4</v>
      </c>
      <c r="Z6" s="17" t="s">
        <v>176</v>
      </c>
      <c r="AA6" s="17" t="s">
        <v>177</v>
      </c>
      <c r="AC6" s="3" t="s">
        <v>38</v>
      </c>
      <c r="AD6" s="61">
        <f>Table2[[#This Row],[Finishes]]+Table2[[#This Row],[Midranges]]+Table2[[#This Row],[Threes]]+Table2[[#This Row],[Threes]]</f>
        <v>10</v>
      </c>
      <c r="AE6" s="62">
        <f>Table2[[#This Row],[Points]]/($AE$2-Table2[[#This Row],[DNP]])</f>
        <v>2</v>
      </c>
      <c r="AF6" s="63">
        <f>'2404'!AC5+'2604'!AC5+'0205'!AC5+'0305'!AC5+'0805'!AC5+'0905'!AC5+'1005'!AC5</f>
        <v>10</v>
      </c>
      <c r="AG6" s="115">
        <f>Table2[[#This Row],[Finishes]]/($AE$2-Table2[[#This Row],[DNP]])</f>
        <v>2</v>
      </c>
      <c r="AH6" s="63">
        <f>'2404'!AD5+'2604'!AD5+'0205'!AD5+'0305'!AD5+'0805'!AD5+'0905'!AD5+'1005'!AD5</f>
        <v>0</v>
      </c>
      <c r="AI6" s="115">
        <f>Table2[[#This Row],[Midranges]]/($AE$2-Table2[[#This Row],[DNP]])</f>
        <v>0</v>
      </c>
      <c r="AJ6" s="63">
        <f>'2404'!AE5+'2604'!AE5+'0205'!AE5+'0305'!AE5+'0805'!AE5+'0905'!AE5+'1005'!AE5</f>
        <v>0</v>
      </c>
      <c r="AK6" s="64">
        <f>Table2[[#This Row],[Threes]]/($AE$2-Table2[[#This Row],[DNP]])</f>
        <v>0</v>
      </c>
      <c r="AL6" s="91">
        <f>'Stats Global'!Z10</f>
        <v>2</v>
      </c>
      <c r="AN6" s="41">
        <f>'Stats Global'!R10-Table2[[#This Row],[Avg P]]</f>
        <v>0.60000000000000009</v>
      </c>
      <c r="AO6" s="57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7"/>
      <c r="M7" s="17">
        <v>1</v>
      </c>
      <c r="N7" s="17">
        <v>1</v>
      </c>
      <c r="O7" s="17">
        <v>1</v>
      </c>
      <c r="P7" s="17"/>
      <c r="Q7" s="51">
        <v>1</v>
      </c>
      <c r="S7" s="17">
        <f>COUNTIF('0305'!$X$4:$X$26,"LG/WW")</f>
        <v>4</v>
      </c>
      <c r="T7" s="17">
        <f>COUNTIF('0305'!$Y$4:$Y$26,"WW/LG")</f>
        <v>2</v>
      </c>
      <c r="U7" s="17" t="s">
        <v>169</v>
      </c>
      <c r="V7" s="17" t="s">
        <v>180</v>
      </c>
      <c r="X7" s="17">
        <f>COUNTIF('0305'!$X$4:$X$26,"LG/5M")</f>
        <v>3</v>
      </c>
      <c r="Y7" s="17">
        <f>COUNTIF('0305'!$Z$4:$Z$26,"5M/LG")</f>
        <v>6</v>
      </c>
      <c r="Z7" s="17" t="s">
        <v>78</v>
      </c>
      <c r="AA7" s="17" t="s">
        <v>62</v>
      </c>
      <c r="AC7" s="3" t="s">
        <v>44</v>
      </c>
      <c r="AD7" s="61">
        <f>Table2[[#This Row],[Finishes]]+Table2[[#This Row],[Midranges]]+Table2[[#This Row],[Threes]]+Table2[[#This Row],[Threes]]</f>
        <v>17</v>
      </c>
      <c r="AE7" s="62">
        <f>Table2[[#This Row],[Points]]/($AE$2-Table2[[#This Row],[DNP]])</f>
        <v>2.4285714285714284</v>
      </c>
      <c r="AF7" s="63">
        <f>'2404'!AC6+'2604'!AC6+'0205'!AC6+'0305'!AC6+'0805'!AC6+'0905'!AC6+'1005'!AC6</f>
        <v>16</v>
      </c>
      <c r="AG7" s="115">
        <f>Table2[[#This Row],[Finishes]]/($AE$2-Table2[[#This Row],[DNP]])</f>
        <v>2.2857142857142856</v>
      </c>
      <c r="AH7" s="63">
        <f>'2404'!AD6+'2604'!AD6+'0205'!AD6+'0305'!AD6+'0805'!AD6+'0905'!AD6+'1005'!AD6</f>
        <v>1</v>
      </c>
      <c r="AI7" s="115">
        <f>Table2[[#This Row],[Midranges]]/($AE$2-Table2[[#This Row],[DNP]])</f>
        <v>0.14285714285714285</v>
      </c>
      <c r="AJ7" s="63">
        <f>'2404'!AE6+'2604'!AE6+'0205'!AE6+'0305'!AE6+'0805'!AE6+'0905'!AE6+'1005'!AE6</f>
        <v>0</v>
      </c>
      <c r="AK7" s="64">
        <f>Table2[[#This Row],[Threes]]/($AE$2-Table2[[#This Row],[DNP]])</f>
        <v>0</v>
      </c>
      <c r="AL7" s="91">
        <f>'Stats Global'!Z11</f>
        <v>0</v>
      </c>
      <c r="AN7" s="41">
        <f>'Stats Global'!R11-Table2[[#This Row],[Avg P]]</f>
        <v>1.285714285714286</v>
      </c>
      <c r="AO7" s="57">
        <f>Table2[[#This Row],[Avg P]]/(Table2[[#This Row],[Avg P]]+AN7)</f>
        <v>0.65384615384615374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7">
        <v>1</v>
      </c>
      <c r="M8" s="17">
        <v>1</v>
      </c>
      <c r="N8" s="17"/>
      <c r="O8" s="17"/>
      <c r="P8" s="17"/>
      <c r="Q8" s="51"/>
      <c r="S8" s="17">
        <f>COUNTIF('0805'!$X$4:$X$26,"LG/WW")</f>
        <v>3</v>
      </c>
      <c r="T8" s="17">
        <f>COUNTIF('0805'!$Y$4:$Y$26,"WW/LG")</f>
        <v>2</v>
      </c>
      <c r="U8" s="17" t="s">
        <v>85</v>
      </c>
      <c r="V8" s="17" t="s">
        <v>189</v>
      </c>
      <c r="X8" s="17">
        <f>COUNTIF('0805'!$X$4:$X$26,"LG/5M")</f>
        <v>1</v>
      </c>
      <c r="Y8" s="17">
        <f>COUNTIF('0805'!$Z$4:$Z$26,"5M/LG")</f>
        <v>4</v>
      </c>
      <c r="Z8" s="17" t="s">
        <v>78</v>
      </c>
      <c r="AA8" s="17" t="s">
        <v>62</v>
      </c>
      <c r="AC8" s="3" t="s">
        <v>46</v>
      </c>
      <c r="AD8" s="61">
        <f>Table2[[#This Row],[Finishes]]+Table2[[#This Row],[Midranges]]+Table2[[#This Row],[Threes]]+Table2[[#This Row],[Threes]]</f>
        <v>7</v>
      </c>
      <c r="AE8" s="62">
        <f>Table2[[#This Row],[Points]]/($AE$2-Table2[[#This Row],[DNP]])</f>
        <v>1</v>
      </c>
      <c r="AF8" s="63">
        <f>'2404'!AC7+'2604'!AC7+'0205'!AC7+'0305'!AC7+'0805'!AC7+'0905'!AC7+'1005'!AC7</f>
        <v>2</v>
      </c>
      <c r="AG8" s="115">
        <f>Table2[[#This Row],[Finishes]]/($AE$2-Table2[[#This Row],[DNP]])</f>
        <v>0.2857142857142857</v>
      </c>
      <c r="AH8" s="63">
        <f>'2404'!AD7+'2604'!AD7+'0205'!AD7+'0305'!AD7+'0805'!AD7+'0905'!AD7+'1005'!AD7</f>
        <v>5</v>
      </c>
      <c r="AI8" s="115">
        <f>Table2[[#This Row],[Midranges]]/($AE$2-Table2[[#This Row],[DNP]])</f>
        <v>0.7142857142857143</v>
      </c>
      <c r="AJ8" s="63">
        <f>'2404'!AE7+'2604'!AE7+'0205'!AE7+'0305'!AE7+'0805'!AE7+'0905'!AE7+'1005'!AE7</f>
        <v>0</v>
      </c>
      <c r="AK8" s="64">
        <f>Table2[[#This Row],[Threes]]/($AE$2-Table2[[#This Row],[DNP]])</f>
        <v>0</v>
      </c>
      <c r="AL8" s="91">
        <f>'Stats Global'!Z12</f>
        <v>0</v>
      </c>
      <c r="AN8" s="41">
        <f>'Stats Global'!R12-Table2[[#This Row],[Avg P]]</f>
        <v>1.1428571428571428</v>
      </c>
      <c r="AO8" s="57">
        <f>Table2[[#This Row],[Avg P]]/(Table2[[#This Row],[Avg P]]+AN8)</f>
        <v>0.46666666666666667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7"/>
      <c r="M9" s="17">
        <v>1</v>
      </c>
      <c r="N9" s="17"/>
      <c r="O9" s="17">
        <v>1</v>
      </c>
      <c r="P9" s="17">
        <v>1</v>
      </c>
      <c r="Q9" s="51"/>
      <c r="S9" s="17">
        <f>COUNTIF('0905'!$X$4:$X$40,"LG/WW")</f>
        <v>1</v>
      </c>
      <c r="T9" s="17">
        <f>COUNTIF('0905'!$Y$4:$Y$40,"WW/LG")</f>
        <v>11</v>
      </c>
      <c r="U9" s="17" t="s">
        <v>78</v>
      </c>
      <c r="V9" s="17" t="s">
        <v>65</v>
      </c>
      <c r="X9" s="17">
        <f>COUNTIF('0905'!$X$4:$X$40,"LG/5M")</f>
        <v>4</v>
      </c>
      <c r="Y9" s="17">
        <f>COUNTIF('0905'!$Z$4:$Z$40,"5M/LG")</f>
        <v>2</v>
      </c>
      <c r="Z9" s="17" t="s">
        <v>195</v>
      </c>
      <c r="AA9" s="17" t="s">
        <v>169</v>
      </c>
      <c r="AC9" s="3" t="s">
        <v>51</v>
      </c>
      <c r="AD9" s="61">
        <f>Table2[[#This Row],[Finishes]]+Table2[[#This Row],[Midranges]]+Table2[[#This Row],[Threes]]+Table2[[#This Row],[Threes]]</f>
        <v>0</v>
      </c>
      <c r="AE9" s="62">
        <f>Table2[[#This Row],[Points]]/($AE$2-Table2[[#This Row],[DNP]])</f>
        <v>0</v>
      </c>
      <c r="AF9" s="63">
        <f>'2404'!AC8+'2604'!AC8+'0205'!AC8+'0305'!AC8+'0805'!AC8+'0905'!AC8+'1005'!AC8</f>
        <v>0</v>
      </c>
      <c r="AG9" s="115">
        <f>Table2[[#This Row],[Finishes]]/($AE$2-Table2[[#This Row],[DNP]])</f>
        <v>0</v>
      </c>
      <c r="AH9" s="63">
        <f>'2404'!AD8+'2604'!AD8+'0205'!AD8+'0305'!AD8+'0805'!AD8+'0905'!AD8+'1005'!AD8</f>
        <v>0</v>
      </c>
      <c r="AI9" s="115">
        <f>Table2[[#This Row],[Midranges]]/($AE$2-Table2[[#This Row],[DNP]])</f>
        <v>0</v>
      </c>
      <c r="AJ9" s="63">
        <f>'2404'!AE8+'2604'!AE8+'0205'!AE8+'0305'!AE8+'0805'!AE8+'0905'!AE8+'1005'!AE8</f>
        <v>0</v>
      </c>
      <c r="AK9" s="64">
        <f>Table2[[#This Row],[Threes]]/($AE$2-Table2[[#This Row],[DNP]])</f>
        <v>0</v>
      </c>
      <c r="AL9" s="91">
        <f>'Stats Global'!Z13</f>
        <v>3</v>
      </c>
      <c r="AN9" s="41">
        <f>'Stats Global'!R13-Table2[[#This Row],[Avg P]]</f>
        <v>0.75</v>
      </c>
      <c r="AO9" s="57">
        <f>Table2[[#This Row],[Avg P]]/(Table2[[#This Row],[Avg P]]+AN9)</f>
        <v>0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7"/>
      <c r="M10" s="17">
        <v>2</v>
      </c>
      <c r="N10" s="17">
        <v>1</v>
      </c>
      <c r="O10" s="17">
        <v>1</v>
      </c>
      <c r="P10" s="17">
        <v>1</v>
      </c>
      <c r="Q10" s="51"/>
      <c r="S10" s="17">
        <f>COUNTIF('1005'!$X$4:$X$40,"LG/WW")</f>
        <v>6</v>
      </c>
      <c r="T10" s="17">
        <f>COUNTIF('1005'!$Y$4:$Y$40,"WW/LG")</f>
        <v>6</v>
      </c>
      <c r="U10" s="17" t="s">
        <v>78</v>
      </c>
      <c r="V10" s="17" t="s">
        <v>65</v>
      </c>
      <c r="X10" s="17">
        <f>COUNTIF('1005'!$X$4:$X$40,"LG/5M")</f>
        <v>7</v>
      </c>
      <c r="Y10" s="17">
        <f>COUNTIF('1005'!$Z$4:$Z$40,"5M/LG")</f>
        <v>1</v>
      </c>
      <c r="Z10" s="17" t="s">
        <v>78</v>
      </c>
      <c r="AA10" s="17" t="s">
        <v>55</v>
      </c>
      <c r="AC10" s="92" t="s">
        <v>53</v>
      </c>
      <c r="AD10" s="97">
        <f>Table2[[#This Row],[Finishes]]+Table2[[#This Row],[Midranges]]+Table2[[#This Row],[Threes]]+Table2[[#This Row],[Threes]]</f>
        <v>0</v>
      </c>
      <c r="AE10" s="98">
        <f>Table2[[#This Row],[Points]]/($AE$2-Table2[[#This Row],[DNP]])</f>
        <v>0</v>
      </c>
      <c r="AF10" s="99">
        <f>'2404'!AC9+'2604'!AC9+'0205'!AC9+'0305'!AC9+'0805'!AC9+'0905'!AC9+'1005'!AC9</f>
        <v>0</v>
      </c>
      <c r="AG10" s="116">
        <f>Table2[[#This Row],[Finishes]]/($AE$2-Table2[[#This Row],[DNP]])</f>
        <v>0</v>
      </c>
      <c r="AH10" s="99">
        <f>'2404'!AD9+'2604'!AD9+'0205'!AD9+'0305'!AD9+'0805'!AD9+'0905'!AD9+'1005'!AD9</f>
        <v>0</v>
      </c>
      <c r="AI10" s="116">
        <f>Table2[[#This Row],[Midranges]]/($AE$2-Table2[[#This Row],[DNP]])</f>
        <v>0</v>
      </c>
      <c r="AJ10" s="99">
        <f>'2404'!AE9+'2604'!AE9+'0205'!AE9+'0305'!AE9+'0805'!AE9+'0905'!AE9+'1005'!AE9</f>
        <v>0</v>
      </c>
      <c r="AK10" s="100">
        <f>Table2[[#This Row],[Threes]]/($AE$2-Table2[[#This Row],[DNP]])</f>
        <v>0</v>
      </c>
      <c r="AL10" s="93">
        <f>'Stats Global'!Z14</f>
        <v>0</v>
      </c>
      <c r="AN10" s="101">
        <f>'Stats Global'!R14-Table2[[#This Row],[Avg P]]</f>
        <v>1.2857142857142858</v>
      </c>
      <c r="AO10" s="102"/>
    </row>
    <row r="11" spans="1:41" ht="14.35" customHeight="1" x14ac:dyDescent="0.45">
      <c r="A11" s="4"/>
      <c r="B11" s="16"/>
      <c r="C11" s="16"/>
      <c r="D11" s="16"/>
      <c r="I11" s="1" t="s">
        <v>115</v>
      </c>
      <c r="J11" s="18"/>
      <c r="L11" s="17"/>
      <c r="M11" s="17"/>
      <c r="N11" s="17"/>
      <c r="O11" s="17"/>
      <c r="P11" s="17"/>
      <c r="Q11" s="17"/>
      <c r="S11" s="17"/>
      <c r="T11" s="17"/>
      <c r="U11" s="17"/>
      <c r="V11" s="17"/>
      <c r="X11" s="17"/>
      <c r="Y11" s="17"/>
      <c r="Z11" s="17"/>
      <c r="AA11" s="17"/>
      <c r="AC11" s="92" t="s">
        <v>56</v>
      </c>
      <c r="AD11" s="97">
        <f>Table2[[#This Row],[Finishes]]+Table2[[#This Row],[Midranges]]+Table2[[#This Row],[Threes]]+Table2[[#This Row],[Threes]]</f>
        <v>0</v>
      </c>
      <c r="AE11" s="98">
        <f>Table2[[#This Row],[Points]]/($AE$2-Table2[[#This Row],[DNP]])</f>
        <v>0</v>
      </c>
      <c r="AF11" s="99">
        <f>'2404'!AC10+'2604'!AC10+'0205'!AC10+'0305'!AC10+'0805'!AC10+'0905'!AC10+'1005'!AC10</f>
        <v>0</v>
      </c>
      <c r="AG11" s="116">
        <f>Table2[[#This Row],[Finishes]]/($AE$2-Table2[[#This Row],[DNP]])</f>
        <v>0</v>
      </c>
      <c r="AH11" s="99">
        <f>'2404'!AD10+'2604'!AD10+'0205'!AD10+'0305'!AD10+'0805'!AD10+'0905'!AD10+'1005'!AD10</f>
        <v>0</v>
      </c>
      <c r="AI11" s="116">
        <f>Table2[[#This Row],[Midranges]]/($AE$2-Table2[[#This Row],[DNP]])</f>
        <v>0</v>
      </c>
      <c r="AJ11" s="99">
        <f>'2404'!AE10+'2604'!AE10+'0205'!AE10+'0305'!AE10+'0805'!AE10+'0905'!AE10+'1005'!AE10</f>
        <v>0</v>
      </c>
      <c r="AK11" s="100">
        <f>Table2[[#This Row],[Threes]]/($AE$2-Table2[[#This Row],[DNP]])</f>
        <v>0</v>
      </c>
      <c r="AL11" s="93">
        <f>'Stats Global'!Z15</f>
        <v>0</v>
      </c>
      <c r="AN11" s="101">
        <f>'Stats Global'!R15-Table2[[#This Row],[Avg P]]</f>
        <v>1.8571428571428572</v>
      </c>
      <c r="AO11" s="102"/>
    </row>
    <row r="12" spans="1:41" ht="14.35" customHeight="1" x14ac:dyDescent="0.45">
      <c r="A12" s="4"/>
      <c r="B12" s="16"/>
      <c r="C12" s="16"/>
      <c r="D12" s="16"/>
      <c r="I12" s="1" t="s">
        <v>116</v>
      </c>
      <c r="J12" s="18"/>
      <c r="L12" s="17"/>
      <c r="M12" s="17"/>
      <c r="N12" s="17"/>
      <c r="O12" s="17"/>
      <c r="P12" s="17"/>
      <c r="Q12" s="17"/>
      <c r="S12" s="17"/>
      <c r="T12" s="17"/>
      <c r="U12" s="17"/>
      <c r="V12" s="17"/>
      <c r="X12" s="17"/>
      <c r="Y12" s="17"/>
      <c r="Z12" s="17"/>
      <c r="AA12" s="17"/>
      <c r="AC12" s="3" t="s">
        <v>60</v>
      </c>
      <c r="AD12" s="61">
        <f>Table2[[#This Row],[Finishes]]+Table2[[#This Row],[Midranges]]+Table2[[#This Row],[Threes]]+Table2[[#This Row],[Threes]]</f>
        <v>4</v>
      </c>
      <c r="AE12" s="62">
        <f>Table2[[#This Row],[Points]]/($AE$2-Table2[[#This Row],[DNP]])</f>
        <v>0.66666666666666663</v>
      </c>
      <c r="AF12" s="63">
        <f>'2404'!AC11+'2604'!AC11+'0205'!AC11+'0305'!AC11+'0805'!AC11+'0905'!AC11+'1005'!AC11</f>
        <v>0</v>
      </c>
      <c r="AG12" s="115">
        <f>Table2[[#This Row],[Finishes]]/($AE$2-Table2[[#This Row],[DNP]])</f>
        <v>0</v>
      </c>
      <c r="AH12" s="63">
        <f>'2404'!AD11+'2604'!AD11+'0205'!AD11+'0305'!AD11+'0805'!AD11+'0905'!AD11+'1005'!AD11</f>
        <v>4</v>
      </c>
      <c r="AI12" s="115">
        <f>Table2[[#This Row],[Midranges]]/($AE$2-Table2[[#This Row],[DNP]])</f>
        <v>0.66666666666666663</v>
      </c>
      <c r="AJ12" s="63">
        <f>'2404'!AE11+'2604'!AE11+'0205'!AE11+'0305'!AE11+'0805'!AE11+'0905'!AE11+'1005'!AE11</f>
        <v>0</v>
      </c>
      <c r="AK12" s="64">
        <f>Table2[[#This Row],[Threes]]/($AE$2-Table2[[#This Row],[DNP]])</f>
        <v>0</v>
      </c>
      <c r="AL12" s="91">
        <f>'Stats Global'!Z16</f>
        <v>1</v>
      </c>
      <c r="AN12" s="41">
        <f>'Stats Global'!R16-Table2[[#This Row],[Avg P]]</f>
        <v>2</v>
      </c>
      <c r="AO12" s="57">
        <f>Table2[[#This Row],[Avg P]]/(Table2[[#This Row],[Avg P]]+AN12)</f>
        <v>0.25</v>
      </c>
    </row>
    <row r="13" spans="1:41" ht="14.35" customHeight="1" x14ac:dyDescent="0.45">
      <c r="A13" s="4"/>
      <c r="B13" s="16"/>
      <c r="C13" s="16"/>
      <c r="D13" s="16"/>
      <c r="I13" s="1" t="s">
        <v>117</v>
      </c>
      <c r="J13" s="18" cm="1">
        <f t="array" ref="J13">SUM(B4:B7/SUM(B4:C7))</f>
        <v>0.48837209302325585</v>
      </c>
      <c r="L13" s="17"/>
      <c r="M13" s="17"/>
      <c r="N13" s="17"/>
      <c r="O13" s="17"/>
      <c r="P13" s="17"/>
      <c r="Q13" s="17"/>
      <c r="S13" s="17"/>
      <c r="T13" s="17"/>
      <c r="U13" s="17"/>
      <c r="V13" s="17"/>
      <c r="X13" s="17"/>
      <c r="Y13" s="17"/>
      <c r="Z13" s="17"/>
      <c r="AA13" s="17"/>
      <c r="AC13" s="3" t="s">
        <v>63</v>
      </c>
      <c r="AD13" s="61">
        <f>Table2[[#This Row],[Finishes]]+Table2[[#This Row],[Midranges]]+Table2[[#This Row],[Threes]]+Table2[[#This Row],[Threes]]</f>
        <v>3</v>
      </c>
      <c r="AE13" s="62">
        <f>Table2[[#This Row],[Points]]/($AE$2-Table2[[#This Row],[DNP]])</f>
        <v>0.42857142857142855</v>
      </c>
      <c r="AF13" s="63">
        <f>'2404'!AC12+'2604'!AC12+'0205'!AC12+'0305'!AC12+'0805'!AC12+'0905'!AC12+'1005'!AC12</f>
        <v>1</v>
      </c>
      <c r="AG13" s="115">
        <f>Table2[[#This Row],[Finishes]]/($AE$2-Table2[[#This Row],[DNP]])</f>
        <v>0.14285714285714285</v>
      </c>
      <c r="AH13" s="63">
        <f>'2404'!AD12+'2604'!AD12+'0205'!AD12+'0305'!AD12+'0805'!AD12+'0905'!AD12+'1005'!AD12</f>
        <v>2</v>
      </c>
      <c r="AI13" s="115">
        <f>Table2[[#This Row],[Midranges]]/($AE$2-Table2[[#This Row],[DNP]])</f>
        <v>0.2857142857142857</v>
      </c>
      <c r="AJ13" s="63">
        <f>'2404'!AE12+'2604'!AE12+'0205'!AE12+'0305'!AE12+'0805'!AE12+'0905'!AE12+'1005'!AE12</f>
        <v>0</v>
      </c>
      <c r="AK13" s="64">
        <f>Table2[[#This Row],[Threes]]/($AE$2-Table2[[#This Row],[DNP]])</f>
        <v>0</v>
      </c>
      <c r="AL13" s="91">
        <f>'Stats Global'!Z17</f>
        <v>0</v>
      </c>
      <c r="AN13" s="41">
        <f>'Stats Global'!R17-Table2[[#This Row],[Avg P]]</f>
        <v>0.42857142857142855</v>
      </c>
      <c r="AO13" s="57">
        <f>Table2[[#This Row],[Avg P]]/(Table2[[#This Row],[Avg P]]+AN13)</f>
        <v>0.5</v>
      </c>
    </row>
    <row r="14" spans="1:41" ht="14.3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Q14" s="17"/>
      <c r="S14" s="17"/>
      <c r="T14" s="17"/>
      <c r="U14" s="17"/>
      <c r="V14" s="17"/>
      <c r="X14" s="17"/>
      <c r="Y14" s="17"/>
      <c r="Z14" s="17"/>
      <c r="AA14" s="17"/>
      <c r="AC14" s="3" t="s">
        <v>66</v>
      </c>
      <c r="AD14" s="91">
        <f>Table2[[#This Row],[Finishes]]+Table2[[#This Row],[Midranges]]+Table2[[#This Row],[Threes]]+Table2[[#This Row],[Threes]]</f>
        <v>3</v>
      </c>
      <c r="AE14" s="62">
        <f>Table2[[#This Row],[Points]]/($AE$2-Table2[[#This Row],[DNP]])</f>
        <v>0.6</v>
      </c>
      <c r="AF14" s="91">
        <f>'2404'!AC13+'2604'!AC13+'0205'!AC13+'0305'!AC13+'0805'!AC13+'0905'!AC13+'1005'!AC13</f>
        <v>3</v>
      </c>
      <c r="AG14" s="117">
        <f>Table2[[#This Row],[Finishes]]/($AE$2-Table2[[#This Row],[DNP]])</f>
        <v>0.6</v>
      </c>
      <c r="AH14" s="91">
        <f>'2404'!AD13+'2604'!AD13+'0205'!AD13+'0305'!AD13+'0805'!AD13+'0905'!AD13+'1005'!AD13</f>
        <v>0</v>
      </c>
      <c r="AI14" s="117">
        <f>Table2[[#This Row],[Midranges]]/($AE$2-Table2[[#This Row],[DNP]])</f>
        <v>0</v>
      </c>
      <c r="AJ14" s="91">
        <f>'2404'!AE13+'2604'!AE13+'0205'!AE13+'0305'!AE13+'0805'!AE13+'0905'!AE13+'1005'!AE13</f>
        <v>0</v>
      </c>
      <c r="AK14" s="90">
        <f>Table2[[#This Row],[Threes]]/($AE$2-Table2[[#This Row],[DNP]])</f>
        <v>0</v>
      </c>
      <c r="AL14" s="91">
        <f>'Stats Global'!Z18</f>
        <v>2</v>
      </c>
      <c r="AN14" s="41">
        <f>'Stats Global'!R18-Table2[[#This Row],[Avg P]]</f>
        <v>0.79999999999999993</v>
      </c>
      <c r="AO14" s="57">
        <f>Table2[[#This Row],[Avg P]]/(Table2[[#This Row],[Avg P]]+AN14)</f>
        <v>0.4285714285714286</v>
      </c>
    </row>
    <row r="15" spans="1:41" ht="14.3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Q15" s="17"/>
      <c r="S15" s="17"/>
      <c r="T15" s="17"/>
      <c r="U15" s="17"/>
      <c r="V15" s="17"/>
      <c r="X15" s="17"/>
      <c r="Y15" s="17"/>
      <c r="Z15" s="17"/>
      <c r="AA15" s="17"/>
      <c r="AC15" s="92" t="s">
        <v>69</v>
      </c>
      <c r="AD15" s="93">
        <f>Table2[[#This Row],[Finishes]]+Table2[[#This Row],[Midranges]]+Table2[[#This Row],[Threes]]+Table2[[#This Row],[Threes]]</f>
        <v>0</v>
      </c>
      <c r="AE15" s="98">
        <f>Table2[[#This Row],[Points]]/($AE$2-Table2[[#This Row],[DNP]])</f>
        <v>0</v>
      </c>
      <c r="AF15" s="93">
        <f>'2404'!AC14+'2604'!AC14+'0205'!AC14+'0305'!AC14+'0805'!AC14+'0905'!AC14+'1005'!AC14</f>
        <v>0</v>
      </c>
      <c r="AG15" s="101">
        <f>Table2[[#This Row],[Finishes]]/($AE$2-Table2[[#This Row],[DNP]])</f>
        <v>0</v>
      </c>
      <c r="AH15" s="93">
        <f>'2404'!AD14+'2604'!AD14+'0205'!AD14+'0305'!AD14+'0805'!AD14+'0905'!AD14+'1005'!AD14</f>
        <v>0</v>
      </c>
      <c r="AI15" s="101">
        <f>Table2[[#This Row],[Midranges]]/($AE$2-Table2[[#This Row],[DNP]])</f>
        <v>0</v>
      </c>
      <c r="AJ15" s="93">
        <f>'2404'!AE14+'2604'!AE14+'0205'!AE14+'0305'!AE14+'0805'!AE14+'0905'!AE14+'1005'!AE14</f>
        <v>0</v>
      </c>
      <c r="AK15" s="95">
        <f>Table2[[#This Row],[Threes]]/($AE$2-Table2[[#This Row],[DNP]])</f>
        <v>0</v>
      </c>
      <c r="AL15" s="93">
        <f>'Stats Global'!Z19</f>
        <v>0</v>
      </c>
      <c r="AN15" s="101">
        <f>'Stats Global'!R19-Table2[[#This Row],[Avg P]]</f>
        <v>0.7142857142857143</v>
      </c>
      <c r="AO15" s="102"/>
    </row>
    <row r="16" spans="1:41" ht="14.3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Q16" s="17"/>
      <c r="S16" s="17"/>
      <c r="T16" s="17"/>
      <c r="U16" s="17"/>
      <c r="V16" s="17"/>
      <c r="X16" s="17"/>
      <c r="Y16" s="17"/>
      <c r="Z16" s="17"/>
      <c r="AA16" s="17"/>
      <c r="AC16" s="92" t="s">
        <v>72</v>
      </c>
      <c r="AD16" s="93">
        <f>Table2[[#This Row],[Finishes]]+Table2[[#This Row],[Midranges]]+Table2[[#This Row],[Threes]]+Table2[[#This Row],[Threes]]</f>
        <v>0</v>
      </c>
      <c r="AE16" s="98">
        <f>Table2[[#This Row],[Points]]/($AE$2-Table2[[#This Row],[DNP]])</f>
        <v>0</v>
      </c>
      <c r="AF16" s="93">
        <f>'2404'!AC15+'2604'!AC15+'0205'!AC15+'0305'!AC15+'0805'!AC15+'0905'!AC15+'1005'!AC15</f>
        <v>0</v>
      </c>
      <c r="AG16" s="101">
        <f>Table2[[#This Row],[Finishes]]/($AE$2-Table2[[#This Row],[DNP]])</f>
        <v>0</v>
      </c>
      <c r="AH16" s="93">
        <f>'2404'!AD15+'2604'!AD15+'0205'!AD15+'0305'!AD15+'0805'!AD15+'0905'!AD15+'1005'!AD15</f>
        <v>0</v>
      </c>
      <c r="AI16" s="101">
        <f>Table2[[#This Row],[Midranges]]/($AE$2-Table2[[#This Row],[DNP]])</f>
        <v>0</v>
      </c>
      <c r="AJ16" s="93">
        <f>'2404'!AE15+'2604'!AE15+'0205'!AE15+'0305'!AE15+'0805'!AE15+'0905'!AE15+'1005'!AE15</f>
        <v>0</v>
      </c>
      <c r="AK16" s="95">
        <f>Table2[[#This Row],[Threes]]/($AE$2-Table2[[#This Row],[DNP]])</f>
        <v>0</v>
      </c>
      <c r="AL16" s="93">
        <f>'Stats Global'!Z20</f>
        <v>3</v>
      </c>
      <c r="AN16" s="101">
        <f>'Stats Global'!R20-Table2[[#This Row],[Avg P]]</f>
        <v>3.5</v>
      </c>
      <c r="AO16" s="102"/>
    </row>
    <row r="17" spans="1:41" ht="14.3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Q17" s="17"/>
      <c r="S17" s="17"/>
      <c r="T17" s="17"/>
      <c r="U17" s="17"/>
      <c r="V17" s="17"/>
      <c r="X17" s="17"/>
      <c r="Y17" s="17"/>
      <c r="Z17" s="17"/>
      <c r="AA17" s="17"/>
      <c r="AC17" s="3" t="s">
        <v>76</v>
      </c>
      <c r="AD17" s="91">
        <f>Table2[[#This Row],[Finishes]]+Table2[[#This Row],[Midranges]]+Table2[[#This Row],[Threes]]+Table2[[#This Row],[Threes]]</f>
        <v>0</v>
      </c>
      <c r="AE17" s="62">
        <f>Table2[[#This Row],[Points]]/($AE$2-Table2[[#This Row],[DNP]])</f>
        <v>0</v>
      </c>
      <c r="AF17" s="91">
        <f>'2404'!AC16+'2604'!AC16+'0205'!AC16+'0305'!AC16+'0805'!AC16+'0905'!AC16+'1005'!AC16</f>
        <v>0</v>
      </c>
      <c r="AG17" s="117">
        <f>Table2[[#This Row],[Finishes]]/($AE$2-Table2[[#This Row],[DNP]])</f>
        <v>0</v>
      </c>
      <c r="AH17" s="91">
        <f>'2404'!AD16+'2604'!AD16+'0205'!AD16+'0305'!AD16+'0805'!AD16+'0905'!AD16+'1005'!AD16</f>
        <v>0</v>
      </c>
      <c r="AI17" s="117">
        <f>Table2[[#This Row],[Midranges]]/($AE$2-Table2[[#This Row],[DNP]])</f>
        <v>0</v>
      </c>
      <c r="AJ17" s="91">
        <f>'2404'!AE16+'2604'!AE16+'0205'!AE16+'0305'!AE16+'0805'!AE16+'0905'!AE16+'1005'!AE16</f>
        <v>0</v>
      </c>
      <c r="AK17" s="90">
        <f>Table2[[#This Row],[Threes]]/($AE$2-Table2[[#This Row],[DNP]])</f>
        <v>0</v>
      </c>
      <c r="AL17" s="91">
        <f>'Stats Global'!Z21</f>
        <v>0</v>
      </c>
      <c r="AN17" s="41">
        <f>'Stats Global'!R21-Table2[[#This Row],[Avg P]]</f>
        <v>0.14285714285714285</v>
      </c>
      <c r="AO17" s="57">
        <f>Table2[[#This Row],[Avg P]]/(Table2[[#This Row],[Avg P]]+AN17)</f>
        <v>0</v>
      </c>
    </row>
    <row r="18" spans="1:41" ht="14.3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Q18" s="17"/>
      <c r="S18" s="17"/>
      <c r="T18" s="17"/>
      <c r="U18" s="17"/>
      <c r="V18" s="17"/>
      <c r="X18" s="17"/>
      <c r="Y18" s="17"/>
      <c r="Z18" s="17"/>
      <c r="AA18" s="17"/>
      <c r="AC18" s="92" t="s">
        <v>79</v>
      </c>
      <c r="AD18" s="93">
        <f>Table2[[#This Row],[Finishes]]+Table2[[#This Row],[Midranges]]+Table2[[#This Row],[Threes]]+Table2[[#This Row],[Threes]]</f>
        <v>0</v>
      </c>
      <c r="AE18" s="98">
        <f>Table2[[#This Row],[Points]]/($AE$2-Table2[[#This Row],[DNP]])</f>
        <v>0</v>
      </c>
      <c r="AF18" s="93">
        <f>'2404'!AC17+'2604'!AC17+'0205'!AC17+'0305'!AC17+'0805'!AC17+'0905'!AC17+'1005'!AC17</f>
        <v>0</v>
      </c>
      <c r="AG18" s="101">
        <f>Table2[[#This Row],[Finishes]]/($AE$2-Table2[[#This Row],[DNP]])</f>
        <v>0</v>
      </c>
      <c r="AH18" s="93">
        <f>'2404'!AD17+'2604'!AD17+'0205'!AD17+'0305'!AD17+'0805'!AD17+'0905'!AD17+'1005'!AD17</f>
        <v>0</v>
      </c>
      <c r="AI18" s="101">
        <f>Table2[[#This Row],[Midranges]]/($AE$2-Table2[[#This Row],[DNP]])</f>
        <v>0</v>
      </c>
      <c r="AJ18" s="93">
        <f>'2404'!AE17+'2604'!AE17+'0205'!AE17+'0305'!AE17+'0805'!AE17+'0905'!AE17+'1005'!AE17</f>
        <v>0</v>
      </c>
      <c r="AK18" s="95">
        <f>Table2[[#This Row],[Threes]]/($AE$2-Table2[[#This Row],[DNP]])</f>
        <v>0</v>
      </c>
      <c r="AL18" s="93">
        <f>'Stats Global'!Z22</f>
        <v>0</v>
      </c>
      <c r="AN18" s="101">
        <f>'Stats Global'!R22-Table2[[#This Row],[Avg P]]</f>
        <v>0.5714285714285714</v>
      </c>
      <c r="AO18" s="102"/>
    </row>
    <row r="19" spans="1:41" ht="14.3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Q19" s="17"/>
      <c r="S19" s="17"/>
      <c r="T19" s="17"/>
      <c r="U19" s="17"/>
      <c r="V19" s="17"/>
      <c r="X19" s="17"/>
      <c r="Y19" s="17"/>
      <c r="Z19" s="17"/>
      <c r="AA19" s="17"/>
      <c r="AC19" s="96" t="s">
        <v>148</v>
      </c>
      <c r="AD19" s="93">
        <f>Table2[[#This Row],[Finishes]]+Table2[[#This Row],[Midranges]]+Table2[[#This Row],[Threes]]+Table2[[#This Row],[Threes]]</f>
        <v>0</v>
      </c>
      <c r="AE19" s="94">
        <f>Table2[[#This Row],[Points]]/($AE$2-Table2[[#This Row],[DNP]])</f>
        <v>0</v>
      </c>
      <c r="AF19" s="93">
        <f>'2404'!AC18+'2604'!AC18+'0205'!AC18+'0305'!AC18+'0805'!AC18+'0905'!AC18+'1005'!AC18</f>
        <v>0</v>
      </c>
      <c r="AG19" s="101">
        <f>Table2[[#This Row],[Finishes]]/($AE$2-Table2[[#This Row],[DNP]])</f>
        <v>0</v>
      </c>
      <c r="AH19" s="93">
        <f>'2404'!AD18+'2604'!AD18+'0205'!AD18+'0305'!AD18+'0805'!AD18+'0905'!AD18+'1005'!AD18</f>
        <v>0</v>
      </c>
      <c r="AI19" s="101">
        <f>Table2[[#This Row],[Midranges]]/($AE$2-Table2[[#This Row],[DNP]])</f>
        <v>0</v>
      </c>
      <c r="AJ19" s="93">
        <f>'2404'!AE18+'2604'!AE18+'0205'!AE18+'0305'!AE18+'0805'!AE18+'0905'!AE18+'1005'!AE18</f>
        <v>0</v>
      </c>
      <c r="AK19" s="95">
        <f>Table2[[#This Row],[Threes]]/($AE$2-Table2[[#This Row],[DNP]])</f>
        <v>0</v>
      </c>
      <c r="AL19" s="93">
        <f>'Stats Global'!Z23</f>
        <v>0</v>
      </c>
      <c r="AN19" s="101">
        <f>'Stats Global'!R23-Table2[[#This Row],[Avg P]]</f>
        <v>0.42857142857142855</v>
      </c>
      <c r="AO19" s="102"/>
    </row>
    <row r="20" spans="1:41" ht="14.3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Q20" s="17"/>
      <c r="S20" s="17"/>
      <c r="T20" s="17"/>
      <c r="U20" s="17"/>
      <c r="V20" s="17"/>
      <c r="X20" s="17"/>
      <c r="Y20" s="17"/>
      <c r="Z20" s="17"/>
      <c r="AA20" s="17"/>
    </row>
    <row r="21" spans="1:41" ht="14.3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Q21" s="17"/>
      <c r="S21" s="17"/>
      <c r="T21" s="17"/>
      <c r="U21" s="17"/>
      <c r="V21" s="17"/>
      <c r="X21" s="17"/>
      <c r="Y21" s="17"/>
      <c r="Z21" s="17"/>
      <c r="AA21" s="17"/>
      <c r="AC21" t="s">
        <v>184</v>
      </c>
    </row>
    <row r="22" spans="1:41" ht="14.35" customHeight="1" x14ac:dyDescent="0.45">
      <c r="L22" s="17"/>
      <c r="M22" s="17"/>
      <c r="N22" s="17"/>
      <c r="O22" s="17"/>
      <c r="P22" s="17"/>
      <c r="Q22" s="17"/>
      <c r="S22" s="17"/>
      <c r="T22" s="17"/>
      <c r="U22" s="17"/>
      <c r="V22" s="17"/>
      <c r="X22" s="17"/>
      <c r="Y22" s="17"/>
      <c r="Z22" s="17"/>
      <c r="AA22" s="17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7"/>
      <c r="M23" s="17"/>
      <c r="N23" s="17"/>
      <c r="O23" s="17"/>
      <c r="P23" s="17"/>
      <c r="Q23" s="17"/>
      <c r="S23" s="17"/>
      <c r="T23" s="17"/>
      <c r="U23" s="17"/>
      <c r="V23" s="17"/>
      <c r="X23" s="17"/>
      <c r="Y23" s="17"/>
      <c r="Z23" s="17"/>
      <c r="AA23" s="17"/>
      <c r="AC23" s="108" t="s">
        <v>185</v>
      </c>
      <c r="AD23" s="109" t="s">
        <v>169</v>
      </c>
      <c r="AE23" s="110" t="s">
        <v>78</v>
      </c>
      <c r="AF23" s="109" t="s">
        <v>186</v>
      </c>
      <c r="AG23" s="110" t="s">
        <v>75</v>
      </c>
      <c r="AH23" s="109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7"/>
      <c r="M24" s="17"/>
      <c r="N24" s="17"/>
      <c r="O24" s="17"/>
      <c r="P24" s="17"/>
      <c r="Q24" s="17"/>
      <c r="S24" s="17"/>
      <c r="T24" s="17"/>
      <c r="U24" s="17"/>
      <c r="V24" s="17"/>
      <c r="X24" s="17"/>
      <c r="Y24" s="17"/>
      <c r="Z24" s="17"/>
      <c r="AA24" s="17"/>
      <c r="AC24" s="103" t="s">
        <v>65</v>
      </c>
      <c r="AD24" s="104" t="s">
        <v>85</v>
      </c>
      <c r="AE24" s="105" t="s">
        <v>85</v>
      </c>
      <c r="AF24" s="104" t="s">
        <v>85</v>
      </c>
      <c r="AG24" s="105" t="s">
        <v>85</v>
      </c>
      <c r="AH24" s="104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7"/>
      <c r="M25" s="17"/>
      <c r="N25" s="17"/>
      <c r="O25" s="17"/>
      <c r="P25" s="17"/>
      <c r="Q25" s="17"/>
      <c r="S25" s="17"/>
      <c r="T25" s="17"/>
      <c r="U25" s="17"/>
      <c r="V25" s="17"/>
      <c r="X25" s="17"/>
      <c r="Y25" s="17"/>
      <c r="Z25" s="17"/>
      <c r="AA25" s="17"/>
      <c r="AC25" s="103" t="s">
        <v>71</v>
      </c>
      <c r="AD25" s="104" t="s">
        <v>78</v>
      </c>
      <c r="AE25" s="105" t="s">
        <v>186</v>
      </c>
      <c r="AF25" s="104" t="s">
        <v>78</v>
      </c>
      <c r="AG25" s="105" t="s">
        <v>78</v>
      </c>
      <c r="AH25" s="104" t="s">
        <v>78</v>
      </c>
    </row>
    <row r="26" spans="1:41" ht="14.35" customHeight="1" x14ac:dyDescent="0.45">
      <c r="L26" s="17"/>
      <c r="M26" s="17"/>
      <c r="N26" s="17"/>
      <c r="O26" s="17"/>
      <c r="P26" s="17"/>
      <c r="Q26" s="17"/>
      <c r="S26" s="17"/>
      <c r="T26" s="17"/>
      <c r="U26" s="17"/>
      <c r="V26" s="17"/>
      <c r="X26" s="17"/>
      <c r="Y26" s="17"/>
      <c r="Z26" s="17"/>
      <c r="AA26" s="17"/>
      <c r="AC26" s="103" t="s">
        <v>68</v>
      </c>
      <c r="AD26" s="106" t="s">
        <v>186</v>
      </c>
      <c r="AE26" s="107" t="s">
        <v>75</v>
      </c>
      <c r="AF26" s="106" t="s">
        <v>75</v>
      </c>
      <c r="AG26" s="107" t="s">
        <v>186</v>
      </c>
      <c r="AH26" s="106" t="s">
        <v>186</v>
      </c>
    </row>
    <row r="27" spans="1:41" ht="14.35" customHeight="1" x14ac:dyDescent="0.45">
      <c r="L27" s="17"/>
      <c r="M27" s="17"/>
      <c r="N27" s="17"/>
      <c r="O27" s="17"/>
      <c r="P27" s="17"/>
      <c r="Q27" s="17"/>
      <c r="S27" s="17"/>
      <c r="T27" s="17"/>
      <c r="U27" s="17"/>
      <c r="V27" s="17"/>
      <c r="X27" s="17"/>
      <c r="Y27" s="17"/>
      <c r="Z27" s="17"/>
      <c r="AA27" s="17"/>
      <c r="AC27" s="103" t="s">
        <v>59</v>
      </c>
      <c r="AD27" s="106" t="s">
        <v>75</v>
      </c>
      <c r="AE27" s="107" t="s">
        <v>87</v>
      </c>
      <c r="AF27" s="106" t="s">
        <v>87</v>
      </c>
      <c r="AG27" s="107" t="s">
        <v>87</v>
      </c>
      <c r="AH27" s="106" t="s">
        <v>75</v>
      </c>
    </row>
    <row r="28" spans="1:41" ht="14.35" customHeight="1" x14ac:dyDescent="0.45">
      <c r="L28" s="17"/>
      <c r="M28" s="17"/>
      <c r="N28" s="17"/>
      <c r="O28" s="17"/>
      <c r="P28" s="17"/>
      <c r="Q28" s="17"/>
      <c r="S28" s="17"/>
      <c r="T28" s="17"/>
      <c r="U28" s="17"/>
      <c r="V28" s="17"/>
      <c r="X28" s="17"/>
      <c r="Y28" s="17"/>
      <c r="Z28" s="17"/>
      <c r="AA28" s="17"/>
      <c r="AC28" s="103" t="s">
        <v>86</v>
      </c>
      <c r="AD28" s="106" t="s">
        <v>87</v>
      </c>
      <c r="AE28" s="107" t="s">
        <v>169</v>
      </c>
      <c r="AF28" s="106" t="s">
        <v>169</v>
      </c>
      <c r="AG28" s="107" t="s">
        <v>169</v>
      </c>
      <c r="AH28" s="106" t="s">
        <v>169</v>
      </c>
    </row>
    <row r="29" spans="1:41" ht="14.35" customHeight="1" x14ac:dyDescent="0.45">
      <c r="L29" s="17"/>
      <c r="M29" s="17"/>
      <c r="N29" s="17"/>
      <c r="O29" s="17"/>
      <c r="P29" s="17"/>
      <c r="Q29" s="17"/>
      <c r="S29" s="17"/>
      <c r="T29" s="17"/>
      <c r="U29" s="17"/>
      <c r="V29" s="17"/>
      <c r="X29" s="17"/>
      <c r="Y29" s="17"/>
      <c r="Z29" s="17"/>
      <c r="AA29" s="17"/>
      <c r="AC29" s="105"/>
      <c r="AD29" s="104"/>
      <c r="AE29" s="105"/>
      <c r="AF29" s="104"/>
      <c r="AG29" s="105"/>
      <c r="AH29" s="104"/>
    </row>
    <row r="30" spans="1:41" ht="14.35" customHeight="1" x14ac:dyDescent="0.45">
      <c r="L30" s="17"/>
      <c r="M30" s="17"/>
      <c r="N30" s="17"/>
      <c r="O30" s="17"/>
      <c r="P30" s="17"/>
      <c r="Q30" s="17"/>
      <c r="R30" s="1" t="s">
        <v>118</v>
      </c>
      <c r="S30" s="17">
        <f t="shared" ref="S30:T30" si="0">SUM(S4:S29)</f>
        <v>21</v>
      </c>
      <c r="T30" s="17">
        <f t="shared" si="0"/>
        <v>26</v>
      </c>
      <c r="U30" s="17"/>
      <c r="V30" s="17"/>
      <c r="X30" s="17">
        <f t="shared" ref="X30:Y30" si="1">SUM(X4:X29)</f>
        <v>22</v>
      </c>
      <c r="Y30" s="17">
        <f t="shared" si="1"/>
        <v>22</v>
      </c>
      <c r="Z30" s="17"/>
      <c r="AA30" s="17"/>
      <c r="AC30" s="108" t="s">
        <v>185</v>
      </c>
      <c r="AD30" s="109" t="s">
        <v>169</v>
      </c>
      <c r="AE30" s="110" t="s">
        <v>78</v>
      </c>
      <c r="AF30" s="109" t="s">
        <v>186</v>
      </c>
      <c r="AG30" s="110" t="s">
        <v>75</v>
      </c>
      <c r="AH30" s="109" t="s">
        <v>87</v>
      </c>
    </row>
    <row r="31" spans="1:41" ht="14.35" customHeight="1" x14ac:dyDescent="0.45">
      <c r="K31" s="1"/>
      <c r="S31" s="22">
        <f>S30/(T30+S30)</f>
        <v>0.44680851063829785</v>
      </c>
      <c r="X31" s="22">
        <f>X30/(Y30+X30)</f>
        <v>0.5</v>
      </c>
      <c r="AC31" s="105" t="s">
        <v>169</v>
      </c>
      <c r="AD31" s="104" t="s">
        <v>85</v>
      </c>
      <c r="AE31" s="105" t="s">
        <v>85</v>
      </c>
      <c r="AF31" s="104" t="s">
        <v>85</v>
      </c>
      <c r="AG31" s="105" t="s">
        <v>85</v>
      </c>
      <c r="AH31" s="104" t="s">
        <v>85</v>
      </c>
    </row>
    <row r="32" spans="1:41" ht="14.35" customHeight="1" x14ac:dyDescent="0.45">
      <c r="K32" s="1"/>
      <c r="L32" s="118" t="str">
        <f>R32&amp;H4&amp;","&amp;I4&amp;"],"</f>
        <v>"PartA":[43,48],</v>
      </c>
      <c r="M32" s="1"/>
      <c r="N32" s="1"/>
      <c r="O32" s="1"/>
      <c r="P32" s="1"/>
      <c r="Q32" s="1"/>
      <c r="R32" t="s">
        <v>196</v>
      </c>
      <c r="T32" t="s">
        <v>200</v>
      </c>
      <c r="V32" s="66">
        <f>ROUND(SUM('Stats Global'!Q14:Q15,'Stats Global'!Q19:Q20,'Stats Global'!Q22:Q23)/COUNT(B4:B40),1)</f>
        <v>6.9</v>
      </c>
      <c r="X32" s="22"/>
      <c r="AC32" s="105" t="s">
        <v>62</v>
      </c>
      <c r="AD32" s="104" t="s">
        <v>78</v>
      </c>
      <c r="AE32" s="105" t="s">
        <v>186</v>
      </c>
      <c r="AF32" s="104" t="s">
        <v>78</v>
      </c>
      <c r="AG32" s="105" t="s">
        <v>78</v>
      </c>
      <c r="AH32" s="104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"PartB":[14,"Angus Walker",10,"Angus Walker",8,"William Kim",3,"Clarrie Jones"],</v>
      </c>
      <c r="R33" t="s">
        <v>197</v>
      </c>
      <c r="T33" s="42">
        <f>MAX('Stats Global'!Q14:Q15,'Stats Global'!Q19:Q20,'Stats Global'!Q22:Q23)</f>
        <v>14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6">
        <f>ROUND(SUM('Stats Global'!S14:S15,'Stats Global'!S19:S20,'Stats Global'!S22:S23)/COUNT(B4:B40),1)</f>
        <v>3.7</v>
      </c>
      <c r="AC33" s="105" t="s">
        <v>187</v>
      </c>
      <c r="AD33" s="104" t="s">
        <v>186</v>
      </c>
      <c r="AE33" s="105" t="s">
        <v>75</v>
      </c>
      <c r="AF33" s="104" t="s">
        <v>75</v>
      </c>
      <c r="AG33" s="105" t="s">
        <v>186</v>
      </c>
      <c r="AH33" s="104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"PartC":[6.9,3.7,1.7,0.7,6.1,6.9],</v>
      </c>
      <c r="R34" t="s">
        <v>198</v>
      </c>
      <c r="T34" s="42">
        <f>MAX('Stats Global'!S14:S15,'Stats Global'!S19:S20,'Stats Global'!S22:S23)</f>
        <v>10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6">
        <f>ROUND(SUM('Stats Global'!U14:U15,'Stats Global'!U19:U20,'Stats Global'!U22:U23)/COUNT(B4:B40),1)</f>
        <v>1.7</v>
      </c>
      <c r="AC34" s="105" t="s">
        <v>55</v>
      </c>
      <c r="AD34" s="104" t="s">
        <v>87</v>
      </c>
      <c r="AE34" s="105" t="s">
        <v>169</v>
      </c>
      <c r="AF34" s="104" t="s">
        <v>169</v>
      </c>
      <c r="AG34" s="105" t="s">
        <v>169</v>
      </c>
      <c r="AH34" s="104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"PartD":[21,26,44.7,22,22,50],</v>
      </c>
      <c r="R35" t="s">
        <v>199</v>
      </c>
      <c r="T35" s="42">
        <f>MAX('Stats Global'!U14:U15,'Stats Global'!U19:U20,'Stats Global'!U22:U23)</f>
        <v>8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6">
        <f>ROUND(SUM('Stats Global'!W14:W15,'Stats Global'!W19:W20,'Stats Global'!W22:W23)/COUNT(B4:B40),1)</f>
        <v>0.7</v>
      </c>
      <c r="AC35" s="105" t="s">
        <v>81</v>
      </c>
      <c r="AD35" s="104" t="s">
        <v>75</v>
      </c>
      <c r="AE35" s="105" t="s">
        <v>87</v>
      </c>
      <c r="AF35" s="104" t="s">
        <v>87</v>
      </c>
      <c r="AG35" s="105" t="s">
        <v>87</v>
      </c>
      <c r="AH35" s="104" t="s">
        <v>75</v>
      </c>
    </row>
    <row r="36" spans="12:34" ht="14.25" customHeight="1" x14ac:dyDescent="0.45">
      <c r="T36" s="42">
        <f>MAX('Stats Global'!W14:W15,'Stats Global'!W19:W20,'Stats Global'!W22:W23)</f>
        <v>3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6.1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9 AO12:AO14 AO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topLeftCell="D10" workbookViewId="0">
      <selection activeCell="K43" sqref="K4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N2" s="24" t="s">
        <v>99</v>
      </c>
      <c r="R2" s="24" t="s">
        <v>101</v>
      </c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24" t="s">
        <v>68</v>
      </c>
      <c r="M3" s="24" t="s">
        <v>65</v>
      </c>
      <c r="N3" s="24" t="s">
        <v>71</v>
      </c>
      <c r="O3" s="24" t="s">
        <v>59</v>
      </c>
      <c r="P3" s="24" t="s">
        <v>86</v>
      </c>
      <c r="R3" s="24" t="s">
        <v>102</v>
      </c>
      <c r="S3" s="24" t="s">
        <v>103</v>
      </c>
      <c r="T3" s="24" t="s">
        <v>108</v>
      </c>
      <c r="U3" s="24" t="s">
        <v>109</v>
      </c>
      <c r="V3" s="65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50</v>
      </c>
      <c r="I4" s="24">
        <f>SUM(C4:C30)</f>
        <v>47</v>
      </c>
      <c r="J4" s="24">
        <f>SUM(D4:D30)</f>
        <v>11</v>
      </c>
      <c r="L4" s="17"/>
      <c r="M4" s="51">
        <v>1</v>
      </c>
      <c r="N4" s="51">
        <v>2</v>
      </c>
      <c r="O4" s="17"/>
      <c r="P4" s="17"/>
      <c r="R4" s="17">
        <f>COUNTIF('2404'!$Y$4:$Y$26,"WW/5M")</f>
        <v>2</v>
      </c>
      <c r="S4" s="17">
        <f>COUNTIF('2404'!$Z$4:$Z$26,"5M/WW")</f>
        <v>3</v>
      </c>
      <c r="T4" s="17"/>
      <c r="U4" s="17"/>
      <c r="V4" s="65"/>
      <c r="W4" s="89"/>
      <c r="X4" s="89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7">
        <v>1</v>
      </c>
      <c r="M5" s="51">
        <v>1</v>
      </c>
      <c r="N5" s="51"/>
      <c r="O5" s="17"/>
      <c r="P5" s="17"/>
      <c r="R5" s="17">
        <f>COUNTIF('2604'!$Y$4:$Y$26,"WW/5M")</f>
        <v>1</v>
      </c>
      <c r="S5" s="17">
        <f>COUNTIF('2604'!$Z$4:$Z$26,"5M/WW")</f>
        <v>3</v>
      </c>
      <c r="T5" s="17"/>
      <c r="U5" s="17"/>
      <c r="V5" s="65"/>
      <c r="W5" s="89"/>
      <c r="X5" s="89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7">
        <v>1</v>
      </c>
      <c r="M6" s="51">
        <v>1</v>
      </c>
      <c r="N6" s="51">
        <v>1</v>
      </c>
      <c r="O6" s="17"/>
      <c r="P6" s="17"/>
      <c r="R6" s="17">
        <f>COUNTIF('0205'!$Y$4:$Y$26,"WW/5M")</f>
        <v>3</v>
      </c>
      <c r="S6" s="17">
        <f>COUNTIF('0205'!$Z$4:$Z$26,"5M/WW")</f>
        <v>4</v>
      </c>
      <c r="T6" s="17"/>
      <c r="U6" s="17"/>
      <c r="V6" s="65"/>
      <c r="W6" s="89"/>
      <c r="X6" s="89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7">
        <v>1</v>
      </c>
      <c r="M7" s="17">
        <v>2</v>
      </c>
      <c r="N7" s="17"/>
      <c r="O7" s="17">
        <v>1</v>
      </c>
      <c r="P7" s="17"/>
      <c r="R7" s="17">
        <f>COUNTIF('0305'!$Y$4:$Y$26,"WW/5M")</f>
        <v>2</v>
      </c>
      <c r="S7" s="17">
        <f>COUNTIF('0305'!$Z$4:$Z$26,"5M/WW")</f>
        <v>6</v>
      </c>
      <c r="T7" s="17"/>
      <c r="U7" s="17"/>
      <c r="V7" s="65"/>
      <c r="W7" s="89"/>
      <c r="X7" s="89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7">
        <v>2</v>
      </c>
      <c r="M8" s="17">
        <v>1</v>
      </c>
      <c r="N8" s="17"/>
      <c r="O8" s="17">
        <v>1</v>
      </c>
      <c r="P8" s="17"/>
      <c r="R8" s="17">
        <f>COUNTIF('0805'!$Y$4:$Y$26,"WW/5M")</f>
        <v>4</v>
      </c>
      <c r="S8" s="17">
        <f>COUNTIF('0805'!$Z$4:$Z$26,"5M/WW")</f>
        <v>3</v>
      </c>
      <c r="T8" s="17"/>
      <c r="U8" s="17"/>
      <c r="V8" s="65"/>
      <c r="W8" s="89"/>
      <c r="X8" s="89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7">
        <v>1</v>
      </c>
      <c r="M9" s="17">
        <v>3</v>
      </c>
      <c r="N9" s="17"/>
      <c r="O9" s="17">
        <v>1</v>
      </c>
      <c r="P9" s="17">
        <v>1</v>
      </c>
      <c r="R9" s="17">
        <f>COUNTIF('0905'!$Y$4:$Y$40,"WW/5M")</f>
        <v>8</v>
      </c>
      <c r="S9" s="17">
        <f>COUNTIF('0905'!$Z$4:$Z$40,"5M/WW")</f>
        <v>5</v>
      </c>
      <c r="T9" s="17"/>
      <c r="U9" s="17"/>
      <c r="V9" s="65"/>
      <c r="W9" s="89"/>
      <c r="X9" s="89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7">
        <v>2</v>
      </c>
      <c r="M10" s="17">
        <v>1</v>
      </c>
      <c r="N10" s="17"/>
      <c r="O10" s="17">
        <v>1</v>
      </c>
      <c r="P10" s="17"/>
      <c r="R10" s="17">
        <f>COUNTIF('1005'!$Y$4:$Y$40,"WW/5M")</f>
        <v>4</v>
      </c>
      <c r="S10" s="17">
        <f>COUNTIF('1005'!$Z$4:$Z$40,"5M/WW")</f>
        <v>2</v>
      </c>
      <c r="T10" s="17"/>
      <c r="U10" s="17"/>
      <c r="V10" s="65"/>
      <c r="W10" s="89"/>
      <c r="X10" s="89"/>
    </row>
    <row r="11" spans="1:24" ht="14.25" customHeight="1" x14ac:dyDescent="0.45">
      <c r="A11" s="4"/>
      <c r="B11" s="16"/>
      <c r="C11" s="16"/>
      <c r="D11" s="16"/>
      <c r="I11" s="24" t="s">
        <v>115</v>
      </c>
      <c r="J11" s="18"/>
      <c r="L11" s="17"/>
      <c r="M11" s="17"/>
      <c r="N11" s="17"/>
      <c r="O11" s="17"/>
      <c r="P11" s="17"/>
      <c r="R11" s="17"/>
      <c r="S11" s="17"/>
      <c r="T11" s="17"/>
      <c r="U11" s="17"/>
      <c r="V11" s="65"/>
      <c r="W11" s="89"/>
      <c r="X11" s="89"/>
    </row>
    <row r="12" spans="1:24" ht="14.25" customHeight="1" x14ac:dyDescent="0.45">
      <c r="A12" s="4"/>
      <c r="B12" s="16"/>
      <c r="C12" s="16"/>
      <c r="D12" s="16"/>
      <c r="I12" s="24" t="s">
        <v>116</v>
      </c>
      <c r="J12" s="18"/>
      <c r="L12" s="17"/>
      <c r="M12" s="17"/>
      <c r="N12" s="17"/>
      <c r="O12" s="17"/>
      <c r="P12" s="17"/>
      <c r="R12" s="17"/>
      <c r="S12" s="17"/>
      <c r="T12" s="17"/>
      <c r="U12" s="17"/>
      <c r="V12" s="65"/>
      <c r="W12" s="89"/>
      <c r="X12" s="89"/>
    </row>
    <row r="13" spans="1:24" ht="14.25" customHeight="1" x14ac:dyDescent="0.45">
      <c r="A13" s="4"/>
      <c r="B13" s="16"/>
      <c r="C13" s="16"/>
      <c r="D13" s="16"/>
      <c r="I13" s="24" t="s">
        <v>117</v>
      </c>
      <c r="J13" s="18" cm="1">
        <f t="array" ref="J13">SUM(B4:B7/SUM(B4:C7))</f>
        <v>0.3571428571428571</v>
      </c>
      <c r="L13" s="17"/>
      <c r="M13" s="17"/>
      <c r="N13" s="17"/>
      <c r="O13" s="17"/>
      <c r="P13" s="17"/>
      <c r="R13" s="17"/>
      <c r="S13" s="17"/>
      <c r="T13" s="17"/>
      <c r="U13" s="17"/>
      <c r="V13" s="65"/>
      <c r="W13" s="89"/>
      <c r="X13" s="89"/>
    </row>
    <row r="14" spans="1:24" ht="14.25" customHeight="1" x14ac:dyDescent="0.45">
      <c r="A14" s="4"/>
      <c r="B14" s="16"/>
      <c r="C14" s="16"/>
      <c r="D14" s="16"/>
      <c r="L14" s="17"/>
      <c r="M14" s="17"/>
      <c r="N14" s="17"/>
      <c r="O14" s="17"/>
      <c r="P14" s="17"/>
      <c r="R14" s="17"/>
      <c r="S14" s="17"/>
      <c r="T14" s="17"/>
      <c r="U14" s="17"/>
      <c r="V14" s="65"/>
      <c r="W14" s="89"/>
      <c r="X14" s="89"/>
    </row>
    <row r="15" spans="1:24" ht="14.25" customHeight="1" x14ac:dyDescent="0.45">
      <c r="A15" s="4"/>
      <c r="B15" s="16"/>
      <c r="C15" s="16"/>
      <c r="D15" s="16"/>
      <c r="L15" s="17"/>
      <c r="M15" s="17"/>
      <c r="N15" s="17"/>
      <c r="O15" s="17"/>
      <c r="P15" s="17"/>
      <c r="R15" s="17"/>
      <c r="S15" s="17"/>
      <c r="T15" s="17"/>
      <c r="U15" s="17"/>
      <c r="V15" s="65"/>
      <c r="W15" s="89"/>
      <c r="X15" s="89"/>
    </row>
    <row r="16" spans="1:24" ht="14.25" customHeight="1" x14ac:dyDescent="0.45">
      <c r="A16" s="4"/>
      <c r="B16" s="16"/>
      <c r="C16" s="16"/>
      <c r="D16" s="16"/>
      <c r="L16" s="17"/>
      <c r="M16" s="17"/>
      <c r="N16" s="17"/>
      <c r="O16" s="17"/>
      <c r="P16" s="17"/>
      <c r="R16" s="17"/>
      <c r="S16" s="17"/>
      <c r="T16" s="17"/>
      <c r="U16" s="17"/>
      <c r="V16" s="65"/>
      <c r="W16" s="89"/>
      <c r="X16" s="89"/>
    </row>
    <row r="17" spans="1:24" ht="14.25" customHeight="1" x14ac:dyDescent="0.45">
      <c r="A17" s="4"/>
      <c r="B17" s="16"/>
      <c r="C17" s="16"/>
      <c r="D17" s="16"/>
      <c r="L17" s="17"/>
      <c r="M17" s="17"/>
      <c r="N17" s="17"/>
      <c r="O17" s="17"/>
      <c r="P17" s="17"/>
      <c r="R17" s="17"/>
      <c r="S17" s="17"/>
      <c r="T17" s="17"/>
      <c r="U17" s="17"/>
      <c r="V17" s="65"/>
      <c r="W17" s="89"/>
      <c r="X17" s="89"/>
    </row>
    <row r="18" spans="1:24" ht="14.25" customHeight="1" x14ac:dyDescent="0.45">
      <c r="A18" s="4"/>
      <c r="B18" s="16"/>
      <c r="C18" s="16"/>
      <c r="D18" s="16"/>
      <c r="L18" s="17"/>
      <c r="M18" s="17"/>
      <c r="N18" s="17"/>
      <c r="O18" s="17"/>
      <c r="P18" s="17"/>
      <c r="R18" s="17"/>
      <c r="S18" s="17"/>
      <c r="T18" s="17"/>
      <c r="U18" s="17"/>
      <c r="V18" s="65"/>
      <c r="W18" s="89"/>
      <c r="X18" s="89"/>
    </row>
    <row r="19" spans="1:24" ht="14.25" customHeight="1" x14ac:dyDescent="0.45">
      <c r="A19" s="4"/>
      <c r="B19" s="16"/>
      <c r="C19" s="16"/>
      <c r="D19" s="16"/>
      <c r="L19" s="17"/>
      <c r="M19" s="17"/>
      <c r="N19" s="17"/>
      <c r="O19" s="17"/>
      <c r="P19" s="17"/>
      <c r="R19" s="17"/>
      <c r="S19" s="17"/>
      <c r="T19" s="17"/>
      <c r="U19" s="17"/>
      <c r="V19" s="65"/>
      <c r="W19" s="89"/>
      <c r="X19" s="89"/>
    </row>
    <row r="20" spans="1:24" ht="14.25" customHeight="1" x14ac:dyDescent="0.45">
      <c r="A20" s="4"/>
      <c r="B20" s="16"/>
      <c r="C20" s="16"/>
      <c r="D20" s="16"/>
      <c r="L20" s="17"/>
      <c r="M20" s="17"/>
      <c r="N20" s="17"/>
      <c r="O20" s="17"/>
      <c r="P20" s="17"/>
      <c r="R20" s="17"/>
      <c r="S20" s="17"/>
      <c r="T20" s="17"/>
      <c r="U20" s="17"/>
      <c r="V20" s="65"/>
      <c r="W20" s="89"/>
      <c r="X20" s="89"/>
    </row>
    <row r="21" spans="1:24" ht="14.25" customHeight="1" x14ac:dyDescent="0.45">
      <c r="A21" s="4"/>
      <c r="B21" s="16"/>
      <c r="C21" s="16"/>
      <c r="D21" s="16"/>
      <c r="L21" s="17"/>
      <c r="M21" s="17"/>
      <c r="N21" s="17"/>
      <c r="O21" s="17"/>
      <c r="P21" s="17"/>
      <c r="R21" s="17"/>
      <c r="S21" s="17"/>
      <c r="T21" s="17"/>
      <c r="U21" s="17"/>
      <c r="V21" s="65"/>
      <c r="W21" s="89"/>
      <c r="X21" s="89"/>
    </row>
    <row r="22" spans="1:24" ht="14.25" customHeight="1" x14ac:dyDescent="0.45">
      <c r="L22" s="17"/>
      <c r="M22" s="17"/>
      <c r="N22" s="17"/>
      <c r="O22" s="17"/>
      <c r="P22" s="17"/>
      <c r="R22" s="17"/>
      <c r="S22" s="17"/>
      <c r="T22" s="17"/>
      <c r="U22" s="17"/>
      <c r="V22" s="65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7"/>
      <c r="M23" s="17"/>
      <c r="N23" s="17"/>
      <c r="O23" s="17"/>
      <c r="P23" s="17"/>
      <c r="R23" s="17"/>
      <c r="S23" s="17"/>
      <c r="T23" s="17"/>
      <c r="U23" s="17"/>
      <c r="V23" s="65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7"/>
      <c r="M24" s="17"/>
      <c r="N24" s="17"/>
      <c r="O24" s="17"/>
      <c r="P24" s="17"/>
      <c r="R24" s="17"/>
      <c r="S24" s="17"/>
      <c r="T24" s="17"/>
      <c r="U24" s="17"/>
      <c r="V24" s="65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7"/>
      <c r="M25" s="17"/>
      <c r="N25" s="17"/>
      <c r="O25" s="17"/>
      <c r="P25" s="17"/>
      <c r="R25" s="17"/>
      <c r="S25" s="17"/>
      <c r="T25" s="17"/>
      <c r="U25" s="17"/>
      <c r="V25" s="65"/>
      <c r="W25" s="89"/>
      <c r="X25" s="89"/>
    </row>
    <row r="26" spans="1:24" ht="14.25" customHeight="1" x14ac:dyDescent="0.45">
      <c r="L26" s="17"/>
      <c r="M26" s="17"/>
      <c r="N26" s="17"/>
      <c r="O26" s="17"/>
      <c r="P26" s="17"/>
      <c r="R26" s="17"/>
      <c r="S26" s="17"/>
      <c r="T26" s="17"/>
      <c r="U26" s="17"/>
      <c r="V26" s="65"/>
      <c r="W26" s="89"/>
      <c r="X26" s="89"/>
    </row>
    <row r="27" spans="1:24" ht="14.25" customHeight="1" x14ac:dyDescent="0.45">
      <c r="L27" s="17"/>
      <c r="M27" s="17"/>
      <c r="N27" s="17"/>
      <c r="O27" s="17"/>
      <c r="P27" s="17"/>
      <c r="R27" s="17"/>
      <c r="S27" s="17"/>
      <c r="T27" s="17"/>
      <c r="U27" s="17"/>
      <c r="V27" s="65"/>
      <c r="W27" s="89"/>
      <c r="X27" s="89"/>
    </row>
    <row r="28" spans="1:24" ht="14.25" customHeight="1" x14ac:dyDescent="0.45">
      <c r="L28" s="17"/>
      <c r="M28" s="17"/>
      <c r="N28" s="17"/>
      <c r="O28" s="17"/>
      <c r="P28" s="17"/>
      <c r="R28" s="17"/>
      <c r="S28" s="17"/>
      <c r="T28" s="17"/>
      <c r="U28" s="17"/>
      <c r="V28" s="65"/>
      <c r="W28" s="89"/>
      <c r="X28" s="89"/>
    </row>
    <row r="29" spans="1:24" ht="14.25" customHeight="1" x14ac:dyDescent="0.45">
      <c r="L29" s="17"/>
      <c r="M29" s="17"/>
      <c r="N29" s="17"/>
      <c r="O29" s="17"/>
      <c r="P29" s="17"/>
      <c r="R29" s="17"/>
      <c r="S29" s="17"/>
      <c r="T29" s="17"/>
      <c r="U29" s="17"/>
      <c r="V29" s="65"/>
      <c r="W29" s="89"/>
      <c r="X29" s="89"/>
    </row>
    <row r="30" spans="1:24" ht="14.25" customHeight="1" x14ac:dyDescent="0.45">
      <c r="L30" s="17"/>
      <c r="M30" s="17"/>
      <c r="N30" s="17"/>
      <c r="O30" s="17"/>
      <c r="P30" s="17"/>
      <c r="Q30" s="40" t="s">
        <v>118</v>
      </c>
      <c r="R30" s="17">
        <f t="shared" ref="R30:S30" si="0">SUM(R4:R29)</f>
        <v>24</v>
      </c>
      <c r="S30" s="17">
        <f t="shared" si="0"/>
        <v>26</v>
      </c>
      <c r="T30" s="17"/>
      <c r="U30" s="17"/>
      <c r="V30" s="65"/>
      <c r="W30" s="89"/>
      <c r="X30" s="89"/>
    </row>
    <row r="31" spans="1:24" ht="14.25" customHeight="1" x14ac:dyDescent="0.45">
      <c r="K31" s="24"/>
      <c r="R31" s="22">
        <f>R30/(S30+R30)</f>
        <v>0.48</v>
      </c>
      <c r="V31" s="65"/>
      <c r="W31" s="65"/>
      <c r="X31" s="65"/>
    </row>
    <row r="32" spans="1:24" ht="14.25" customHeight="1" x14ac:dyDescent="0.45">
      <c r="K32" s="24"/>
      <c r="L32" s="118" t="str">
        <f>R32&amp;H4&amp;","&amp;I4&amp;"],"</f>
        <v>"PartA":[50,47],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6">
        <f>ROUND(SUM('Stats Global'!Q9,'Stats Global'!Q11:Q13,'Stats Global'!Q21)/COUNT(B4:B40),1)</f>
        <v>7.1</v>
      </c>
      <c r="W32" s="65"/>
      <c r="X32" s="65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"PartB":[26,"Rudy Hoschke",24,"Rudy Hoschke",12,"Michael Iffland",0,"N/A"],</v>
      </c>
      <c r="R33" s="40" t="s">
        <v>197</v>
      </c>
      <c r="T33" s="42">
        <f>MAX('Stats Global'!Q9,'Stats Global'!Q11:Q13,'Stats Global'!Q21)</f>
        <v>26</v>
      </c>
      <c r="U33" s="40" t="s">
        <v>44</v>
      </c>
      <c r="V33" s="66">
        <f>ROUND(SUM('Stats Global'!S9,'Stats Global'!S11:S13,'Stats Global'!S21)/COUNT(B4:B40),1)</f>
        <v>5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"PartC":[7.1,5,2.1,0,7.1,6.7],</v>
      </c>
      <c r="R34" s="40" t="s">
        <v>198</v>
      </c>
      <c r="T34" s="42">
        <f>MAX('Stats Global'!S9,'Stats Global'!S11:S13,'Stats Global'!S21)</f>
        <v>24</v>
      </c>
      <c r="U34" s="40" t="s">
        <v>44</v>
      </c>
      <c r="V34" s="66">
        <f>ROUND(SUM('Stats Global'!U9,'Stats Global'!U11:U13,'Stats Global'!U21)/COUNT(B4:B40),1)</f>
        <v>2.1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"PartD":[26,21,55.3,24,26,48],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6">
        <f>ROUND(SUM('Stats Global'!W9,'Stats Global'!W11:W13,'Stats Global'!W21)/COUNT(B4:B40),1)</f>
        <v>0</v>
      </c>
    </row>
    <row r="36" spans="12:22" ht="14.25" customHeight="1" x14ac:dyDescent="0.45">
      <c r="T36" s="42">
        <f>MAX('Stats Global'!W9,'Stats Global'!W11:W13,'Stats Global'!W21)</f>
        <v>0</v>
      </c>
      <c r="U36" s="40" t="s">
        <v>206</v>
      </c>
      <c r="V36" s="40">
        <f>ROUND(H4/COUNT(B4:B40),1)</f>
        <v>7.1</v>
      </c>
    </row>
    <row r="37" spans="12:22" ht="14.25" customHeight="1" x14ac:dyDescent="0.45">
      <c r="V37" s="40">
        <f>ROUND(I4/COUNT(B4:B40),1)</f>
        <v>6.7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55" zoomScaleNormal="55" workbookViewId="0">
      <selection activeCell="O37" sqref="O37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M2" s="24" t="s">
        <v>99</v>
      </c>
      <c r="Q2" s="64"/>
      <c r="R2" s="65"/>
      <c r="S2" s="65"/>
      <c r="T2" s="65"/>
      <c r="U2" s="65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24" t="s">
        <v>153</v>
      </c>
      <c r="L3" s="24" t="s">
        <v>62</v>
      </c>
      <c r="M3" s="24" t="s">
        <v>187</v>
      </c>
      <c r="N3" s="24" t="s">
        <v>55</v>
      </c>
      <c r="O3" s="24" t="s">
        <v>81</v>
      </c>
      <c r="Q3" s="64"/>
      <c r="R3" s="64"/>
      <c r="S3" s="64"/>
      <c r="T3" s="64"/>
      <c r="U3" s="65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9" t="s">
        <v>38</v>
      </c>
      <c r="F4" s="40" t="s">
        <v>60</v>
      </c>
      <c r="G4" s="24">
        <f>SUM(B4:B30)</f>
        <v>48</v>
      </c>
      <c r="H4" s="24">
        <f>SUM(C4:C30)</f>
        <v>46</v>
      </c>
      <c r="I4" s="24">
        <f>SUM(D4:D30)</f>
        <v>17</v>
      </c>
      <c r="K4" s="17">
        <v>1</v>
      </c>
      <c r="L4" s="51">
        <v>1</v>
      </c>
      <c r="M4" s="51">
        <v>2</v>
      </c>
      <c r="N4" s="17"/>
      <c r="O4" s="17"/>
      <c r="Q4" s="89"/>
      <c r="R4" s="89"/>
      <c r="S4" s="89"/>
      <c r="T4" s="89"/>
      <c r="U4" s="65"/>
      <c r="V4" s="89"/>
      <c r="W4" s="89"/>
      <c r="X4" s="89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19" t="s">
        <v>66</v>
      </c>
      <c r="F5" s="40" t="s">
        <v>212</v>
      </c>
      <c r="K5" s="17"/>
      <c r="L5" s="51"/>
      <c r="M5" s="51">
        <v>1</v>
      </c>
      <c r="N5" s="17">
        <v>1</v>
      </c>
      <c r="O5" s="17"/>
      <c r="Q5" s="89"/>
      <c r="R5" s="89"/>
      <c r="S5" s="89"/>
      <c r="T5" s="89"/>
      <c r="U5" s="65"/>
      <c r="V5" s="89"/>
      <c r="W5" s="89"/>
      <c r="X5" s="89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9" t="s">
        <v>211</v>
      </c>
      <c r="F6" s="40" t="s">
        <v>60</v>
      </c>
      <c r="H6" s="24" t="s">
        <v>110</v>
      </c>
      <c r="I6" s="18">
        <f>SUM(B4:B6)/SUM(B4:C6)</f>
        <v>0.59375</v>
      </c>
      <c r="K6" s="17"/>
      <c r="L6" s="51"/>
      <c r="M6" s="51"/>
      <c r="N6" s="17"/>
      <c r="O6" s="17"/>
      <c r="Q6" s="89"/>
      <c r="R6" s="89"/>
      <c r="S6" s="89"/>
      <c r="T6" s="89"/>
      <c r="U6" s="65"/>
      <c r="V6" s="89"/>
      <c r="W6" s="89"/>
      <c r="X6" s="89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9" t="s">
        <v>38</v>
      </c>
      <c r="F7" s="40" t="s">
        <v>213</v>
      </c>
      <c r="H7" s="24" t="s">
        <v>111</v>
      </c>
      <c r="I7" s="18"/>
      <c r="K7" s="17">
        <v>2</v>
      </c>
      <c r="L7" s="17">
        <v>1</v>
      </c>
      <c r="M7" s="17">
        <v>1</v>
      </c>
      <c r="N7" s="17"/>
      <c r="O7" s="17">
        <v>1</v>
      </c>
      <c r="Q7" s="89"/>
      <c r="R7" s="89"/>
      <c r="S7" s="89"/>
      <c r="T7" s="89"/>
      <c r="U7" s="65"/>
      <c r="V7" s="89"/>
      <c r="W7" s="89"/>
      <c r="X7" s="89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9" t="s">
        <v>38</v>
      </c>
      <c r="F8" s="40" t="s">
        <v>60</v>
      </c>
      <c r="H8" s="24" t="s">
        <v>112</v>
      </c>
      <c r="I8" s="18"/>
      <c r="K8" s="17">
        <v>2</v>
      </c>
      <c r="L8" s="17">
        <v>1</v>
      </c>
      <c r="M8" s="17"/>
      <c r="N8" s="17">
        <v>1</v>
      </c>
      <c r="O8" s="17">
        <v>1</v>
      </c>
      <c r="Q8" s="89"/>
      <c r="R8" s="89"/>
      <c r="S8" s="89"/>
      <c r="T8" s="89"/>
      <c r="U8" s="65"/>
      <c r="V8" s="89"/>
      <c r="W8" s="89"/>
      <c r="X8" s="89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9" t="s">
        <v>60</v>
      </c>
      <c r="F9" s="40" t="s">
        <v>60</v>
      </c>
      <c r="H9" s="24" t="s">
        <v>113</v>
      </c>
      <c r="I9" s="18"/>
      <c r="K9" s="17">
        <v>1</v>
      </c>
      <c r="L9" s="17"/>
      <c r="M9" s="17"/>
      <c r="N9" s="17">
        <v>1</v>
      </c>
      <c r="O9" s="17">
        <v>1</v>
      </c>
      <c r="Q9" s="89"/>
      <c r="R9" s="89"/>
      <c r="S9" s="89"/>
      <c r="T9" s="89"/>
      <c r="U9" s="65"/>
      <c r="V9" s="89"/>
      <c r="W9" s="89"/>
      <c r="X9" s="89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9" t="s">
        <v>33</v>
      </c>
      <c r="F10" s="40" t="s">
        <v>60</v>
      </c>
      <c r="H10" s="24" t="s">
        <v>114</v>
      </c>
      <c r="I10" s="18"/>
      <c r="K10" s="114">
        <v>1</v>
      </c>
      <c r="L10" s="114"/>
      <c r="M10" s="114"/>
      <c r="N10" s="114">
        <v>1</v>
      </c>
      <c r="O10" s="114"/>
      <c r="Q10" s="89"/>
      <c r="R10" s="89"/>
      <c r="S10" s="89"/>
      <c r="T10" s="89"/>
      <c r="U10" s="65"/>
      <c r="V10" s="89"/>
      <c r="W10" s="89"/>
      <c r="X10" s="89"/>
    </row>
    <row r="11" spans="1:24" ht="14.25" customHeight="1" x14ac:dyDescent="0.45">
      <c r="A11" s="4"/>
      <c r="B11" s="16"/>
      <c r="C11" s="16"/>
      <c r="D11" s="16"/>
      <c r="H11" s="24" t="s">
        <v>115</v>
      </c>
      <c r="I11" s="18"/>
      <c r="K11" s="17"/>
      <c r="L11" s="17"/>
      <c r="M11" s="17"/>
      <c r="N11" s="17"/>
      <c r="O11" s="17"/>
      <c r="Q11" s="89"/>
      <c r="R11" s="89"/>
      <c r="S11" s="89"/>
      <c r="T11" s="89"/>
      <c r="U11" s="65"/>
      <c r="V11" s="89"/>
      <c r="W11" s="89"/>
      <c r="X11" s="89"/>
    </row>
    <row r="12" spans="1:24" ht="14.25" customHeight="1" x14ac:dyDescent="0.45">
      <c r="A12" s="4"/>
      <c r="B12" s="16"/>
      <c r="C12" s="16"/>
      <c r="D12" s="16"/>
      <c r="H12" s="24" t="s">
        <v>116</v>
      </c>
      <c r="I12" s="18"/>
      <c r="K12" s="17"/>
      <c r="L12" s="17"/>
      <c r="M12" s="17"/>
      <c r="N12" s="17"/>
      <c r="O12" s="17"/>
      <c r="Q12" s="89"/>
      <c r="R12" s="89"/>
      <c r="S12" s="89"/>
      <c r="T12" s="89"/>
      <c r="U12" s="65"/>
      <c r="V12" s="89"/>
      <c r="W12" s="89"/>
      <c r="X12" s="89"/>
    </row>
    <row r="13" spans="1:24" ht="14.25" customHeight="1" x14ac:dyDescent="0.45">
      <c r="A13" s="4"/>
      <c r="B13" s="16"/>
      <c r="C13" s="16"/>
      <c r="D13" s="16"/>
      <c r="H13" s="24" t="s">
        <v>117</v>
      </c>
      <c r="I13" s="18" cm="1">
        <f t="array" ref="I13">SUM(B4:B7/SUM(B4:C7))</f>
        <v>0.63265306122448983</v>
      </c>
      <c r="K13" s="17"/>
      <c r="L13" s="17"/>
      <c r="M13" s="17"/>
      <c r="N13" s="17"/>
      <c r="O13" s="17"/>
      <c r="Q13" s="89"/>
      <c r="R13" s="89"/>
      <c r="S13" s="89"/>
      <c r="T13" s="89"/>
      <c r="U13" s="65"/>
      <c r="V13" s="89"/>
      <c r="W13" s="89"/>
      <c r="X13" s="89"/>
    </row>
    <row r="14" spans="1:24" ht="14.25" customHeight="1" x14ac:dyDescent="0.45">
      <c r="A14" s="4"/>
      <c r="B14" s="16"/>
      <c r="C14" s="16"/>
      <c r="D14" s="16"/>
      <c r="K14" s="17"/>
      <c r="L14" s="17"/>
      <c r="M14" s="17"/>
      <c r="N14" s="17"/>
      <c r="O14" s="17"/>
      <c r="Q14" s="89"/>
      <c r="R14" s="89"/>
      <c r="S14" s="89"/>
      <c r="T14" s="89"/>
      <c r="U14" s="65"/>
      <c r="V14" s="89"/>
      <c r="W14" s="89"/>
      <c r="X14" s="89"/>
    </row>
    <row r="15" spans="1:24" ht="14.25" customHeight="1" x14ac:dyDescent="0.45">
      <c r="A15" s="4"/>
      <c r="B15" s="16"/>
      <c r="C15" s="16"/>
      <c r="D15" s="16"/>
      <c r="K15" s="17"/>
      <c r="L15" s="17"/>
      <c r="M15" s="17"/>
      <c r="N15" s="17"/>
      <c r="O15" s="17"/>
      <c r="Q15" s="89"/>
      <c r="R15" s="89"/>
      <c r="S15" s="89"/>
      <c r="T15" s="89"/>
      <c r="U15" s="65"/>
      <c r="V15" s="89"/>
      <c r="W15" s="89"/>
      <c r="X15" s="89"/>
    </row>
    <row r="16" spans="1:24" ht="14.25" customHeight="1" x14ac:dyDescent="0.45">
      <c r="A16" s="4"/>
      <c r="B16" s="16"/>
      <c r="C16" s="16"/>
      <c r="D16" s="16"/>
      <c r="K16" s="17"/>
      <c r="L16" s="17"/>
      <c r="M16" s="17"/>
      <c r="N16" s="17"/>
      <c r="O16" s="17"/>
      <c r="Q16" s="89"/>
      <c r="R16" s="89"/>
      <c r="S16" s="89"/>
      <c r="T16" s="89"/>
      <c r="U16" s="65"/>
      <c r="V16" s="89"/>
      <c r="W16" s="89"/>
      <c r="X16" s="89"/>
    </row>
    <row r="17" spans="1:24" ht="14.25" customHeight="1" x14ac:dyDescent="0.45">
      <c r="A17" s="4"/>
      <c r="B17" s="16"/>
      <c r="C17" s="16"/>
      <c r="D17" s="16"/>
      <c r="K17" s="17"/>
      <c r="L17" s="17"/>
      <c r="M17" s="17"/>
      <c r="N17" s="17"/>
      <c r="O17" s="17"/>
      <c r="Q17" s="89"/>
      <c r="R17" s="89"/>
      <c r="S17" s="89"/>
      <c r="T17" s="89"/>
      <c r="U17" s="65"/>
      <c r="V17" s="89"/>
      <c r="W17" s="89"/>
      <c r="X17" s="89"/>
    </row>
    <row r="18" spans="1:24" ht="14.25" customHeight="1" x14ac:dyDescent="0.45">
      <c r="A18" s="4"/>
      <c r="B18" s="16"/>
      <c r="C18" s="16"/>
      <c r="D18" s="16"/>
      <c r="K18" s="17"/>
      <c r="L18" s="17"/>
      <c r="M18" s="17"/>
      <c r="N18" s="17"/>
      <c r="O18" s="17"/>
      <c r="Q18" s="89"/>
      <c r="R18" s="89"/>
      <c r="S18" s="89"/>
      <c r="T18" s="89"/>
      <c r="U18" s="65"/>
      <c r="V18" s="89"/>
      <c r="W18" s="89"/>
      <c r="X18" s="89"/>
    </row>
    <row r="19" spans="1:24" ht="14.25" customHeight="1" x14ac:dyDescent="0.45">
      <c r="A19" s="4"/>
      <c r="B19" s="16"/>
      <c r="C19" s="16"/>
      <c r="D19" s="16"/>
      <c r="K19" s="17"/>
      <c r="L19" s="17"/>
      <c r="M19" s="17"/>
      <c r="N19" s="17"/>
      <c r="O19" s="17"/>
      <c r="Q19" s="89"/>
      <c r="R19" s="89"/>
      <c r="S19" s="89"/>
      <c r="T19" s="89"/>
      <c r="U19" s="65"/>
      <c r="V19" s="89"/>
      <c r="W19" s="89"/>
      <c r="X19" s="89"/>
    </row>
    <row r="20" spans="1:24" ht="14.25" customHeight="1" x14ac:dyDescent="0.45">
      <c r="A20" s="4"/>
      <c r="B20" s="16"/>
      <c r="C20" s="16"/>
      <c r="D20" s="16"/>
      <c r="K20" s="17"/>
      <c r="L20" s="17"/>
      <c r="M20" s="17"/>
      <c r="N20" s="17"/>
      <c r="O20" s="17"/>
      <c r="Q20" s="89"/>
      <c r="R20" s="89"/>
      <c r="S20" s="89"/>
      <c r="T20" s="89"/>
      <c r="U20" s="65"/>
      <c r="V20" s="89"/>
      <c r="W20" s="89"/>
      <c r="X20" s="89"/>
    </row>
    <row r="21" spans="1:24" ht="14.25" customHeight="1" x14ac:dyDescent="0.45">
      <c r="A21" s="4"/>
      <c r="B21" s="16"/>
      <c r="C21" s="16"/>
      <c r="D21" s="16"/>
      <c r="K21" s="17"/>
      <c r="L21" s="17"/>
      <c r="M21" s="17"/>
      <c r="N21" s="17"/>
      <c r="O21" s="17"/>
      <c r="Q21" s="89"/>
      <c r="R21" s="89"/>
      <c r="S21" s="89"/>
      <c r="T21" s="89"/>
      <c r="U21" s="65"/>
      <c r="V21" s="89"/>
      <c r="W21" s="89"/>
      <c r="X21" s="89"/>
    </row>
    <row r="22" spans="1:24" ht="14.25" customHeight="1" x14ac:dyDescent="0.45">
      <c r="K22" s="17"/>
      <c r="L22" s="17"/>
      <c r="M22" s="17"/>
      <c r="N22" s="17"/>
      <c r="O22" s="17"/>
      <c r="Q22" s="89"/>
      <c r="R22" s="89"/>
      <c r="S22" s="89"/>
      <c r="T22" s="89"/>
      <c r="U22" s="65"/>
      <c r="V22" s="89"/>
      <c r="W22" s="89"/>
      <c r="X22" s="89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7"/>
      <c r="L23" s="17"/>
      <c r="M23" s="17"/>
      <c r="N23" s="17"/>
      <c r="O23" s="17"/>
      <c r="Q23" s="89"/>
      <c r="R23" s="89"/>
      <c r="S23" s="89"/>
      <c r="T23" s="89"/>
      <c r="U23" s="65"/>
      <c r="V23" s="89"/>
      <c r="W23" s="89"/>
      <c r="X23" s="89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7"/>
      <c r="L24" s="17"/>
      <c r="M24" s="17"/>
      <c r="N24" s="17"/>
      <c r="O24" s="17"/>
      <c r="Q24" s="89"/>
      <c r="R24" s="89"/>
      <c r="S24" s="89"/>
      <c r="T24" s="89"/>
      <c r="U24" s="65"/>
      <c r="V24" s="89"/>
      <c r="W24" s="89"/>
      <c r="X24" s="89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7"/>
      <c r="L25" s="17"/>
      <c r="M25" s="17"/>
      <c r="N25" s="17"/>
      <c r="O25" s="17"/>
      <c r="Q25" s="89"/>
      <c r="R25" s="89"/>
      <c r="S25" s="89"/>
      <c r="T25" s="89"/>
      <c r="U25" s="65"/>
      <c r="V25" s="89"/>
      <c r="W25" s="89"/>
      <c r="X25" s="89"/>
    </row>
    <row r="26" spans="1:24" ht="14.25" customHeight="1" x14ac:dyDescent="0.45">
      <c r="K26" s="17"/>
      <c r="L26" s="17"/>
      <c r="M26" s="17"/>
      <c r="N26" s="17"/>
      <c r="O26" s="17"/>
      <c r="Q26" s="89"/>
      <c r="R26" s="89"/>
      <c r="S26" s="89"/>
      <c r="T26" s="89"/>
      <c r="U26" s="65"/>
      <c r="V26" s="89"/>
      <c r="W26" s="89"/>
      <c r="X26" s="89"/>
    </row>
    <row r="27" spans="1:24" ht="14.25" customHeight="1" x14ac:dyDescent="0.45">
      <c r="K27" s="17"/>
      <c r="L27" s="17"/>
      <c r="M27" s="17"/>
      <c r="N27" s="17"/>
      <c r="O27" s="17"/>
      <c r="Q27" s="89"/>
      <c r="R27" s="89"/>
      <c r="S27" s="89"/>
      <c r="T27" s="89"/>
      <c r="U27" s="65"/>
      <c r="V27" s="89"/>
      <c r="W27" s="89"/>
      <c r="X27" s="89"/>
    </row>
    <row r="28" spans="1:24" ht="14.25" customHeight="1" x14ac:dyDescent="0.45">
      <c r="K28" s="17"/>
      <c r="L28" s="17"/>
      <c r="M28" s="17"/>
      <c r="N28" s="17"/>
      <c r="O28" s="17"/>
      <c r="Q28" s="89"/>
      <c r="R28" s="89"/>
      <c r="S28" s="89"/>
      <c r="T28" s="89"/>
      <c r="U28" s="65"/>
      <c r="V28" s="89"/>
      <c r="W28" s="89"/>
      <c r="X28" s="89"/>
    </row>
    <row r="29" spans="1:24" ht="14.25" customHeight="1" x14ac:dyDescent="0.45">
      <c r="K29" s="17"/>
      <c r="L29" s="17"/>
      <c r="M29" s="17"/>
      <c r="N29" s="17"/>
      <c r="O29" s="17"/>
      <c r="Q29" s="89"/>
      <c r="R29" s="89"/>
      <c r="S29" s="89"/>
      <c r="T29" s="89"/>
      <c r="U29" s="65"/>
      <c r="V29" s="129"/>
      <c r="W29" s="89"/>
      <c r="X29" s="89"/>
    </row>
    <row r="30" spans="1:24" ht="14.25" customHeight="1" x14ac:dyDescent="0.45">
      <c r="K30" s="17"/>
      <c r="L30" s="17"/>
      <c r="M30" s="17"/>
      <c r="N30" s="17"/>
      <c r="O30" s="17"/>
      <c r="P30" s="24"/>
      <c r="Q30" s="89"/>
      <c r="R30" s="89"/>
      <c r="S30" s="89"/>
      <c r="T30" s="89"/>
      <c r="U30" s="65"/>
      <c r="V30" s="89"/>
      <c r="W30" s="89"/>
      <c r="X30" s="89"/>
    </row>
    <row r="31" spans="1:24" ht="14.25" customHeight="1" x14ac:dyDescent="0.45">
      <c r="J31" s="24"/>
      <c r="Q31" s="22"/>
      <c r="U31" s="65"/>
      <c r="V31" s="65"/>
      <c r="W31" s="65"/>
      <c r="X31" s="65"/>
    </row>
    <row r="32" spans="1:24" ht="14.25" customHeight="1" x14ac:dyDescent="0.45">
      <c r="J32" s="24"/>
      <c r="K32" s="118" t="str">
        <f>Q32&amp;G4&amp;","&amp;H4&amp;"],"</f>
        <v>"PartA":[48,46],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6">
        <f>ROUND(SUM('Stats Global'!Q8,'Stats Global'!Q10,'Stats Global'!Q16:Q18,1)/COUNT(B4:B40),1)</f>
        <v>6.9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"PartB":[16,"Samuel McConaghy",13,"Alexander Galt",13,"Samuel McConaghy",0,"N/A"],</v>
      </c>
      <c r="Q33" s="40" t="s">
        <v>197</v>
      </c>
      <c r="S33" s="42">
        <f>MAX('Stats Global'!Q8,'Stats Global'!Q10,'Stats Global'!Q16:Q18)</f>
        <v>16</v>
      </c>
      <c r="T33" s="40" t="s">
        <v>60</v>
      </c>
      <c r="U33" s="66">
        <f>ROUND(SUM('Stats Global'!S8,'Stats Global'!S10,'Stats Global'!S16:S18)/COUNT(B4:B40),1)</f>
        <v>3.7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"PartC":[6.9,3.7,3,0,6.9,6.6],</v>
      </c>
      <c r="Q34" s="40" t="s">
        <v>198</v>
      </c>
      <c r="S34" s="42">
        <f>MAX('Stats Global'!S8,'Stats Global'!S10,'Stats Global'!S16:S18)</f>
        <v>13</v>
      </c>
      <c r="T34" s="40" t="s">
        <v>38</v>
      </c>
      <c r="U34" s="66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"PartD":[22,22,50,26,24,52],</v>
      </c>
      <c r="Q35" s="40" t="s">
        <v>199</v>
      </c>
      <c r="S35" s="42">
        <f>MAX('Stats Global'!U8,'Stats Global'!U10,'Stats Global'!U16:U18)</f>
        <v>13</v>
      </c>
      <c r="T35" s="40" t="s">
        <v>60</v>
      </c>
      <c r="U35" s="66">
        <f>ROUND(SUM('Stats Global'!W8,'Stats Global'!W10,'Stats Global'!W16:W18)/COUNT(B4:B40),1)</f>
        <v>0</v>
      </c>
    </row>
    <row r="36" spans="11:21" ht="14.25" customHeight="1" x14ac:dyDescent="0.45">
      <c r="S36" s="42">
        <f>MAX('Stats Global'!W8,'Stats Global'!W10,'Stats Global'!W16:W18)</f>
        <v>0</v>
      </c>
      <c r="T36" s="40" t="s">
        <v>206</v>
      </c>
      <c r="U36" s="40">
        <f>ROUND(G4/COUNT(B4:B40),1)</f>
        <v>6.9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0" t="s">
        <v>159</v>
      </c>
      <c r="R41" s="130"/>
      <c r="S41" s="130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0"/>
      <c r="R42" s="130"/>
      <c r="S42" s="130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M28" sqref="M2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zoomScale="70" zoomScaleNormal="70" workbookViewId="0">
      <selection activeCell="P22" sqref="P22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172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173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9">
        <v>1</v>
      </c>
      <c r="C4" s="69" t="s">
        <v>57</v>
      </c>
      <c r="D4" s="69" t="s">
        <v>39</v>
      </c>
      <c r="E4" s="69" t="s">
        <v>53</v>
      </c>
      <c r="F4" s="69" t="s">
        <v>173</v>
      </c>
      <c r="G4" s="69">
        <v>1</v>
      </c>
      <c r="H4" s="69">
        <v>1</v>
      </c>
      <c r="I4" s="69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69">
        <v>2</v>
      </c>
      <c r="C5" s="69" t="s">
        <v>34</v>
      </c>
      <c r="D5" s="69" t="s">
        <v>57</v>
      </c>
      <c r="E5" s="69" t="s">
        <v>38</v>
      </c>
      <c r="F5" s="69" t="s">
        <v>154</v>
      </c>
      <c r="G5" s="69">
        <v>1</v>
      </c>
      <c r="H5" s="69">
        <v>1</v>
      </c>
      <c r="I5" s="69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9">
        <v>3</v>
      </c>
      <c r="C6" s="69" t="s">
        <v>34</v>
      </c>
      <c r="D6" s="69" t="s">
        <v>39</v>
      </c>
      <c r="E6" s="69" t="s">
        <v>66</v>
      </c>
      <c r="F6" s="69" t="s">
        <v>154</v>
      </c>
      <c r="G6" s="69">
        <v>2</v>
      </c>
      <c r="H6" s="69">
        <v>2</v>
      </c>
      <c r="I6" s="69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9">
        <v>4</v>
      </c>
      <c r="C7" s="69" t="s">
        <v>34</v>
      </c>
      <c r="D7" s="69" t="s">
        <v>57</v>
      </c>
      <c r="E7" s="69" t="s">
        <v>38</v>
      </c>
      <c r="F7" s="69" t="s">
        <v>154</v>
      </c>
      <c r="G7" s="69">
        <v>3</v>
      </c>
      <c r="H7" s="69">
        <v>2</v>
      </c>
      <c r="I7" s="69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9">
        <v>5</v>
      </c>
      <c r="C8" s="69" t="s">
        <v>39</v>
      </c>
      <c r="D8" s="69" t="s">
        <v>34</v>
      </c>
      <c r="E8" s="69" t="s">
        <v>36</v>
      </c>
      <c r="F8" s="69" t="s">
        <v>154</v>
      </c>
      <c r="G8" s="69">
        <v>1</v>
      </c>
      <c r="H8" s="69">
        <v>1</v>
      </c>
      <c r="I8" s="69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9">
        <v>6</v>
      </c>
      <c r="C9" s="69" t="s">
        <v>57</v>
      </c>
      <c r="D9" s="69" t="s">
        <v>39</v>
      </c>
      <c r="E9" s="69" t="s">
        <v>56</v>
      </c>
      <c r="F9" s="69" t="s">
        <v>123</v>
      </c>
      <c r="G9" s="69">
        <v>1</v>
      </c>
      <c r="H9" s="69">
        <v>1</v>
      </c>
      <c r="I9" s="69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69">
        <v>7</v>
      </c>
      <c r="C10" s="69" t="s">
        <v>34</v>
      </c>
      <c r="D10" s="69" t="s">
        <v>57</v>
      </c>
      <c r="E10" s="69" t="s">
        <v>38</v>
      </c>
      <c r="F10" s="69" t="s">
        <v>154</v>
      </c>
      <c r="G10" s="69">
        <v>1</v>
      </c>
      <c r="H10" s="69">
        <v>1</v>
      </c>
      <c r="I10" s="69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69">
        <v>8</v>
      </c>
      <c r="C11" s="69" t="s">
        <v>34</v>
      </c>
      <c r="D11" s="69" t="s">
        <v>39</v>
      </c>
      <c r="E11" s="69" t="s">
        <v>63</v>
      </c>
      <c r="F11" s="69" t="s">
        <v>123</v>
      </c>
      <c r="G11" s="69">
        <v>2</v>
      </c>
      <c r="H11" s="69">
        <v>2</v>
      </c>
      <c r="I11" s="69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9">
        <v>9</v>
      </c>
      <c r="C12" s="69" t="s">
        <v>34</v>
      </c>
      <c r="D12" s="69" t="s">
        <v>57</v>
      </c>
      <c r="E12" s="69" t="s">
        <v>60</v>
      </c>
      <c r="F12" s="69" t="s">
        <v>123</v>
      </c>
      <c r="G12" s="69">
        <v>3</v>
      </c>
      <c r="H12" s="69">
        <v>2</v>
      </c>
      <c r="I12" s="69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9">
        <v>10</v>
      </c>
      <c r="C13" s="69" t="s">
        <v>34</v>
      </c>
      <c r="D13" s="69" t="s">
        <v>39</v>
      </c>
      <c r="E13" s="69" t="s">
        <v>60</v>
      </c>
      <c r="F13" s="69" t="s">
        <v>154</v>
      </c>
      <c r="G13" s="69">
        <v>4</v>
      </c>
      <c r="H13" s="69">
        <v>3</v>
      </c>
      <c r="I13" s="69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9">
        <v>11</v>
      </c>
      <c r="C14" s="69" t="s">
        <v>34</v>
      </c>
      <c r="D14" s="69" t="s">
        <v>57</v>
      </c>
      <c r="E14" s="69" t="s">
        <v>38</v>
      </c>
      <c r="F14" s="69" t="s">
        <v>154</v>
      </c>
      <c r="G14" s="69">
        <v>5</v>
      </c>
      <c r="H14" s="69">
        <v>3</v>
      </c>
      <c r="I14" s="69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69">
        <v>12</v>
      </c>
      <c r="C15" s="69" t="s">
        <v>34</v>
      </c>
      <c r="D15" s="69" t="s">
        <v>39</v>
      </c>
      <c r="E15" s="69" t="s">
        <v>38</v>
      </c>
      <c r="F15" s="69" t="s">
        <v>154</v>
      </c>
      <c r="G15" s="69">
        <v>6</v>
      </c>
      <c r="H15" s="69">
        <v>4</v>
      </c>
      <c r="I15" s="69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69">
        <v>13</v>
      </c>
      <c r="C16" s="69" t="s">
        <v>57</v>
      </c>
      <c r="D16" s="69" t="s">
        <v>34</v>
      </c>
      <c r="E16" s="69" t="s">
        <v>69</v>
      </c>
      <c r="F16" s="69" t="s">
        <v>154</v>
      </c>
      <c r="G16" s="69">
        <v>1</v>
      </c>
      <c r="H16" s="69">
        <v>1</v>
      </c>
      <c r="I16" s="69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9">
        <v>14</v>
      </c>
      <c r="C17" s="69" t="s">
        <v>57</v>
      </c>
      <c r="D17" s="69" t="s">
        <v>39</v>
      </c>
      <c r="E17" s="69" t="s">
        <v>148</v>
      </c>
      <c r="F17" s="69" t="s">
        <v>154</v>
      </c>
      <c r="G17" s="69">
        <v>2</v>
      </c>
      <c r="H17" s="69">
        <v>5</v>
      </c>
      <c r="I17" s="69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69">
        <v>15</v>
      </c>
      <c r="C18" s="69" t="s">
        <v>57</v>
      </c>
      <c r="D18" s="69" t="s">
        <v>34</v>
      </c>
      <c r="E18" s="69" t="s">
        <v>56</v>
      </c>
      <c r="F18" s="69" t="s">
        <v>123</v>
      </c>
      <c r="G18" s="69">
        <v>3</v>
      </c>
      <c r="H18" s="69">
        <v>2</v>
      </c>
      <c r="I18" s="69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69">
        <v>16</v>
      </c>
      <c r="C19" s="69" t="s">
        <v>39</v>
      </c>
      <c r="D19" s="69" t="s">
        <v>57</v>
      </c>
      <c r="E19" s="69" t="s">
        <v>44</v>
      </c>
      <c r="F19" s="69" t="s">
        <v>154</v>
      </c>
      <c r="G19" s="69">
        <v>1</v>
      </c>
      <c r="H19" s="69">
        <v>1</v>
      </c>
      <c r="I19" s="69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9">
        <v>17</v>
      </c>
      <c r="C20" s="69" t="s">
        <v>39</v>
      </c>
      <c r="D20" s="69" t="s">
        <v>34</v>
      </c>
      <c r="E20" s="69" t="s">
        <v>44</v>
      </c>
      <c r="F20" s="69" t="s">
        <v>154</v>
      </c>
      <c r="G20" s="69">
        <v>2</v>
      </c>
      <c r="H20" s="69">
        <v>3</v>
      </c>
      <c r="I20" s="69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9">
        <v>18</v>
      </c>
      <c r="C21" s="69" t="s">
        <v>39</v>
      </c>
      <c r="D21" s="69" t="s">
        <v>57</v>
      </c>
      <c r="E21" s="69" t="s">
        <v>46</v>
      </c>
      <c r="F21" s="69" t="s">
        <v>123</v>
      </c>
      <c r="G21" s="69">
        <v>3</v>
      </c>
      <c r="H21" s="69">
        <v>2</v>
      </c>
      <c r="I21" s="69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9">
        <v>19</v>
      </c>
      <c r="C22" s="69" t="s">
        <v>34</v>
      </c>
      <c r="D22" s="69" t="s">
        <v>39</v>
      </c>
      <c r="E22" s="69" t="s">
        <v>38</v>
      </c>
      <c r="F22" s="69" t="s">
        <v>154</v>
      </c>
      <c r="G22" s="69">
        <v>1</v>
      </c>
      <c r="H22" s="69">
        <v>1</v>
      </c>
      <c r="I22" s="69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9">
        <v>20</v>
      </c>
      <c r="C23" s="69" t="s">
        <v>34</v>
      </c>
      <c r="D23" s="69" t="s">
        <v>57</v>
      </c>
      <c r="E23" s="69" t="s">
        <v>63</v>
      </c>
      <c r="F23" s="69" t="s">
        <v>123</v>
      </c>
      <c r="G23" s="69">
        <v>2</v>
      </c>
      <c r="H23" s="69">
        <v>3</v>
      </c>
      <c r="I23" s="69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9">
        <v>21</v>
      </c>
      <c r="C24" s="69" t="s">
        <v>34</v>
      </c>
      <c r="D24" s="69" t="s">
        <v>39</v>
      </c>
      <c r="E24" s="69" t="s">
        <v>66</v>
      </c>
      <c r="F24" s="69" t="s">
        <v>154</v>
      </c>
      <c r="G24" s="69">
        <v>3</v>
      </c>
      <c r="H24" s="69">
        <v>2</v>
      </c>
      <c r="I24" s="69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9">
        <v>22</v>
      </c>
      <c r="C25" s="69" t="s">
        <v>57</v>
      </c>
      <c r="D25" s="69" t="s">
        <v>34</v>
      </c>
      <c r="E25" s="69" t="s">
        <v>56</v>
      </c>
      <c r="F25" s="69" t="s">
        <v>154</v>
      </c>
      <c r="G25" s="69">
        <v>1</v>
      </c>
      <c r="H25" s="69">
        <v>1</v>
      </c>
      <c r="I25" s="69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9">
        <v>23</v>
      </c>
      <c r="C26" s="69" t="s">
        <v>57</v>
      </c>
      <c r="D26" s="69" t="s">
        <v>39</v>
      </c>
      <c r="E26" s="69" t="s">
        <v>148</v>
      </c>
      <c r="F26" s="69" t="s">
        <v>154</v>
      </c>
      <c r="G26" s="69">
        <v>2</v>
      </c>
      <c r="H26" s="69">
        <v>3</v>
      </c>
      <c r="I26" s="69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173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69"/>
      <c r="C21" s="69"/>
      <c r="D21" s="69"/>
      <c r="E21" s="69"/>
      <c r="F21" s="69"/>
      <c r="G21" s="69"/>
      <c r="H21" s="69"/>
      <c r="I21" s="69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69"/>
      <c r="C22" s="69"/>
      <c r="D22" s="69"/>
      <c r="E22" s="69"/>
      <c r="F22" s="69"/>
      <c r="G22" s="69"/>
      <c r="H22" s="69"/>
      <c r="I22" s="69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69"/>
      <c r="C23" s="69"/>
      <c r="D23" s="69"/>
      <c r="E23" s="69"/>
      <c r="F23" s="69"/>
      <c r="G23" s="69"/>
      <c r="H23" s="69"/>
      <c r="I23" s="69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69"/>
      <c r="C24" s="69"/>
      <c r="D24" s="69"/>
      <c r="E24" s="69"/>
      <c r="F24" s="69"/>
      <c r="G24" s="69"/>
      <c r="H24" s="69"/>
      <c r="I24" s="69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69"/>
      <c r="C25" s="69"/>
      <c r="D25" s="69"/>
      <c r="E25" s="69"/>
      <c r="F25" s="69"/>
      <c r="G25" s="69"/>
      <c r="H25" s="69"/>
      <c r="I25" s="69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69"/>
      <c r="C26" s="69"/>
      <c r="D26" s="69"/>
      <c r="E26" s="69"/>
      <c r="F26" s="69"/>
      <c r="G26" s="69"/>
      <c r="H26" s="69"/>
      <c r="I26" s="69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0" t="s">
        <v>159</v>
      </c>
      <c r="R41" s="130"/>
      <c r="S41" s="130"/>
      <c r="T41" s="19"/>
      <c r="U41" s="19"/>
    </row>
    <row r="42" spans="17:21" ht="14.25" customHeight="1" x14ac:dyDescent="0.45">
      <c r="Q42" s="130"/>
      <c r="R42" s="130"/>
      <c r="S42" s="130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C6" sqref="AC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>
      <selection activeCell="K12" sqref="K1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>
        <v>1</v>
      </c>
      <c r="C4" s="113" t="s">
        <v>39</v>
      </c>
      <c r="D4" s="113" t="s">
        <v>57</v>
      </c>
      <c r="E4" s="113" t="s">
        <v>46</v>
      </c>
      <c r="F4" s="113" t="s">
        <v>123</v>
      </c>
      <c r="G4" s="113">
        <v>1</v>
      </c>
      <c r="H4" s="113">
        <v>1</v>
      </c>
      <c r="I4" s="113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>
        <v>2</v>
      </c>
      <c r="C5" s="113" t="s">
        <v>39</v>
      </c>
      <c r="D5" s="113" t="s">
        <v>34</v>
      </c>
      <c r="E5" s="113" t="s">
        <v>36</v>
      </c>
      <c r="F5" s="113" t="s">
        <v>154</v>
      </c>
      <c r="G5" s="113">
        <v>2</v>
      </c>
      <c r="H5" s="113">
        <v>1</v>
      </c>
      <c r="I5" s="113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>
        <v>3</v>
      </c>
      <c r="C6" s="113" t="s">
        <v>57</v>
      </c>
      <c r="D6" s="113" t="s">
        <v>39</v>
      </c>
      <c r="E6" s="113" t="s">
        <v>53</v>
      </c>
      <c r="F6" s="113" t="s">
        <v>173</v>
      </c>
      <c r="G6" s="113">
        <v>1</v>
      </c>
      <c r="H6" s="113">
        <v>1</v>
      </c>
      <c r="I6" s="113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13">
        <v>4</v>
      </c>
      <c r="C7" s="113" t="s">
        <v>57</v>
      </c>
      <c r="D7" s="113" t="s">
        <v>34</v>
      </c>
      <c r="E7" s="113" t="s">
        <v>69</v>
      </c>
      <c r="F7" s="113" t="s">
        <v>123</v>
      </c>
      <c r="G7" s="113">
        <v>2</v>
      </c>
      <c r="H7" s="113">
        <v>2</v>
      </c>
      <c r="I7" s="113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13">
        <v>5</v>
      </c>
      <c r="C8" s="113" t="s">
        <v>57</v>
      </c>
      <c r="D8" s="113" t="s">
        <v>39</v>
      </c>
      <c r="E8" s="113" t="s">
        <v>56</v>
      </c>
      <c r="F8" s="113" t="s">
        <v>154</v>
      </c>
      <c r="G8" s="113">
        <v>3</v>
      </c>
      <c r="H8" s="113">
        <v>2</v>
      </c>
      <c r="I8" s="11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>
        <v>6</v>
      </c>
      <c r="C9" s="113" t="s">
        <v>57</v>
      </c>
      <c r="D9" s="113" t="s">
        <v>34</v>
      </c>
      <c r="E9" s="113" t="s">
        <v>53</v>
      </c>
      <c r="F9" s="113" t="s">
        <v>154</v>
      </c>
      <c r="G9" s="113">
        <v>4</v>
      </c>
      <c r="H9" s="113">
        <v>3</v>
      </c>
      <c r="I9" s="113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>
        <v>7</v>
      </c>
      <c r="C10" s="113" t="s">
        <v>39</v>
      </c>
      <c r="D10" s="113" t="s">
        <v>57</v>
      </c>
      <c r="E10" s="113" t="s">
        <v>44</v>
      </c>
      <c r="F10" s="113" t="s">
        <v>154</v>
      </c>
      <c r="G10" s="113">
        <v>1</v>
      </c>
      <c r="H10" s="113">
        <v>1</v>
      </c>
      <c r="I10" s="113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>
        <v>8</v>
      </c>
      <c r="C11" s="113" t="s">
        <v>39</v>
      </c>
      <c r="D11" s="113" t="s">
        <v>34</v>
      </c>
      <c r="E11" s="113" t="s">
        <v>46</v>
      </c>
      <c r="F11" s="113" t="s">
        <v>123</v>
      </c>
      <c r="G11" s="113">
        <v>2</v>
      </c>
      <c r="H11" s="113">
        <v>4</v>
      </c>
      <c r="I11" s="113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>
        <v>9</v>
      </c>
      <c r="C12" s="113" t="s">
        <v>39</v>
      </c>
      <c r="D12" s="113" t="s">
        <v>57</v>
      </c>
      <c r="E12" s="113" t="s">
        <v>44</v>
      </c>
      <c r="F12" s="113" t="s">
        <v>154</v>
      </c>
      <c r="G12" s="113">
        <v>3</v>
      </c>
      <c r="H12" s="113">
        <v>2</v>
      </c>
      <c r="I12" s="11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>
        <v>10</v>
      </c>
      <c r="C13" s="113" t="s">
        <v>34</v>
      </c>
      <c r="D13" s="113" t="s">
        <v>39</v>
      </c>
      <c r="E13" s="113" t="s">
        <v>60</v>
      </c>
      <c r="F13" s="113" t="s">
        <v>123</v>
      </c>
      <c r="G13" s="113">
        <v>1</v>
      </c>
      <c r="H13" s="113">
        <v>1</v>
      </c>
      <c r="I13" s="11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>
        <v>11</v>
      </c>
      <c r="C14" s="113" t="s">
        <v>57</v>
      </c>
      <c r="D14" s="113" t="s">
        <v>34</v>
      </c>
      <c r="E14" s="113" t="s">
        <v>56</v>
      </c>
      <c r="F14" s="113" t="s">
        <v>154</v>
      </c>
      <c r="G14" s="113">
        <v>1</v>
      </c>
      <c r="H14" s="113">
        <v>1</v>
      </c>
      <c r="I14" s="11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>
        <v>12</v>
      </c>
      <c r="C15" s="113" t="s">
        <v>57</v>
      </c>
      <c r="D15" s="113" t="s">
        <v>39</v>
      </c>
      <c r="E15" s="113" t="s">
        <v>56</v>
      </c>
      <c r="F15" s="113" t="s">
        <v>123</v>
      </c>
      <c r="G15" s="113">
        <v>2</v>
      </c>
      <c r="H15" s="113">
        <v>2</v>
      </c>
      <c r="I15" s="113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>
        <v>13</v>
      </c>
      <c r="C16" s="113" t="s">
        <v>57</v>
      </c>
      <c r="D16" s="113" t="s">
        <v>34</v>
      </c>
      <c r="E16" s="113" t="s">
        <v>79</v>
      </c>
      <c r="F16" s="113" t="s">
        <v>123</v>
      </c>
      <c r="G16" s="113">
        <v>3</v>
      </c>
      <c r="H16" s="113">
        <v>2</v>
      </c>
      <c r="I16" s="11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>
        <v>14</v>
      </c>
      <c r="C17" s="113" t="s">
        <v>39</v>
      </c>
      <c r="D17" s="113" t="s">
        <v>57</v>
      </c>
      <c r="E17" s="113" t="s">
        <v>44</v>
      </c>
      <c r="F17" s="113" t="s">
        <v>123</v>
      </c>
      <c r="G17" s="113">
        <v>1</v>
      </c>
      <c r="H17" s="113">
        <v>1</v>
      </c>
      <c r="I17" s="113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>
        <v>15</v>
      </c>
      <c r="C18" s="113" t="s">
        <v>39</v>
      </c>
      <c r="D18" s="113" t="s">
        <v>34</v>
      </c>
      <c r="E18" s="113" t="s">
        <v>46</v>
      </c>
      <c r="F18" s="113" t="s">
        <v>123</v>
      </c>
      <c r="G18" s="113">
        <v>2</v>
      </c>
      <c r="H18" s="113">
        <v>3</v>
      </c>
      <c r="I18" s="11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>
        <v>16</v>
      </c>
      <c r="C19" s="113" t="s">
        <v>57</v>
      </c>
      <c r="D19" s="113" t="s">
        <v>39</v>
      </c>
      <c r="E19" s="113" t="s">
        <v>56</v>
      </c>
      <c r="F19" s="113" t="s">
        <v>154</v>
      </c>
      <c r="G19" s="113">
        <v>1</v>
      </c>
      <c r="H19" s="113">
        <v>1</v>
      </c>
      <c r="I19" s="113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>
        <v>17</v>
      </c>
      <c r="C20" s="113" t="s">
        <v>57</v>
      </c>
      <c r="D20" s="113" t="s">
        <v>34</v>
      </c>
      <c r="E20" s="113" t="s">
        <v>56</v>
      </c>
      <c r="F20" s="113" t="s">
        <v>123</v>
      </c>
      <c r="G20" s="113">
        <v>2</v>
      </c>
      <c r="H20" s="113">
        <v>4</v>
      </c>
      <c r="I20" s="113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>
        <v>18</v>
      </c>
      <c r="C21" s="113" t="s">
        <v>39</v>
      </c>
      <c r="D21" s="113" t="s">
        <v>57</v>
      </c>
      <c r="E21" s="113" t="s">
        <v>44</v>
      </c>
      <c r="F21" s="113" t="s">
        <v>154</v>
      </c>
      <c r="G21" s="113">
        <v>1</v>
      </c>
      <c r="H21" s="113">
        <v>1</v>
      </c>
      <c r="I21" s="113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13">
        <v>19</v>
      </c>
      <c r="C22" s="113" t="s">
        <v>34</v>
      </c>
      <c r="D22" s="113" t="s">
        <v>39</v>
      </c>
      <c r="E22" s="113" t="s">
        <v>60</v>
      </c>
      <c r="F22" s="113" t="s">
        <v>123</v>
      </c>
      <c r="G22" s="113">
        <v>1</v>
      </c>
      <c r="H22" s="113">
        <v>1</v>
      </c>
      <c r="I22" s="113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13">
        <v>20</v>
      </c>
      <c r="C23" s="113" t="s">
        <v>57</v>
      </c>
      <c r="D23" s="113" t="s">
        <v>34</v>
      </c>
      <c r="E23" s="113" t="s">
        <v>56</v>
      </c>
      <c r="F23" s="113" t="s">
        <v>123</v>
      </c>
      <c r="G23" s="113">
        <v>1</v>
      </c>
      <c r="H23" s="113">
        <v>1</v>
      </c>
      <c r="I23" s="11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>
        <v>21</v>
      </c>
      <c r="C24" s="113" t="s">
        <v>57</v>
      </c>
      <c r="D24" s="113" t="s">
        <v>39</v>
      </c>
      <c r="E24" s="113" t="s">
        <v>79</v>
      </c>
      <c r="F24" s="113" t="s">
        <v>154</v>
      </c>
      <c r="G24" s="113">
        <v>2</v>
      </c>
      <c r="H24" s="113">
        <v>2</v>
      </c>
      <c r="I24" s="113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>
        <v>22</v>
      </c>
      <c r="C25" s="113" t="s">
        <v>57</v>
      </c>
      <c r="D25" s="113" t="s">
        <v>34</v>
      </c>
      <c r="E25" s="113" t="s">
        <v>53</v>
      </c>
      <c r="F25" s="113" t="s">
        <v>154</v>
      </c>
      <c r="G25" s="113">
        <v>3</v>
      </c>
      <c r="H25" s="113">
        <v>2</v>
      </c>
      <c r="I25" s="11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>
        <v>23</v>
      </c>
      <c r="C26" s="113" t="s">
        <v>57</v>
      </c>
      <c r="D26" s="113" t="s">
        <v>39</v>
      </c>
      <c r="E26" s="113" t="s">
        <v>56</v>
      </c>
      <c r="F26" s="113" t="s">
        <v>123</v>
      </c>
      <c r="G26" s="113">
        <v>4</v>
      </c>
      <c r="H26" s="113">
        <v>3</v>
      </c>
      <c r="I26" s="113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>
        <v>24</v>
      </c>
      <c r="C27" s="113" t="s">
        <v>34</v>
      </c>
      <c r="D27" s="113" t="s">
        <v>57</v>
      </c>
      <c r="E27" s="113" t="s">
        <v>33</v>
      </c>
      <c r="F27" s="113" t="s">
        <v>154</v>
      </c>
      <c r="G27" s="113">
        <v>1</v>
      </c>
      <c r="H27" s="113">
        <v>1</v>
      </c>
      <c r="I27" s="113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13">
        <v>25</v>
      </c>
      <c r="C28" s="113" t="s">
        <v>39</v>
      </c>
      <c r="D28" s="113" t="s">
        <v>34</v>
      </c>
      <c r="E28" s="113" t="s">
        <v>44</v>
      </c>
      <c r="F28" s="113" t="s">
        <v>154</v>
      </c>
      <c r="G28" s="113">
        <v>1</v>
      </c>
      <c r="H28" s="113">
        <v>1</v>
      </c>
      <c r="I28" s="11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13">
        <v>26</v>
      </c>
      <c r="C29" s="113" t="s">
        <v>39</v>
      </c>
      <c r="D29" s="113" t="s">
        <v>57</v>
      </c>
      <c r="E29" s="113" t="s">
        <v>44</v>
      </c>
      <c r="F29" s="113" t="s">
        <v>154</v>
      </c>
      <c r="G29" s="113">
        <v>2</v>
      </c>
      <c r="H29" s="113">
        <v>2</v>
      </c>
      <c r="I29" s="113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>
      <selection activeCell="B4" sqref="B4:I29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0</v>
      </c>
      <c r="M3" s="24">
        <f>COUNTIF(D3:D40,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0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13"/>
      <c r="C4" s="113"/>
      <c r="D4" s="113"/>
      <c r="E4" s="113"/>
      <c r="F4" s="113"/>
      <c r="G4" s="113"/>
      <c r="H4" s="113"/>
      <c r="I4" s="113"/>
      <c r="K4" s="24" t="s">
        <v>134</v>
      </c>
      <c r="L4" s="24">
        <f>COUNTIF(C3:C40, "5 Musketeers")</f>
        <v>0</v>
      </c>
      <c r="M4" s="24">
        <f>COUNTIF(D3:D40,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/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13"/>
      <c r="C5" s="113"/>
      <c r="D5" s="113"/>
      <c r="E5" s="113"/>
      <c r="F5" s="113"/>
      <c r="G5" s="113"/>
      <c r="H5" s="113"/>
      <c r="I5" s="113"/>
      <c r="K5" s="24" t="s">
        <v>133</v>
      </c>
      <c r="L5" s="24">
        <f>COUNTIF(C3:C40, "Wet Willies")</f>
        <v>0</v>
      </c>
      <c r="M5" s="24">
        <f>COUNTIF(D3:D40,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13"/>
      <c r="C6" s="113"/>
      <c r="D6" s="113"/>
      <c r="E6" s="113"/>
      <c r="F6" s="113"/>
      <c r="G6" s="113"/>
      <c r="H6" s="113"/>
      <c r="I6" s="113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113"/>
      <c r="C7" s="113"/>
      <c r="D7" s="113"/>
      <c r="E7" s="113"/>
      <c r="F7" s="113"/>
      <c r="G7" s="113"/>
      <c r="H7" s="113"/>
      <c r="I7" s="113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113"/>
      <c r="C8" s="113"/>
      <c r="D8" s="113"/>
      <c r="E8" s="113"/>
      <c r="F8" s="113"/>
      <c r="G8" s="113"/>
      <c r="H8" s="113"/>
      <c r="I8" s="113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13"/>
      <c r="C9" s="113"/>
      <c r="D9" s="113"/>
      <c r="E9" s="113"/>
      <c r="F9" s="113"/>
      <c r="G9" s="113"/>
      <c r="H9" s="113"/>
      <c r="I9" s="113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13"/>
      <c r="C10" s="113"/>
      <c r="D10" s="113"/>
      <c r="E10" s="113"/>
      <c r="F10" s="113"/>
      <c r="G10" s="113"/>
      <c r="H10" s="113"/>
      <c r="I10" s="113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13"/>
      <c r="C11" s="113"/>
      <c r="D11" s="113"/>
      <c r="E11" s="113"/>
      <c r="F11" s="113"/>
      <c r="G11" s="113"/>
      <c r="H11" s="113"/>
      <c r="I11" s="113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13"/>
      <c r="C12" s="113"/>
      <c r="D12" s="113"/>
      <c r="E12" s="113"/>
      <c r="F12" s="113"/>
      <c r="G12" s="113"/>
      <c r="H12" s="113"/>
      <c r="I12" s="113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13"/>
      <c r="C13" s="113"/>
      <c r="D13" s="113"/>
      <c r="E13" s="113"/>
      <c r="F13" s="113"/>
      <c r="G13" s="113"/>
      <c r="H13" s="113"/>
      <c r="I13" s="11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13"/>
      <c r="C14" s="113"/>
      <c r="D14" s="113"/>
      <c r="E14" s="113"/>
      <c r="F14" s="113"/>
      <c r="G14" s="113"/>
      <c r="H14" s="113"/>
      <c r="I14" s="113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13"/>
      <c r="C15" s="113"/>
      <c r="D15" s="113"/>
      <c r="E15" s="113"/>
      <c r="F15" s="113"/>
      <c r="G15" s="113"/>
      <c r="H15" s="113"/>
      <c r="I15" s="113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13"/>
      <c r="C16" s="113"/>
      <c r="D16" s="113"/>
      <c r="E16" s="113"/>
      <c r="F16" s="113"/>
      <c r="G16" s="113"/>
      <c r="H16" s="113"/>
      <c r="I16" s="11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13"/>
      <c r="C17" s="113"/>
      <c r="D17" s="113"/>
      <c r="E17" s="113"/>
      <c r="F17" s="113"/>
      <c r="G17" s="113"/>
      <c r="H17" s="113"/>
      <c r="I17" s="11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13"/>
      <c r="C18" s="113"/>
      <c r="D18" s="113"/>
      <c r="E18" s="113"/>
      <c r="F18" s="113"/>
      <c r="G18" s="113"/>
      <c r="H18" s="113"/>
      <c r="I18" s="11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13"/>
      <c r="C19" s="113"/>
      <c r="D19" s="113"/>
      <c r="E19" s="113"/>
      <c r="F19" s="113"/>
      <c r="G19" s="113"/>
      <c r="H19" s="113"/>
      <c r="I19" s="113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13"/>
      <c r="C20" s="113"/>
      <c r="D20" s="113"/>
      <c r="E20" s="113"/>
      <c r="F20" s="113"/>
      <c r="G20" s="113"/>
      <c r="H20" s="113"/>
      <c r="I20" s="113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13"/>
      <c r="C21" s="113"/>
      <c r="D21" s="113"/>
      <c r="E21" s="113"/>
      <c r="F21" s="113"/>
      <c r="G21" s="113"/>
      <c r="H21" s="113"/>
      <c r="I21" s="113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113"/>
      <c r="C22" s="113"/>
      <c r="D22" s="113"/>
      <c r="E22" s="113"/>
      <c r="F22" s="113"/>
      <c r="G22" s="113"/>
      <c r="H22" s="113"/>
      <c r="I22" s="113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113"/>
      <c r="C23" s="113"/>
      <c r="D23" s="113"/>
      <c r="E23" s="113"/>
      <c r="F23" s="113"/>
      <c r="G23" s="113"/>
      <c r="H23" s="113"/>
      <c r="I23" s="11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13"/>
      <c r="C24" s="113"/>
      <c r="D24" s="113"/>
      <c r="E24" s="113"/>
      <c r="F24" s="113"/>
      <c r="G24" s="113"/>
      <c r="H24" s="113"/>
      <c r="I24" s="11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13"/>
      <c r="C25" s="113"/>
      <c r="D25" s="113"/>
      <c r="E25" s="113"/>
      <c r="F25" s="113"/>
      <c r="G25" s="113"/>
      <c r="H25" s="113"/>
      <c r="I25" s="113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13"/>
      <c r="C26" s="113"/>
      <c r="D26" s="113"/>
      <c r="E26" s="113"/>
      <c r="F26" s="113"/>
      <c r="G26" s="113"/>
      <c r="H26" s="113"/>
      <c r="I26" s="11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13"/>
      <c r="C27" s="113"/>
      <c r="D27" s="113"/>
      <c r="E27" s="113"/>
      <c r="F27" s="113"/>
      <c r="G27" s="113"/>
      <c r="H27" s="113"/>
      <c r="I27" s="11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5">
      <c r="B28" s="113"/>
      <c r="C28" s="113"/>
      <c r="D28" s="113"/>
      <c r="E28" s="113"/>
      <c r="F28" s="113"/>
      <c r="G28" s="113"/>
      <c r="H28" s="113"/>
      <c r="I28" s="11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5">
      <c r="B29" s="113"/>
      <c r="C29" s="113"/>
      <c r="D29" s="113"/>
      <c r="E29" s="113"/>
      <c r="F29" s="113"/>
      <c r="G29" s="113"/>
      <c r="H29" s="113"/>
      <c r="I29" s="113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8"/>
        <v/>
      </c>
      <c r="Y29" s="24" t="str">
        <f t="shared" si="9"/>
        <v/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0" t="s">
        <v>159</v>
      </c>
      <c r="R41" s="130"/>
      <c r="S41" s="130"/>
      <c r="T41" s="19"/>
      <c r="U41" s="19"/>
    </row>
    <row r="42" spans="2:26" ht="14.25" customHeight="1" x14ac:dyDescent="0.45">
      <c r="Q42" s="130"/>
      <c r="R42" s="130"/>
      <c r="S42" s="130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"Points":[0,0,"Did not Play",0,0,"Did not Play",0,0,0,0,"Did not Play",0,"Did not Play",0,0,0],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Play",0,0,"Did not Play",0,0,0,0,"Did not Play",0,"Did not Play",0,0,0],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Play",0,0,"Did not Play",0,0,0,0,"Did not Play",0,"Did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Play",0,0,0,0,"Did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2023-05-12T03:43:43Z</dcterms:modified>
</cp:coreProperties>
</file>