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11445\Documents\GitHub\TLTBO\Other Files\"/>
    </mc:Choice>
  </mc:AlternateContent>
  <xr:revisionPtr revIDLastSave="0" documentId="13_ncr:1_{056A1964-1489-4C39-9F48-55DC89A8DC4F}" xr6:coauthVersionLast="47" xr6:coauthVersionMax="47" xr10:uidLastSave="{00000000-0000-0000-0000-000000000000}"/>
  <bookViews>
    <workbookView xWindow="-98" yWindow="-98" windowWidth="22695" windowHeight="14595" firstSheet="2" activeTab="5" xr2:uid="{ACED41D0-59FA-4D5C-BDD3-6D1FA98CB090}"/>
  </bookViews>
  <sheets>
    <sheet name="READ ME" sheetId="1" r:id="rId1"/>
    <sheet name="SfB" sheetId="2" r:id="rId2"/>
    <sheet name="Stats Global" sheetId="3" r:id="rId3"/>
    <sheet name="Statistics LG" sheetId="4" r:id="rId4"/>
    <sheet name="Statistics WW" sheetId="5" r:id="rId5"/>
    <sheet name="Statistics 5M" sheetId="6" r:id="rId6"/>
    <sheet name="Template" sheetId="7" r:id="rId7"/>
    <sheet name="2404" sheetId="8" r:id="rId8"/>
    <sheet name="2604" sheetId="9" r:id="rId9"/>
    <sheet name="0205" sheetId="10" r:id="rId10"/>
    <sheet name="0305" sheetId="11" r:id="rId11"/>
    <sheet name="0805" sheetId="13" r:id="rId12"/>
    <sheet name="0905" sheetId="14" r:id="rId13"/>
    <sheet name="1005" sheetId="15" r:id="rId14"/>
    <sheet name="1505" sheetId="16" r:id="rId15"/>
    <sheet name="1605" sheetId="17" r:id="rId16"/>
    <sheet name="1705" sheetId="18" r:id="rId17"/>
    <sheet name="2205" sheetId="19" r:id="rId18"/>
    <sheet name="2305" sheetId="20" r:id="rId19"/>
    <sheet name="2405" sheetId="21" r:id="rId20"/>
    <sheet name="Finals 1" sheetId="22" r:id="rId21"/>
    <sheet name="Finals 2" sheetId="23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6" l="1"/>
  <c r="D18" i="5"/>
  <c r="C18" i="6"/>
  <c r="B18" i="6"/>
  <c r="A18" i="6"/>
  <c r="C18" i="5"/>
  <c r="B18" i="5"/>
  <c r="A18" i="5"/>
  <c r="D18" i="4"/>
  <c r="C18" i="4"/>
  <c r="B18" i="4"/>
  <c r="A18" i="4"/>
  <c r="AB68" i="3"/>
  <c r="AC68" i="3" s="1"/>
  <c r="AD68" i="3"/>
  <c r="AE68" i="3" s="1"/>
  <c r="AF68" i="3"/>
  <c r="AG68" i="3"/>
  <c r="AH68" i="3"/>
  <c r="AI68" i="3"/>
  <c r="AB69" i="3"/>
  <c r="AC69" i="3" s="1"/>
  <c r="AD69" i="3"/>
  <c r="AE69" i="3" s="1"/>
  <c r="AF69" i="3"/>
  <c r="AG69" i="3"/>
  <c r="AH69" i="3"/>
  <c r="AI69" i="3"/>
  <c r="AB70" i="3"/>
  <c r="AC70" i="3" s="1"/>
  <c r="AD70" i="3"/>
  <c r="AE70" i="3" s="1"/>
  <c r="AF70" i="3"/>
  <c r="AG70" i="3"/>
  <c r="AH70" i="3"/>
  <c r="AI70" i="3"/>
  <c r="AB71" i="3"/>
  <c r="AC71" i="3" s="1"/>
  <c r="AD71" i="3"/>
  <c r="AE71" i="3" s="1"/>
  <c r="AF71" i="3"/>
  <c r="AG71" i="3"/>
  <c r="AH71" i="3"/>
  <c r="AI71" i="3"/>
  <c r="AB72" i="3"/>
  <c r="AC72" i="3" s="1"/>
  <c r="AD72" i="3"/>
  <c r="AE72" i="3" s="1"/>
  <c r="AF72" i="3"/>
  <c r="AG72" i="3"/>
  <c r="AH72" i="3"/>
  <c r="W13" i="3" s="1"/>
  <c r="AI72" i="3"/>
  <c r="AB73" i="3"/>
  <c r="AC73" i="3" s="1"/>
  <c r="AD73" i="3"/>
  <c r="AE73" i="3" s="1"/>
  <c r="AF73" i="3"/>
  <c r="AG73" i="3"/>
  <c r="AH73" i="3"/>
  <c r="W14" i="3" s="1"/>
  <c r="AI73" i="3"/>
  <c r="AB74" i="3"/>
  <c r="AC74" i="3" s="1"/>
  <c r="AD74" i="3"/>
  <c r="AE74" i="3" s="1"/>
  <c r="AF74" i="3"/>
  <c r="AG74" i="3"/>
  <c r="AH74" i="3"/>
  <c r="W15" i="3" s="1"/>
  <c r="AI74" i="3"/>
  <c r="AB75" i="3"/>
  <c r="AC75" i="3" s="1"/>
  <c r="AD75" i="3"/>
  <c r="AE75" i="3" s="1"/>
  <c r="AF75" i="3"/>
  <c r="AG75" i="3"/>
  <c r="AH75" i="3"/>
  <c r="W16" i="3" s="1"/>
  <c r="AI75" i="3"/>
  <c r="AB76" i="3"/>
  <c r="AC76" i="3" s="1"/>
  <c r="AD76" i="3"/>
  <c r="AE76" i="3" s="1"/>
  <c r="AF76" i="3"/>
  <c r="AG76" i="3"/>
  <c r="AH76" i="3"/>
  <c r="AI76" i="3"/>
  <c r="AB77" i="3"/>
  <c r="AC77" i="3" s="1"/>
  <c r="AD77" i="3"/>
  <c r="AE77" i="3" s="1"/>
  <c r="AF77" i="3"/>
  <c r="AG77" i="3"/>
  <c r="AH77" i="3"/>
  <c r="AI77" i="3"/>
  <c r="AB78" i="3"/>
  <c r="AC78" i="3" s="1"/>
  <c r="AD78" i="3"/>
  <c r="AE78" i="3" s="1"/>
  <c r="AF78" i="3"/>
  <c r="AG78" i="3"/>
  <c r="AH78" i="3"/>
  <c r="AI78" i="3"/>
  <c r="AB79" i="3"/>
  <c r="AC79" i="3" s="1"/>
  <c r="AD79" i="3"/>
  <c r="AE79" i="3" s="1"/>
  <c r="AF79" i="3"/>
  <c r="AG79" i="3"/>
  <c r="AH79" i="3"/>
  <c r="AI79" i="3"/>
  <c r="AB80" i="3"/>
  <c r="AC80" i="3" s="1"/>
  <c r="AD80" i="3"/>
  <c r="AE80" i="3" s="1"/>
  <c r="AF80" i="3"/>
  <c r="AG80" i="3"/>
  <c r="AH80" i="3"/>
  <c r="AI80" i="3"/>
  <c r="AB81" i="3"/>
  <c r="AC81" i="3" s="1"/>
  <c r="AD81" i="3"/>
  <c r="AE81" i="3" s="1"/>
  <c r="AF81" i="3"/>
  <c r="AG81" i="3"/>
  <c r="AH81" i="3"/>
  <c r="AI81" i="3"/>
  <c r="AB82" i="3"/>
  <c r="AC82" i="3" s="1"/>
  <c r="AD82" i="3"/>
  <c r="AE82" i="3" s="1"/>
  <c r="AF82" i="3"/>
  <c r="AG82" i="3"/>
  <c r="AH82" i="3"/>
  <c r="W23" i="3" s="1"/>
  <c r="AI82" i="3"/>
  <c r="W9" i="3"/>
  <c r="W10" i="3"/>
  <c r="W17" i="3"/>
  <c r="W18" i="3"/>
  <c r="W21" i="3"/>
  <c r="W22" i="3"/>
  <c r="AH67" i="3"/>
  <c r="AF67" i="3"/>
  <c r="AG67" i="3" s="1"/>
  <c r="AD67" i="3"/>
  <c r="S8" i="3" s="1"/>
  <c r="AB67" i="3"/>
  <c r="Q8" i="3" s="1"/>
  <c r="R43" i="23"/>
  <c r="AA39" i="23"/>
  <c r="Z39" i="23"/>
  <c r="Y39" i="23"/>
  <c r="AA38" i="23"/>
  <c r="Z38" i="23"/>
  <c r="Y38" i="23"/>
  <c r="AA37" i="23"/>
  <c r="Z37" i="23"/>
  <c r="Y37" i="23"/>
  <c r="AA36" i="23"/>
  <c r="Z36" i="23"/>
  <c r="Y36" i="23"/>
  <c r="AA35" i="23"/>
  <c r="Z35" i="23"/>
  <c r="Y35" i="23"/>
  <c r="AA34" i="23"/>
  <c r="Z34" i="23"/>
  <c r="Y34" i="23"/>
  <c r="AA33" i="23"/>
  <c r="Z33" i="23"/>
  <c r="Y33" i="23"/>
  <c r="AA32" i="23"/>
  <c r="Z32" i="23"/>
  <c r="Y32" i="23"/>
  <c r="AA31" i="23"/>
  <c r="Z31" i="23"/>
  <c r="Y31" i="23"/>
  <c r="V31" i="23"/>
  <c r="U31" i="23"/>
  <c r="T31" i="23"/>
  <c r="S31" i="23"/>
  <c r="AA30" i="23"/>
  <c r="Z30" i="23"/>
  <c r="Y30" i="23"/>
  <c r="AA29" i="23"/>
  <c r="Z29" i="23"/>
  <c r="Y29" i="23"/>
  <c r="AA28" i="23"/>
  <c r="Z28" i="23"/>
  <c r="Y28" i="23"/>
  <c r="AA27" i="23"/>
  <c r="Z27" i="23"/>
  <c r="Y27" i="23"/>
  <c r="AA26" i="23"/>
  <c r="Z26" i="23"/>
  <c r="Y26" i="23"/>
  <c r="V26" i="23"/>
  <c r="U26" i="23"/>
  <c r="T26" i="23"/>
  <c r="S26" i="23"/>
  <c r="AA25" i="23"/>
  <c r="Z25" i="23"/>
  <c r="Y25" i="23"/>
  <c r="AA24" i="23"/>
  <c r="Z24" i="23"/>
  <c r="Y24" i="23"/>
  <c r="AA23" i="23"/>
  <c r="Z23" i="23"/>
  <c r="Y23" i="23"/>
  <c r="AA22" i="23"/>
  <c r="Z22" i="23"/>
  <c r="Y22" i="23"/>
  <c r="AA21" i="23"/>
  <c r="Z21" i="23"/>
  <c r="Y21" i="23"/>
  <c r="AA20" i="23"/>
  <c r="Z20" i="23"/>
  <c r="Y20" i="23"/>
  <c r="AA19" i="23"/>
  <c r="Z19" i="23"/>
  <c r="Y19" i="23"/>
  <c r="AF18" i="23"/>
  <c r="AE18" i="23"/>
  <c r="AD18" i="23"/>
  <c r="AA18" i="23"/>
  <c r="Z18" i="23"/>
  <c r="Y18" i="23"/>
  <c r="V18" i="23"/>
  <c r="V38" i="23" s="1"/>
  <c r="U18" i="23"/>
  <c r="U38" i="23" s="1"/>
  <c r="T18" i="23"/>
  <c r="T38" i="23" s="1"/>
  <c r="AF17" i="23"/>
  <c r="AE17" i="23"/>
  <c r="AD17" i="23"/>
  <c r="AA17" i="23"/>
  <c r="Z17" i="23"/>
  <c r="Y17" i="23"/>
  <c r="V17" i="23"/>
  <c r="V37" i="23" s="1"/>
  <c r="U17" i="23"/>
  <c r="U37" i="23" s="1"/>
  <c r="T17" i="23"/>
  <c r="T37" i="23" s="1"/>
  <c r="AF16" i="23"/>
  <c r="AE16" i="23"/>
  <c r="AD16" i="23"/>
  <c r="AA16" i="23"/>
  <c r="Z16" i="23"/>
  <c r="Y16" i="23"/>
  <c r="V16" i="23"/>
  <c r="V36" i="23" s="1"/>
  <c r="U16" i="23"/>
  <c r="U36" i="23" s="1"/>
  <c r="T16" i="23"/>
  <c r="T36" i="23" s="1"/>
  <c r="AF15" i="23"/>
  <c r="AE15" i="23"/>
  <c r="AD15" i="23"/>
  <c r="AA15" i="23"/>
  <c r="Z15" i="23"/>
  <c r="Y15" i="23"/>
  <c r="V15" i="23"/>
  <c r="V35" i="23" s="1"/>
  <c r="U15" i="23"/>
  <c r="U35" i="23" s="1"/>
  <c r="T15" i="23"/>
  <c r="T35" i="23" s="1"/>
  <c r="AF14" i="23"/>
  <c r="AE14" i="23"/>
  <c r="AD14" i="23"/>
  <c r="AA14" i="23"/>
  <c r="Z14" i="23"/>
  <c r="Y14" i="23"/>
  <c r="V14" i="23"/>
  <c r="S14" i="23" s="1"/>
  <c r="S34" i="23" s="1"/>
  <c r="U14" i="23"/>
  <c r="U34" i="23" s="1"/>
  <c r="T14" i="23"/>
  <c r="T34" i="23" s="1"/>
  <c r="AF13" i="23"/>
  <c r="AE13" i="23"/>
  <c r="AD13" i="23"/>
  <c r="AA13" i="23"/>
  <c r="Z13" i="23"/>
  <c r="Y13" i="23"/>
  <c r="V13" i="23"/>
  <c r="V33" i="23" s="1"/>
  <c r="U13" i="23"/>
  <c r="U33" i="23" s="1"/>
  <c r="T13" i="23"/>
  <c r="T33" i="23" s="1"/>
  <c r="AF12" i="23"/>
  <c r="AE12" i="23"/>
  <c r="AD12" i="23"/>
  <c r="AA12" i="23"/>
  <c r="Z12" i="23"/>
  <c r="Y12" i="23"/>
  <c r="V12" i="23"/>
  <c r="S12" i="23" s="1"/>
  <c r="S32" i="23" s="1"/>
  <c r="U12" i="23"/>
  <c r="U32" i="23" s="1"/>
  <c r="T12" i="23"/>
  <c r="T32" i="23" s="1"/>
  <c r="AF11" i="23"/>
  <c r="AE11" i="23"/>
  <c r="AD11" i="23"/>
  <c r="AA11" i="23"/>
  <c r="Z11" i="23"/>
  <c r="Y11" i="23"/>
  <c r="V11" i="23"/>
  <c r="S11" i="23" s="1"/>
  <c r="U11" i="23"/>
  <c r="T11" i="23"/>
  <c r="AF10" i="23"/>
  <c r="AE10" i="23"/>
  <c r="AD10" i="23"/>
  <c r="AA10" i="23"/>
  <c r="Z10" i="23"/>
  <c r="Y10" i="23"/>
  <c r="V10" i="23"/>
  <c r="V30" i="23" s="1"/>
  <c r="U10" i="23"/>
  <c r="U30" i="23" s="1"/>
  <c r="T10" i="23"/>
  <c r="T30" i="23" s="1"/>
  <c r="AF9" i="23"/>
  <c r="AE9" i="23"/>
  <c r="AD9" i="23"/>
  <c r="AA9" i="23"/>
  <c r="Z9" i="23"/>
  <c r="Y9" i="23"/>
  <c r="V9" i="23"/>
  <c r="V29" i="23" s="1"/>
  <c r="U9" i="23"/>
  <c r="U29" i="23" s="1"/>
  <c r="T9" i="23"/>
  <c r="T29" i="23" s="1"/>
  <c r="AF8" i="23"/>
  <c r="AE8" i="23"/>
  <c r="AD8" i="23"/>
  <c r="AA8" i="23"/>
  <c r="Z8" i="23"/>
  <c r="Y8" i="23"/>
  <c r="V8" i="23"/>
  <c r="V28" i="23" s="1"/>
  <c r="U8" i="23"/>
  <c r="U28" i="23" s="1"/>
  <c r="T8" i="23"/>
  <c r="T28" i="23" s="1"/>
  <c r="AF7" i="23"/>
  <c r="AE7" i="23"/>
  <c r="AD7" i="23"/>
  <c r="AA7" i="23"/>
  <c r="Z7" i="23"/>
  <c r="Y7" i="23"/>
  <c r="V7" i="23"/>
  <c r="V27" i="23" s="1"/>
  <c r="U7" i="23"/>
  <c r="U27" i="23" s="1"/>
  <c r="T7" i="23"/>
  <c r="T27" i="23" s="1"/>
  <c r="AF6" i="23"/>
  <c r="AE6" i="23"/>
  <c r="AD6" i="23"/>
  <c r="AA6" i="23"/>
  <c r="Z6" i="23"/>
  <c r="Y6" i="23"/>
  <c r="V6" i="23"/>
  <c r="S6" i="23" s="1"/>
  <c r="U6" i="23"/>
  <c r="T6" i="23"/>
  <c r="AF5" i="23"/>
  <c r="AE5" i="23"/>
  <c r="AD5" i="23"/>
  <c r="AA5" i="23"/>
  <c r="Z5" i="23"/>
  <c r="Y5" i="23"/>
  <c r="V5" i="23"/>
  <c r="V25" i="23" s="1"/>
  <c r="U5" i="23"/>
  <c r="U25" i="23" s="1"/>
  <c r="T5" i="23"/>
  <c r="T25" i="23" s="1"/>
  <c r="O5" i="23"/>
  <c r="AF4" i="23"/>
  <c r="AE4" i="23"/>
  <c r="AD4" i="23"/>
  <c r="AA4" i="23"/>
  <c r="Z4" i="23"/>
  <c r="Y4" i="23"/>
  <c r="V4" i="23"/>
  <c r="S4" i="23" s="1"/>
  <c r="S24" i="23" s="1"/>
  <c r="U4" i="23"/>
  <c r="U24" i="23" s="1"/>
  <c r="T4" i="23"/>
  <c r="T24" i="23" s="1"/>
  <c r="O4" i="23"/>
  <c r="AF3" i="23"/>
  <c r="AE3" i="23"/>
  <c r="AD3" i="23"/>
  <c r="V3" i="23"/>
  <c r="S3" i="23" s="1"/>
  <c r="S23" i="23" s="1"/>
  <c r="U3" i="23"/>
  <c r="U23" i="23" s="1"/>
  <c r="T3" i="23"/>
  <c r="T23" i="23" s="1"/>
  <c r="O3" i="23"/>
  <c r="Q9" i="3"/>
  <c r="Q10" i="3"/>
  <c r="Q11" i="3"/>
  <c r="Q17" i="3"/>
  <c r="Q18" i="3"/>
  <c r="Q19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W8" i="3"/>
  <c r="W11" i="3"/>
  <c r="W19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AI67" i="3"/>
  <c r="AC67" i="3"/>
  <c r="D17" i="6"/>
  <c r="C17" i="6"/>
  <c r="B17" i="6"/>
  <c r="A17" i="6"/>
  <c r="R17" i="5"/>
  <c r="D17" i="5"/>
  <c r="C17" i="5"/>
  <c r="B17" i="5"/>
  <c r="A17" i="5"/>
  <c r="T17" i="4"/>
  <c r="D17" i="4"/>
  <c r="C17" i="4"/>
  <c r="B17" i="4"/>
  <c r="A17" i="4"/>
  <c r="R43" i="22"/>
  <c r="AA39" i="22"/>
  <c r="Z39" i="22"/>
  <c r="Y39" i="22"/>
  <c r="AA38" i="22"/>
  <c r="Z38" i="22"/>
  <c r="Y38" i="22"/>
  <c r="AA37" i="22"/>
  <c r="Z37" i="22"/>
  <c r="Y37" i="22"/>
  <c r="AA36" i="22"/>
  <c r="Z36" i="22"/>
  <c r="Y36" i="22"/>
  <c r="AA35" i="22"/>
  <c r="Z35" i="22"/>
  <c r="Y35" i="22"/>
  <c r="AA34" i="22"/>
  <c r="Z34" i="22"/>
  <c r="Y34" i="22"/>
  <c r="AA33" i="22"/>
  <c r="Z33" i="22"/>
  <c r="Y33" i="22"/>
  <c r="AA32" i="22"/>
  <c r="Z32" i="22"/>
  <c r="Y32" i="22"/>
  <c r="AA31" i="22"/>
  <c r="Z31" i="22"/>
  <c r="Y31" i="22"/>
  <c r="AA30" i="22"/>
  <c r="Z30" i="22"/>
  <c r="Y30" i="22"/>
  <c r="AA29" i="22"/>
  <c r="Z29" i="22"/>
  <c r="Y29" i="22"/>
  <c r="AA28" i="22"/>
  <c r="Z28" i="22"/>
  <c r="Y28" i="22"/>
  <c r="AA27" i="22"/>
  <c r="Z27" i="22"/>
  <c r="Y27" i="22"/>
  <c r="AA26" i="22"/>
  <c r="Z26" i="22"/>
  <c r="Y26" i="22"/>
  <c r="AA25" i="22"/>
  <c r="Z25" i="22"/>
  <c r="Y25" i="22"/>
  <c r="AA24" i="22"/>
  <c r="Z24" i="22"/>
  <c r="Y24" i="22"/>
  <c r="AA23" i="22"/>
  <c r="Z23" i="22"/>
  <c r="Y23" i="22"/>
  <c r="AA22" i="22"/>
  <c r="Z22" i="22"/>
  <c r="Y22" i="22"/>
  <c r="AA21" i="22"/>
  <c r="Z21" i="22"/>
  <c r="Y21" i="22"/>
  <c r="AA20" i="22"/>
  <c r="Z20" i="22"/>
  <c r="Y20" i="22"/>
  <c r="AA19" i="22"/>
  <c r="Z19" i="22"/>
  <c r="Y19" i="22"/>
  <c r="AF18" i="22"/>
  <c r="AE18" i="22"/>
  <c r="AD18" i="22"/>
  <c r="AA18" i="22"/>
  <c r="Z18" i="22"/>
  <c r="Y18" i="22"/>
  <c r="V18" i="22"/>
  <c r="V38" i="22" s="1"/>
  <c r="U18" i="22"/>
  <c r="U38" i="22" s="1"/>
  <c r="T18" i="22"/>
  <c r="T38" i="22" s="1"/>
  <c r="AF17" i="22"/>
  <c r="AE17" i="22"/>
  <c r="AD17" i="22"/>
  <c r="AA17" i="22"/>
  <c r="Z17" i="22"/>
  <c r="Y17" i="22"/>
  <c r="V17" i="22"/>
  <c r="V37" i="22" s="1"/>
  <c r="U17" i="22"/>
  <c r="U37" i="22" s="1"/>
  <c r="T17" i="22"/>
  <c r="T37" i="22" s="1"/>
  <c r="AF16" i="22"/>
  <c r="AE16" i="22"/>
  <c r="AD16" i="22"/>
  <c r="AA16" i="22"/>
  <c r="Z16" i="22"/>
  <c r="Y16" i="22"/>
  <c r="V16" i="22"/>
  <c r="V36" i="22" s="1"/>
  <c r="U16" i="22"/>
  <c r="U36" i="22" s="1"/>
  <c r="T16" i="22"/>
  <c r="T36" i="22" s="1"/>
  <c r="AF15" i="22"/>
  <c r="AE15" i="22"/>
  <c r="AD15" i="22"/>
  <c r="AA15" i="22"/>
  <c r="Z15" i="22"/>
  <c r="Y15" i="22"/>
  <c r="V15" i="22"/>
  <c r="V35" i="22" s="1"/>
  <c r="U15" i="22"/>
  <c r="U35" i="22" s="1"/>
  <c r="T15" i="22"/>
  <c r="T35" i="22" s="1"/>
  <c r="AF14" i="22"/>
  <c r="AE14" i="22"/>
  <c r="AD14" i="22"/>
  <c r="AA14" i="22"/>
  <c r="Z14" i="22"/>
  <c r="Y14" i="22"/>
  <c r="V14" i="22"/>
  <c r="S14" i="22" s="1"/>
  <c r="S34" i="22" s="1"/>
  <c r="U14" i="22"/>
  <c r="U34" i="22" s="1"/>
  <c r="T14" i="22"/>
  <c r="T34" i="22" s="1"/>
  <c r="AF13" i="22"/>
  <c r="AE13" i="22"/>
  <c r="AD13" i="22"/>
  <c r="AA13" i="22"/>
  <c r="Z13" i="22"/>
  <c r="Y13" i="22"/>
  <c r="V13" i="22"/>
  <c r="V33" i="22" s="1"/>
  <c r="U13" i="22"/>
  <c r="U33" i="22" s="1"/>
  <c r="T13" i="22"/>
  <c r="T33" i="22" s="1"/>
  <c r="AF12" i="22"/>
  <c r="AE12" i="22"/>
  <c r="AD12" i="22"/>
  <c r="AA12" i="22"/>
  <c r="Z12" i="22"/>
  <c r="Y12" i="22"/>
  <c r="V12" i="22"/>
  <c r="S12" i="22" s="1"/>
  <c r="S32" i="22" s="1"/>
  <c r="U12" i="22"/>
  <c r="U32" i="22" s="1"/>
  <c r="T12" i="22"/>
  <c r="T32" i="22" s="1"/>
  <c r="AF11" i="22"/>
  <c r="AE11" i="22"/>
  <c r="AD11" i="22"/>
  <c r="AA11" i="22"/>
  <c r="Z11" i="22"/>
  <c r="Y11" i="22"/>
  <c r="V11" i="22"/>
  <c r="S11" i="22" s="1"/>
  <c r="S31" i="22" s="1"/>
  <c r="U11" i="22"/>
  <c r="U31" i="22" s="1"/>
  <c r="T11" i="22"/>
  <c r="T31" i="22" s="1"/>
  <c r="AF10" i="22"/>
  <c r="AE10" i="22"/>
  <c r="AD10" i="22"/>
  <c r="AA10" i="22"/>
  <c r="Z10" i="22"/>
  <c r="Y10" i="22"/>
  <c r="V10" i="22"/>
  <c r="V30" i="22" s="1"/>
  <c r="U10" i="22"/>
  <c r="U30" i="22" s="1"/>
  <c r="T10" i="22"/>
  <c r="T30" i="22" s="1"/>
  <c r="AF9" i="22"/>
  <c r="AE9" i="22"/>
  <c r="AD9" i="22"/>
  <c r="AA9" i="22"/>
  <c r="Z9" i="22"/>
  <c r="Y9" i="22"/>
  <c r="V9" i="22"/>
  <c r="V29" i="22" s="1"/>
  <c r="U9" i="22"/>
  <c r="U29" i="22" s="1"/>
  <c r="T9" i="22"/>
  <c r="T29" i="22" s="1"/>
  <c r="AF8" i="22"/>
  <c r="AE8" i="22"/>
  <c r="AD8" i="22"/>
  <c r="AA8" i="22"/>
  <c r="Z8" i="22"/>
  <c r="Y8" i="22"/>
  <c r="V8" i="22"/>
  <c r="V28" i="22" s="1"/>
  <c r="U8" i="22"/>
  <c r="U28" i="22" s="1"/>
  <c r="T8" i="22"/>
  <c r="T28" i="22" s="1"/>
  <c r="AF7" i="22"/>
  <c r="AE7" i="22"/>
  <c r="AD7" i="22"/>
  <c r="AA7" i="22"/>
  <c r="Z7" i="22"/>
  <c r="Y7" i="22"/>
  <c r="V7" i="22"/>
  <c r="V27" i="22" s="1"/>
  <c r="U7" i="22"/>
  <c r="U27" i="22" s="1"/>
  <c r="T7" i="22"/>
  <c r="T27" i="22" s="1"/>
  <c r="AF6" i="22"/>
  <c r="AE6" i="22"/>
  <c r="AD6" i="22"/>
  <c r="AA6" i="22"/>
  <c r="Z6" i="22"/>
  <c r="Y6" i="22"/>
  <c r="V6" i="22"/>
  <c r="S6" i="22" s="1"/>
  <c r="S26" i="22" s="1"/>
  <c r="U6" i="22"/>
  <c r="U26" i="22" s="1"/>
  <c r="T6" i="22"/>
  <c r="T26" i="22" s="1"/>
  <c r="AF5" i="22"/>
  <c r="AE5" i="22"/>
  <c r="AD5" i="22"/>
  <c r="AA5" i="22"/>
  <c r="Z5" i="22"/>
  <c r="Y5" i="22"/>
  <c r="V5" i="22"/>
  <c r="V25" i="22" s="1"/>
  <c r="U5" i="22"/>
  <c r="U25" i="22" s="1"/>
  <c r="T5" i="22"/>
  <c r="T25" i="22" s="1"/>
  <c r="AF4" i="22"/>
  <c r="AE4" i="22"/>
  <c r="AD4" i="22"/>
  <c r="AA4" i="22"/>
  <c r="Z4" i="22"/>
  <c r="Y4" i="22"/>
  <c r="V4" i="22"/>
  <c r="V24" i="22" s="1"/>
  <c r="U4" i="22"/>
  <c r="U24" i="22" s="1"/>
  <c r="T4" i="22"/>
  <c r="T24" i="22" s="1"/>
  <c r="AF3" i="22"/>
  <c r="AE3" i="22"/>
  <c r="AD3" i="22"/>
  <c r="V3" i="22"/>
  <c r="V23" i="22" s="1"/>
  <c r="U3" i="22"/>
  <c r="U23" i="22" s="1"/>
  <c r="T3" i="22"/>
  <c r="T23" i="22" s="1"/>
  <c r="T5" i="5"/>
  <c r="T6" i="5"/>
  <c r="T7" i="5"/>
  <c r="T8" i="5"/>
  <c r="T9" i="5"/>
  <c r="T10" i="5"/>
  <c r="T11" i="5"/>
  <c r="T12" i="5"/>
  <c r="T13" i="5"/>
  <c r="T14" i="5"/>
  <c r="T15" i="5"/>
  <c r="T16" i="5"/>
  <c r="T4" i="5"/>
  <c r="Z5" i="4"/>
  <c r="Z6" i="4"/>
  <c r="Z7" i="4"/>
  <c r="Z8" i="4"/>
  <c r="Z9" i="4"/>
  <c r="Z10" i="4"/>
  <c r="Z11" i="4"/>
  <c r="Z12" i="4"/>
  <c r="Z13" i="4"/>
  <c r="Z14" i="4"/>
  <c r="Z15" i="4"/>
  <c r="Z16" i="4"/>
  <c r="Z4" i="4"/>
  <c r="U5" i="4"/>
  <c r="U6" i="4"/>
  <c r="U7" i="4"/>
  <c r="U8" i="4"/>
  <c r="U9" i="4"/>
  <c r="U10" i="4"/>
  <c r="U11" i="4"/>
  <c r="U12" i="4"/>
  <c r="U13" i="4"/>
  <c r="U14" i="4"/>
  <c r="U15" i="4"/>
  <c r="U16" i="4"/>
  <c r="U4" i="4"/>
  <c r="AJ4" i="4"/>
  <c r="AJ5" i="4"/>
  <c r="AJ6" i="4"/>
  <c r="AJ7" i="4"/>
  <c r="AJ8" i="4"/>
  <c r="AJ9" i="4"/>
  <c r="AJ10" i="4"/>
  <c r="AJ11" i="4"/>
  <c r="AJ12" i="4"/>
  <c r="AJ13" i="4"/>
  <c r="AJ14" i="4"/>
  <c r="AJ15" i="4"/>
  <c r="AJ16" i="4"/>
  <c r="AJ17" i="4"/>
  <c r="AJ18" i="4"/>
  <c r="AJ19" i="4"/>
  <c r="AH4" i="4"/>
  <c r="AH5" i="4"/>
  <c r="AH6" i="4"/>
  <c r="AH7" i="4"/>
  <c r="AH8" i="4"/>
  <c r="AH9" i="4"/>
  <c r="AH10" i="4"/>
  <c r="AH11" i="4"/>
  <c r="AH12" i="4"/>
  <c r="AH13" i="4"/>
  <c r="AH14" i="4"/>
  <c r="AH15" i="4"/>
  <c r="AH16" i="4"/>
  <c r="AH17" i="4"/>
  <c r="AH18" i="4"/>
  <c r="AH19" i="4"/>
  <c r="AF4" i="4"/>
  <c r="AF5" i="4"/>
  <c r="AF6" i="4"/>
  <c r="AF7" i="4"/>
  <c r="AF8" i="4"/>
  <c r="AF9" i="4"/>
  <c r="AF10" i="4"/>
  <c r="AF11" i="4"/>
  <c r="AF12" i="4"/>
  <c r="AF13" i="4"/>
  <c r="AF14" i="4"/>
  <c r="AF15" i="4"/>
  <c r="AF16" i="4"/>
  <c r="AF17" i="4"/>
  <c r="AF18" i="4"/>
  <c r="AF19" i="4"/>
  <c r="B9" i="4"/>
  <c r="C9" i="4"/>
  <c r="J13" i="4" s="1" a="1"/>
  <c r="J13" i="4" s="1"/>
  <c r="S9" i="4"/>
  <c r="T9" i="4"/>
  <c r="S16" i="5"/>
  <c r="S15" i="5"/>
  <c r="R16" i="5"/>
  <c r="R15" i="5"/>
  <c r="Y16" i="4"/>
  <c r="X16" i="4"/>
  <c r="Y15" i="4"/>
  <c r="X15" i="4"/>
  <c r="T16" i="4"/>
  <c r="S16" i="4"/>
  <c r="T15" i="4"/>
  <c r="S15" i="4"/>
  <c r="U95" i="3" a="1"/>
  <c r="U95" i="3" s="1"/>
  <c r="U96" i="3" a="1"/>
  <c r="U96" i="3" s="1"/>
  <c r="U97" i="3" a="1"/>
  <c r="U97" i="3" s="1"/>
  <c r="U98" i="3" a="1"/>
  <c r="U98" i="3" s="1"/>
  <c r="U99" i="3" a="1"/>
  <c r="U99" i="3" s="1"/>
  <c r="U100" i="3" a="1"/>
  <c r="U100" i="3" s="1"/>
  <c r="U101" i="3" a="1"/>
  <c r="U101" i="3" s="1"/>
  <c r="U102" i="3" a="1"/>
  <c r="U102" i="3" s="1"/>
  <c r="U103" i="3" a="1"/>
  <c r="U103" i="3" s="1"/>
  <c r="U104" i="3" a="1"/>
  <c r="U104" i="3" s="1"/>
  <c r="U105" i="3" a="1"/>
  <c r="U105" i="3" s="1"/>
  <c r="U106" i="3" a="1"/>
  <c r="U106" i="3" s="1"/>
  <c r="U107" i="3" a="1"/>
  <c r="U107" i="3" s="1"/>
  <c r="U108" i="3" a="1"/>
  <c r="U108" i="3" s="1"/>
  <c r="U109" i="3" a="1"/>
  <c r="U109" i="3" s="1"/>
  <c r="U94" i="3" a="1"/>
  <c r="U94" i="3" s="1"/>
  <c r="M97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H96" i="3"/>
  <c r="I96" i="3"/>
  <c r="J96" i="3"/>
  <c r="K96" i="3"/>
  <c r="L96" i="3"/>
  <c r="M96" i="3"/>
  <c r="N96" i="3"/>
  <c r="O96" i="3"/>
  <c r="P96" i="3"/>
  <c r="Q96" i="3"/>
  <c r="R96" i="3"/>
  <c r="S96" i="3"/>
  <c r="T96" i="3"/>
  <c r="H97" i="3"/>
  <c r="I97" i="3"/>
  <c r="J97" i="3"/>
  <c r="K97" i="3"/>
  <c r="L97" i="3"/>
  <c r="N97" i="3"/>
  <c r="O97" i="3"/>
  <c r="P97" i="3"/>
  <c r="Q97" i="3"/>
  <c r="R97" i="3"/>
  <c r="S97" i="3"/>
  <c r="T97" i="3"/>
  <c r="H98" i="3"/>
  <c r="I98" i="3"/>
  <c r="J98" i="3"/>
  <c r="K98" i="3"/>
  <c r="L98" i="3"/>
  <c r="M98" i="3"/>
  <c r="N98" i="3"/>
  <c r="O98" i="3"/>
  <c r="P98" i="3"/>
  <c r="Q98" i="3"/>
  <c r="R98" i="3"/>
  <c r="S98" i="3"/>
  <c r="T98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H101" i="3"/>
  <c r="I101" i="3"/>
  <c r="J101" i="3"/>
  <c r="K101" i="3"/>
  <c r="L101" i="3"/>
  <c r="M101" i="3"/>
  <c r="N101" i="3"/>
  <c r="O101" i="3"/>
  <c r="P101" i="3"/>
  <c r="Q101" i="3"/>
  <c r="R101" i="3"/>
  <c r="S101" i="3"/>
  <c r="T101" i="3"/>
  <c r="H102" i="3"/>
  <c r="I102" i="3"/>
  <c r="J102" i="3"/>
  <c r="K102" i="3"/>
  <c r="L102" i="3"/>
  <c r="M102" i="3"/>
  <c r="N102" i="3"/>
  <c r="O102" i="3"/>
  <c r="P102" i="3"/>
  <c r="Q102" i="3"/>
  <c r="R102" i="3"/>
  <c r="S102" i="3"/>
  <c r="T102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H105" i="3"/>
  <c r="I105" i="3"/>
  <c r="J105" i="3"/>
  <c r="K105" i="3"/>
  <c r="L105" i="3"/>
  <c r="M105" i="3"/>
  <c r="N105" i="3"/>
  <c r="O105" i="3"/>
  <c r="P105" i="3"/>
  <c r="Q105" i="3"/>
  <c r="R105" i="3"/>
  <c r="S105" i="3"/>
  <c r="T105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T106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T107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T109" i="3"/>
  <c r="T94" i="3"/>
  <c r="S94" i="3"/>
  <c r="R94" i="3"/>
  <c r="Q94" i="3"/>
  <c r="P94" i="3"/>
  <c r="O94" i="3"/>
  <c r="N94" i="3"/>
  <c r="M94" i="3"/>
  <c r="L94" i="3"/>
  <c r="K94" i="3"/>
  <c r="J94" i="3"/>
  <c r="I94" i="3"/>
  <c r="H94" i="3"/>
  <c r="I88" i="3"/>
  <c r="J88" i="3"/>
  <c r="K88" i="3"/>
  <c r="L88" i="3"/>
  <c r="I87" i="3"/>
  <c r="J87" i="3"/>
  <c r="K87" i="3"/>
  <c r="L87" i="3"/>
  <c r="D16" i="6"/>
  <c r="C16" i="6"/>
  <c r="B16" i="6"/>
  <c r="A16" i="6"/>
  <c r="D16" i="5"/>
  <c r="C16" i="5"/>
  <c r="B16" i="5"/>
  <c r="A16" i="5"/>
  <c r="D16" i="4"/>
  <c r="C16" i="4"/>
  <c r="B16" i="4"/>
  <c r="A16" i="4"/>
  <c r="AH49" i="3"/>
  <c r="AH50" i="3"/>
  <c r="AH51" i="3"/>
  <c r="AH52" i="3"/>
  <c r="AH53" i="3"/>
  <c r="AH54" i="3"/>
  <c r="AI54" i="3" s="1"/>
  <c r="AH55" i="3"/>
  <c r="AH56" i="3"/>
  <c r="AI56" i="3" s="1"/>
  <c r="AH57" i="3"/>
  <c r="AH58" i="3"/>
  <c r="AH59" i="3"/>
  <c r="AH60" i="3"/>
  <c r="AH61" i="3"/>
  <c r="AH62" i="3"/>
  <c r="AI62" i="3" s="1"/>
  <c r="AH63" i="3"/>
  <c r="AH48" i="3"/>
  <c r="AF49" i="3"/>
  <c r="AF50" i="3"/>
  <c r="AF51" i="3"/>
  <c r="AF52" i="3"/>
  <c r="AF53" i="3"/>
  <c r="AF54" i="3"/>
  <c r="AF55" i="3"/>
  <c r="AF56" i="3"/>
  <c r="AG56" i="3" s="1"/>
  <c r="AF57" i="3"/>
  <c r="AF58" i="3"/>
  <c r="AF59" i="3"/>
  <c r="AF60" i="3"/>
  <c r="AG60" i="3" s="1"/>
  <c r="AF61" i="3"/>
  <c r="AF62" i="3"/>
  <c r="AF63" i="3"/>
  <c r="AF48" i="3"/>
  <c r="AG48" i="3" s="1"/>
  <c r="AD49" i="3"/>
  <c r="AD50" i="3"/>
  <c r="AD51" i="3"/>
  <c r="AE51" i="3" s="1"/>
  <c r="AD52" i="3"/>
  <c r="AD53" i="3"/>
  <c r="AD54" i="3"/>
  <c r="AD55" i="3"/>
  <c r="AD56" i="3"/>
  <c r="AD57" i="3"/>
  <c r="AD58" i="3"/>
  <c r="AD59" i="3"/>
  <c r="AE59" i="3" s="1"/>
  <c r="AD60" i="3"/>
  <c r="AD61" i="3"/>
  <c r="AE61" i="3" s="1"/>
  <c r="AD62" i="3"/>
  <c r="AD63" i="3"/>
  <c r="AD48" i="3"/>
  <c r="AB49" i="3"/>
  <c r="AC49" i="3" s="1"/>
  <c r="AB50" i="3"/>
  <c r="AB51" i="3"/>
  <c r="AB52" i="3"/>
  <c r="AC52" i="3" s="1"/>
  <c r="AB53" i="3"/>
  <c r="AB54" i="3"/>
  <c r="AB55" i="3"/>
  <c r="AB56" i="3"/>
  <c r="AC56" i="3" s="1"/>
  <c r="AB57" i="3"/>
  <c r="AB58" i="3"/>
  <c r="AB59" i="3"/>
  <c r="AB60" i="3"/>
  <c r="AC60" i="3" s="1"/>
  <c r="AB61" i="3"/>
  <c r="AC61" i="3" s="1"/>
  <c r="AB62" i="3"/>
  <c r="AB63" i="3"/>
  <c r="AB48" i="3"/>
  <c r="F17" i="3"/>
  <c r="D17" i="3"/>
  <c r="C17" i="3"/>
  <c r="B17" i="3"/>
  <c r="Q43" i="21"/>
  <c r="Z39" i="21"/>
  <c r="Y39" i="21"/>
  <c r="X39" i="21"/>
  <c r="Z38" i="21"/>
  <c r="Y38" i="21"/>
  <c r="X38" i="21"/>
  <c r="Z37" i="21"/>
  <c r="Y37" i="21"/>
  <c r="X37" i="21"/>
  <c r="Z36" i="21"/>
  <c r="Y36" i="21"/>
  <c r="X36" i="21"/>
  <c r="Z35" i="21"/>
  <c r="Y35" i="21"/>
  <c r="X35" i="21"/>
  <c r="Z34" i="21"/>
  <c r="Y34" i="21"/>
  <c r="X34" i="21"/>
  <c r="Z33" i="21"/>
  <c r="Y33" i="21"/>
  <c r="X33" i="21"/>
  <c r="Z32" i="21"/>
  <c r="Y32" i="21"/>
  <c r="X32" i="21"/>
  <c r="U32" i="21"/>
  <c r="T32" i="21"/>
  <c r="S32" i="21"/>
  <c r="R32" i="21"/>
  <c r="Z31" i="21"/>
  <c r="Y31" i="21"/>
  <c r="X31" i="21"/>
  <c r="Z30" i="21"/>
  <c r="Y30" i="21"/>
  <c r="X30" i="21"/>
  <c r="Z29" i="21"/>
  <c r="Y29" i="21"/>
  <c r="X29" i="21"/>
  <c r="Z28" i="21"/>
  <c r="Y28" i="21"/>
  <c r="X28" i="21"/>
  <c r="Z27" i="21"/>
  <c r="Y27" i="21"/>
  <c r="X27" i="21"/>
  <c r="Z26" i="21"/>
  <c r="Y26" i="21"/>
  <c r="X26" i="21"/>
  <c r="Z25" i="21"/>
  <c r="Y25" i="21"/>
  <c r="X25" i="21"/>
  <c r="Z24" i="21"/>
  <c r="Y24" i="21"/>
  <c r="X24" i="21"/>
  <c r="U24" i="21"/>
  <c r="T24" i="21"/>
  <c r="S24" i="21"/>
  <c r="R24" i="21"/>
  <c r="Z23" i="21"/>
  <c r="Y23" i="21"/>
  <c r="X23" i="21"/>
  <c r="Z22" i="21"/>
  <c r="Y22" i="21"/>
  <c r="X22" i="21"/>
  <c r="Z21" i="21"/>
  <c r="Y21" i="21"/>
  <c r="X21" i="21"/>
  <c r="Z20" i="21"/>
  <c r="Y20" i="21"/>
  <c r="X20" i="21"/>
  <c r="Z19" i="21"/>
  <c r="Y19" i="21"/>
  <c r="X19" i="21"/>
  <c r="AE18" i="21"/>
  <c r="AD18" i="21"/>
  <c r="AC18" i="21"/>
  <c r="Z18" i="21"/>
  <c r="Y18" i="21"/>
  <c r="X18" i="21"/>
  <c r="U18" i="21"/>
  <c r="U38" i="21" s="1"/>
  <c r="T18" i="21"/>
  <c r="T38" i="21" s="1"/>
  <c r="S18" i="21"/>
  <c r="S38" i="21" s="1"/>
  <c r="AE17" i="21"/>
  <c r="AD17" i="21"/>
  <c r="AC17" i="21"/>
  <c r="Z17" i="21"/>
  <c r="Y17" i="21"/>
  <c r="X17" i="21"/>
  <c r="U17" i="21"/>
  <c r="U37" i="21" s="1"/>
  <c r="T17" i="21"/>
  <c r="T37" i="21" s="1"/>
  <c r="S17" i="21"/>
  <c r="S37" i="21" s="1"/>
  <c r="AE16" i="21"/>
  <c r="AD16" i="21"/>
  <c r="AC16" i="21"/>
  <c r="Z16" i="21"/>
  <c r="Y16" i="21"/>
  <c r="X16" i="21"/>
  <c r="U16" i="21"/>
  <c r="U36" i="21" s="1"/>
  <c r="T16" i="21"/>
  <c r="T36" i="21" s="1"/>
  <c r="S16" i="21"/>
  <c r="S36" i="21" s="1"/>
  <c r="AE15" i="21"/>
  <c r="AD15" i="21"/>
  <c r="AC15" i="21"/>
  <c r="Z15" i="21"/>
  <c r="Y15" i="21"/>
  <c r="X15" i="21"/>
  <c r="U15" i="21"/>
  <c r="U35" i="21" s="1"/>
  <c r="T15" i="21"/>
  <c r="T35" i="21" s="1"/>
  <c r="S15" i="21"/>
  <c r="S35" i="21" s="1"/>
  <c r="R15" i="21"/>
  <c r="R35" i="21" s="1"/>
  <c r="AE14" i="21"/>
  <c r="AD14" i="21"/>
  <c r="AC14" i="21"/>
  <c r="Z14" i="21"/>
  <c r="Y14" i="21"/>
  <c r="X14" i="21"/>
  <c r="U14" i="21"/>
  <c r="R14" i="21" s="1"/>
  <c r="R34" i="21" s="1"/>
  <c r="T14" i="21"/>
  <c r="T34" i="21" s="1"/>
  <c r="S14" i="21"/>
  <c r="S34" i="21" s="1"/>
  <c r="AE13" i="21"/>
  <c r="AD13" i="21"/>
  <c r="AC13" i="21"/>
  <c r="Z13" i="21"/>
  <c r="Y13" i="21"/>
  <c r="X13" i="21"/>
  <c r="U13" i="21"/>
  <c r="U33" i="21" s="1"/>
  <c r="T13" i="21"/>
  <c r="T33" i="21" s="1"/>
  <c r="S13" i="21"/>
  <c r="S33" i="21" s="1"/>
  <c r="AE12" i="21"/>
  <c r="AD12" i="21"/>
  <c r="AC12" i="21"/>
  <c r="Z12" i="21"/>
  <c r="Y12" i="21"/>
  <c r="X12" i="21"/>
  <c r="U12" i="21"/>
  <c r="R12" i="21" s="1"/>
  <c r="T12" i="21"/>
  <c r="S12" i="21"/>
  <c r="AE11" i="21"/>
  <c r="AD11" i="21"/>
  <c r="AC11" i="21"/>
  <c r="Z11" i="21"/>
  <c r="Y11" i="21"/>
  <c r="X11" i="21"/>
  <c r="U11" i="21"/>
  <c r="U31" i="21" s="1"/>
  <c r="T11" i="21"/>
  <c r="T31" i="21" s="1"/>
  <c r="S11" i="21"/>
  <c r="S31" i="21" s="1"/>
  <c r="AE10" i="21"/>
  <c r="AD10" i="21"/>
  <c r="AC10" i="21"/>
  <c r="Z10" i="21"/>
  <c r="Y10" i="21"/>
  <c r="X10" i="21"/>
  <c r="U10" i="21"/>
  <c r="U30" i="21" s="1"/>
  <c r="T10" i="21"/>
  <c r="T30" i="21" s="1"/>
  <c r="S10" i="21"/>
  <c r="S30" i="21" s="1"/>
  <c r="AE9" i="21"/>
  <c r="AD9" i="21"/>
  <c r="AC9" i="21"/>
  <c r="Z9" i="21"/>
  <c r="Y9" i="21"/>
  <c r="X9" i="21"/>
  <c r="U9" i="21"/>
  <c r="U29" i="21" s="1"/>
  <c r="T9" i="21"/>
  <c r="T29" i="21" s="1"/>
  <c r="S9" i="21"/>
  <c r="S29" i="21" s="1"/>
  <c r="AE8" i="21"/>
  <c r="AD8" i="21"/>
  <c r="AC8" i="21"/>
  <c r="Z8" i="21"/>
  <c r="Y8" i="21"/>
  <c r="X8" i="21"/>
  <c r="U8" i="21"/>
  <c r="U28" i="21" s="1"/>
  <c r="T8" i="21"/>
  <c r="T28" i="21" s="1"/>
  <c r="S8" i="21"/>
  <c r="S28" i="21" s="1"/>
  <c r="AE7" i="21"/>
  <c r="AD7" i="21"/>
  <c r="AC7" i="21"/>
  <c r="Z7" i="21"/>
  <c r="Y7" i="21"/>
  <c r="X7" i="21"/>
  <c r="U7" i="21"/>
  <c r="U27" i="21" s="1"/>
  <c r="T7" i="21"/>
  <c r="T27" i="21" s="1"/>
  <c r="S7" i="21"/>
  <c r="S27" i="21" s="1"/>
  <c r="AE6" i="21"/>
  <c r="AD6" i="21"/>
  <c r="AC6" i="21"/>
  <c r="Z6" i="21"/>
  <c r="Y6" i="21"/>
  <c r="X6" i="21"/>
  <c r="U6" i="21"/>
  <c r="R6" i="21" s="1"/>
  <c r="R26" i="21" s="1"/>
  <c r="T6" i="21"/>
  <c r="T26" i="21" s="1"/>
  <c r="S6" i="21"/>
  <c r="S26" i="21" s="1"/>
  <c r="AE5" i="21"/>
  <c r="AD5" i="21"/>
  <c r="AC5" i="21"/>
  <c r="Z5" i="21"/>
  <c r="Y5" i="21"/>
  <c r="X5" i="21"/>
  <c r="U5" i="21"/>
  <c r="U25" i="21" s="1"/>
  <c r="T5" i="21"/>
  <c r="T25" i="21" s="1"/>
  <c r="S5" i="21"/>
  <c r="S25" i="21" s="1"/>
  <c r="M5" i="21"/>
  <c r="L5" i="21"/>
  <c r="AE4" i="21"/>
  <c r="AD4" i="21"/>
  <c r="AC4" i="21"/>
  <c r="Z4" i="21"/>
  <c r="Y4" i="21"/>
  <c r="X4" i="21"/>
  <c r="U4" i="21"/>
  <c r="R4" i="21" s="1"/>
  <c r="T4" i="21"/>
  <c r="S4" i="21"/>
  <c r="M4" i="21"/>
  <c r="L4" i="21"/>
  <c r="AE3" i="21"/>
  <c r="AD3" i="21"/>
  <c r="AC3" i="21"/>
  <c r="U3" i="21"/>
  <c r="R3" i="21" s="1"/>
  <c r="R23" i="21" s="1"/>
  <c r="T3" i="21"/>
  <c r="T23" i="21" s="1"/>
  <c r="S3" i="21"/>
  <c r="S23" i="21" s="1"/>
  <c r="M3" i="21"/>
  <c r="L3" i="21"/>
  <c r="N3" i="21" s="1"/>
  <c r="Q43" i="20"/>
  <c r="D15" i="6"/>
  <c r="C15" i="6"/>
  <c r="B15" i="6"/>
  <c r="A15" i="6"/>
  <c r="D15" i="5"/>
  <c r="C15" i="5"/>
  <c r="B15" i="5"/>
  <c r="A15" i="5"/>
  <c r="D15" i="4"/>
  <c r="C15" i="4"/>
  <c r="B15" i="4"/>
  <c r="A15" i="4"/>
  <c r="F16" i="3"/>
  <c r="D16" i="3"/>
  <c r="C16" i="3"/>
  <c r="B16" i="3"/>
  <c r="E16" i="3"/>
  <c r="AI51" i="3"/>
  <c r="AE49" i="3"/>
  <c r="AE52" i="3"/>
  <c r="AE56" i="3"/>
  <c r="AE57" i="3"/>
  <c r="AE60" i="3"/>
  <c r="AC51" i="3"/>
  <c r="AC59" i="3"/>
  <c r="AE48" i="3"/>
  <c r="Z39" i="20"/>
  <c r="Y39" i="20"/>
  <c r="X39" i="20"/>
  <c r="Z38" i="20"/>
  <c r="Y38" i="20"/>
  <c r="X38" i="20"/>
  <c r="U38" i="20"/>
  <c r="T38" i="20"/>
  <c r="S38" i="20"/>
  <c r="R38" i="20"/>
  <c r="Z37" i="20"/>
  <c r="Y37" i="20"/>
  <c r="X37" i="20"/>
  <c r="Z36" i="20"/>
  <c r="Y36" i="20"/>
  <c r="X36" i="20"/>
  <c r="Z35" i="20"/>
  <c r="Y35" i="20"/>
  <c r="X35" i="20"/>
  <c r="Z34" i="20"/>
  <c r="Y34" i="20"/>
  <c r="X34" i="20"/>
  <c r="Z33" i="20"/>
  <c r="Y33" i="20"/>
  <c r="X33" i="20"/>
  <c r="Z32" i="20"/>
  <c r="Y32" i="20"/>
  <c r="X32" i="20"/>
  <c r="Z31" i="20"/>
  <c r="Y31" i="20"/>
  <c r="X31" i="20"/>
  <c r="Z30" i="20"/>
  <c r="Y30" i="20"/>
  <c r="X30" i="20"/>
  <c r="Z29" i="20"/>
  <c r="Y29" i="20"/>
  <c r="X29" i="20"/>
  <c r="Z28" i="20"/>
  <c r="Y28" i="20"/>
  <c r="X28" i="20"/>
  <c r="Z27" i="20"/>
  <c r="Y27" i="20"/>
  <c r="X27" i="20"/>
  <c r="Z26" i="20"/>
  <c r="Y26" i="20"/>
  <c r="X26" i="20"/>
  <c r="Z25" i="20"/>
  <c r="Y25" i="20"/>
  <c r="X25" i="20"/>
  <c r="Z24" i="20"/>
  <c r="Y24" i="20"/>
  <c r="X24" i="20"/>
  <c r="Z23" i="20"/>
  <c r="Y23" i="20"/>
  <c r="X23" i="20"/>
  <c r="Z22" i="20"/>
  <c r="Y22" i="20"/>
  <c r="X22" i="20"/>
  <c r="Z21" i="20"/>
  <c r="Y21" i="20"/>
  <c r="X21" i="20"/>
  <c r="Z20" i="20"/>
  <c r="Y20" i="20"/>
  <c r="X20" i="20"/>
  <c r="Z19" i="20"/>
  <c r="Y19" i="20"/>
  <c r="X19" i="20"/>
  <c r="AE18" i="20"/>
  <c r="AD18" i="20"/>
  <c r="AC18" i="20"/>
  <c r="Z18" i="20"/>
  <c r="Y18" i="20"/>
  <c r="X18" i="20"/>
  <c r="U18" i="20"/>
  <c r="R18" i="20" s="1"/>
  <c r="T18" i="20"/>
  <c r="S18" i="20"/>
  <c r="AE17" i="20"/>
  <c r="AD17" i="20"/>
  <c r="AC17" i="20"/>
  <c r="Z17" i="20"/>
  <c r="Y17" i="20"/>
  <c r="X17" i="20"/>
  <c r="U17" i="20"/>
  <c r="U37" i="20" s="1"/>
  <c r="T17" i="20"/>
  <c r="T37" i="20" s="1"/>
  <c r="S17" i="20"/>
  <c r="S37" i="20" s="1"/>
  <c r="AE16" i="20"/>
  <c r="AD16" i="20"/>
  <c r="AC16" i="20"/>
  <c r="Z16" i="20"/>
  <c r="Y16" i="20"/>
  <c r="X16" i="20"/>
  <c r="U16" i="20"/>
  <c r="U36" i="20" s="1"/>
  <c r="T16" i="20"/>
  <c r="T36" i="20" s="1"/>
  <c r="S16" i="20"/>
  <c r="S36" i="20" s="1"/>
  <c r="AE15" i="20"/>
  <c r="AD15" i="20"/>
  <c r="AC15" i="20"/>
  <c r="Z15" i="20"/>
  <c r="Y15" i="20"/>
  <c r="X15" i="20"/>
  <c r="U15" i="20"/>
  <c r="U35" i="20" s="1"/>
  <c r="T15" i="20"/>
  <c r="T35" i="20" s="1"/>
  <c r="S15" i="20"/>
  <c r="S35" i="20" s="1"/>
  <c r="AE14" i="20"/>
  <c r="AD14" i="20"/>
  <c r="AC14" i="20"/>
  <c r="Z14" i="20"/>
  <c r="Y14" i="20"/>
  <c r="X14" i="20"/>
  <c r="U14" i="20"/>
  <c r="R14" i="20" s="1"/>
  <c r="R34" i="20" s="1"/>
  <c r="T14" i="20"/>
  <c r="T34" i="20" s="1"/>
  <c r="S14" i="20"/>
  <c r="S34" i="20" s="1"/>
  <c r="AE13" i="20"/>
  <c r="AD13" i="20"/>
  <c r="AC13" i="20"/>
  <c r="Z13" i="20"/>
  <c r="Y13" i="20"/>
  <c r="X13" i="20"/>
  <c r="U13" i="20"/>
  <c r="U33" i="20" s="1"/>
  <c r="T13" i="20"/>
  <c r="T33" i="20" s="1"/>
  <c r="S13" i="20"/>
  <c r="S33" i="20" s="1"/>
  <c r="AE12" i="20"/>
  <c r="AD12" i="20"/>
  <c r="AC12" i="20"/>
  <c r="Z12" i="20"/>
  <c r="Y12" i="20"/>
  <c r="X12" i="20"/>
  <c r="U12" i="20"/>
  <c r="R12" i="20" s="1"/>
  <c r="R32" i="20" s="1"/>
  <c r="T12" i="20"/>
  <c r="T32" i="20" s="1"/>
  <c r="S12" i="20"/>
  <c r="S32" i="20" s="1"/>
  <c r="AE11" i="20"/>
  <c r="AD11" i="20"/>
  <c r="AC11" i="20"/>
  <c r="Z11" i="20"/>
  <c r="Y11" i="20"/>
  <c r="X11" i="20"/>
  <c r="U11" i="20"/>
  <c r="R11" i="20" s="1"/>
  <c r="R31" i="20" s="1"/>
  <c r="T11" i="20"/>
  <c r="T31" i="20" s="1"/>
  <c r="S11" i="20"/>
  <c r="S31" i="20" s="1"/>
  <c r="AE10" i="20"/>
  <c r="AD10" i="20"/>
  <c r="AC10" i="20"/>
  <c r="Z10" i="20"/>
  <c r="Y10" i="20"/>
  <c r="X10" i="20"/>
  <c r="U10" i="20"/>
  <c r="U30" i="20" s="1"/>
  <c r="T10" i="20"/>
  <c r="T30" i="20" s="1"/>
  <c r="S10" i="20"/>
  <c r="S30" i="20" s="1"/>
  <c r="AE9" i="20"/>
  <c r="AD9" i="20"/>
  <c r="AC9" i="20"/>
  <c r="Z9" i="20"/>
  <c r="Y9" i="20"/>
  <c r="X9" i="20"/>
  <c r="U9" i="20"/>
  <c r="U29" i="20" s="1"/>
  <c r="T9" i="20"/>
  <c r="T29" i="20" s="1"/>
  <c r="S9" i="20"/>
  <c r="S29" i="20" s="1"/>
  <c r="AE8" i="20"/>
  <c r="AD8" i="20"/>
  <c r="AC8" i="20"/>
  <c r="Z8" i="20"/>
  <c r="Y8" i="20"/>
  <c r="X8" i="20"/>
  <c r="U8" i="20"/>
  <c r="U28" i="20" s="1"/>
  <c r="T8" i="20"/>
  <c r="T28" i="20" s="1"/>
  <c r="S8" i="20"/>
  <c r="S28" i="20" s="1"/>
  <c r="AE7" i="20"/>
  <c r="AD7" i="20"/>
  <c r="AC7" i="20"/>
  <c r="Z7" i="20"/>
  <c r="Y7" i="20"/>
  <c r="X7" i="20"/>
  <c r="U7" i="20"/>
  <c r="U27" i="20" s="1"/>
  <c r="T7" i="20"/>
  <c r="T27" i="20" s="1"/>
  <c r="S7" i="20"/>
  <c r="S27" i="20" s="1"/>
  <c r="AE6" i="20"/>
  <c r="AD6" i="20"/>
  <c r="AC6" i="20"/>
  <c r="Z6" i="20"/>
  <c r="Y6" i="20"/>
  <c r="X6" i="20"/>
  <c r="U6" i="20"/>
  <c r="R6" i="20" s="1"/>
  <c r="R26" i="20" s="1"/>
  <c r="T6" i="20"/>
  <c r="T26" i="20" s="1"/>
  <c r="S6" i="20"/>
  <c r="S26" i="20" s="1"/>
  <c r="AE5" i="20"/>
  <c r="AD5" i="20"/>
  <c r="AC5" i="20"/>
  <c r="Z5" i="20"/>
  <c r="Y5" i="20"/>
  <c r="X5" i="20"/>
  <c r="U5" i="20"/>
  <c r="U25" i="20" s="1"/>
  <c r="T5" i="20"/>
  <c r="T25" i="20" s="1"/>
  <c r="S5" i="20"/>
  <c r="S25" i="20" s="1"/>
  <c r="M5" i="20"/>
  <c r="L5" i="20"/>
  <c r="AE4" i="20"/>
  <c r="AD4" i="20"/>
  <c r="AC4" i="20"/>
  <c r="Z4" i="20"/>
  <c r="Y4" i="20"/>
  <c r="X4" i="20"/>
  <c r="U4" i="20"/>
  <c r="U24" i="20" s="1"/>
  <c r="T4" i="20"/>
  <c r="T24" i="20" s="1"/>
  <c r="S4" i="20"/>
  <c r="S24" i="20" s="1"/>
  <c r="M4" i="20"/>
  <c r="N4" i="20" s="1"/>
  <c r="L4" i="20"/>
  <c r="AE3" i="20"/>
  <c r="AD3" i="20"/>
  <c r="AC3" i="20"/>
  <c r="U3" i="20"/>
  <c r="U23" i="20" s="1"/>
  <c r="T3" i="20"/>
  <c r="T23" i="20" s="1"/>
  <c r="S3" i="20"/>
  <c r="S23" i="20" s="1"/>
  <c r="R3" i="20"/>
  <c r="R23" i="20" s="1"/>
  <c r="M3" i="20"/>
  <c r="L3" i="20"/>
  <c r="N3" i="20" s="1"/>
  <c r="AI49" i="3"/>
  <c r="AI50" i="3"/>
  <c r="AI52" i="3"/>
  <c r="AI53" i="3"/>
  <c r="AI55" i="3"/>
  <c r="AI57" i="3"/>
  <c r="AI58" i="3"/>
  <c r="AI59" i="3"/>
  <c r="AI60" i="3"/>
  <c r="AI61" i="3"/>
  <c r="AI63" i="3"/>
  <c r="AG49" i="3"/>
  <c r="AG50" i="3"/>
  <c r="AG51" i="3"/>
  <c r="AG52" i="3"/>
  <c r="AG53" i="3"/>
  <c r="AG54" i="3"/>
  <c r="AG55" i="3"/>
  <c r="AG57" i="3"/>
  <c r="AG58" i="3"/>
  <c r="AG59" i="3"/>
  <c r="AG61" i="3"/>
  <c r="AG62" i="3"/>
  <c r="AG63" i="3"/>
  <c r="AI48" i="3"/>
  <c r="AE50" i="3"/>
  <c r="AE53" i="3"/>
  <c r="AE54" i="3"/>
  <c r="AE55" i="3"/>
  <c r="AE58" i="3"/>
  <c r="AE62" i="3"/>
  <c r="AE63" i="3"/>
  <c r="AC63" i="3"/>
  <c r="AC62" i="3"/>
  <c r="AC58" i="3"/>
  <c r="AC57" i="3"/>
  <c r="AC55" i="3"/>
  <c r="AC54" i="3"/>
  <c r="AC53" i="3"/>
  <c r="AC50" i="3"/>
  <c r="AC48" i="3"/>
  <c r="A14" i="6"/>
  <c r="A14" i="5"/>
  <c r="A14" i="4"/>
  <c r="C15" i="3"/>
  <c r="B15" i="3"/>
  <c r="I86" i="3"/>
  <c r="AE2" i="4"/>
  <c r="Q43" i="19"/>
  <c r="Z39" i="19"/>
  <c r="Y39" i="19"/>
  <c r="X39" i="19"/>
  <c r="Z38" i="19"/>
  <c r="Y38" i="19"/>
  <c r="X38" i="19"/>
  <c r="Z37" i="19"/>
  <c r="Y37" i="19"/>
  <c r="X37" i="19"/>
  <c r="Z36" i="19"/>
  <c r="Y36" i="19"/>
  <c r="X36" i="19"/>
  <c r="Z35" i="19"/>
  <c r="Y35" i="19"/>
  <c r="X35" i="19"/>
  <c r="Z34" i="19"/>
  <c r="Y34" i="19"/>
  <c r="X34" i="19"/>
  <c r="Z33" i="19"/>
  <c r="Y33" i="19"/>
  <c r="X33" i="19"/>
  <c r="Z32" i="19"/>
  <c r="Y32" i="19"/>
  <c r="X32" i="19"/>
  <c r="Z31" i="19"/>
  <c r="Y31" i="19"/>
  <c r="X31" i="19"/>
  <c r="Z30" i="19"/>
  <c r="Y30" i="19"/>
  <c r="X30" i="19"/>
  <c r="Z29" i="19"/>
  <c r="Y29" i="19"/>
  <c r="X29" i="19"/>
  <c r="Z28" i="19"/>
  <c r="Y28" i="19"/>
  <c r="X28" i="19"/>
  <c r="Z27" i="19"/>
  <c r="Y27" i="19"/>
  <c r="X27" i="19"/>
  <c r="Z26" i="19"/>
  <c r="Y26" i="19"/>
  <c r="X26" i="19"/>
  <c r="Z25" i="19"/>
  <c r="Y25" i="19"/>
  <c r="X25" i="19"/>
  <c r="Z24" i="19"/>
  <c r="Y24" i="19"/>
  <c r="X24" i="19"/>
  <c r="Z23" i="19"/>
  <c r="Y23" i="19"/>
  <c r="X23" i="19"/>
  <c r="Z22" i="19"/>
  <c r="Y22" i="19"/>
  <c r="X22" i="19"/>
  <c r="Z21" i="19"/>
  <c r="Y21" i="19"/>
  <c r="X21" i="19"/>
  <c r="Z20" i="19"/>
  <c r="Y20" i="19"/>
  <c r="X20" i="19"/>
  <c r="Z19" i="19"/>
  <c r="Y19" i="19"/>
  <c r="X19" i="19"/>
  <c r="AE18" i="19"/>
  <c r="AD18" i="19"/>
  <c r="AC18" i="19"/>
  <c r="Z18" i="19"/>
  <c r="Y18" i="19"/>
  <c r="X18" i="19"/>
  <c r="U18" i="19"/>
  <c r="U38" i="19" s="1"/>
  <c r="T18" i="19"/>
  <c r="T38" i="19" s="1"/>
  <c r="S18" i="19"/>
  <c r="S38" i="19" s="1"/>
  <c r="AE17" i="19"/>
  <c r="AD17" i="19"/>
  <c r="AC17" i="19"/>
  <c r="Z17" i="19"/>
  <c r="Y17" i="19"/>
  <c r="X17" i="19"/>
  <c r="U17" i="19"/>
  <c r="U37" i="19" s="1"/>
  <c r="T17" i="19"/>
  <c r="T37" i="19" s="1"/>
  <c r="S17" i="19"/>
  <c r="S37" i="19" s="1"/>
  <c r="AE16" i="19"/>
  <c r="AD16" i="19"/>
  <c r="AC16" i="19"/>
  <c r="Z16" i="19"/>
  <c r="Y16" i="19"/>
  <c r="X16" i="19"/>
  <c r="U16" i="19"/>
  <c r="U36" i="19" s="1"/>
  <c r="T16" i="19"/>
  <c r="T36" i="19" s="1"/>
  <c r="S16" i="19"/>
  <c r="S36" i="19" s="1"/>
  <c r="AE15" i="19"/>
  <c r="AD15" i="19"/>
  <c r="AC15" i="19"/>
  <c r="Z15" i="19"/>
  <c r="Y15" i="19"/>
  <c r="X15" i="19"/>
  <c r="U15" i="19"/>
  <c r="U35" i="19" s="1"/>
  <c r="T15" i="19"/>
  <c r="T35" i="19" s="1"/>
  <c r="S15" i="19"/>
  <c r="S35" i="19" s="1"/>
  <c r="AE14" i="19"/>
  <c r="AD14" i="19"/>
  <c r="AC14" i="19"/>
  <c r="Z14" i="19"/>
  <c r="Y14" i="19"/>
  <c r="X14" i="19"/>
  <c r="U14" i="19"/>
  <c r="R14" i="19" s="1"/>
  <c r="R34" i="19" s="1"/>
  <c r="T14" i="19"/>
  <c r="T34" i="19" s="1"/>
  <c r="S14" i="19"/>
  <c r="S34" i="19" s="1"/>
  <c r="AE13" i="19"/>
  <c r="AD13" i="19"/>
  <c r="AC13" i="19"/>
  <c r="Z13" i="19"/>
  <c r="Y13" i="19"/>
  <c r="X13" i="19"/>
  <c r="U13" i="19"/>
  <c r="U33" i="19" s="1"/>
  <c r="T13" i="19"/>
  <c r="T33" i="19" s="1"/>
  <c r="S13" i="19"/>
  <c r="S33" i="19" s="1"/>
  <c r="AE12" i="19"/>
  <c r="AD12" i="19"/>
  <c r="AC12" i="19"/>
  <c r="Z12" i="19"/>
  <c r="Y12" i="19"/>
  <c r="X12" i="19"/>
  <c r="U12" i="19"/>
  <c r="U32" i="19" s="1"/>
  <c r="T12" i="19"/>
  <c r="T32" i="19" s="1"/>
  <c r="S12" i="19"/>
  <c r="S32" i="19" s="1"/>
  <c r="AE11" i="19"/>
  <c r="AD11" i="19"/>
  <c r="AC11" i="19"/>
  <c r="Z11" i="19"/>
  <c r="Y11" i="19"/>
  <c r="X11" i="19"/>
  <c r="U11" i="19"/>
  <c r="R11" i="19" s="1"/>
  <c r="R31" i="19" s="1"/>
  <c r="T11" i="19"/>
  <c r="T31" i="19" s="1"/>
  <c r="S11" i="19"/>
  <c r="S31" i="19" s="1"/>
  <c r="AE10" i="19"/>
  <c r="AD10" i="19"/>
  <c r="AC10" i="19"/>
  <c r="Z10" i="19"/>
  <c r="Y10" i="19"/>
  <c r="X10" i="19"/>
  <c r="U10" i="19"/>
  <c r="U30" i="19" s="1"/>
  <c r="T10" i="19"/>
  <c r="T30" i="19" s="1"/>
  <c r="S10" i="19"/>
  <c r="S30" i="19" s="1"/>
  <c r="AE9" i="19"/>
  <c r="AD9" i="19"/>
  <c r="AC9" i="19"/>
  <c r="Z9" i="19"/>
  <c r="Y9" i="19"/>
  <c r="X9" i="19"/>
  <c r="U9" i="19"/>
  <c r="U29" i="19" s="1"/>
  <c r="T9" i="19"/>
  <c r="T29" i="19" s="1"/>
  <c r="S9" i="19"/>
  <c r="S29" i="19" s="1"/>
  <c r="AE8" i="19"/>
  <c r="AD8" i="19"/>
  <c r="AC8" i="19"/>
  <c r="Z8" i="19"/>
  <c r="Y8" i="19"/>
  <c r="X8" i="19"/>
  <c r="U8" i="19"/>
  <c r="U28" i="19" s="1"/>
  <c r="T8" i="19"/>
  <c r="T28" i="19" s="1"/>
  <c r="S8" i="19"/>
  <c r="S28" i="19" s="1"/>
  <c r="AE7" i="19"/>
  <c r="AD7" i="19"/>
  <c r="AC7" i="19"/>
  <c r="Z7" i="19"/>
  <c r="Y7" i="19"/>
  <c r="X7" i="19"/>
  <c r="U7" i="19"/>
  <c r="U27" i="19" s="1"/>
  <c r="T7" i="19"/>
  <c r="T27" i="19" s="1"/>
  <c r="S7" i="19"/>
  <c r="S27" i="19" s="1"/>
  <c r="AE6" i="19"/>
  <c r="AD6" i="19"/>
  <c r="AC6" i="19"/>
  <c r="Z6" i="19"/>
  <c r="Y6" i="19"/>
  <c r="X6" i="19"/>
  <c r="U6" i="19"/>
  <c r="R6" i="19" s="1"/>
  <c r="R26" i="19" s="1"/>
  <c r="T6" i="19"/>
  <c r="T26" i="19" s="1"/>
  <c r="S6" i="19"/>
  <c r="S26" i="19" s="1"/>
  <c r="AE5" i="19"/>
  <c r="AD5" i="19"/>
  <c r="AC5" i="19"/>
  <c r="Z5" i="19"/>
  <c r="Y5" i="19"/>
  <c r="X5" i="19"/>
  <c r="U5" i="19"/>
  <c r="U25" i="19" s="1"/>
  <c r="T5" i="19"/>
  <c r="T25" i="19" s="1"/>
  <c r="S5" i="19"/>
  <c r="S25" i="19" s="1"/>
  <c r="R5" i="19"/>
  <c r="R25" i="19" s="1"/>
  <c r="M5" i="19"/>
  <c r="C14" i="5" s="1"/>
  <c r="L5" i="19"/>
  <c r="N5" i="19" s="1"/>
  <c r="AE4" i="19"/>
  <c r="AD4" i="19"/>
  <c r="AC4" i="19"/>
  <c r="Z4" i="19"/>
  <c r="Y14" i="4" s="1"/>
  <c r="Y4" i="19"/>
  <c r="R14" i="5" s="1"/>
  <c r="X4" i="19"/>
  <c r="X14" i="4" s="1"/>
  <c r="U4" i="19"/>
  <c r="U24" i="19" s="1"/>
  <c r="T4" i="19"/>
  <c r="T24" i="19" s="1"/>
  <c r="S4" i="19"/>
  <c r="S24" i="19" s="1"/>
  <c r="M4" i="19"/>
  <c r="C14" i="6" s="1"/>
  <c r="L4" i="19"/>
  <c r="B14" i="6" s="1"/>
  <c r="AE3" i="19"/>
  <c r="AD3" i="19"/>
  <c r="AC3" i="19"/>
  <c r="U3" i="19"/>
  <c r="U23" i="19" s="1"/>
  <c r="T3" i="19"/>
  <c r="T23" i="19" s="1"/>
  <c r="S3" i="19"/>
  <c r="S23" i="19" s="1"/>
  <c r="R3" i="19"/>
  <c r="R23" i="19" s="1"/>
  <c r="M3" i="19"/>
  <c r="C14" i="4" s="1"/>
  <c r="L3" i="19"/>
  <c r="B14" i="4" s="1"/>
  <c r="I78" i="3"/>
  <c r="I79" i="3"/>
  <c r="I80" i="3"/>
  <c r="I81" i="3"/>
  <c r="I82" i="3"/>
  <c r="I83" i="3"/>
  <c r="I84" i="3"/>
  <c r="I85" i="3"/>
  <c r="L77" i="3"/>
  <c r="L78" i="3" s="1"/>
  <c r="L79" i="3" s="1"/>
  <c r="L80" i="3" s="1"/>
  <c r="L81" i="3" s="1"/>
  <c r="L82" i="3" s="1"/>
  <c r="L83" i="3" s="1"/>
  <c r="L84" i="3" s="1"/>
  <c r="L85" i="3" s="1"/>
  <c r="K77" i="3"/>
  <c r="K78" i="3" s="1"/>
  <c r="K79" i="3" s="1"/>
  <c r="K80" i="3" s="1"/>
  <c r="K81" i="3" s="1"/>
  <c r="K82" i="3" s="1"/>
  <c r="K83" i="3" s="1"/>
  <c r="K84" i="3" s="1"/>
  <c r="K85" i="3" s="1"/>
  <c r="J77" i="3"/>
  <c r="J78" i="3" s="1"/>
  <c r="J79" i="3" s="1"/>
  <c r="J80" i="3" s="1"/>
  <c r="J81" i="3" s="1"/>
  <c r="J82" i="3" s="1"/>
  <c r="J83" i="3" s="1"/>
  <c r="J84" i="3" s="1"/>
  <c r="J85" i="3" s="1"/>
  <c r="I77" i="3"/>
  <c r="L76" i="3"/>
  <c r="K76" i="3"/>
  <c r="J76" i="3"/>
  <c r="I76" i="3"/>
  <c r="C14" i="3"/>
  <c r="B14" i="3"/>
  <c r="A13" i="6"/>
  <c r="S12" i="5"/>
  <c r="R12" i="5"/>
  <c r="A13" i="5"/>
  <c r="A13" i="4"/>
  <c r="Q43" i="18"/>
  <c r="Z39" i="18"/>
  <c r="Y39" i="18"/>
  <c r="X39" i="18"/>
  <c r="Z38" i="18"/>
  <c r="Y38" i="18"/>
  <c r="X38" i="18"/>
  <c r="Z37" i="18"/>
  <c r="Y37" i="18"/>
  <c r="X37" i="18"/>
  <c r="Z36" i="18"/>
  <c r="Y36" i="18"/>
  <c r="X36" i="18"/>
  <c r="Z35" i="18"/>
  <c r="Y35" i="18"/>
  <c r="X35" i="18"/>
  <c r="Z34" i="18"/>
  <c r="Y34" i="18"/>
  <c r="X34" i="18"/>
  <c r="Z33" i="18"/>
  <c r="Y33" i="18"/>
  <c r="X33" i="18"/>
  <c r="Z32" i="18"/>
  <c r="Y32" i="18"/>
  <c r="X32" i="18"/>
  <c r="Z31" i="18"/>
  <c r="Y31" i="18"/>
  <c r="X31" i="18"/>
  <c r="Z30" i="18"/>
  <c r="Y30" i="18"/>
  <c r="X30" i="18"/>
  <c r="Z29" i="18"/>
  <c r="Y29" i="18"/>
  <c r="X29" i="18"/>
  <c r="Z28" i="18"/>
  <c r="Y28" i="18"/>
  <c r="X28" i="18"/>
  <c r="Z27" i="18"/>
  <c r="Y27" i="18"/>
  <c r="X27" i="18"/>
  <c r="Z26" i="18"/>
  <c r="Y26" i="18"/>
  <c r="X26" i="18"/>
  <c r="Z25" i="18"/>
  <c r="Y25" i="18"/>
  <c r="X25" i="18"/>
  <c r="Z24" i="18"/>
  <c r="Y24" i="18"/>
  <c r="X24" i="18"/>
  <c r="Z23" i="18"/>
  <c r="Y23" i="18"/>
  <c r="X23" i="18"/>
  <c r="Z22" i="18"/>
  <c r="Y22" i="18"/>
  <c r="X22" i="18"/>
  <c r="Z21" i="18"/>
  <c r="Y21" i="18"/>
  <c r="X21" i="18"/>
  <c r="Z20" i="18"/>
  <c r="Y20" i="18"/>
  <c r="X20" i="18"/>
  <c r="Z19" i="18"/>
  <c r="Y19" i="18"/>
  <c r="X19" i="18"/>
  <c r="AE18" i="18"/>
  <c r="AD18" i="18"/>
  <c r="AC18" i="18"/>
  <c r="Z18" i="18"/>
  <c r="Y18" i="18"/>
  <c r="X18" i="18"/>
  <c r="U18" i="18"/>
  <c r="U38" i="18" s="1"/>
  <c r="T18" i="18"/>
  <c r="T38" i="18" s="1"/>
  <c r="S18" i="18"/>
  <c r="S38" i="18" s="1"/>
  <c r="AE17" i="18"/>
  <c r="AD17" i="18"/>
  <c r="AC17" i="18"/>
  <c r="Z17" i="18"/>
  <c r="Y17" i="18"/>
  <c r="X17" i="18"/>
  <c r="U17" i="18"/>
  <c r="U37" i="18" s="1"/>
  <c r="T17" i="18"/>
  <c r="T37" i="18" s="1"/>
  <c r="S17" i="18"/>
  <c r="S37" i="18" s="1"/>
  <c r="AE16" i="18"/>
  <c r="AD16" i="18"/>
  <c r="AC16" i="18"/>
  <c r="Z16" i="18"/>
  <c r="Y16" i="18"/>
  <c r="X16" i="18"/>
  <c r="U16" i="18"/>
  <c r="U36" i="18" s="1"/>
  <c r="T16" i="18"/>
  <c r="T36" i="18" s="1"/>
  <c r="S16" i="18"/>
  <c r="S36" i="18" s="1"/>
  <c r="AE15" i="18"/>
  <c r="AD15" i="18"/>
  <c r="AC15" i="18"/>
  <c r="Z15" i="18"/>
  <c r="Y15" i="18"/>
  <c r="X15" i="18"/>
  <c r="U15" i="18"/>
  <c r="U35" i="18" s="1"/>
  <c r="T15" i="18"/>
  <c r="T35" i="18" s="1"/>
  <c r="S15" i="18"/>
  <c r="S35" i="18" s="1"/>
  <c r="AE14" i="18"/>
  <c r="AD14" i="18"/>
  <c r="AC14" i="18"/>
  <c r="Z14" i="18"/>
  <c r="Y14" i="18"/>
  <c r="X14" i="18"/>
  <c r="U14" i="18"/>
  <c r="U34" i="18" s="1"/>
  <c r="T14" i="18"/>
  <c r="T34" i="18" s="1"/>
  <c r="S14" i="18"/>
  <c r="S34" i="18" s="1"/>
  <c r="AE13" i="18"/>
  <c r="AD13" i="18"/>
  <c r="AC13" i="18"/>
  <c r="Z13" i="18"/>
  <c r="Y13" i="18"/>
  <c r="X13" i="18"/>
  <c r="U13" i="18"/>
  <c r="U33" i="18" s="1"/>
  <c r="T13" i="18"/>
  <c r="T33" i="18" s="1"/>
  <c r="S13" i="18"/>
  <c r="S33" i="18" s="1"/>
  <c r="AE12" i="18"/>
  <c r="AD12" i="18"/>
  <c r="AC12" i="18"/>
  <c r="Z12" i="18"/>
  <c r="Y12" i="18"/>
  <c r="X12" i="18"/>
  <c r="U12" i="18"/>
  <c r="R12" i="18" s="1"/>
  <c r="R32" i="18" s="1"/>
  <c r="T12" i="18"/>
  <c r="T32" i="18" s="1"/>
  <c r="S12" i="18"/>
  <c r="S32" i="18" s="1"/>
  <c r="AE11" i="18"/>
  <c r="AD11" i="18"/>
  <c r="AC11" i="18"/>
  <c r="Z11" i="18"/>
  <c r="Y11" i="18"/>
  <c r="X11" i="18"/>
  <c r="U11" i="18"/>
  <c r="R11" i="18" s="1"/>
  <c r="R31" i="18" s="1"/>
  <c r="T11" i="18"/>
  <c r="T31" i="18" s="1"/>
  <c r="S11" i="18"/>
  <c r="S31" i="18" s="1"/>
  <c r="AE10" i="18"/>
  <c r="AD10" i="18"/>
  <c r="AC10" i="18"/>
  <c r="Z10" i="18"/>
  <c r="Y10" i="18"/>
  <c r="X10" i="18"/>
  <c r="U10" i="18"/>
  <c r="U30" i="18" s="1"/>
  <c r="T10" i="18"/>
  <c r="T30" i="18" s="1"/>
  <c r="S10" i="18"/>
  <c r="S30" i="18" s="1"/>
  <c r="AE9" i="18"/>
  <c r="AD9" i="18"/>
  <c r="AC9" i="18"/>
  <c r="Z9" i="18"/>
  <c r="Y9" i="18"/>
  <c r="X9" i="18"/>
  <c r="U9" i="18"/>
  <c r="U29" i="18" s="1"/>
  <c r="T9" i="18"/>
  <c r="T29" i="18" s="1"/>
  <c r="S9" i="18"/>
  <c r="S29" i="18" s="1"/>
  <c r="AE8" i="18"/>
  <c r="AD8" i="18"/>
  <c r="AC8" i="18"/>
  <c r="Z8" i="18"/>
  <c r="Y8" i="18"/>
  <c r="X8" i="18"/>
  <c r="U8" i="18"/>
  <c r="U28" i="18" s="1"/>
  <c r="T8" i="18"/>
  <c r="T28" i="18" s="1"/>
  <c r="S8" i="18"/>
  <c r="S28" i="18" s="1"/>
  <c r="AE7" i="18"/>
  <c r="AD7" i="18"/>
  <c r="AC7" i="18"/>
  <c r="Z7" i="18"/>
  <c r="Y7" i="18"/>
  <c r="X7" i="18"/>
  <c r="U7" i="18"/>
  <c r="U27" i="18" s="1"/>
  <c r="T7" i="18"/>
  <c r="T27" i="18" s="1"/>
  <c r="S7" i="18"/>
  <c r="S27" i="18" s="1"/>
  <c r="AE6" i="18"/>
  <c r="AD6" i="18"/>
  <c r="AC6" i="18"/>
  <c r="Z6" i="18"/>
  <c r="Y6" i="18"/>
  <c r="X6" i="18"/>
  <c r="U6" i="18"/>
  <c r="U26" i="18" s="1"/>
  <c r="T6" i="18"/>
  <c r="T26" i="18" s="1"/>
  <c r="S6" i="18"/>
  <c r="S26" i="18" s="1"/>
  <c r="AE5" i="18"/>
  <c r="AD5" i="18"/>
  <c r="AC5" i="18"/>
  <c r="Z5" i="18"/>
  <c r="Y5" i="18"/>
  <c r="X5" i="18"/>
  <c r="U5" i="18"/>
  <c r="U25" i="18" s="1"/>
  <c r="T5" i="18"/>
  <c r="T25" i="18" s="1"/>
  <c r="S5" i="18"/>
  <c r="S25" i="18" s="1"/>
  <c r="M5" i="18"/>
  <c r="C13" i="5" s="1"/>
  <c r="L5" i="18"/>
  <c r="B13" i="5" s="1"/>
  <c r="AE4" i="18"/>
  <c r="AD4" i="18"/>
  <c r="AC4" i="18"/>
  <c r="Z4" i="18"/>
  <c r="S13" i="5" s="1"/>
  <c r="Y4" i="18"/>
  <c r="R13" i="5" s="1"/>
  <c r="X4" i="18"/>
  <c r="X13" i="4" s="1"/>
  <c r="U4" i="18"/>
  <c r="U24" i="18" s="1"/>
  <c r="T4" i="18"/>
  <c r="T24" i="18" s="1"/>
  <c r="S4" i="18"/>
  <c r="S24" i="18" s="1"/>
  <c r="M4" i="18"/>
  <c r="C13" i="6" s="1"/>
  <c r="L4" i="18"/>
  <c r="B13" i="6" s="1"/>
  <c r="AE3" i="18"/>
  <c r="AD3" i="18"/>
  <c r="AC3" i="18"/>
  <c r="U3" i="18"/>
  <c r="U23" i="18" s="1"/>
  <c r="T3" i="18"/>
  <c r="T23" i="18" s="1"/>
  <c r="S3" i="18"/>
  <c r="S23" i="18" s="1"/>
  <c r="M3" i="18"/>
  <c r="C13" i="4" s="1"/>
  <c r="L3" i="18"/>
  <c r="F14" i="3" s="1"/>
  <c r="AE18" i="17"/>
  <c r="AD18" i="17"/>
  <c r="AC18" i="17"/>
  <c r="AE17" i="17"/>
  <c r="AD17" i="17"/>
  <c r="AC17" i="17"/>
  <c r="AE16" i="17"/>
  <c r="AD16" i="17"/>
  <c r="AC16" i="17"/>
  <c r="AE15" i="17"/>
  <c r="AD15" i="17"/>
  <c r="AC15" i="17"/>
  <c r="AE14" i="17"/>
  <c r="AD14" i="17"/>
  <c r="AC14" i="17"/>
  <c r="AE13" i="17"/>
  <c r="AD13" i="17"/>
  <c r="AC13" i="17"/>
  <c r="AE12" i="17"/>
  <c r="AD12" i="17"/>
  <c r="AC12" i="17"/>
  <c r="AE11" i="17"/>
  <c r="AD11" i="17"/>
  <c r="AC11" i="17"/>
  <c r="AE10" i="17"/>
  <c r="AD10" i="17"/>
  <c r="AC10" i="17"/>
  <c r="AE9" i="17"/>
  <c r="AD9" i="17"/>
  <c r="AC9" i="17"/>
  <c r="AE8" i="17"/>
  <c r="AD8" i="17"/>
  <c r="AC8" i="17"/>
  <c r="AE7" i="17"/>
  <c r="AD7" i="17"/>
  <c r="AC7" i="17"/>
  <c r="AE6" i="17"/>
  <c r="AD6" i="17"/>
  <c r="AC6" i="17"/>
  <c r="AE5" i="17"/>
  <c r="AD5" i="17"/>
  <c r="AC5" i="17"/>
  <c r="AE4" i="17"/>
  <c r="AD4" i="17"/>
  <c r="AC4" i="17"/>
  <c r="AE3" i="17"/>
  <c r="AD3" i="17"/>
  <c r="AC3" i="17"/>
  <c r="AE18" i="16"/>
  <c r="AD18" i="16"/>
  <c r="AC18" i="16"/>
  <c r="AE17" i="16"/>
  <c r="AD17" i="16"/>
  <c r="AC17" i="16"/>
  <c r="AE16" i="16"/>
  <c r="AD16" i="16"/>
  <c r="AC16" i="16"/>
  <c r="AE15" i="16"/>
  <c r="AD15" i="16"/>
  <c r="AC15" i="16"/>
  <c r="AE14" i="16"/>
  <c r="AD14" i="16"/>
  <c r="AC14" i="16"/>
  <c r="AE13" i="16"/>
  <c r="AD13" i="16"/>
  <c r="AC13" i="16"/>
  <c r="AE12" i="16"/>
  <c r="AD12" i="16"/>
  <c r="AC12" i="16"/>
  <c r="AE11" i="16"/>
  <c r="AD11" i="16"/>
  <c r="AC11" i="16"/>
  <c r="AE10" i="16"/>
  <c r="AD10" i="16"/>
  <c r="AC10" i="16"/>
  <c r="AE9" i="16"/>
  <c r="AD9" i="16"/>
  <c r="AC9" i="16"/>
  <c r="AE8" i="16"/>
  <c r="AD8" i="16"/>
  <c r="AC8" i="16"/>
  <c r="AE7" i="16"/>
  <c r="AD7" i="16"/>
  <c r="AC7" i="16"/>
  <c r="AE6" i="16"/>
  <c r="AD6" i="16"/>
  <c r="AC6" i="16"/>
  <c r="AE5" i="16"/>
  <c r="AD5" i="16"/>
  <c r="AC5" i="16"/>
  <c r="AE4" i="16"/>
  <c r="AD4" i="16"/>
  <c r="AC4" i="16"/>
  <c r="AE3" i="16"/>
  <c r="AD3" i="16"/>
  <c r="AC3" i="16"/>
  <c r="AE18" i="15"/>
  <c r="AD18" i="15"/>
  <c r="AC18" i="15"/>
  <c r="AE17" i="15"/>
  <c r="AD17" i="15"/>
  <c r="AC17" i="15"/>
  <c r="AE16" i="15"/>
  <c r="AD16" i="15"/>
  <c r="AC16" i="15"/>
  <c r="AE15" i="15"/>
  <c r="AD15" i="15"/>
  <c r="AC15" i="15"/>
  <c r="AE14" i="15"/>
  <c r="AD14" i="15"/>
  <c r="AC14" i="15"/>
  <c r="AE13" i="15"/>
  <c r="AD13" i="15"/>
  <c r="AC13" i="15"/>
  <c r="AE12" i="15"/>
  <c r="AD12" i="15"/>
  <c r="AC12" i="15"/>
  <c r="AE11" i="15"/>
  <c r="AD11" i="15"/>
  <c r="AC11" i="15"/>
  <c r="AE10" i="15"/>
  <c r="AD10" i="15"/>
  <c r="AC10" i="15"/>
  <c r="AE9" i="15"/>
  <c r="AD9" i="15"/>
  <c r="AC9" i="15"/>
  <c r="AE8" i="15"/>
  <c r="AD8" i="15"/>
  <c r="AC8" i="15"/>
  <c r="AE7" i="15"/>
  <c r="AD7" i="15"/>
  <c r="AC7" i="15"/>
  <c r="AE6" i="15"/>
  <c r="AD6" i="15"/>
  <c r="AC6" i="15"/>
  <c r="AE5" i="15"/>
  <c r="AD5" i="15"/>
  <c r="AC5" i="15"/>
  <c r="AE4" i="15"/>
  <c r="AD4" i="15"/>
  <c r="AC4" i="15"/>
  <c r="AE3" i="15"/>
  <c r="AD3" i="15"/>
  <c r="AC3" i="15"/>
  <c r="AE18" i="14"/>
  <c r="AD18" i="14"/>
  <c r="AC18" i="14"/>
  <c r="AE17" i="14"/>
  <c r="AD17" i="14"/>
  <c r="AC17" i="14"/>
  <c r="AE16" i="14"/>
  <c r="AD16" i="14"/>
  <c r="AC16" i="14"/>
  <c r="AE15" i="14"/>
  <c r="AD15" i="14"/>
  <c r="AC15" i="14"/>
  <c r="AE14" i="14"/>
  <c r="AD14" i="14"/>
  <c r="AC14" i="14"/>
  <c r="AE13" i="14"/>
  <c r="AD13" i="14"/>
  <c r="AC13" i="14"/>
  <c r="AE12" i="14"/>
  <c r="AD12" i="14"/>
  <c r="AC12" i="14"/>
  <c r="AE11" i="14"/>
  <c r="AD11" i="14"/>
  <c r="AC11" i="14"/>
  <c r="AE10" i="14"/>
  <c r="AD10" i="14"/>
  <c r="AC10" i="14"/>
  <c r="AE9" i="14"/>
  <c r="AD9" i="14"/>
  <c r="AC9" i="14"/>
  <c r="AE8" i="14"/>
  <c r="AD8" i="14"/>
  <c r="AC8" i="14"/>
  <c r="AE7" i="14"/>
  <c r="AD7" i="14"/>
  <c r="AC7" i="14"/>
  <c r="AE6" i="14"/>
  <c r="AD6" i="14"/>
  <c r="AC6" i="14"/>
  <c r="AE5" i="14"/>
  <c r="AD5" i="14"/>
  <c r="AC5" i="14"/>
  <c r="AE4" i="14"/>
  <c r="AD4" i="14"/>
  <c r="AC4" i="14"/>
  <c r="AE3" i="14"/>
  <c r="AD3" i="14"/>
  <c r="AC3" i="14"/>
  <c r="AE18" i="13"/>
  <c r="AD18" i="13"/>
  <c r="AC18" i="13"/>
  <c r="AE17" i="13"/>
  <c r="AD17" i="13"/>
  <c r="AC17" i="13"/>
  <c r="AE16" i="13"/>
  <c r="AD16" i="13"/>
  <c r="AC16" i="13"/>
  <c r="AE15" i="13"/>
  <c r="AD15" i="13"/>
  <c r="AC15" i="13"/>
  <c r="AE14" i="13"/>
  <c r="AD14" i="13"/>
  <c r="AC14" i="13"/>
  <c r="AE13" i="13"/>
  <c r="AD13" i="13"/>
  <c r="AC13" i="13"/>
  <c r="AE12" i="13"/>
  <c r="AD12" i="13"/>
  <c r="AC12" i="13"/>
  <c r="AE11" i="13"/>
  <c r="AD11" i="13"/>
  <c r="AC11" i="13"/>
  <c r="AE10" i="13"/>
  <c r="AD10" i="13"/>
  <c r="AC10" i="13"/>
  <c r="AE9" i="13"/>
  <c r="AD9" i="13"/>
  <c r="AC9" i="13"/>
  <c r="AE8" i="13"/>
  <c r="AD8" i="13"/>
  <c r="AC8" i="13"/>
  <c r="AE7" i="13"/>
  <c r="AD7" i="13"/>
  <c r="AC7" i="13"/>
  <c r="AE6" i="13"/>
  <c r="AD6" i="13"/>
  <c r="AC6" i="13"/>
  <c r="AE5" i="13"/>
  <c r="AD5" i="13"/>
  <c r="AC5" i="13"/>
  <c r="AE4" i="13"/>
  <c r="AD4" i="13"/>
  <c r="AC4" i="13"/>
  <c r="AE3" i="13"/>
  <c r="AD3" i="13"/>
  <c r="AC3" i="13"/>
  <c r="AE18" i="11"/>
  <c r="AD18" i="11"/>
  <c r="AC18" i="11"/>
  <c r="AE17" i="11"/>
  <c r="AD17" i="11"/>
  <c r="AC17" i="11"/>
  <c r="AE16" i="11"/>
  <c r="AD16" i="11"/>
  <c r="AC16" i="11"/>
  <c r="AE15" i="11"/>
  <c r="AD15" i="11"/>
  <c r="AC15" i="11"/>
  <c r="AE14" i="11"/>
  <c r="AD14" i="11"/>
  <c r="AC14" i="11"/>
  <c r="AE13" i="11"/>
  <c r="AD13" i="11"/>
  <c r="AC13" i="11"/>
  <c r="AE12" i="11"/>
  <c r="AD12" i="11"/>
  <c r="AC12" i="11"/>
  <c r="AE11" i="11"/>
  <c r="AD11" i="11"/>
  <c r="AC11" i="11"/>
  <c r="AE10" i="11"/>
  <c r="AD10" i="11"/>
  <c r="AC10" i="11"/>
  <c r="AE9" i="11"/>
  <c r="AD9" i="11"/>
  <c r="AC9" i="11"/>
  <c r="AE8" i="11"/>
  <c r="AD8" i="11"/>
  <c r="AC8" i="11"/>
  <c r="AE7" i="11"/>
  <c r="AD7" i="11"/>
  <c r="AC7" i="11"/>
  <c r="AE6" i="11"/>
  <c r="AD6" i="11"/>
  <c r="AC6" i="11"/>
  <c r="AE5" i="11"/>
  <c r="AD5" i="11"/>
  <c r="AC5" i="11"/>
  <c r="AE4" i="11"/>
  <c r="AD4" i="11"/>
  <c r="AC4" i="11"/>
  <c r="AE3" i="11"/>
  <c r="AD3" i="11"/>
  <c r="AC3" i="11"/>
  <c r="AE18" i="10"/>
  <c r="AD18" i="10"/>
  <c r="AC18" i="10"/>
  <c r="AE17" i="10"/>
  <c r="AD17" i="10"/>
  <c r="AC17" i="10"/>
  <c r="AE16" i="10"/>
  <c r="AD16" i="10"/>
  <c r="AC16" i="10"/>
  <c r="AE15" i="10"/>
  <c r="AD15" i="10"/>
  <c r="AC15" i="10"/>
  <c r="AE14" i="10"/>
  <c r="AD14" i="10"/>
  <c r="AC14" i="10"/>
  <c r="AE13" i="10"/>
  <c r="AD13" i="10"/>
  <c r="AC13" i="10"/>
  <c r="AE12" i="10"/>
  <c r="AD12" i="10"/>
  <c r="AC12" i="10"/>
  <c r="AE11" i="10"/>
  <c r="AD11" i="10"/>
  <c r="AC11" i="10"/>
  <c r="AE10" i="10"/>
  <c r="AD10" i="10"/>
  <c r="AC10" i="10"/>
  <c r="AE9" i="10"/>
  <c r="AD9" i="10"/>
  <c r="AC9" i="10"/>
  <c r="AE8" i="10"/>
  <c r="AD8" i="10"/>
  <c r="AC8" i="10"/>
  <c r="AE7" i="10"/>
  <c r="AD7" i="10"/>
  <c r="AC7" i="10"/>
  <c r="AE6" i="10"/>
  <c r="AD6" i="10"/>
  <c r="AC6" i="10"/>
  <c r="AE5" i="10"/>
  <c r="AD5" i="10"/>
  <c r="AC5" i="10"/>
  <c r="AE4" i="10"/>
  <c r="AD4" i="10"/>
  <c r="AC4" i="10"/>
  <c r="AE3" i="10"/>
  <c r="AD3" i="10"/>
  <c r="AC3" i="10"/>
  <c r="AE18" i="9"/>
  <c r="AD18" i="9"/>
  <c r="AC18" i="9"/>
  <c r="AE17" i="9"/>
  <c r="AD17" i="9"/>
  <c r="AC17" i="9"/>
  <c r="AE16" i="9"/>
  <c r="AD16" i="9"/>
  <c r="AC16" i="9"/>
  <c r="AE15" i="9"/>
  <c r="AD15" i="9"/>
  <c r="AC15" i="9"/>
  <c r="AE14" i="9"/>
  <c r="AD14" i="9"/>
  <c r="AC14" i="9"/>
  <c r="AE13" i="9"/>
  <c r="AD13" i="9"/>
  <c r="AC13" i="9"/>
  <c r="AE12" i="9"/>
  <c r="AD12" i="9"/>
  <c r="AC12" i="9"/>
  <c r="AE11" i="9"/>
  <c r="AD11" i="9"/>
  <c r="AC11" i="9"/>
  <c r="AE10" i="9"/>
  <c r="AD10" i="9"/>
  <c r="AC10" i="9"/>
  <c r="AE9" i="9"/>
  <c r="AD9" i="9"/>
  <c r="AC9" i="9"/>
  <c r="AE8" i="9"/>
  <c r="AD8" i="9"/>
  <c r="AC8" i="9"/>
  <c r="AE7" i="9"/>
  <c r="AD7" i="9"/>
  <c r="AC7" i="9"/>
  <c r="AE6" i="9"/>
  <c r="AD6" i="9"/>
  <c r="AC6" i="9"/>
  <c r="AE5" i="9"/>
  <c r="AD5" i="9"/>
  <c r="AC5" i="9"/>
  <c r="AE4" i="9"/>
  <c r="AD4" i="9"/>
  <c r="AC4" i="9"/>
  <c r="AE3" i="9"/>
  <c r="AD3" i="9"/>
  <c r="AC3" i="9"/>
  <c r="AE18" i="8"/>
  <c r="AD18" i="8"/>
  <c r="AC18" i="8"/>
  <c r="AE17" i="8"/>
  <c r="AD17" i="8"/>
  <c r="AC17" i="8"/>
  <c r="AE15" i="8"/>
  <c r="AD15" i="8"/>
  <c r="AC15" i="8"/>
  <c r="AE14" i="8"/>
  <c r="AD14" i="8"/>
  <c r="AC14" i="8"/>
  <c r="AE10" i="8"/>
  <c r="AD10" i="8"/>
  <c r="AC10" i="8"/>
  <c r="AE9" i="8"/>
  <c r="AD9" i="8"/>
  <c r="AC9" i="8"/>
  <c r="D12" i="6"/>
  <c r="C12" i="6"/>
  <c r="B12" i="6"/>
  <c r="A12" i="6"/>
  <c r="D12" i="5"/>
  <c r="C12" i="5"/>
  <c r="B12" i="5"/>
  <c r="A12" i="5"/>
  <c r="Y12" i="4"/>
  <c r="X12" i="4"/>
  <c r="T12" i="4"/>
  <c r="S12" i="4"/>
  <c r="D12" i="4"/>
  <c r="C12" i="4"/>
  <c r="B12" i="4"/>
  <c r="A12" i="4"/>
  <c r="F13" i="3"/>
  <c r="D13" i="3"/>
  <c r="C13" i="3"/>
  <c r="B13" i="3"/>
  <c r="Q43" i="17"/>
  <c r="Z39" i="17"/>
  <c r="Y39" i="17"/>
  <c r="X39" i="17"/>
  <c r="Z38" i="17"/>
  <c r="Y38" i="17"/>
  <c r="X38" i="17"/>
  <c r="Z37" i="17"/>
  <c r="Y37" i="17"/>
  <c r="X37" i="17"/>
  <c r="Z36" i="17"/>
  <c r="Y36" i="17"/>
  <c r="X36" i="17"/>
  <c r="Z35" i="17"/>
  <c r="Y35" i="17"/>
  <c r="X35" i="17"/>
  <c r="Z34" i="17"/>
  <c r="Y34" i="17"/>
  <c r="X34" i="17"/>
  <c r="Z33" i="17"/>
  <c r="Y33" i="17"/>
  <c r="X33" i="17"/>
  <c r="Z32" i="17"/>
  <c r="Y32" i="17"/>
  <c r="X32" i="17"/>
  <c r="Z31" i="17"/>
  <c r="Y31" i="17"/>
  <c r="X31" i="17"/>
  <c r="Z30" i="17"/>
  <c r="Y30" i="17"/>
  <c r="X30" i="17"/>
  <c r="Z29" i="17"/>
  <c r="Y29" i="17"/>
  <c r="X29" i="17"/>
  <c r="Z28" i="17"/>
  <c r="Y28" i="17"/>
  <c r="X28" i="17"/>
  <c r="Z27" i="17"/>
  <c r="Y27" i="17"/>
  <c r="X27" i="17"/>
  <c r="Z26" i="17"/>
  <c r="Y26" i="17"/>
  <c r="X26" i="17"/>
  <c r="Z25" i="17"/>
  <c r="Y25" i="17"/>
  <c r="X25" i="17"/>
  <c r="Z24" i="17"/>
  <c r="Y24" i="17"/>
  <c r="X24" i="17"/>
  <c r="Z23" i="17"/>
  <c r="Y23" i="17"/>
  <c r="X23" i="17"/>
  <c r="Z22" i="17"/>
  <c r="Y22" i="17"/>
  <c r="X22" i="17"/>
  <c r="Z21" i="17"/>
  <c r="Y21" i="17"/>
  <c r="X21" i="17"/>
  <c r="Z20" i="17"/>
  <c r="Y20" i="17"/>
  <c r="X20" i="17"/>
  <c r="Z19" i="17"/>
  <c r="Y19" i="17"/>
  <c r="X19" i="17"/>
  <c r="Z18" i="17"/>
  <c r="Y18" i="17"/>
  <c r="X18" i="17"/>
  <c r="U18" i="17"/>
  <c r="U38" i="17" s="1"/>
  <c r="T18" i="17"/>
  <c r="T38" i="17" s="1"/>
  <c r="S18" i="17"/>
  <c r="S38" i="17" s="1"/>
  <c r="R18" i="17"/>
  <c r="R38" i="17" s="1"/>
  <c r="Z17" i="17"/>
  <c r="Y17" i="17"/>
  <c r="X17" i="17"/>
  <c r="U17" i="17"/>
  <c r="U37" i="17" s="1"/>
  <c r="T17" i="17"/>
  <c r="T37" i="17" s="1"/>
  <c r="S17" i="17"/>
  <c r="S37" i="17" s="1"/>
  <c r="Z16" i="17"/>
  <c r="Y16" i="17"/>
  <c r="X16" i="17"/>
  <c r="U16" i="17"/>
  <c r="U36" i="17" s="1"/>
  <c r="T16" i="17"/>
  <c r="T36" i="17" s="1"/>
  <c r="S16" i="17"/>
  <c r="S36" i="17" s="1"/>
  <c r="Z15" i="17"/>
  <c r="Y15" i="17"/>
  <c r="X15" i="17"/>
  <c r="U15" i="17"/>
  <c r="U35" i="17" s="1"/>
  <c r="T15" i="17"/>
  <c r="T35" i="17" s="1"/>
  <c r="S15" i="17"/>
  <c r="S35" i="17" s="1"/>
  <c r="Z14" i="17"/>
  <c r="Y14" i="17"/>
  <c r="X14" i="17"/>
  <c r="U14" i="17"/>
  <c r="U34" i="17" s="1"/>
  <c r="T14" i="17"/>
  <c r="T34" i="17" s="1"/>
  <c r="S14" i="17"/>
  <c r="S34" i="17" s="1"/>
  <c r="R14" i="17"/>
  <c r="R34" i="17" s="1"/>
  <c r="Z13" i="17"/>
  <c r="Y13" i="17"/>
  <c r="X13" i="17"/>
  <c r="U13" i="17"/>
  <c r="U33" i="17" s="1"/>
  <c r="T13" i="17"/>
  <c r="T33" i="17" s="1"/>
  <c r="S13" i="17"/>
  <c r="S33" i="17" s="1"/>
  <c r="Z12" i="17"/>
  <c r="Y12" i="17"/>
  <c r="X12" i="17"/>
  <c r="U12" i="17"/>
  <c r="R12" i="17" s="1"/>
  <c r="R32" i="17" s="1"/>
  <c r="T12" i="17"/>
  <c r="T32" i="17" s="1"/>
  <c r="S12" i="17"/>
  <c r="S32" i="17" s="1"/>
  <c r="Z11" i="17"/>
  <c r="Y11" i="17"/>
  <c r="X11" i="17"/>
  <c r="U11" i="17"/>
  <c r="U31" i="17" s="1"/>
  <c r="T11" i="17"/>
  <c r="T31" i="17" s="1"/>
  <c r="S11" i="17"/>
  <c r="S31" i="17" s="1"/>
  <c r="R11" i="17"/>
  <c r="R31" i="17" s="1"/>
  <c r="Z10" i="17"/>
  <c r="Y10" i="17"/>
  <c r="X10" i="17"/>
  <c r="U10" i="17"/>
  <c r="U30" i="17" s="1"/>
  <c r="T10" i="17"/>
  <c r="T30" i="17" s="1"/>
  <c r="S10" i="17"/>
  <c r="S30" i="17" s="1"/>
  <c r="Z9" i="17"/>
  <c r="Y9" i="17"/>
  <c r="X9" i="17"/>
  <c r="U9" i="17"/>
  <c r="U29" i="17" s="1"/>
  <c r="T9" i="17"/>
  <c r="T29" i="17" s="1"/>
  <c r="S9" i="17"/>
  <c r="S29" i="17" s="1"/>
  <c r="Z8" i="17"/>
  <c r="Y8" i="17"/>
  <c r="X8" i="17"/>
  <c r="U8" i="17"/>
  <c r="U28" i="17" s="1"/>
  <c r="T8" i="17"/>
  <c r="T28" i="17" s="1"/>
  <c r="S8" i="17"/>
  <c r="S28" i="17" s="1"/>
  <c r="Z7" i="17"/>
  <c r="Y7" i="17"/>
  <c r="X7" i="17"/>
  <c r="U7" i="17"/>
  <c r="U27" i="17" s="1"/>
  <c r="T7" i="17"/>
  <c r="T27" i="17" s="1"/>
  <c r="S7" i="17"/>
  <c r="S27" i="17" s="1"/>
  <c r="R7" i="17"/>
  <c r="R27" i="17" s="1"/>
  <c r="Z6" i="17"/>
  <c r="Y6" i="17"/>
  <c r="X6" i="17"/>
  <c r="U6" i="17"/>
  <c r="U26" i="17" s="1"/>
  <c r="T6" i="17"/>
  <c r="T26" i="17" s="1"/>
  <c r="S6" i="17"/>
  <c r="S26" i="17" s="1"/>
  <c r="R6" i="17"/>
  <c r="R26" i="17" s="1"/>
  <c r="Z5" i="17"/>
  <c r="Y5" i="17"/>
  <c r="X5" i="17"/>
  <c r="U5" i="17"/>
  <c r="R5" i="17" s="1"/>
  <c r="R25" i="17" s="1"/>
  <c r="T5" i="17"/>
  <c r="T25" i="17" s="1"/>
  <c r="S5" i="17"/>
  <c r="S25" i="17" s="1"/>
  <c r="M5" i="17"/>
  <c r="L5" i="17"/>
  <c r="N5" i="17" s="1"/>
  <c r="Z4" i="17"/>
  <c r="Y4" i="17"/>
  <c r="X4" i="17"/>
  <c r="U4" i="17"/>
  <c r="U24" i="17" s="1"/>
  <c r="T4" i="17"/>
  <c r="T24" i="17" s="1"/>
  <c r="S4" i="17"/>
  <c r="S24" i="17" s="1"/>
  <c r="R4" i="17"/>
  <c r="R24" i="17" s="1"/>
  <c r="M4" i="17"/>
  <c r="L4" i="17"/>
  <c r="N4" i="17" s="1"/>
  <c r="U3" i="17"/>
  <c r="R3" i="17" s="1"/>
  <c r="R23" i="17" s="1"/>
  <c r="T3" i="17"/>
  <c r="T23" i="17" s="1"/>
  <c r="S3" i="17"/>
  <c r="S23" i="17" s="1"/>
  <c r="M3" i="17"/>
  <c r="L3" i="17"/>
  <c r="N3" i="17" s="1"/>
  <c r="Q43" i="16"/>
  <c r="A11" i="6"/>
  <c r="A11" i="5"/>
  <c r="A11" i="4"/>
  <c r="C12" i="3"/>
  <c r="B12" i="3"/>
  <c r="B10" i="3"/>
  <c r="C10" i="3"/>
  <c r="E10" i="3" s="1"/>
  <c r="D10" i="3"/>
  <c r="F10" i="3"/>
  <c r="Z39" i="16"/>
  <c r="Y39" i="16"/>
  <c r="X39" i="16"/>
  <c r="Z38" i="16"/>
  <c r="Y38" i="16"/>
  <c r="X38" i="16"/>
  <c r="Z37" i="16"/>
  <c r="Y37" i="16"/>
  <c r="X37" i="16"/>
  <c r="Z36" i="16"/>
  <c r="Y36" i="16"/>
  <c r="X36" i="16"/>
  <c r="Z35" i="16"/>
  <c r="Y35" i="16"/>
  <c r="X35" i="16"/>
  <c r="U35" i="16"/>
  <c r="T35" i="16"/>
  <c r="S35" i="16"/>
  <c r="R35" i="16"/>
  <c r="Z34" i="16"/>
  <c r="Y34" i="16"/>
  <c r="X34" i="16"/>
  <c r="Z33" i="16"/>
  <c r="Y33" i="16"/>
  <c r="X33" i="16"/>
  <c r="U33" i="16"/>
  <c r="T33" i="16"/>
  <c r="S33" i="16"/>
  <c r="R33" i="16"/>
  <c r="Z32" i="16"/>
  <c r="Y32" i="16"/>
  <c r="X32" i="16"/>
  <c r="Z31" i="16"/>
  <c r="Y31" i="16"/>
  <c r="X31" i="16"/>
  <c r="Z30" i="16"/>
  <c r="Y30" i="16"/>
  <c r="X30" i="16"/>
  <c r="Z29" i="16"/>
  <c r="Y29" i="16"/>
  <c r="X29" i="16"/>
  <c r="Z28" i="16"/>
  <c r="Y28" i="16"/>
  <c r="X28" i="16"/>
  <c r="U28" i="16"/>
  <c r="T28" i="16"/>
  <c r="S28" i="16"/>
  <c r="R28" i="16"/>
  <c r="Z27" i="16"/>
  <c r="Y27" i="16"/>
  <c r="X27" i="16"/>
  <c r="Z26" i="16"/>
  <c r="Y26" i="16"/>
  <c r="X26" i="16"/>
  <c r="Z25" i="16"/>
  <c r="Y25" i="16"/>
  <c r="X25" i="16"/>
  <c r="U25" i="16"/>
  <c r="T25" i="16"/>
  <c r="S25" i="16"/>
  <c r="R25" i="16"/>
  <c r="Z24" i="16"/>
  <c r="Y24" i="16"/>
  <c r="X24" i="16"/>
  <c r="Z23" i="16"/>
  <c r="Y23" i="16"/>
  <c r="X23" i="16"/>
  <c r="Z22" i="16"/>
  <c r="Y22" i="16"/>
  <c r="X22" i="16"/>
  <c r="Z21" i="16"/>
  <c r="Y21" i="16"/>
  <c r="X21" i="16"/>
  <c r="Z20" i="16"/>
  <c r="Y20" i="16"/>
  <c r="X20" i="16"/>
  <c r="Z19" i="16"/>
  <c r="Y19" i="16"/>
  <c r="X19" i="16"/>
  <c r="Z18" i="16"/>
  <c r="Y18" i="16"/>
  <c r="X18" i="16"/>
  <c r="U18" i="16"/>
  <c r="U38" i="16" s="1"/>
  <c r="T18" i="16"/>
  <c r="T38" i="16" s="1"/>
  <c r="S18" i="16"/>
  <c r="S38" i="16" s="1"/>
  <c r="Z17" i="16"/>
  <c r="Y17" i="16"/>
  <c r="X17" i="16"/>
  <c r="U17" i="16"/>
  <c r="U37" i="16" s="1"/>
  <c r="T17" i="16"/>
  <c r="T37" i="16" s="1"/>
  <c r="S17" i="16"/>
  <c r="S37" i="16" s="1"/>
  <c r="Z16" i="16"/>
  <c r="Y16" i="16"/>
  <c r="X16" i="16"/>
  <c r="U16" i="16"/>
  <c r="U36" i="16" s="1"/>
  <c r="T16" i="16"/>
  <c r="T36" i="16" s="1"/>
  <c r="S16" i="16"/>
  <c r="S36" i="16" s="1"/>
  <c r="Z15" i="16"/>
  <c r="Y15" i="16"/>
  <c r="X15" i="16"/>
  <c r="U15" i="16"/>
  <c r="R15" i="16" s="1"/>
  <c r="T15" i="16"/>
  <c r="S15" i="16"/>
  <c r="Z14" i="16"/>
  <c r="Y14" i="16"/>
  <c r="X14" i="16"/>
  <c r="U14" i="16"/>
  <c r="R14" i="16" s="1"/>
  <c r="R34" i="16" s="1"/>
  <c r="T14" i="16"/>
  <c r="T34" i="16" s="1"/>
  <c r="S14" i="16"/>
  <c r="S34" i="16" s="1"/>
  <c r="Z13" i="16"/>
  <c r="Y13" i="16"/>
  <c r="X13" i="16"/>
  <c r="U13" i="16"/>
  <c r="R13" i="16" s="1"/>
  <c r="T13" i="16"/>
  <c r="S13" i="16"/>
  <c r="Z12" i="16"/>
  <c r="Y12" i="16"/>
  <c r="X12" i="16"/>
  <c r="U12" i="16"/>
  <c r="R12" i="16" s="1"/>
  <c r="R32" i="16" s="1"/>
  <c r="T12" i="16"/>
  <c r="T32" i="16" s="1"/>
  <c r="S12" i="16"/>
  <c r="S32" i="16" s="1"/>
  <c r="Z11" i="16"/>
  <c r="Y11" i="16"/>
  <c r="X11" i="16"/>
  <c r="U11" i="16"/>
  <c r="U31" i="16" s="1"/>
  <c r="T11" i="16"/>
  <c r="T31" i="16" s="1"/>
  <c r="S11" i="16"/>
  <c r="S31" i="16" s="1"/>
  <c r="Z10" i="16"/>
  <c r="Y10" i="16"/>
  <c r="X10" i="16"/>
  <c r="U10" i="16"/>
  <c r="U30" i="16" s="1"/>
  <c r="T10" i="16"/>
  <c r="T30" i="16" s="1"/>
  <c r="S10" i="16"/>
  <c r="S30" i="16" s="1"/>
  <c r="Z9" i="16"/>
  <c r="Y9" i="16"/>
  <c r="X9" i="16"/>
  <c r="U9" i="16"/>
  <c r="U29" i="16" s="1"/>
  <c r="T9" i="16"/>
  <c r="T29" i="16" s="1"/>
  <c r="S9" i="16"/>
  <c r="S29" i="16" s="1"/>
  <c r="Z8" i="16"/>
  <c r="Y8" i="16"/>
  <c r="X8" i="16"/>
  <c r="U8" i="16"/>
  <c r="R8" i="16" s="1"/>
  <c r="T8" i="16"/>
  <c r="S8" i="16"/>
  <c r="Z7" i="16"/>
  <c r="Y7" i="16"/>
  <c r="X7" i="16"/>
  <c r="U7" i="16"/>
  <c r="U27" i="16" s="1"/>
  <c r="T7" i="16"/>
  <c r="T27" i="16" s="1"/>
  <c r="S7" i="16"/>
  <c r="S27" i="16" s="1"/>
  <c r="Z6" i="16"/>
  <c r="Y6" i="16"/>
  <c r="X6" i="16"/>
  <c r="U6" i="16"/>
  <c r="R6" i="16" s="1"/>
  <c r="R26" i="16" s="1"/>
  <c r="T6" i="16"/>
  <c r="T26" i="16" s="1"/>
  <c r="S6" i="16"/>
  <c r="S26" i="16" s="1"/>
  <c r="Z5" i="16"/>
  <c r="Y5" i="16"/>
  <c r="X5" i="16"/>
  <c r="U5" i="16"/>
  <c r="R5" i="16" s="1"/>
  <c r="T5" i="16"/>
  <c r="S5" i="16"/>
  <c r="M5" i="16"/>
  <c r="C11" i="5" s="1"/>
  <c r="L5" i="16"/>
  <c r="B11" i="5" s="1"/>
  <c r="Z4" i="16"/>
  <c r="S11" i="5" s="1"/>
  <c r="Y4" i="16"/>
  <c r="T11" i="4" s="1"/>
  <c r="X4" i="16"/>
  <c r="X11" i="4" s="1"/>
  <c r="U4" i="16"/>
  <c r="U24" i="16" s="1"/>
  <c r="T4" i="16"/>
  <c r="T24" i="16" s="1"/>
  <c r="S4" i="16"/>
  <c r="S24" i="16" s="1"/>
  <c r="M4" i="16"/>
  <c r="C11" i="6" s="1"/>
  <c r="L4" i="16"/>
  <c r="B11" i="6" s="1"/>
  <c r="U3" i="16"/>
  <c r="U23" i="16" s="1"/>
  <c r="T3" i="16"/>
  <c r="T23" i="16" s="1"/>
  <c r="S3" i="16"/>
  <c r="S23" i="16" s="1"/>
  <c r="R3" i="16"/>
  <c r="R23" i="16" s="1"/>
  <c r="M3" i="16"/>
  <c r="N3" i="16" s="1"/>
  <c r="L3" i="16"/>
  <c r="F12" i="3" s="1"/>
  <c r="AA23" i="3"/>
  <c r="AA22" i="3"/>
  <c r="AA21" i="3"/>
  <c r="AA20" i="3"/>
  <c r="AA19" i="3"/>
  <c r="AA18" i="3"/>
  <c r="AA17" i="3"/>
  <c r="AA16" i="3"/>
  <c r="AA15" i="3"/>
  <c r="AA14" i="3"/>
  <c r="AA13" i="3"/>
  <c r="AA12" i="3"/>
  <c r="AA11" i="3"/>
  <c r="AA10" i="3"/>
  <c r="AA9" i="3"/>
  <c r="AA8" i="3"/>
  <c r="Q16" i="3" l="1"/>
  <c r="Q23" i="3"/>
  <c r="Q15" i="3"/>
  <c r="Q22" i="3"/>
  <c r="Q14" i="3"/>
  <c r="Q21" i="3"/>
  <c r="Q13" i="3"/>
  <c r="Q20" i="3"/>
  <c r="Q12" i="3"/>
  <c r="W20" i="3"/>
  <c r="W12" i="3"/>
  <c r="U8" i="3"/>
  <c r="AE67" i="3"/>
  <c r="S5" i="23"/>
  <c r="S25" i="23" s="1"/>
  <c r="S9" i="23"/>
  <c r="S29" i="23" s="1"/>
  <c r="S13" i="23"/>
  <c r="S33" i="23" s="1"/>
  <c r="S17" i="23"/>
  <c r="S37" i="23" s="1"/>
  <c r="R45" i="23"/>
  <c r="R46" i="23"/>
  <c r="V34" i="23"/>
  <c r="S10" i="23"/>
  <c r="S30" i="23" s="1"/>
  <c r="S18" i="23"/>
  <c r="S38" i="23" s="1"/>
  <c r="V24" i="23"/>
  <c r="V32" i="23"/>
  <c r="V23" i="23"/>
  <c r="S7" i="23"/>
  <c r="S27" i="23" s="1"/>
  <c r="S15" i="23"/>
  <c r="S35" i="23" s="1"/>
  <c r="S8" i="23"/>
  <c r="S28" i="23" s="1"/>
  <c r="S16" i="23"/>
  <c r="S36" i="23" s="1"/>
  <c r="O3" i="22"/>
  <c r="S7" i="22"/>
  <c r="S27" i="22" s="1"/>
  <c r="O4" i="22"/>
  <c r="S3" i="22"/>
  <c r="S23" i="22" s="1"/>
  <c r="O5" i="22"/>
  <c r="R45" i="22"/>
  <c r="R46" i="22"/>
  <c r="S5" i="22"/>
  <c r="S25" i="22" s="1"/>
  <c r="S9" i="22"/>
  <c r="S29" i="22" s="1"/>
  <c r="S13" i="22"/>
  <c r="S33" i="22" s="1"/>
  <c r="S17" i="22"/>
  <c r="S37" i="22" s="1"/>
  <c r="V26" i="22"/>
  <c r="V34" i="22"/>
  <c r="S4" i="22"/>
  <c r="S24" i="22" s="1"/>
  <c r="S10" i="22"/>
  <c r="S30" i="22" s="1"/>
  <c r="S18" i="22"/>
  <c r="S38" i="22" s="1"/>
  <c r="V32" i="22"/>
  <c r="V31" i="22"/>
  <c r="S15" i="22"/>
  <c r="S35" i="22" s="1"/>
  <c r="S8" i="22"/>
  <c r="S28" i="22" s="1"/>
  <c r="S16" i="22"/>
  <c r="S36" i="22" s="1"/>
  <c r="E17" i="3"/>
  <c r="N4" i="21"/>
  <c r="R9" i="21"/>
  <c r="R29" i="21" s="1"/>
  <c r="Q46" i="21"/>
  <c r="N5" i="21"/>
  <c r="O5" i="21" s="1"/>
  <c r="R5" i="21"/>
  <c r="R25" i="21" s="1"/>
  <c r="R11" i="21"/>
  <c r="R31" i="21" s="1"/>
  <c r="R17" i="21"/>
  <c r="R37" i="21" s="1"/>
  <c r="R7" i="21"/>
  <c r="R27" i="21" s="1"/>
  <c r="R13" i="21"/>
  <c r="R33" i="21" s="1"/>
  <c r="Q45" i="21"/>
  <c r="O4" i="21"/>
  <c r="U26" i="21"/>
  <c r="U34" i="21"/>
  <c r="R10" i="21"/>
  <c r="R30" i="21" s="1"/>
  <c r="R18" i="21"/>
  <c r="R38" i="21" s="1"/>
  <c r="U23" i="21"/>
  <c r="R8" i="21"/>
  <c r="R28" i="21" s="1"/>
  <c r="R16" i="21"/>
  <c r="R36" i="21" s="1"/>
  <c r="O3" i="20"/>
  <c r="N5" i="20"/>
  <c r="O4" i="20"/>
  <c r="Q45" i="20"/>
  <c r="Q46" i="20"/>
  <c r="O5" i="20"/>
  <c r="R5" i="20"/>
  <c r="R25" i="20" s="1"/>
  <c r="R9" i="20"/>
  <c r="R29" i="20" s="1"/>
  <c r="R13" i="20"/>
  <c r="R33" i="20" s="1"/>
  <c r="R17" i="20"/>
  <c r="R37" i="20" s="1"/>
  <c r="U26" i="20"/>
  <c r="U34" i="20"/>
  <c r="R4" i="20"/>
  <c r="R24" i="20" s="1"/>
  <c r="R10" i="20"/>
  <c r="R30" i="20" s="1"/>
  <c r="U32" i="20"/>
  <c r="U31" i="20"/>
  <c r="R7" i="20"/>
  <c r="R27" i="20" s="1"/>
  <c r="R15" i="20"/>
  <c r="R35" i="20" s="1"/>
  <c r="R8" i="20"/>
  <c r="R28" i="20" s="1"/>
  <c r="R16" i="20"/>
  <c r="R36" i="20" s="1"/>
  <c r="Q46" i="19"/>
  <c r="N4" i="19"/>
  <c r="B14" i="5"/>
  <c r="D15" i="3"/>
  <c r="S14" i="4"/>
  <c r="F15" i="3"/>
  <c r="E15" i="3" s="1"/>
  <c r="T14" i="4"/>
  <c r="S14" i="5"/>
  <c r="R9" i="19"/>
  <c r="R16" i="19"/>
  <c r="N3" i="19"/>
  <c r="O5" i="19" s="1"/>
  <c r="D14" i="5" s="1"/>
  <c r="K86" i="3" s="1"/>
  <c r="R12" i="19"/>
  <c r="R17" i="19"/>
  <c r="R8" i="19"/>
  <c r="R13" i="19"/>
  <c r="Q45" i="19"/>
  <c r="U26" i="19"/>
  <c r="U34" i="19"/>
  <c r="R4" i="19"/>
  <c r="R10" i="19"/>
  <c r="R18" i="19"/>
  <c r="U31" i="19"/>
  <c r="R7" i="19"/>
  <c r="R15" i="19"/>
  <c r="B13" i="4"/>
  <c r="AD44" i="3"/>
  <c r="AE44" i="3" s="1"/>
  <c r="AD36" i="3"/>
  <c r="AE36" i="3" s="1"/>
  <c r="AF44" i="3"/>
  <c r="AG44" i="3" s="1"/>
  <c r="AF36" i="3"/>
  <c r="AG36" i="3" s="1"/>
  <c r="AH44" i="3"/>
  <c r="AI44" i="3" s="1"/>
  <c r="AH36" i="3"/>
  <c r="AI36" i="3" s="1"/>
  <c r="AD43" i="3"/>
  <c r="AE43" i="3" s="1"/>
  <c r="AD35" i="3"/>
  <c r="AE35" i="3" s="1"/>
  <c r="AF43" i="3"/>
  <c r="AG43" i="3" s="1"/>
  <c r="AF35" i="3"/>
  <c r="AG35" i="3" s="1"/>
  <c r="AH43" i="3"/>
  <c r="AI43" i="3" s="1"/>
  <c r="AH35" i="3"/>
  <c r="AI35" i="3" s="1"/>
  <c r="AD42" i="3"/>
  <c r="AE42" i="3" s="1"/>
  <c r="AD34" i="3"/>
  <c r="AE34" i="3" s="1"/>
  <c r="AF42" i="3"/>
  <c r="AG42" i="3" s="1"/>
  <c r="AF34" i="3"/>
  <c r="AG34" i="3" s="1"/>
  <c r="AH42" i="3"/>
  <c r="AI42" i="3" s="1"/>
  <c r="AH34" i="3"/>
  <c r="AI34" i="3" s="1"/>
  <c r="S13" i="4"/>
  <c r="AD41" i="3"/>
  <c r="AE41" i="3" s="1"/>
  <c r="AD33" i="3"/>
  <c r="AE33" i="3" s="1"/>
  <c r="AF41" i="3"/>
  <c r="AG41" i="3" s="1"/>
  <c r="AF33" i="3"/>
  <c r="AG33" i="3" s="1"/>
  <c r="AH41" i="3"/>
  <c r="AI41" i="3" s="1"/>
  <c r="AH33" i="3"/>
  <c r="AI33" i="3" s="1"/>
  <c r="T13" i="4"/>
  <c r="AD40" i="3"/>
  <c r="AE40" i="3" s="1"/>
  <c r="AD32" i="3"/>
  <c r="AE32" i="3" s="1"/>
  <c r="AF40" i="3"/>
  <c r="AG40" i="3" s="1"/>
  <c r="AF32" i="3"/>
  <c r="AG32" i="3" s="1"/>
  <c r="AH40" i="3"/>
  <c r="AI40" i="3" s="1"/>
  <c r="AH32" i="3"/>
  <c r="AI32" i="3" s="1"/>
  <c r="D14" i="3"/>
  <c r="AD39" i="3"/>
  <c r="AE39" i="3" s="1"/>
  <c r="AD31" i="3"/>
  <c r="AE31" i="3" s="1"/>
  <c r="AF39" i="3"/>
  <c r="AG39" i="3" s="1"/>
  <c r="AF31" i="3"/>
  <c r="AG31" i="3" s="1"/>
  <c r="AH39" i="3"/>
  <c r="AI39" i="3" s="1"/>
  <c r="AH31" i="3"/>
  <c r="AI31" i="3" s="1"/>
  <c r="Y13" i="4"/>
  <c r="AB38" i="3"/>
  <c r="AC38" i="3" s="1"/>
  <c r="AD38" i="3"/>
  <c r="AE38" i="3" s="1"/>
  <c r="AD30" i="3"/>
  <c r="AE30" i="3" s="1"/>
  <c r="AF38" i="3"/>
  <c r="AG38" i="3" s="1"/>
  <c r="AF30" i="3"/>
  <c r="AG30" i="3" s="1"/>
  <c r="AH38" i="3"/>
  <c r="AI38" i="3" s="1"/>
  <c r="AH30" i="3"/>
  <c r="AI30" i="3" s="1"/>
  <c r="R3" i="18"/>
  <c r="AB37" i="3"/>
  <c r="AC37" i="3" s="1"/>
  <c r="AD29" i="3"/>
  <c r="AD37" i="3"/>
  <c r="AE37" i="3" s="1"/>
  <c r="AF29" i="3"/>
  <c r="AF37" i="3"/>
  <c r="AG37" i="3" s="1"/>
  <c r="AH29" i="3"/>
  <c r="AH37" i="3"/>
  <c r="AI37" i="3" s="1"/>
  <c r="E14" i="3"/>
  <c r="R6" i="18"/>
  <c r="R14" i="18"/>
  <c r="N4" i="18"/>
  <c r="R4" i="18"/>
  <c r="Q46" i="18"/>
  <c r="R10" i="18"/>
  <c r="N5" i="18"/>
  <c r="O3" i="18" s="1"/>
  <c r="D13" i="4" s="1"/>
  <c r="R18" i="18"/>
  <c r="N3" i="18"/>
  <c r="Q45" i="18"/>
  <c r="R5" i="18"/>
  <c r="R9" i="18"/>
  <c r="R13" i="18"/>
  <c r="R17" i="18"/>
  <c r="U32" i="18"/>
  <c r="U31" i="18"/>
  <c r="R7" i="18"/>
  <c r="R15" i="18"/>
  <c r="R8" i="18"/>
  <c r="R16" i="18"/>
  <c r="E13" i="3"/>
  <c r="U25" i="17"/>
  <c r="Q45" i="17"/>
  <c r="O3" i="17"/>
  <c r="O5" i="17"/>
  <c r="R10" i="17"/>
  <c r="R30" i="17" s="1"/>
  <c r="R15" i="17"/>
  <c r="R35" i="17" s="1"/>
  <c r="O4" i="17"/>
  <c r="Q46" i="17"/>
  <c r="R9" i="17"/>
  <c r="R29" i="17" s="1"/>
  <c r="R13" i="17"/>
  <c r="R33" i="17" s="1"/>
  <c r="R17" i="17"/>
  <c r="R37" i="17" s="1"/>
  <c r="U32" i="17"/>
  <c r="U23" i="17"/>
  <c r="R8" i="17"/>
  <c r="R28" i="17" s="1"/>
  <c r="R16" i="17"/>
  <c r="R36" i="17" s="1"/>
  <c r="Y11" i="4"/>
  <c r="R11" i="5"/>
  <c r="B11" i="4"/>
  <c r="D12" i="3"/>
  <c r="C11" i="4"/>
  <c r="S11" i="4"/>
  <c r="R7" i="16"/>
  <c r="R27" i="16" s="1"/>
  <c r="E12" i="3"/>
  <c r="Q45" i="16"/>
  <c r="N5" i="16"/>
  <c r="O4" i="16" s="1"/>
  <c r="D11" i="6" s="1"/>
  <c r="R9" i="16"/>
  <c r="R29" i="16" s="1"/>
  <c r="R11" i="16"/>
  <c r="R31" i="16" s="1"/>
  <c r="R17" i="16"/>
  <c r="R37" i="16" s="1"/>
  <c r="N4" i="16"/>
  <c r="O3" i="16" s="1"/>
  <c r="D11" i="4" s="1"/>
  <c r="Q46" i="16"/>
  <c r="U26" i="16"/>
  <c r="U34" i="16"/>
  <c r="R4" i="16"/>
  <c r="R24" i="16" s="1"/>
  <c r="R10" i="16"/>
  <c r="R30" i="16" s="1"/>
  <c r="R18" i="16"/>
  <c r="R38" i="16" s="1"/>
  <c r="U32" i="16"/>
  <c r="R16" i="16"/>
  <c r="R36" i="16" s="1"/>
  <c r="R44" i="23" l="1"/>
  <c r="R47" i="23"/>
  <c r="R47" i="22"/>
  <c r="R44" i="22"/>
  <c r="Q47" i="21"/>
  <c r="Q44" i="21"/>
  <c r="Q44" i="20"/>
  <c r="Q47" i="20"/>
  <c r="R27" i="19"/>
  <c r="R33" i="19"/>
  <c r="R36" i="19"/>
  <c r="R29" i="19"/>
  <c r="R28" i="19"/>
  <c r="O3" i="19"/>
  <c r="D14" i="4" s="1"/>
  <c r="J86" i="3" s="1"/>
  <c r="R38" i="19"/>
  <c r="R30" i="19"/>
  <c r="O4" i="19"/>
  <c r="D14" i="6" s="1"/>
  <c r="L86" i="3" s="1"/>
  <c r="R35" i="19"/>
  <c r="R24" i="19"/>
  <c r="R37" i="19"/>
  <c r="R32" i="19"/>
  <c r="Q47" i="19"/>
  <c r="R30" i="18"/>
  <c r="AB36" i="3"/>
  <c r="AC36" i="3" s="1"/>
  <c r="R36" i="18"/>
  <c r="AB42" i="3"/>
  <c r="AC42" i="3" s="1"/>
  <c r="R29" i="18"/>
  <c r="AB35" i="3"/>
  <c r="AC35" i="3" s="1"/>
  <c r="R24" i="18"/>
  <c r="Q44" i="18" s="1"/>
  <c r="AB30" i="3"/>
  <c r="AC30" i="3" s="1"/>
  <c r="R33" i="18"/>
  <c r="AB39" i="3"/>
  <c r="AC39" i="3" s="1"/>
  <c r="R28" i="18"/>
  <c r="AB34" i="3"/>
  <c r="AC34" i="3" s="1"/>
  <c r="R25" i="18"/>
  <c r="AB31" i="3"/>
  <c r="AC31" i="3" s="1"/>
  <c r="R37" i="18"/>
  <c r="AB43" i="3"/>
  <c r="AC43" i="3" s="1"/>
  <c r="R35" i="18"/>
  <c r="AB41" i="3"/>
  <c r="AC41" i="3" s="1"/>
  <c r="R34" i="18"/>
  <c r="AB40" i="3"/>
  <c r="AC40" i="3" s="1"/>
  <c r="R27" i="18"/>
  <c r="AB33" i="3"/>
  <c r="AC33" i="3" s="1"/>
  <c r="O4" i="18"/>
  <c r="D13" i="6" s="1"/>
  <c r="R26" i="18"/>
  <c r="AB32" i="3"/>
  <c r="AC32" i="3" s="1"/>
  <c r="R38" i="18"/>
  <c r="AB44" i="3"/>
  <c r="AC44" i="3" s="1"/>
  <c r="R23" i="18"/>
  <c r="AB29" i="3"/>
  <c r="Q47" i="18"/>
  <c r="O5" i="18"/>
  <c r="D13" i="5" s="1"/>
  <c r="Q44" i="17"/>
  <c r="Q47" i="17"/>
  <c r="AE29" i="3"/>
  <c r="Q47" i="16"/>
  <c r="AC29" i="3"/>
  <c r="AI29" i="3"/>
  <c r="AG29" i="3"/>
  <c r="Q44" i="16"/>
  <c r="O5" i="16"/>
  <c r="D11" i="5" s="1"/>
  <c r="Q44" i="19" l="1"/>
  <c r="V32" i="4"/>
  <c r="U32" i="6"/>
  <c r="V35" i="5"/>
  <c r="S36" i="6"/>
  <c r="S35" i="6"/>
  <c r="S34" i="6"/>
  <c r="U35" i="6"/>
  <c r="U34" i="6"/>
  <c r="U33" i="6"/>
  <c r="V34" i="4"/>
  <c r="T35" i="5"/>
  <c r="T34" i="5"/>
  <c r="V34" i="5"/>
  <c r="V33" i="5"/>
  <c r="T36" i="4"/>
  <c r="U36" i="4" s="1"/>
  <c r="T34" i="4"/>
  <c r="U34" i="4" s="1"/>
  <c r="V35" i="4"/>
  <c r="V33" i="4"/>
  <c r="S10" i="5"/>
  <c r="R10" i="5"/>
  <c r="Y10" i="4"/>
  <c r="X10" i="4"/>
  <c r="T10" i="4"/>
  <c r="S10" i="4"/>
  <c r="AL8" i="4"/>
  <c r="AL12" i="4"/>
  <c r="AL11" i="4"/>
  <c r="AL14" i="4"/>
  <c r="W68" i="3"/>
  <c r="W69" i="3"/>
  <c r="W70" i="3"/>
  <c r="W71" i="3"/>
  <c r="W72" i="3"/>
  <c r="X72" i="3" s="1"/>
  <c r="W73" i="3"/>
  <c r="W74" i="3"/>
  <c r="W75" i="3"/>
  <c r="X75" i="3" s="1"/>
  <c r="W76" i="3"/>
  <c r="W77" i="3"/>
  <c r="W78" i="3"/>
  <c r="W79" i="3"/>
  <c r="W80" i="3"/>
  <c r="X80" i="3" s="1"/>
  <c r="W81" i="3"/>
  <c r="X81" i="3" s="1"/>
  <c r="W82" i="3"/>
  <c r="W67" i="3"/>
  <c r="U68" i="3"/>
  <c r="U69" i="3"/>
  <c r="U70" i="3"/>
  <c r="U71" i="3"/>
  <c r="U72" i="3"/>
  <c r="U73" i="3"/>
  <c r="V73" i="3" s="1"/>
  <c r="U74" i="3"/>
  <c r="V74" i="3" s="1"/>
  <c r="U75" i="3"/>
  <c r="V75" i="3" s="1"/>
  <c r="U76" i="3"/>
  <c r="U77" i="3"/>
  <c r="U78" i="3"/>
  <c r="U79" i="3"/>
  <c r="U80" i="3"/>
  <c r="U81" i="3"/>
  <c r="V81" i="3" s="1"/>
  <c r="U82" i="3"/>
  <c r="U67" i="3"/>
  <c r="S68" i="3"/>
  <c r="S69" i="3"/>
  <c r="S70" i="3"/>
  <c r="S71" i="3"/>
  <c r="S72" i="3"/>
  <c r="T72" i="3" s="1"/>
  <c r="S73" i="3"/>
  <c r="S74" i="3"/>
  <c r="T74" i="3" s="1"/>
  <c r="S75" i="3"/>
  <c r="T75" i="3" s="1"/>
  <c r="S76" i="3"/>
  <c r="S77" i="3"/>
  <c r="S78" i="3"/>
  <c r="S79" i="3"/>
  <c r="S80" i="3"/>
  <c r="T80" i="3" s="1"/>
  <c r="S81" i="3"/>
  <c r="S82" i="3"/>
  <c r="S67" i="3"/>
  <c r="Q68" i="3"/>
  <c r="Q69" i="3"/>
  <c r="Q70" i="3"/>
  <c r="Q71" i="3"/>
  <c r="Q72" i="3"/>
  <c r="Q73" i="3"/>
  <c r="Q74" i="3"/>
  <c r="Q75" i="3"/>
  <c r="R75" i="3" s="1"/>
  <c r="Q76" i="3"/>
  <c r="Q77" i="3"/>
  <c r="Q78" i="3"/>
  <c r="Q79" i="3"/>
  <c r="R79" i="3" s="1"/>
  <c r="Q80" i="3"/>
  <c r="R80" i="3" s="1"/>
  <c r="Q81" i="3"/>
  <c r="Q82" i="3"/>
  <c r="Q67" i="3"/>
  <c r="D10" i="6"/>
  <c r="C10" i="6"/>
  <c r="B10" i="6"/>
  <c r="A10" i="6"/>
  <c r="D10" i="5"/>
  <c r="C10" i="5"/>
  <c r="B10" i="5"/>
  <c r="A10" i="5"/>
  <c r="D10" i="4"/>
  <c r="C10" i="4"/>
  <c r="B10" i="4"/>
  <c r="A10" i="4"/>
  <c r="F11" i="3"/>
  <c r="D11" i="3"/>
  <c r="C11" i="3"/>
  <c r="B11" i="3"/>
  <c r="E11" i="3"/>
  <c r="Q47" i="15"/>
  <c r="Q46" i="15"/>
  <c r="Q44" i="15"/>
  <c r="Q45" i="15"/>
  <c r="Q43" i="15"/>
  <c r="Z39" i="15"/>
  <c r="Y39" i="15"/>
  <c r="X39" i="15"/>
  <c r="Z38" i="15"/>
  <c r="Y38" i="15"/>
  <c r="X38" i="15"/>
  <c r="Z37" i="15"/>
  <c r="Y37" i="15"/>
  <c r="X37" i="15"/>
  <c r="Z36" i="15"/>
  <c r="Y36" i="15"/>
  <c r="X36" i="15"/>
  <c r="Z35" i="15"/>
  <c r="Y35" i="15"/>
  <c r="X35" i="15"/>
  <c r="U35" i="15"/>
  <c r="T35" i="15"/>
  <c r="S35" i="15"/>
  <c r="R35" i="15"/>
  <c r="Z34" i="15"/>
  <c r="Y34" i="15"/>
  <c r="X34" i="15"/>
  <c r="Z33" i="15"/>
  <c r="Y33" i="15"/>
  <c r="X33" i="15"/>
  <c r="U33" i="15"/>
  <c r="T33" i="15"/>
  <c r="S33" i="15"/>
  <c r="R33" i="15"/>
  <c r="Z32" i="15"/>
  <c r="Y32" i="15"/>
  <c r="X32" i="15"/>
  <c r="Z31" i="15"/>
  <c r="Y31" i="15"/>
  <c r="X31" i="15"/>
  <c r="Z30" i="15"/>
  <c r="Y30" i="15"/>
  <c r="X30" i="15"/>
  <c r="Z29" i="15"/>
  <c r="Y29" i="15"/>
  <c r="X29" i="15"/>
  <c r="Z28" i="15"/>
  <c r="Y28" i="15"/>
  <c r="X28" i="15"/>
  <c r="U28" i="15"/>
  <c r="T28" i="15"/>
  <c r="S28" i="15"/>
  <c r="R28" i="15"/>
  <c r="Z27" i="15"/>
  <c r="Y27" i="15"/>
  <c r="X27" i="15"/>
  <c r="Z26" i="15"/>
  <c r="Y26" i="15"/>
  <c r="X26" i="15"/>
  <c r="Z25" i="15"/>
  <c r="Y25" i="15"/>
  <c r="X25" i="15"/>
  <c r="U25" i="15"/>
  <c r="T25" i="15"/>
  <c r="S25" i="15"/>
  <c r="R25" i="15"/>
  <c r="Z24" i="15"/>
  <c r="Y24" i="15"/>
  <c r="X24" i="15"/>
  <c r="Z23" i="15"/>
  <c r="Y23" i="15"/>
  <c r="X23" i="15"/>
  <c r="Z22" i="15"/>
  <c r="Y22" i="15"/>
  <c r="X22" i="15"/>
  <c r="Z21" i="15"/>
  <c r="Y21" i="15"/>
  <c r="X21" i="15"/>
  <c r="Z20" i="15"/>
  <c r="Y20" i="15"/>
  <c r="X20" i="15"/>
  <c r="Z19" i="15"/>
  <c r="Y19" i="15"/>
  <c r="X19" i="15"/>
  <c r="Z18" i="15"/>
  <c r="Y18" i="15"/>
  <c r="X18" i="15"/>
  <c r="U18" i="15"/>
  <c r="U38" i="15" s="1"/>
  <c r="T18" i="15"/>
  <c r="T38" i="15" s="1"/>
  <c r="S18" i="15"/>
  <c r="S38" i="15" s="1"/>
  <c r="Z17" i="15"/>
  <c r="Y17" i="15"/>
  <c r="X17" i="15"/>
  <c r="U17" i="15"/>
  <c r="U37" i="15" s="1"/>
  <c r="T17" i="15"/>
  <c r="T37" i="15" s="1"/>
  <c r="S17" i="15"/>
  <c r="S37" i="15" s="1"/>
  <c r="Z16" i="15"/>
  <c r="Y16" i="15"/>
  <c r="X16" i="15"/>
  <c r="U16" i="15"/>
  <c r="U36" i="15" s="1"/>
  <c r="T16" i="15"/>
  <c r="T36" i="15" s="1"/>
  <c r="S16" i="15"/>
  <c r="S36" i="15" s="1"/>
  <c r="Z15" i="15"/>
  <c r="Y15" i="15"/>
  <c r="X15" i="15"/>
  <c r="U15" i="15"/>
  <c r="R15" i="15" s="1"/>
  <c r="T15" i="15"/>
  <c r="S15" i="15"/>
  <c r="Z14" i="15"/>
  <c r="Y14" i="15"/>
  <c r="X14" i="15"/>
  <c r="U14" i="15"/>
  <c r="U34" i="15" s="1"/>
  <c r="T14" i="15"/>
  <c r="T34" i="15" s="1"/>
  <c r="S14" i="15"/>
  <c r="S34" i="15" s="1"/>
  <c r="Z13" i="15"/>
  <c r="Y13" i="15"/>
  <c r="X13" i="15"/>
  <c r="U13" i="15"/>
  <c r="R13" i="15" s="1"/>
  <c r="T13" i="15"/>
  <c r="S13" i="15"/>
  <c r="Z12" i="15"/>
  <c r="Y12" i="15"/>
  <c r="X12" i="15"/>
  <c r="U12" i="15"/>
  <c r="R12" i="15" s="1"/>
  <c r="R32" i="15" s="1"/>
  <c r="T12" i="15"/>
  <c r="T32" i="15" s="1"/>
  <c r="S12" i="15"/>
  <c r="S32" i="15" s="1"/>
  <c r="Z11" i="15"/>
  <c r="Y11" i="15"/>
  <c r="X11" i="15"/>
  <c r="U11" i="15"/>
  <c r="R11" i="15" s="1"/>
  <c r="R31" i="15" s="1"/>
  <c r="T11" i="15"/>
  <c r="T31" i="15" s="1"/>
  <c r="S11" i="15"/>
  <c r="S31" i="15" s="1"/>
  <c r="Z10" i="15"/>
  <c r="Y10" i="15"/>
  <c r="X10" i="15"/>
  <c r="U10" i="15"/>
  <c r="U30" i="15" s="1"/>
  <c r="T10" i="15"/>
  <c r="T30" i="15" s="1"/>
  <c r="S10" i="15"/>
  <c r="S30" i="15" s="1"/>
  <c r="R10" i="15"/>
  <c r="R30" i="15" s="1"/>
  <c r="Z9" i="15"/>
  <c r="Y9" i="15"/>
  <c r="X9" i="15"/>
  <c r="U9" i="15"/>
  <c r="U29" i="15" s="1"/>
  <c r="T9" i="15"/>
  <c r="T29" i="15" s="1"/>
  <c r="S9" i="15"/>
  <c r="S29" i="15" s="1"/>
  <c r="Z8" i="15"/>
  <c r="Y8" i="15"/>
  <c r="X8" i="15"/>
  <c r="U8" i="15"/>
  <c r="R8" i="15" s="1"/>
  <c r="T8" i="15"/>
  <c r="S8" i="15"/>
  <c r="Z7" i="15"/>
  <c r="Y7" i="15"/>
  <c r="X7" i="15"/>
  <c r="U7" i="15"/>
  <c r="U27" i="15" s="1"/>
  <c r="T7" i="15"/>
  <c r="T27" i="15" s="1"/>
  <c r="S7" i="15"/>
  <c r="S27" i="15" s="1"/>
  <c r="Z6" i="15"/>
  <c r="Y6" i="15"/>
  <c r="X6" i="15"/>
  <c r="U6" i="15"/>
  <c r="R6" i="15" s="1"/>
  <c r="R26" i="15" s="1"/>
  <c r="T6" i="15"/>
  <c r="T26" i="15" s="1"/>
  <c r="S6" i="15"/>
  <c r="S26" i="15" s="1"/>
  <c r="Z5" i="15"/>
  <c r="Y5" i="15"/>
  <c r="X5" i="15"/>
  <c r="U5" i="15"/>
  <c r="R5" i="15" s="1"/>
  <c r="T5" i="15"/>
  <c r="S5" i="15"/>
  <c r="M5" i="15"/>
  <c r="L5" i="15"/>
  <c r="Z4" i="15"/>
  <c r="Y4" i="15"/>
  <c r="X4" i="15"/>
  <c r="U4" i="15"/>
  <c r="U24" i="15" s="1"/>
  <c r="T4" i="15"/>
  <c r="T24" i="15" s="1"/>
  <c r="S4" i="15"/>
  <c r="S24" i="15" s="1"/>
  <c r="M4" i="15"/>
  <c r="L4" i="15"/>
  <c r="N4" i="15" s="1"/>
  <c r="U3" i="15"/>
  <c r="U23" i="15" s="1"/>
  <c r="T3" i="15"/>
  <c r="T23" i="15" s="1"/>
  <c r="S3" i="15"/>
  <c r="S23" i="15" s="1"/>
  <c r="M3" i="15"/>
  <c r="L3" i="15"/>
  <c r="X9" i="4"/>
  <c r="Y9" i="4"/>
  <c r="R9" i="5"/>
  <c r="S9" i="5"/>
  <c r="X27" i="14"/>
  <c r="Y27" i="14"/>
  <c r="Z27" i="14"/>
  <c r="X28" i="14"/>
  <c r="Y28" i="14"/>
  <c r="Z28" i="14"/>
  <c r="X29" i="14"/>
  <c r="Y29" i="14"/>
  <c r="Z29" i="14"/>
  <c r="X30" i="14"/>
  <c r="Y30" i="14"/>
  <c r="Z30" i="14"/>
  <c r="X31" i="14"/>
  <c r="Y31" i="14"/>
  <c r="Z31" i="14"/>
  <c r="X32" i="14"/>
  <c r="Y32" i="14"/>
  <c r="Z32" i="14"/>
  <c r="X33" i="14"/>
  <c r="Y33" i="14"/>
  <c r="Z33" i="14"/>
  <c r="X34" i="14"/>
  <c r="Y34" i="14"/>
  <c r="Z34" i="14"/>
  <c r="X35" i="14"/>
  <c r="Y35" i="14"/>
  <c r="Z35" i="14"/>
  <c r="X36" i="14"/>
  <c r="Y36" i="14"/>
  <c r="Z36" i="14"/>
  <c r="X37" i="14"/>
  <c r="Y37" i="14"/>
  <c r="Z37" i="14"/>
  <c r="X38" i="14"/>
  <c r="Y38" i="14"/>
  <c r="Z38" i="14"/>
  <c r="X39" i="14"/>
  <c r="Y39" i="14"/>
  <c r="Z39" i="14"/>
  <c r="Q47" i="14"/>
  <c r="Q46" i="14"/>
  <c r="Q45" i="14"/>
  <c r="Q44" i="14"/>
  <c r="Q43" i="14"/>
  <c r="X68" i="3"/>
  <c r="X69" i="3"/>
  <c r="V78" i="3"/>
  <c r="T79" i="3"/>
  <c r="R73" i="3"/>
  <c r="R82" i="3"/>
  <c r="R67" i="3"/>
  <c r="U18" i="14"/>
  <c r="R18" i="14" s="1"/>
  <c r="R38" i="14" s="1"/>
  <c r="T18" i="14"/>
  <c r="S18" i="14"/>
  <c r="U17" i="14"/>
  <c r="R17" i="14" s="1"/>
  <c r="T17" i="14"/>
  <c r="S17" i="14"/>
  <c r="U16" i="14"/>
  <c r="R16" i="14" s="1"/>
  <c r="R36" i="14" s="1"/>
  <c r="T16" i="14"/>
  <c r="S16" i="14"/>
  <c r="S36" i="14" s="1"/>
  <c r="U15" i="14"/>
  <c r="R15" i="14" s="1"/>
  <c r="T15" i="14"/>
  <c r="S15" i="14"/>
  <c r="U14" i="14"/>
  <c r="R14" i="14" s="1"/>
  <c r="R34" i="14" s="1"/>
  <c r="T14" i="14"/>
  <c r="S14" i="14"/>
  <c r="U13" i="14"/>
  <c r="R13" i="14" s="1"/>
  <c r="T13" i="14"/>
  <c r="S13" i="14"/>
  <c r="U12" i="14"/>
  <c r="R12" i="14" s="1"/>
  <c r="R32" i="14" s="1"/>
  <c r="T12" i="14"/>
  <c r="S12" i="14"/>
  <c r="S32" i="14" s="1"/>
  <c r="U11" i="14"/>
  <c r="R11" i="14" s="1"/>
  <c r="T11" i="14"/>
  <c r="T31" i="14" s="1"/>
  <c r="S11" i="14"/>
  <c r="U10" i="14"/>
  <c r="R10" i="14" s="1"/>
  <c r="R30" i="14" s="1"/>
  <c r="T10" i="14"/>
  <c r="S10" i="14"/>
  <c r="U9" i="14"/>
  <c r="R9" i="14" s="1"/>
  <c r="T9" i="14"/>
  <c r="S9" i="14"/>
  <c r="U8" i="14"/>
  <c r="R8" i="14" s="1"/>
  <c r="T8" i="14"/>
  <c r="S8" i="14"/>
  <c r="U7" i="14"/>
  <c r="R7" i="14" s="1"/>
  <c r="T7" i="14"/>
  <c r="S7" i="14"/>
  <c r="U6" i="14"/>
  <c r="R6" i="14" s="1"/>
  <c r="R26" i="14" s="1"/>
  <c r="T6" i="14"/>
  <c r="S6" i="14"/>
  <c r="U5" i="14"/>
  <c r="R5" i="14" s="1"/>
  <c r="T5" i="14"/>
  <c r="S5" i="14"/>
  <c r="U4" i="14"/>
  <c r="U24" i="14" s="1"/>
  <c r="T4" i="14"/>
  <c r="T24" i="14" s="1"/>
  <c r="S4" i="14"/>
  <c r="S24" i="14" s="1"/>
  <c r="U3" i="14"/>
  <c r="R3" i="14" s="1"/>
  <c r="R23" i="14" s="1"/>
  <c r="T3" i="14"/>
  <c r="S3" i="14"/>
  <c r="M5" i="14"/>
  <c r="C9" i="5" s="1"/>
  <c r="L5" i="14"/>
  <c r="M4" i="14"/>
  <c r="C9" i="6" s="1"/>
  <c r="L4" i="14"/>
  <c r="B9" i="6" s="1"/>
  <c r="M3" i="14"/>
  <c r="L3" i="14"/>
  <c r="N3" i="14" s="1"/>
  <c r="A9" i="6"/>
  <c r="A9" i="5"/>
  <c r="A9" i="4"/>
  <c r="U28" i="14"/>
  <c r="T28" i="14"/>
  <c r="S28" i="14"/>
  <c r="R28" i="14"/>
  <c r="Z26" i="14"/>
  <c r="Y26" i="14"/>
  <c r="X26" i="14"/>
  <c r="Z25" i="14"/>
  <c r="Y25" i="14"/>
  <c r="X25" i="14"/>
  <c r="Z24" i="14"/>
  <c r="Y24" i="14"/>
  <c r="X24" i="14"/>
  <c r="Z23" i="14"/>
  <c r="Y23" i="14"/>
  <c r="X23" i="14"/>
  <c r="Z22" i="14"/>
  <c r="Y22" i="14"/>
  <c r="X22" i="14"/>
  <c r="Z21" i="14"/>
  <c r="Y21" i="14"/>
  <c r="X21" i="14"/>
  <c r="Z20" i="14"/>
  <c r="Y20" i="14"/>
  <c r="X20" i="14"/>
  <c r="Z19" i="14"/>
  <c r="Y19" i="14"/>
  <c r="X19" i="14"/>
  <c r="Z18" i="14"/>
  <c r="Y18" i="14"/>
  <c r="X18" i="14"/>
  <c r="T38" i="14"/>
  <c r="S38" i="14"/>
  <c r="Z17" i="14"/>
  <c r="Y17" i="14"/>
  <c r="X17" i="14"/>
  <c r="U37" i="14"/>
  <c r="T37" i="14"/>
  <c r="S37" i="14"/>
  <c r="Z16" i="14"/>
  <c r="Y16" i="14"/>
  <c r="X16" i="14"/>
  <c r="T36" i="14"/>
  <c r="Z15" i="14"/>
  <c r="Y15" i="14"/>
  <c r="X15" i="14"/>
  <c r="U35" i="14"/>
  <c r="T35" i="14"/>
  <c r="S35" i="14"/>
  <c r="Z14" i="14"/>
  <c r="Y14" i="14"/>
  <c r="X14" i="14"/>
  <c r="T34" i="14"/>
  <c r="S34" i="14"/>
  <c r="Z13" i="14"/>
  <c r="Y13" i="14"/>
  <c r="X13" i="14"/>
  <c r="U33" i="14"/>
  <c r="T33" i="14"/>
  <c r="S33" i="14"/>
  <c r="Z12" i="14"/>
  <c r="Y12" i="14"/>
  <c r="X12" i="14"/>
  <c r="T32" i="14"/>
  <c r="Z11" i="14"/>
  <c r="Y11" i="14"/>
  <c r="X11" i="14"/>
  <c r="U31" i="14"/>
  <c r="S31" i="14"/>
  <c r="Z10" i="14"/>
  <c r="Y10" i="14"/>
  <c r="X10" i="14"/>
  <c r="T30" i="14"/>
  <c r="S30" i="14"/>
  <c r="Z9" i="14"/>
  <c r="Y9" i="14"/>
  <c r="X9" i="14"/>
  <c r="U29" i="14"/>
  <c r="T29" i="14"/>
  <c r="S29" i="14"/>
  <c r="Z8" i="14"/>
  <c r="Y8" i="14"/>
  <c r="X8" i="14"/>
  <c r="Z7" i="14"/>
  <c r="Y7" i="14"/>
  <c r="X7" i="14"/>
  <c r="T27" i="14"/>
  <c r="S27" i="14"/>
  <c r="Z6" i="14"/>
  <c r="Y6" i="14"/>
  <c r="X6" i="14"/>
  <c r="T26" i="14"/>
  <c r="S26" i="14"/>
  <c r="Z5" i="14"/>
  <c r="Y5" i="14"/>
  <c r="X5" i="14"/>
  <c r="U25" i="14"/>
  <c r="T25" i="14"/>
  <c r="S25" i="14"/>
  <c r="Z4" i="14"/>
  <c r="Y4" i="14"/>
  <c r="X4" i="14"/>
  <c r="U23" i="14"/>
  <c r="T23" i="14"/>
  <c r="S23" i="14"/>
  <c r="X70" i="3"/>
  <c r="X71" i="3"/>
  <c r="X73" i="3"/>
  <c r="X76" i="3"/>
  <c r="X77" i="3"/>
  <c r="V70" i="3"/>
  <c r="V77" i="3"/>
  <c r="V80" i="3"/>
  <c r="V67" i="3"/>
  <c r="T70" i="3"/>
  <c r="T71" i="3"/>
  <c r="T76" i="3"/>
  <c r="T77" i="3"/>
  <c r="T78" i="3"/>
  <c r="T67" i="3"/>
  <c r="R70" i="3"/>
  <c r="R72" i="3"/>
  <c r="R78" i="3"/>
  <c r="V82" i="3"/>
  <c r="T82" i="3"/>
  <c r="T81" i="3"/>
  <c r="X79" i="3"/>
  <c r="V79" i="3"/>
  <c r="X78" i="3"/>
  <c r="R77" i="3"/>
  <c r="V76" i="3"/>
  <c r="R76" i="3"/>
  <c r="T73" i="3"/>
  <c r="V72" i="3"/>
  <c r="V71" i="3"/>
  <c r="R71" i="3"/>
  <c r="V69" i="3"/>
  <c r="R69" i="3"/>
  <c r="V68" i="3"/>
  <c r="T68" i="3"/>
  <c r="X67" i="3"/>
  <c r="W29" i="3"/>
  <c r="U29" i="3"/>
  <c r="S29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48" i="3"/>
  <c r="Q43" i="13"/>
  <c r="AL4" i="4"/>
  <c r="AL5" i="4"/>
  <c r="AL6" i="4"/>
  <c r="AL7" i="4"/>
  <c r="AL9" i="4"/>
  <c r="AL10" i="4"/>
  <c r="AL13" i="4"/>
  <c r="AL15" i="4"/>
  <c r="AL16" i="4"/>
  <c r="AL17" i="4"/>
  <c r="AL18" i="4"/>
  <c r="AL19" i="4"/>
  <c r="AE16" i="8"/>
  <c r="AD16" i="8"/>
  <c r="AC16" i="8"/>
  <c r="AE13" i="8"/>
  <c r="AD13" i="8"/>
  <c r="AC13" i="8"/>
  <c r="AE12" i="8"/>
  <c r="AD12" i="8"/>
  <c r="AC12" i="8"/>
  <c r="AE11" i="8"/>
  <c r="AD11" i="8"/>
  <c r="AC11" i="8"/>
  <c r="AE8" i="8"/>
  <c r="AD8" i="8"/>
  <c r="AC8" i="8"/>
  <c r="AE7" i="8"/>
  <c r="AD7" i="8"/>
  <c r="AC7" i="8"/>
  <c r="AE6" i="8"/>
  <c r="AD6" i="8"/>
  <c r="AC6" i="8"/>
  <c r="AE5" i="8"/>
  <c r="AD5" i="8"/>
  <c r="AC5" i="8"/>
  <c r="AE4" i="8"/>
  <c r="AD4" i="8"/>
  <c r="AC4" i="8"/>
  <c r="AE3" i="8"/>
  <c r="AD3" i="8"/>
  <c r="AC3" i="8"/>
  <c r="A8" i="6"/>
  <c r="A8" i="5"/>
  <c r="A8" i="4"/>
  <c r="C9" i="3"/>
  <c r="B9" i="3"/>
  <c r="U35" i="13"/>
  <c r="T35" i="13"/>
  <c r="S35" i="13"/>
  <c r="R35" i="13"/>
  <c r="Z28" i="13"/>
  <c r="Y28" i="13"/>
  <c r="X28" i="13"/>
  <c r="Z27" i="13"/>
  <c r="Y27" i="13"/>
  <c r="X27" i="13"/>
  <c r="Z26" i="13"/>
  <c r="Y26" i="13"/>
  <c r="X26" i="13"/>
  <c r="Z25" i="13"/>
  <c r="Y25" i="13"/>
  <c r="X25" i="13"/>
  <c r="Z24" i="13"/>
  <c r="Y24" i="13"/>
  <c r="X24" i="13"/>
  <c r="Z23" i="13"/>
  <c r="Y23" i="13"/>
  <c r="X23" i="13"/>
  <c r="Z22" i="13"/>
  <c r="Y22" i="13"/>
  <c r="X22" i="13"/>
  <c r="Z21" i="13"/>
  <c r="Y21" i="13"/>
  <c r="X21" i="13"/>
  <c r="Z20" i="13"/>
  <c r="Y20" i="13"/>
  <c r="X20" i="13"/>
  <c r="Z19" i="13"/>
  <c r="Y19" i="13"/>
  <c r="X19" i="13"/>
  <c r="Z18" i="13"/>
  <c r="Y18" i="13"/>
  <c r="X18" i="13"/>
  <c r="U18" i="13"/>
  <c r="R18" i="13" s="1"/>
  <c r="R38" i="13" s="1"/>
  <c r="T18" i="13"/>
  <c r="T38" i="13" s="1"/>
  <c r="S18" i="13"/>
  <c r="S38" i="13" s="1"/>
  <c r="Z17" i="13"/>
  <c r="Y17" i="13"/>
  <c r="X17" i="13"/>
  <c r="U17" i="13"/>
  <c r="R17" i="13" s="1"/>
  <c r="R37" i="13" s="1"/>
  <c r="T17" i="13"/>
  <c r="T37" i="13" s="1"/>
  <c r="S17" i="13"/>
  <c r="S37" i="13" s="1"/>
  <c r="Z16" i="13"/>
  <c r="Y16" i="13"/>
  <c r="X16" i="13"/>
  <c r="U16" i="13"/>
  <c r="U36" i="13" s="1"/>
  <c r="T16" i="13"/>
  <c r="T36" i="13" s="1"/>
  <c r="S16" i="13"/>
  <c r="S36" i="13" s="1"/>
  <c r="Z15" i="13"/>
  <c r="Y15" i="13"/>
  <c r="X15" i="13"/>
  <c r="U15" i="13"/>
  <c r="R15" i="13" s="1"/>
  <c r="T15" i="13"/>
  <c r="S15" i="13"/>
  <c r="Z14" i="13"/>
  <c r="Y14" i="13"/>
  <c r="X14" i="13"/>
  <c r="U14" i="13"/>
  <c r="U34" i="13" s="1"/>
  <c r="T14" i="13"/>
  <c r="T34" i="13" s="1"/>
  <c r="S14" i="13"/>
  <c r="S34" i="13" s="1"/>
  <c r="Z13" i="13"/>
  <c r="Y13" i="13"/>
  <c r="X13" i="13"/>
  <c r="U13" i="13"/>
  <c r="U33" i="13" s="1"/>
  <c r="T13" i="13"/>
  <c r="T33" i="13" s="1"/>
  <c r="S13" i="13"/>
  <c r="S33" i="13" s="1"/>
  <c r="Z12" i="13"/>
  <c r="Y12" i="13"/>
  <c r="X12" i="13"/>
  <c r="U12" i="13"/>
  <c r="R12" i="13" s="1"/>
  <c r="R32" i="13" s="1"/>
  <c r="T12" i="13"/>
  <c r="T32" i="13" s="1"/>
  <c r="S12" i="13"/>
  <c r="S32" i="13" s="1"/>
  <c r="Z11" i="13"/>
  <c r="Y11" i="13"/>
  <c r="X11" i="13"/>
  <c r="U11" i="13"/>
  <c r="U31" i="13" s="1"/>
  <c r="T11" i="13"/>
  <c r="T31" i="13" s="1"/>
  <c r="S11" i="13"/>
  <c r="S31" i="13" s="1"/>
  <c r="R11" i="13"/>
  <c r="R31" i="13" s="1"/>
  <c r="Z10" i="13"/>
  <c r="Y10" i="13"/>
  <c r="X10" i="13"/>
  <c r="U10" i="13"/>
  <c r="R10" i="13" s="1"/>
  <c r="R30" i="13" s="1"/>
  <c r="T10" i="13"/>
  <c r="T30" i="13" s="1"/>
  <c r="S10" i="13"/>
  <c r="S30" i="13" s="1"/>
  <c r="Z9" i="13"/>
  <c r="Y9" i="13"/>
  <c r="X9" i="13"/>
  <c r="U9" i="13"/>
  <c r="R9" i="13" s="1"/>
  <c r="R29" i="13" s="1"/>
  <c r="T9" i="13"/>
  <c r="T29" i="13" s="1"/>
  <c r="S9" i="13"/>
  <c r="S29" i="13" s="1"/>
  <c r="Z8" i="13"/>
  <c r="Y8" i="13"/>
  <c r="X8" i="13"/>
  <c r="U8" i="13"/>
  <c r="U28" i="13" s="1"/>
  <c r="T8" i="13"/>
  <c r="T28" i="13" s="1"/>
  <c r="S8" i="13"/>
  <c r="S28" i="13" s="1"/>
  <c r="Z7" i="13"/>
  <c r="Y7" i="13"/>
  <c r="X7" i="13"/>
  <c r="U7" i="13"/>
  <c r="U27" i="13" s="1"/>
  <c r="T7" i="13"/>
  <c r="T27" i="13" s="1"/>
  <c r="S7" i="13"/>
  <c r="S27" i="13" s="1"/>
  <c r="R7" i="13"/>
  <c r="R27" i="13" s="1"/>
  <c r="Z6" i="13"/>
  <c r="Y6" i="13"/>
  <c r="X6" i="13"/>
  <c r="U6" i="13"/>
  <c r="U26" i="13" s="1"/>
  <c r="T6" i="13"/>
  <c r="T26" i="13" s="1"/>
  <c r="S6" i="13"/>
  <c r="S26" i="13" s="1"/>
  <c r="R6" i="13"/>
  <c r="R26" i="13" s="1"/>
  <c r="Z5" i="13"/>
  <c r="Y5" i="13"/>
  <c r="X5" i="13"/>
  <c r="U5" i="13"/>
  <c r="U25" i="13" s="1"/>
  <c r="T5" i="13"/>
  <c r="T25" i="13" s="1"/>
  <c r="S5" i="13"/>
  <c r="S25" i="13" s="1"/>
  <c r="R5" i="13"/>
  <c r="R25" i="13" s="1"/>
  <c r="M5" i="13"/>
  <c r="C8" i="5" s="1"/>
  <c r="L5" i="13"/>
  <c r="N5" i="13" s="1"/>
  <c r="Z4" i="13"/>
  <c r="S8" i="5" s="1"/>
  <c r="Y4" i="13"/>
  <c r="R8" i="5" s="1"/>
  <c r="X4" i="13"/>
  <c r="X8" i="4" s="1"/>
  <c r="U4" i="13"/>
  <c r="U24" i="13" s="1"/>
  <c r="T4" i="13"/>
  <c r="T24" i="13" s="1"/>
  <c r="S4" i="13"/>
  <c r="S24" i="13" s="1"/>
  <c r="M4" i="13"/>
  <c r="C8" i="6" s="1"/>
  <c r="L4" i="13"/>
  <c r="N4" i="13" s="1"/>
  <c r="U3" i="13"/>
  <c r="U23" i="13" s="1"/>
  <c r="T3" i="13"/>
  <c r="T23" i="13" s="1"/>
  <c r="S3" i="13"/>
  <c r="S23" i="13" s="1"/>
  <c r="M3" i="13"/>
  <c r="C8" i="4" s="1"/>
  <c r="L3" i="13"/>
  <c r="N3" i="13" s="1"/>
  <c r="B7" i="4"/>
  <c r="Q43" i="11"/>
  <c r="C8" i="3"/>
  <c r="B8" i="3"/>
  <c r="A7" i="6"/>
  <c r="A7" i="5"/>
  <c r="A7" i="4"/>
  <c r="Z28" i="11"/>
  <c r="Y28" i="11"/>
  <c r="X28" i="11"/>
  <c r="Z27" i="11"/>
  <c r="Y27" i="11"/>
  <c r="X27" i="11"/>
  <c r="Z26" i="11"/>
  <c r="Y26" i="11"/>
  <c r="X26" i="11"/>
  <c r="Z25" i="11"/>
  <c r="Y25" i="11"/>
  <c r="X25" i="11"/>
  <c r="Z24" i="11"/>
  <c r="Y24" i="11"/>
  <c r="X24" i="11"/>
  <c r="Z23" i="11"/>
  <c r="Y23" i="11"/>
  <c r="X23" i="11"/>
  <c r="Z22" i="11"/>
  <c r="Y22" i="11"/>
  <c r="X22" i="11"/>
  <c r="Z21" i="11"/>
  <c r="Y21" i="11"/>
  <c r="X21" i="11"/>
  <c r="Z20" i="11"/>
  <c r="Y20" i="11"/>
  <c r="X20" i="11"/>
  <c r="Z19" i="11"/>
  <c r="Y19" i="11"/>
  <c r="X19" i="11"/>
  <c r="Z18" i="11"/>
  <c r="Y18" i="11"/>
  <c r="X18" i="11"/>
  <c r="U18" i="11"/>
  <c r="R18" i="11" s="1"/>
  <c r="R38" i="11" s="1"/>
  <c r="T18" i="11"/>
  <c r="T38" i="11" s="1"/>
  <c r="S18" i="11"/>
  <c r="S38" i="11" s="1"/>
  <c r="Z17" i="11"/>
  <c r="Y17" i="11"/>
  <c r="X17" i="11"/>
  <c r="U17" i="11"/>
  <c r="R17" i="11" s="1"/>
  <c r="R37" i="11" s="1"/>
  <c r="T17" i="11"/>
  <c r="T37" i="11" s="1"/>
  <c r="S17" i="11"/>
  <c r="S37" i="11" s="1"/>
  <c r="Z16" i="11"/>
  <c r="Y16" i="11"/>
  <c r="X16" i="11"/>
  <c r="U16" i="11"/>
  <c r="U36" i="11" s="1"/>
  <c r="T16" i="11"/>
  <c r="T36" i="11" s="1"/>
  <c r="S16" i="11"/>
  <c r="S36" i="11" s="1"/>
  <c r="Z15" i="11"/>
  <c r="Y15" i="11"/>
  <c r="X15" i="11"/>
  <c r="U15" i="11"/>
  <c r="U35" i="11" s="1"/>
  <c r="T15" i="11"/>
  <c r="T35" i="11" s="1"/>
  <c r="S15" i="11"/>
  <c r="S35" i="11" s="1"/>
  <c r="Z14" i="11"/>
  <c r="Y14" i="11"/>
  <c r="X14" i="11"/>
  <c r="U14" i="11"/>
  <c r="U34" i="11" s="1"/>
  <c r="T14" i="11"/>
  <c r="T34" i="11" s="1"/>
  <c r="S14" i="11"/>
  <c r="S34" i="11" s="1"/>
  <c r="Z13" i="11"/>
  <c r="Y13" i="11"/>
  <c r="X13" i="11"/>
  <c r="U13" i="11"/>
  <c r="U33" i="11" s="1"/>
  <c r="T13" i="11"/>
  <c r="T33" i="11" s="1"/>
  <c r="S13" i="11"/>
  <c r="S33" i="11" s="1"/>
  <c r="Z12" i="11"/>
  <c r="Y12" i="11"/>
  <c r="X12" i="11"/>
  <c r="U12" i="11"/>
  <c r="U32" i="11" s="1"/>
  <c r="T12" i="11"/>
  <c r="T32" i="11" s="1"/>
  <c r="S12" i="11"/>
  <c r="S32" i="11" s="1"/>
  <c r="Z11" i="11"/>
  <c r="Y11" i="11"/>
  <c r="X11" i="11"/>
  <c r="U11" i="11"/>
  <c r="R11" i="11" s="1"/>
  <c r="R31" i="11" s="1"/>
  <c r="T11" i="11"/>
  <c r="T31" i="11" s="1"/>
  <c r="S11" i="11"/>
  <c r="S31" i="11" s="1"/>
  <c r="Z10" i="11"/>
  <c r="Y10" i="11"/>
  <c r="X10" i="11"/>
  <c r="U10" i="11"/>
  <c r="R10" i="11" s="1"/>
  <c r="R30" i="11" s="1"/>
  <c r="T10" i="11"/>
  <c r="T30" i="11" s="1"/>
  <c r="S10" i="11"/>
  <c r="S30" i="11" s="1"/>
  <c r="Z9" i="11"/>
  <c r="Y9" i="11"/>
  <c r="X9" i="11"/>
  <c r="U9" i="11"/>
  <c r="R9" i="11" s="1"/>
  <c r="R29" i="11" s="1"/>
  <c r="T9" i="11"/>
  <c r="T29" i="11" s="1"/>
  <c r="S9" i="11"/>
  <c r="S29" i="11" s="1"/>
  <c r="Z8" i="11"/>
  <c r="Y8" i="11"/>
  <c r="X8" i="11"/>
  <c r="U8" i="11"/>
  <c r="U28" i="11" s="1"/>
  <c r="T8" i="11"/>
  <c r="T28" i="11" s="1"/>
  <c r="S8" i="11"/>
  <c r="S28" i="11" s="1"/>
  <c r="Z7" i="11"/>
  <c r="Y7" i="11"/>
  <c r="X7" i="11"/>
  <c r="U7" i="11"/>
  <c r="U27" i="11" s="1"/>
  <c r="T7" i="11"/>
  <c r="T27" i="11" s="1"/>
  <c r="S7" i="11"/>
  <c r="S27" i="11" s="1"/>
  <c r="Z6" i="11"/>
  <c r="Y6" i="11"/>
  <c r="X6" i="11"/>
  <c r="U6" i="11"/>
  <c r="R6" i="11" s="1"/>
  <c r="R26" i="11" s="1"/>
  <c r="T6" i="11"/>
  <c r="T26" i="11" s="1"/>
  <c r="S6" i="11"/>
  <c r="S26" i="11" s="1"/>
  <c r="Z5" i="11"/>
  <c r="Y5" i="11"/>
  <c r="X5" i="11"/>
  <c r="U5" i="11"/>
  <c r="R5" i="11" s="1"/>
  <c r="R25" i="11" s="1"/>
  <c r="T5" i="11"/>
  <c r="T25" i="11" s="1"/>
  <c r="S5" i="11"/>
  <c r="S25" i="11" s="1"/>
  <c r="M5" i="11"/>
  <c r="L5" i="11"/>
  <c r="B7" i="5" s="1"/>
  <c r="Z4" i="11"/>
  <c r="S7" i="5" s="1"/>
  <c r="Y4" i="11"/>
  <c r="T7" i="4" s="1"/>
  <c r="X4" i="11"/>
  <c r="X7" i="4" s="1"/>
  <c r="U4" i="11"/>
  <c r="U24" i="11" s="1"/>
  <c r="T4" i="11"/>
  <c r="T24" i="11" s="1"/>
  <c r="S4" i="11"/>
  <c r="S24" i="11" s="1"/>
  <c r="M4" i="11"/>
  <c r="C7" i="6" s="1"/>
  <c r="L4" i="11"/>
  <c r="B7" i="6" s="1"/>
  <c r="U3" i="11"/>
  <c r="U23" i="11" s="1"/>
  <c r="T3" i="11"/>
  <c r="T23" i="11" s="1"/>
  <c r="S3" i="11"/>
  <c r="S23" i="11" s="1"/>
  <c r="R3" i="11"/>
  <c r="R23" i="11" s="1"/>
  <c r="M3" i="11"/>
  <c r="C7" i="4" s="1"/>
  <c r="L3" i="11"/>
  <c r="N3" i="11" s="1"/>
  <c r="AK16" i="4" l="1"/>
  <c r="AE16" i="4"/>
  <c r="AK15" i="4"/>
  <c r="AE15" i="4"/>
  <c r="AK10" i="4"/>
  <c r="AE10" i="4"/>
  <c r="AK14" i="4"/>
  <c r="AE14" i="4"/>
  <c r="AK13" i="4"/>
  <c r="AE13" i="4"/>
  <c r="AG9" i="4"/>
  <c r="AE9" i="4"/>
  <c r="AG19" i="4"/>
  <c r="AE19" i="4"/>
  <c r="AI18" i="4"/>
  <c r="AE18" i="4"/>
  <c r="AK6" i="4"/>
  <c r="AE6" i="4"/>
  <c r="AK8" i="4"/>
  <c r="AE8" i="4"/>
  <c r="AK11" i="4"/>
  <c r="AE11" i="4"/>
  <c r="AK7" i="4"/>
  <c r="AE7" i="4"/>
  <c r="AK12" i="4"/>
  <c r="AE12" i="4"/>
  <c r="AK17" i="4"/>
  <c r="AE17" i="4"/>
  <c r="AI5" i="4"/>
  <c r="AE5" i="4"/>
  <c r="AK4" i="4"/>
  <c r="AE4" i="4"/>
  <c r="S33" i="6"/>
  <c r="T33" i="5"/>
  <c r="L33" i="5" s="1"/>
  <c r="T33" i="4"/>
  <c r="U33" i="4" s="1"/>
  <c r="V32" i="5"/>
  <c r="AI8" i="4"/>
  <c r="AG10" i="4"/>
  <c r="AG8" i="4"/>
  <c r="AI10" i="4"/>
  <c r="AK9" i="4"/>
  <c r="AG11" i="4"/>
  <c r="AI9" i="4"/>
  <c r="AK19" i="4"/>
  <c r="AG18" i="4"/>
  <c r="AK18" i="4"/>
  <c r="AI19" i="4"/>
  <c r="AI11" i="4"/>
  <c r="AG17" i="4"/>
  <c r="AI17" i="4"/>
  <c r="AG16" i="4"/>
  <c r="AI16" i="4"/>
  <c r="AG15" i="4"/>
  <c r="AG7" i="4"/>
  <c r="AI15" i="4"/>
  <c r="AI7" i="4"/>
  <c r="AG14" i="4"/>
  <c r="AG6" i="4"/>
  <c r="AI14" i="4"/>
  <c r="AI6" i="4"/>
  <c r="AK5" i="4"/>
  <c r="AG13" i="4"/>
  <c r="AG5" i="4"/>
  <c r="AI13" i="4"/>
  <c r="AG12" i="4"/>
  <c r="AG4" i="4"/>
  <c r="AI12" i="4"/>
  <c r="AI4" i="4"/>
  <c r="K33" i="6"/>
  <c r="T35" i="4"/>
  <c r="X74" i="3"/>
  <c r="X82" i="3"/>
  <c r="R81" i="3"/>
  <c r="R14" i="15"/>
  <c r="R34" i="15" s="1"/>
  <c r="N3" i="15"/>
  <c r="N5" i="15"/>
  <c r="O4" i="15" s="1"/>
  <c r="R3" i="15"/>
  <c r="R23" i="15" s="1"/>
  <c r="O5" i="15"/>
  <c r="R18" i="15"/>
  <c r="R38" i="15" s="1"/>
  <c r="O3" i="15"/>
  <c r="R9" i="15"/>
  <c r="R29" i="15" s="1"/>
  <c r="R17" i="15"/>
  <c r="R37" i="15" s="1"/>
  <c r="U26" i="15"/>
  <c r="R4" i="15"/>
  <c r="R24" i="15" s="1"/>
  <c r="U32" i="15"/>
  <c r="U31" i="15"/>
  <c r="R7" i="15"/>
  <c r="R27" i="15" s="1"/>
  <c r="R16" i="15"/>
  <c r="R36" i="15" s="1"/>
  <c r="T69" i="3"/>
  <c r="R74" i="3"/>
  <c r="R68" i="3"/>
  <c r="U27" i="14"/>
  <c r="R4" i="14"/>
  <c r="R24" i="14" s="1"/>
  <c r="N5" i="14"/>
  <c r="R35" i="14"/>
  <c r="B9" i="5"/>
  <c r="R31" i="14"/>
  <c r="R27" i="14"/>
  <c r="N4" i="14"/>
  <c r="O4" i="14" s="1"/>
  <c r="D9" i="6" s="1"/>
  <c r="O5" i="14"/>
  <c r="D9" i="5" s="1"/>
  <c r="R25" i="14"/>
  <c r="R29" i="14"/>
  <c r="R33" i="14"/>
  <c r="R37" i="14"/>
  <c r="U26" i="14"/>
  <c r="U30" i="14"/>
  <c r="U32" i="14"/>
  <c r="U34" i="14"/>
  <c r="U36" i="14"/>
  <c r="U38" i="14"/>
  <c r="S8" i="4"/>
  <c r="B8" i="5"/>
  <c r="T8" i="4"/>
  <c r="D9" i="3"/>
  <c r="E9" i="3" s="1"/>
  <c r="F9" i="3"/>
  <c r="Y8" i="4"/>
  <c r="B8" i="4"/>
  <c r="J7" i="4" s="1"/>
  <c r="B8" i="6"/>
  <c r="O4" i="13"/>
  <c r="D8" i="6" s="1"/>
  <c r="R13" i="13"/>
  <c r="R33" i="13" s="1"/>
  <c r="O5" i="13"/>
  <c r="D8" i="5" s="1"/>
  <c r="O3" i="13"/>
  <c r="D8" i="4" s="1"/>
  <c r="Q45" i="13"/>
  <c r="Q46" i="13"/>
  <c r="R3" i="13"/>
  <c r="R23" i="13" s="1"/>
  <c r="R4" i="13"/>
  <c r="R24" i="13" s="1"/>
  <c r="R8" i="13"/>
  <c r="R28" i="13" s="1"/>
  <c r="R16" i="13"/>
  <c r="R36" i="13" s="1"/>
  <c r="R14" i="13"/>
  <c r="R34" i="13" s="1"/>
  <c r="U30" i="13"/>
  <c r="U32" i="13"/>
  <c r="U38" i="13"/>
  <c r="U29" i="13"/>
  <c r="U37" i="13"/>
  <c r="Y7" i="4"/>
  <c r="R4" i="11"/>
  <c r="R15" i="11"/>
  <c r="N5" i="11"/>
  <c r="C7" i="5"/>
  <c r="S7" i="4"/>
  <c r="R7" i="5"/>
  <c r="D8" i="3"/>
  <c r="R8" i="11"/>
  <c r="F8" i="3"/>
  <c r="R7" i="11"/>
  <c r="R12" i="11"/>
  <c r="E8" i="3"/>
  <c r="N4" i="11"/>
  <c r="O4" i="11" s="1"/>
  <c r="D7" i="6" s="1"/>
  <c r="R16" i="11"/>
  <c r="Q46" i="11"/>
  <c r="Q45" i="11"/>
  <c r="U26" i="11"/>
  <c r="R14" i="11"/>
  <c r="U25" i="11"/>
  <c r="U30" i="11"/>
  <c r="U38" i="11"/>
  <c r="R13" i="11"/>
  <c r="U29" i="11"/>
  <c r="U31" i="11"/>
  <c r="U37" i="11"/>
  <c r="S5" i="5"/>
  <c r="S4" i="5"/>
  <c r="S6" i="5"/>
  <c r="R6" i="5"/>
  <c r="R5" i="5"/>
  <c r="R4" i="5"/>
  <c r="U35" i="4" l="1"/>
  <c r="L33" i="4" s="1"/>
  <c r="O3" i="14"/>
  <c r="D9" i="4" s="1"/>
  <c r="AD18" i="4"/>
  <c r="AD19" i="4"/>
  <c r="AD16" i="4"/>
  <c r="AD14" i="4"/>
  <c r="AD17" i="4"/>
  <c r="AD15" i="4"/>
  <c r="Q47" i="13"/>
  <c r="Q44" i="13"/>
  <c r="R36" i="11"/>
  <c r="O5" i="11"/>
  <c r="D7" i="5" s="1"/>
  <c r="R27" i="11"/>
  <c r="O3" i="11"/>
  <c r="D7" i="4" s="1"/>
  <c r="R35" i="11"/>
  <c r="R34" i="11"/>
  <c r="R32" i="11"/>
  <c r="R28" i="11"/>
  <c r="R33" i="11"/>
  <c r="R24" i="11"/>
  <c r="Q47" i="11"/>
  <c r="Q43" i="10"/>
  <c r="Q43" i="9"/>
  <c r="U3" i="8"/>
  <c r="U23" i="8" s="1"/>
  <c r="S3" i="8"/>
  <c r="S23" i="8" s="1"/>
  <c r="Q43" i="8"/>
  <c r="Q43" i="7"/>
  <c r="S38" i="7"/>
  <c r="S36" i="7"/>
  <c r="S34" i="7"/>
  <c r="S32" i="7"/>
  <c r="S30" i="7"/>
  <c r="Z28" i="7"/>
  <c r="Y28" i="7"/>
  <c r="X28" i="7"/>
  <c r="U28" i="7"/>
  <c r="T28" i="7"/>
  <c r="S28" i="7"/>
  <c r="R28" i="7"/>
  <c r="Z27" i="7"/>
  <c r="Y27" i="7"/>
  <c r="X27" i="7"/>
  <c r="U27" i="7"/>
  <c r="Z26" i="7"/>
  <c r="Y26" i="7"/>
  <c r="X26" i="7"/>
  <c r="T26" i="7"/>
  <c r="Z25" i="7"/>
  <c r="Y25" i="7"/>
  <c r="X25" i="7"/>
  <c r="U25" i="7"/>
  <c r="T25" i="7"/>
  <c r="S25" i="7"/>
  <c r="R25" i="7"/>
  <c r="Z24" i="7"/>
  <c r="Y24" i="7"/>
  <c r="X24" i="7"/>
  <c r="Z23" i="7"/>
  <c r="Y23" i="7"/>
  <c r="X23" i="7"/>
  <c r="Z22" i="7"/>
  <c r="Y22" i="7"/>
  <c r="X22" i="7"/>
  <c r="Z21" i="7"/>
  <c r="Y21" i="7"/>
  <c r="X21" i="7"/>
  <c r="Z20" i="7"/>
  <c r="Y20" i="7"/>
  <c r="X20" i="7"/>
  <c r="Z19" i="7"/>
  <c r="Y19" i="7"/>
  <c r="X19" i="7"/>
  <c r="Z18" i="7"/>
  <c r="Y18" i="7"/>
  <c r="X18" i="7"/>
  <c r="U18" i="7"/>
  <c r="R18" i="7" s="1"/>
  <c r="R38" i="7" s="1"/>
  <c r="T18" i="7"/>
  <c r="T38" i="7" s="1"/>
  <c r="S18" i="7"/>
  <c r="Z17" i="7"/>
  <c r="Y17" i="7"/>
  <c r="X17" i="7"/>
  <c r="U17" i="7"/>
  <c r="U37" i="7" s="1"/>
  <c r="T17" i="7"/>
  <c r="T37" i="7" s="1"/>
  <c r="S17" i="7"/>
  <c r="S37" i="7" s="1"/>
  <c r="R17" i="7"/>
  <c r="R37" i="7" s="1"/>
  <c r="Z16" i="7"/>
  <c r="Y16" i="7"/>
  <c r="X16" i="7"/>
  <c r="U16" i="7"/>
  <c r="U36" i="7" s="1"/>
  <c r="T16" i="7"/>
  <c r="T36" i="7" s="1"/>
  <c r="S16" i="7"/>
  <c r="R16" i="7"/>
  <c r="R36" i="7" s="1"/>
  <c r="Z15" i="7"/>
  <c r="Y15" i="7"/>
  <c r="X15" i="7"/>
  <c r="U15" i="7"/>
  <c r="U35" i="7" s="1"/>
  <c r="T15" i="7"/>
  <c r="T35" i="7" s="1"/>
  <c r="S15" i="7"/>
  <c r="S35" i="7" s="1"/>
  <c r="Z14" i="7"/>
  <c r="Y14" i="7"/>
  <c r="X14" i="7"/>
  <c r="U14" i="7"/>
  <c r="U34" i="7" s="1"/>
  <c r="T14" i="7"/>
  <c r="T34" i="7" s="1"/>
  <c r="S14" i="7"/>
  <c r="R14" i="7"/>
  <c r="R34" i="7" s="1"/>
  <c r="Z13" i="7"/>
  <c r="Y13" i="7"/>
  <c r="X13" i="7"/>
  <c r="U13" i="7"/>
  <c r="U33" i="7" s="1"/>
  <c r="T13" i="7"/>
  <c r="T33" i="7" s="1"/>
  <c r="S13" i="7"/>
  <c r="S33" i="7" s="1"/>
  <c r="R13" i="7"/>
  <c r="R33" i="7" s="1"/>
  <c r="Z12" i="7"/>
  <c r="Y12" i="7"/>
  <c r="X12" i="7"/>
  <c r="U12" i="7"/>
  <c r="U32" i="7" s="1"/>
  <c r="T12" i="7"/>
  <c r="T32" i="7" s="1"/>
  <c r="S12" i="7"/>
  <c r="R12" i="7"/>
  <c r="R32" i="7" s="1"/>
  <c r="Z11" i="7"/>
  <c r="Y11" i="7"/>
  <c r="X11" i="7"/>
  <c r="U11" i="7"/>
  <c r="U31" i="7" s="1"/>
  <c r="T11" i="7"/>
  <c r="T31" i="7" s="1"/>
  <c r="S11" i="7"/>
  <c r="S31" i="7" s="1"/>
  <c r="Z10" i="7"/>
  <c r="Y10" i="7"/>
  <c r="X10" i="7"/>
  <c r="U10" i="7"/>
  <c r="R10" i="7" s="1"/>
  <c r="R30" i="7" s="1"/>
  <c r="T10" i="7"/>
  <c r="T30" i="7" s="1"/>
  <c r="S10" i="7"/>
  <c r="Z9" i="7"/>
  <c r="Y9" i="7"/>
  <c r="X9" i="7"/>
  <c r="U9" i="7"/>
  <c r="U29" i="7" s="1"/>
  <c r="T9" i="7"/>
  <c r="T29" i="7" s="1"/>
  <c r="S9" i="7"/>
  <c r="S29" i="7" s="1"/>
  <c r="R9" i="7"/>
  <c r="R29" i="7" s="1"/>
  <c r="Z8" i="7"/>
  <c r="Y8" i="7"/>
  <c r="X8" i="7"/>
  <c r="U8" i="7"/>
  <c r="T8" i="7"/>
  <c r="S8" i="7"/>
  <c r="R8" i="7"/>
  <c r="Z7" i="7"/>
  <c r="Y7" i="7"/>
  <c r="X7" i="7"/>
  <c r="U7" i="7"/>
  <c r="R7" i="7" s="1"/>
  <c r="R27" i="7" s="1"/>
  <c r="T7" i="7"/>
  <c r="T27" i="7" s="1"/>
  <c r="S7" i="7"/>
  <c r="S27" i="7" s="1"/>
  <c r="Z6" i="7"/>
  <c r="Y6" i="7"/>
  <c r="X6" i="7"/>
  <c r="U6" i="7"/>
  <c r="U26" i="7" s="1"/>
  <c r="T6" i="7"/>
  <c r="S6" i="7"/>
  <c r="S26" i="7" s="1"/>
  <c r="R6" i="7"/>
  <c r="R26" i="7" s="1"/>
  <c r="Z5" i="7"/>
  <c r="Y5" i="7"/>
  <c r="X5" i="7"/>
  <c r="U5" i="7"/>
  <c r="T5" i="7"/>
  <c r="S5" i="7"/>
  <c r="R5" i="7"/>
  <c r="Z4" i="7"/>
  <c r="Y4" i="7"/>
  <c r="X4" i="7"/>
  <c r="U4" i="7"/>
  <c r="U24" i="7" s="1"/>
  <c r="T4" i="7"/>
  <c r="T24" i="7" s="1"/>
  <c r="S4" i="7"/>
  <c r="S24" i="7" s="1"/>
  <c r="R4" i="7"/>
  <c r="R24" i="7" s="1"/>
  <c r="U3" i="7"/>
  <c r="U23" i="7" s="1"/>
  <c r="T3" i="7"/>
  <c r="T23" i="7" s="1"/>
  <c r="S3" i="7"/>
  <c r="S23" i="7" s="1"/>
  <c r="R3" i="7"/>
  <c r="R23" i="7" s="1"/>
  <c r="Z28" i="8"/>
  <c r="Y28" i="8"/>
  <c r="X28" i="8"/>
  <c r="Z27" i="8"/>
  <c r="Y27" i="8"/>
  <c r="X27" i="8"/>
  <c r="Z26" i="8"/>
  <c r="Y26" i="8"/>
  <c r="X26" i="8"/>
  <c r="Z25" i="8"/>
  <c r="Y25" i="8"/>
  <c r="X25" i="8"/>
  <c r="Z24" i="8"/>
  <c r="Y24" i="8"/>
  <c r="X24" i="8"/>
  <c r="Z23" i="8"/>
  <c r="Y23" i="8"/>
  <c r="X23" i="8"/>
  <c r="Z22" i="8"/>
  <c r="Y22" i="8"/>
  <c r="X22" i="8"/>
  <c r="Z21" i="8"/>
  <c r="Y21" i="8"/>
  <c r="X21" i="8"/>
  <c r="Z20" i="8"/>
  <c r="Y20" i="8"/>
  <c r="X20" i="8"/>
  <c r="Z19" i="8"/>
  <c r="Y19" i="8"/>
  <c r="X19" i="8"/>
  <c r="Z18" i="8"/>
  <c r="Y18" i="8"/>
  <c r="X18" i="8"/>
  <c r="U18" i="8"/>
  <c r="R18" i="8" s="1"/>
  <c r="R38" i="8" s="1"/>
  <c r="T18" i="8"/>
  <c r="T38" i="8" s="1"/>
  <c r="S18" i="8"/>
  <c r="S38" i="8" s="1"/>
  <c r="Z17" i="8"/>
  <c r="Y17" i="8"/>
  <c r="X17" i="8"/>
  <c r="U17" i="8"/>
  <c r="R17" i="8" s="1"/>
  <c r="R37" i="8" s="1"/>
  <c r="T17" i="8"/>
  <c r="T37" i="8" s="1"/>
  <c r="S17" i="8"/>
  <c r="S37" i="8" s="1"/>
  <c r="Z16" i="8"/>
  <c r="Y16" i="8"/>
  <c r="X16" i="8"/>
  <c r="U16" i="8"/>
  <c r="U36" i="8" s="1"/>
  <c r="T16" i="8"/>
  <c r="T36" i="8" s="1"/>
  <c r="S16" i="8"/>
  <c r="S36" i="8" s="1"/>
  <c r="Z15" i="8"/>
  <c r="Y15" i="8"/>
  <c r="X15" i="8"/>
  <c r="U15" i="8"/>
  <c r="U35" i="8" s="1"/>
  <c r="T15" i="8"/>
  <c r="T35" i="8" s="1"/>
  <c r="S15" i="8"/>
  <c r="S35" i="8" s="1"/>
  <c r="Z14" i="8"/>
  <c r="Y14" i="8"/>
  <c r="X14" i="8"/>
  <c r="U14" i="8"/>
  <c r="U34" i="8" s="1"/>
  <c r="T14" i="8"/>
  <c r="T34" i="8" s="1"/>
  <c r="S14" i="8"/>
  <c r="S34" i="8" s="1"/>
  <c r="Z13" i="8"/>
  <c r="Y13" i="8"/>
  <c r="X13" i="8"/>
  <c r="U13" i="8"/>
  <c r="R13" i="8" s="1"/>
  <c r="R33" i="8" s="1"/>
  <c r="T13" i="8"/>
  <c r="T33" i="8" s="1"/>
  <c r="S13" i="8"/>
  <c r="S33" i="8" s="1"/>
  <c r="Z12" i="8"/>
  <c r="Y12" i="8"/>
  <c r="X12" i="8"/>
  <c r="U12" i="8"/>
  <c r="R12" i="8" s="1"/>
  <c r="R32" i="8" s="1"/>
  <c r="T12" i="8"/>
  <c r="T32" i="8" s="1"/>
  <c r="S12" i="8"/>
  <c r="S32" i="8" s="1"/>
  <c r="Z11" i="8"/>
  <c r="Y11" i="8"/>
  <c r="X11" i="8"/>
  <c r="U11" i="8"/>
  <c r="U31" i="8" s="1"/>
  <c r="T11" i="8"/>
  <c r="T31" i="8" s="1"/>
  <c r="S11" i="8"/>
  <c r="S31" i="8" s="1"/>
  <c r="Z10" i="8"/>
  <c r="Y10" i="8"/>
  <c r="X10" i="8"/>
  <c r="U10" i="8"/>
  <c r="R10" i="8" s="1"/>
  <c r="R30" i="8" s="1"/>
  <c r="T10" i="8"/>
  <c r="T30" i="8" s="1"/>
  <c r="S10" i="8"/>
  <c r="S30" i="8" s="1"/>
  <c r="Z9" i="8"/>
  <c r="Y9" i="8"/>
  <c r="X9" i="8"/>
  <c r="U9" i="8"/>
  <c r="R9" i="8" s="1"/>
  <c r="R29" i="8" s="1"/>
  <c r="T9" i="8"/>
  <c r="T29" i="8" s="1"/>
  <c r="S9" i="8"/>
  <c r="S29" i="8" s="1"/>
  <c r="Z8" i="8"/>
  <c r="Y8" i="8"/>
  <c r="X8" i="8"/>
  <c r="U8" i="8"/>
  <c r="U28" i="8" s="1"/>
  <c r="T8" i="8"/>
  <c r="T28" i="8" s="1"/>
  <c r="S8" i="8"/>
  <c r="S28" i="8" s="1"/>
  <c r="R8" i="8"/>
  <c r="R28" i="8" s="1"/>
  <c r="Z7" i="8"/>
  <c r="Y7" i="8"/>
  <c r="X7" i="8"/>
  <c r="U7" i="8"/>
  <c r="R7" i="8" s="1"/>
  <c r="R27" i="8" s="1"/>
  <c r="T7" i="8"/>
  <c r="T27" i="8" s="1"/>
  <c r="S7" i="8"/>
  <c r="S27" i="8" s="1"/>
  <c r="Z6" i="8"/>
  <c r="Y6" i="8"/>
  <c r="X6" i="8"/>
  <c r="U6" i="8"/>
  <c r="U26" i="8" s="1"/>
  <c r="T6" i="8"/>
  <c r="T26" i="8" s="1"/>
  <c r="S6" i="8"/>
  <c r="S26" i="8" s="1"/>
  <c r="Z5" i="8"/>
  <c r="Y5" i="8"/>
  <c r="X5" i="8"/>
  <c r="U5" i="8"/>
  <c r="R5" i="8" s="1"/>
  <c r="R25" i="8" s="1"/>
  <c r="T5" i="8"/>
  <c r="T25" i="8" s="1"/>
  <c r="S5" i="8"/>
  <c r="S25" i="8" s="1"/>
  <c r="Z4" i="8"/>
  <c r="Y4" i="4" s="1"/>
  <c r="Y4" i="8"/>
  <c r="T4" i="4" s="1"/>
  <c r="X4" i="8"/>
  <c r="X4" i="4" s="1"/>
  <c r="U4" i="8"/>
  <c r="U24" i="8" s="1"/>
  <c r="T4" i="8"/>
  <c r="T24" i="8" s="1"/>
  <c r="S4" i="8"/>
  <c r="S24" i="8" s="1"/>
  <c r="T3" i="8"/>
  <c r="T23" i="8" s="1"/>
  <c r="Z28" i="9"/>
  <c r="Y28" i="9"/>
  <c r="X28" i="9"/>
  <c r="Z27" i="9"/>
  <c r="Y27" i="9"/>
  <c r="X27" i="9"/>
  <c r="Z26" i="9"/>
  <c r="Y26" i="9"/>
  <c r="X26" i="9"/>
  <c r="Z25" i="9"/>
  <c r="Y25" i="9"/>
  <c r="X25" i="9"/>
  <c r="Z24" i="9"/>
  <c r="Y24" i="9"/>
  <c r="X24" i="9"/>
  <c r="Z23" i="9"/>
  <c r="Y23" i="9"/>
  <c r="X23" i="9"/>
  <c r="Z22" i="9"/>
  <c r="Y22" i="9"/>
  <c r="X22" i="9"/>
  <c r="Z21" i="9"/>
  <c r="Y21" i="9"/>
  <c r="X21" i="9"/>
  <c r="Z20" i="9"/>
  <c r="Y20" i="9"/>
  <c r="X20" i="9"/>
  <c r="Z19" i="9"/>
  <c r="Y19" i="9"/>
  <c r="X19" i="9"/>
  <c r="Z18" i="9"/>
  <c r="Y18" i="9"/>
  <c r="X18" i="9"/>
  <c r="U18" i="9"/>
  <c r="R18" i="9" s="1"/>
  <c r="R38" i="9" s="1"/>
  <c r="T18" i="9"/>
  <c r="T38" i="9" s="1"/>
  <c r="S18" i="9"/>
  <c r="S38" i="9" s="1"/>
  <c r="Z17" i="9"/>
  <c r="Y17" i="9"/>
  <c r="X17" i="9"/>
  <c r="U17" i="9"/>
  <c r="R17" i="9" s="1"/>
  <c r="R37" i="9" s="1"/>
  <c r="T17" i="9"/>
  <c r="T37" i="9" s="1"/>
  <c r="S17" i="9"/>
  <c r="S37" i="9" s="1"/>
  <c r="Z16" i="9"/>
  <c r="Y16" i="9"/>
  <c r="X16" i="9"/>
  <c r="U16" i="9"/>
  <c r="U36" i="9" s="1"/>
  <c r="T16" i="9"/>
  <c r="T36" i="9" s="1"/>
  <c r="S16" i="9"/>
  <c r="S36" i="9" s="1"/>
  <c r="Z15" i="9"/>
  <c r="Y15" i="9"/>
  <c r="X15" i="9"/>
  <c r="U15" i="9"/>
  <c r="U35" i="9" s="1"/>
  <c r="T15" i="9"/>
  <c r="T35" i="9" s="1"/>
  <c r="S15" i="9"/>
  <c r="S35" i="9" s="1"/>
  <c r="Z14" i="9"/>
  <c r="Y14" i="9"/>
  <c r="X14" i="9"/>
  <c r="U14" i="9"/>
  <c r="R14" i="9" s="1"/>
  <c r="R34" i="9" s="1"/>
  <c r="T14" i="9"/>
  <c r="T34" i="9" s="1"/>
  <c r="S14" i="9"/>
  <c r="S34" i="9" s="1"/>
  <c r="Z13" i="9"/>
  <c r="Y13" i="9"/>
  <c r="X13" i="9"/>
  <c r="U13" i="9"/>
  <c r="R13" i="9" s="1"/>
  <c r="R33" i="9" s="1"/>
  <c r="T13" i="9"/>
  <c r="T33" i="9" s="1"/>
  <c r="S13" i="9"/>
  <c r="S33" i="9" s="1"/>
  <c r="Z12" i="9"/>
  <c r="Y12" i="9"/>
  <c r="X12" i="9"/>
  <c r="U12" i="9"/>
  <c r="R12" i="9" s="1"/>
  <c r="R32" i="9" s="1"/>
  <c r="T12" i="9"/>
  <c r="T32" i="9" s="1"/>
  <c r="S12" i="9"/>
  <c r="S32" i="9" s="1"/>
  <c r="Z11" i="9"/>
  <c r="Y11" i="9"/>
  <c r="X11" i="9"/>
  <c r="U11" i="9"/>
  <c r="U31" i="9" s="1"/>
  <c r="T11" i="9"/>
  <c r="T31" i="9" s="1"/>
  <c r="S11" i="9"/>
  <c r="S31" i="9" s="1"/>
  <c r="Z10" i="9"/>
  <c r="Y10" i="9"/>
  <c r="X10" i="9"/>
  <c r="U10" i="9"/>
  <c r="U30" i="9" s="1"/>
  <c r="T10" i="9"/>
  <c r="T30" i="9" s="1"/>
  <c r="S10" i="9"/>
  <c r="S30" i="9" s="1"/>
  <c r="Z9" i="9"/>
  <c r="Y9" i="9"/>
  <c r="X9" i="9"/>
  <c r="U9" i="9"/>
  <c r="U29" i="9" s="1"/>
  <c r="T9" i="9"/>
  <c r="T29" i="9" s="1"/>
  <c r="S9" i="9"/>
  <c r="S29" i="9" s="1"/>
  <c r="Z8" i="9"/>
  <c r="Y8" i="9"/>
  <c r="X8" i="9"/>
  <c r="U8" i="9"/>
  <c r="U28" i="9" s="1"/>
  <c r="T8" i="9"/>
  <c r="T28" i="9" s="1"/>
  <c r="S8" i="9"/>
  <c r="S28" i="9" s="1"/>
  <c r="Z7" i="9"/>
  <c r="Y7" i="9"/>
  <c r="X7" i="9"/>
  <c r="U7" i="9"/>
  <c r="R7" i="9" s="1"/>
  <c r="R27" i="9" s="1"/>
  <c r="T7" i="9"/>
  <c r="T27" i="9" s="1"/>
  <c r="S7" i="9"/>
  <c r="S27" i="9" s="1"/>
  <c r="Z6" i="9"/>
  <c r="Y6" i="9"/>
  <c r="X6" i="9"/>
  <c r="U6" i="9"/>
  <c r="R6" i="9" s="1"/>
  <c r="R26" i="9" s="1"/>
  <c r="T6" i="9"/>
  <c r="T26" i="9" s="1"/>
  <c r="S6" i="9"/>
  <c r="S26" i="9" s="1"/>
  <c r="Z5" i="9"/>
  <c r="Y5" i="9"/>
  <c r="X5" i="9"/>
  <c r="U5" i="9"/>
  <c r="R5" i="9" s="1"/>
  <c r="R25" i="9" s="1"/>
  <c r="T5" i="9"/>
  <c r="T25" i="9" s="1"/>
  <c r="S5" i="9"/>
  <c r="S25" i="9" s="1"/>
  <c r="Z4" i="9"/>
  <c r="Y5" i="4" s="1"/>
  <c r="Y4" i="9"/>
  <c r="X4" i="9"/>
  <c r="U4" i="9"/>
  <c r="R4" i="9" s="1"/>
  <c r="R24" i="9" s="1"/>
  <c r="T4" i="9"/>
  <c r="T24" i="9" s="1"/>
  <c r="S4" i="9"/>
  <c r="S24" i="9" s="1"/>
  <c r="U3" i="9"/>
  <c r="U23" i="9" s="1"/>
  <c r="T3" i="9"/>
  <c r="T23" i="9" s="1"/>
  <c r="S3" i="9"/>
  <c r="S23" i="9" s="1"/>
  <c r="A6" i="6"/>
  <c r="A6" i="5"/>
  <c r="A6" i="4"/>
  <c r="A5" i="6"/>
  <c r="A4" i="6"/>
  <c r="A5" i="5"/>
  <c r="A4" i="5"/>
  <c r="C7" i="3"/>
  <c r="B7" i="3"/>
  <c r="Z28" i="10"/>
  <c r="Y28" i="10"/>
  <c r="X28" i="10"/>
  <c r="Z27" i="10"/>
  <c r="Y27" i="10"/>
  <c r="X27" i="10"/>
  <c r="Z26" i="10"/>
  <c r="Y26" i="10"/>
  <c r="X26" i="10"/>
  <c r="Z25" i="10"/>
  <c r="Y25" i="10"/>
  <c r="X25" i="10"/>
  <c r="Z24" i="10"/>
  <c r="Y24" i="10"/>
  <c r="X24" i="10"/>
  <c r="Z23" i="10"/>
  <c r="Y23" i="10"/>
  <c r="X23" i="10"/>
  <c r="Z22" i="10"/>
  <c r="Y22" i="10"/>
  <c r="X22" i="10"/>
  <c r="Z21" i="10"/>
  <c r="Y21" i="10"/>
  <c r="X21" i="10"/>
  <c r="Z20" i="10"/>
  <c r="Y20" i="10"/>
  <c r="X20" i="10"/>
  <c r="Z19" i="10"/>
  <c r="Y19" i="10"/>
  <c r="X19" i="10"/>
  <c r="Z18" i="10"/>
  <c r="Y18" i="10"/>
  <c r="X18" i="10"/>
  <c r="U18" i="10"/>
  <c r="T18" i="10"/>
  <c r="S18" i="10"/>
  <c r="Z17" i="10"/>
  <c r="Y17" i="10"/>
  <c r="X17" i="10"/>
  <c r="U17" i="10"/>
  <c r="T17" i="10"/>
  <c r="S17" i="10"/>
  <c r="Z16" i="10"/>
  <c r="Y16" i="10"/>
  <c r="X16" i="10"/>
  <c r="U16" i="10"/>
  <c r="T16" i="10"/>
  <c r="S16" i="10"/>
  <c r="Z15" i="10"/>
  <c r="Y15" i="10"/>
  <c r="X15" i="10"/>
  <c r="U15" i="10"/>
  <c r="T15" i="10"/>
  <c r="S15" i="10"/>
  <c r="Z14" i="10"/>
  <c r="Y14" i="10"/>
  <c r="X14" i="10"/>
  <c r="U14" i="10"/>
  <c r="T14" i="10"/>
  <c r="S14" i="10"/>
  <c r="Z13" i="10"/>
  <c r="Y13" i="10"/>
  <c r="X13" i="10"/>
  <c r="U13" i="10"/>
  <c r="T13" i="10"/>
  <c r="S13" i="10"/>
  <c r="Z12" i="10"/>
  <c r="Y12" i="10"/>
  <c r="X12" i="10"/>
  <c r="U12" i="10"/>
  <c r="T12" i="10"/>
  <c r="S12" i="10"/>
  <c r="Z11" i="10"/>
  <c r="Y11" i="10"/>
  <c r="X11" i="10"/>
  <c r="U11" i="10"/>
  <c r="T11" i="10"/>
  <c r="S11" i="10"/>
  <c r="Z10" i="10"/>
  <c r="Y10" i="10"/>
  <c r="X10" i="10"/>
  <c r="U10" i="10"/>
  <c r="T10" i="10"/>
  <c r="S10" i="10"/>
  <c r="Z9" i="10"/>
  <c r="Y9" i="10"/>
  <c r="X9" i="10"/>
  <c r="U9" i="10"/>
  <c r="T9" i="10"/>
  <c r="S9" i="10"/>
  <c r="Z8" i="10"/>
  <c r="Y8" i="10"/>
  <c r="X8" i="10"/>
  <c r="U8" i="10"/>
  <c r="T8" i="10"/>
  <c r="S8" i="10"/>
  <c r="Z7" i="10"/>
  <c r="Y7" i="10"/>
  <c r="X7" i="10"/>
  <c r="U7" i="10"/>
  <c r="T7" i="10"/>
  <c r="S7" i="10"/>
  <c r="Z6" i="10"/>
  <c r="Y6" i="10"/>
  <c r="X6" i="10"/>
  <c r="U6" i="10"/>
  <c r="T6" i="10"/>
  <c r="S6" i="10"/>
  <c r="Z5" i="10"/>
  <c r="Y5" i="10"/>
  <c r="X5" i="10"/>
  <c r="U5" i="10"/>
  <c r="T5" i="10"/>
  <c r="S5" i="10"/>
  <c r="M5" i="10"/>
  <c r="C6" i="5" s="1"/>
  <c r="L5" i="10"/>
  <c r="Z4" i="10"/>
  <c r="Y4" i="10"/>
  <c r="X4" i="10"/>
  <c r="U4" i="10"/>
  <c r="T4" i="10"/>
  <c r="S4" i="10"/>
  <c r="M4" i="10"/>
  <c r="C6" i="6" s="1"/>
  <c r="L4" i="10"/>
  <c r="B6" i="6" s="1"/>
  <c r="U3" i="10"/>
  <c r="T3" i="10"/>
  <c r="S3" i="10"/>
  <c r="M3" i="10"/>
  <c r="C6" i="4" s="1"/>
  <c r="L3" i="10"/>
  <c r="N3" i="10" s="1"/>
  <c r="K21" i="2"/>
  <c r="J21" i="2"/>
  <c r="I21" i="2"/>
  <c r="H21" i="2"/>
  <c r="G21" i="2"/>
  <c r="F21" i="2"/>
  <c r="E21" i="2"/>
  <c r="D21" i="2"/>
  <c r="A5" i="4"/>
  <c r="C4" i="4"/>
  <c r="A4" i="4"/>
  <c r="C6" i="3"/>
  <c r="B6" i="3"/>
  <c r="C5" i="3"/>
  <c r="B5" i="3"/>
  <c r="M5" i="9"/>
  <c r="C5" i="5" s="1"/>
  <c r="L5" i="9"/>
  <c r="M4" i="9"/>
  <c r="C5" i="6" s="1"/>
  <c r="L4" i="9"/>
  <c r="M3" i="9"/>
  <c r="C5" i="4" s="1"/>
  <c r="L3" i="9"/>
  <c r="V18" i="2"/>
  <c r="U18" i="2"/>
  <c r="M5" i="8"/>
  <c r="C4" i="5" s="1"/>
  <c r="L5" i="8"/>
  <c r="B4" i="5" s="1"/>
  <c r="M4" i="8"/>
  <c r="C4" i="6" s="1"/>
  <c r="L4" i="8"/>
  <c r="B4" i="6" s="1"/>
  <c r="M3" i="8"/>
  <c r="L3" i="8"/>
  <c r="N3" i="8" s="1"/>
  <c r="M5" i="7"/>
  <c r="L5" i="7"/>
  <c r="M4" i="7"/>
  <c r="L4" i="7"/>
  <c r="M3" i="7"/>
  <c r="L3" i="7"/>
  <c r="V17" i="2"/>
  <c r="U17" i="2"/>
  <c r="V16" i="2"/>
  <c r="U16" i="2"/>
  <c r="V15" i="2"/>
  <c r="U15" i="2"/>
  <c r="V14" i="2"/>
  <c r="U14" i="2"/>
  <c r="V13" i="2"/>
  <c r="U13" i="2"/>
  <c r="V12" i="2"/>
  <c r="U12" i="2"/>
  <c r="V11" i="2"/>
  <c r="U11" i="2"/>
  <c r="V10" i="2"/>
  <c r="U10" i="2"/>
  <c r="V9" i="2"/>
  <c r="U9" i="2"/>
  <c r="V8" i="2"/>
  <c r="U8" i="2"/>
  <c r="V7" i="2"/>
  <c r="U7" i="2"/>
  <c r="V6" i="2"/>
  <c r="U6" i="2"/>
  <c r="V5" i="2"/>
  <c r="U5" i="2"/>
  <c r="V4" i="2"/>
  <c r="U4" i="2"/>
  <c r="V3" i="2"/>
  <c r="U3" i="2"/>
  <c r="Q44" i="11" l="1"/>
  <c r="W35" i="3"/>
  <c r="Q43" i="3"/>
  <c r="W34" i="3"/>
  <c r="U42" i="3"/>
  <c r="S44" i="3"/>
  <c r="Q33" i="3"/>
  <c r="R33" i="3" s="1"/>
  <c r="U37" i="3"/>
  <c r="S43" i="3"/>
  <c r="T43" i="3" s="1"/>
  <c r="S42" i="3"/>
  <c r="W44" i="3"/>
  <c r="S35" i="3"/>
  <c r="W43" i="3"/>
  <c r="S34" i="3"/>
  <c r="W36" i="3"/>
  <c r="S33" i="3"/>
  <c r="U44" i="3"/>
  <c r="U35" i="3"/>
  <c r="U43" i="3"/>
  <c r="U34" i="3"/>
  <c r="V34" i="3" s="1"/>
  <c r="W42" i="3"/>
  <c r="X42" i="3" s="1"/>
  <c r="W33" i="3"/>
  <c r="X33" i="3" s="1"/>
  <c r="S41" i="3"/>
  <c r="T41" i="3" s="1"/>
  <c r="S32" i="3"/>
  <c r="Q39" i="3"/>
  <c r="Q31" i="3"/>
  <c r="R16" i="8"/>
  <c r="U33" i="3"/>
  <c r="W41" i="3"/>
  <c r="X41" i="3" s="1"/>
  <c r="W32" i="3"/>
  <c r="S39" i="3"/>
  <c r="T39" i="3" s="1"/>
  <c r="S31" i="3"/>
  <c r="Q38" i="3"/>
  <c r="R15" i="8"/>
  <c r="U41" i="3"/>
  <c r="U32" i="3"/>
  <c r="W39" i="3"/>
  <c r="W31" i="3"/>
  <c r="S38" i="3"/>
  <c r="T38" i="3" s="1"/>
  <c r="S30" i="3"/>
  <c r="R6" i="8"/>
  <c r="U39" i="3"/>
  <c r="U31" i="3"/>
  <c r="W38" i="3"/>
  <c r="W30" i="3"/>
  <c r="X30" i="3" s="1"/>
  <c r="S37" i="3"/>
  <c r="T37" i="3" s="1"/>
  <c r="T29" i="3"/>
  <c r="U36" i="3"/>
  <c r="U38" i="3"/>
  <c r="U30" i="3"/>
  <c r="W37" i="3"/>
  <c r="S36" i="3"/>
  <c r="T36" i="3" s="1"/>
  <c r="Q44" i="3"/>
  <c r="Q35" i="3"/>
  <c r="T27" i="10"/>
  <c r="V52" i="3"/>
  <c r="T35" i="10"/>
  <c r="V60" i="3"/>
  <c r="S26" i="10"/>
  <c r="T51" i="3"/>
  <c r="R7" i="10"/>
  <c r="X52" i="3"/>
  <c r="S30" i="10"/>
  <c r="T55" i="3"/>
  <c r="U31" i="10"/>
  <c r="X56" i="3"/>
  <c r="S34" i="10"/>
  <c r="T59" i="3"/>
  <c r="U35" i="10"/>
  <c r="X60" i="3"/>
  <c r="S38" i="10"/>
  <c r="T63" i="3"/>
  <c r="S27" i="10"/>
  <c r="T52" i="3"/>
  <c r="U36" i="10"/>
  <c r="U23" i="10"/>
  <c r="X48" i="3"/>
  <c r="T31" i="10"/>
  <c r="V56" i="3"/>
  <c r="T26" i="10"/>
  <c r="V51" i="3"/>
  <c r="T30" i="10"/>
  <c r="V55" i="3"/>
  <c r="T34" i="10"/>
  <c r="V59" i="3"/>
  <c r="T38" i="10"/>
  <c r="V63" i="3"/>
  <c r="T23" i="10"/>
  <c r="V48" i="3"/>
  <c r="S35" i="10"/>
  <c r="T60" i="3"/>
  <c r="S24" i="10"/>
  <c r="U34" i="10"/>
  <c r="X59" i="3"/>
  <c r="S37" i="10"/>
  <c r="R18" i="10"/>
  <c r="X63" i="3"/>
  <c r="U32" i="10"/>
  <c r="S29" i="10"/>
  <c r="T24" i="10"/>
  <c r="T33" i="10"/>
  <c r="T37" i="10"/>
  <c r="U28" i="10"/>
  <c r="S25" i="10"/>
  <c r="R10" i="10"/>
  <c r="X55" i="3"/>
  <c r="T25" i="10"/>
  <c r="U24" i="10"/>
  <c r="R9" i="10"/>
  <c r="S36" i="10"/>
  <c r="S31" i="10"/>
  <c r="T56" i="3"/>
  <c r="R6" i="10"/>
  <c r="X51" i="3"/>
  <c r="S33" i="10"/>
  <c r="T29" i="10"/>
  <c r="U25" i="10"/>
  <c r="S28" i="10"/>
  <c r="S32" i="10"/>
  <c r="R13" i="10"/>
  <c r="R17" i="10"/>
  <c r="S23" i="10"/>
  <c r="Q45" i="10" s="1"/>
  <c r="T48" i="3"/>
  <c r="T28" i="10"/>
  <c r="T32" i="10"/>
  <c r="T36" i="10"/>
  <c r="U40" i="3"/>
  <c r="V40" i="3" s="1"/>
  <c r="W40" i="3"/>
  <c r="S40" i="3"/>
  <c r="X6" i="4"/>
  <c r="R12" i="10"/>
  <c r="R11" i="10"/>
  <c r="T6" i="4"/>
  <c r="U33" i="10"/>
  <c r="N3" i="9"/>
  <c r="X5" i="4"/>
  <c r="X30" i="4" s="1"/>
  <c r="N5" i="9"/>
  <c r="O4" i="9" s="1"/>
  <c r="D5" i="6" s="1"/>
  <c r="R8" i="9"/>
  <c r="R16" i="9"/>
  <c r="R36" i="9" s="1"/>
  <c r="B5" i="5"/>
  <c r="T5" i="4"/>
  <c r="T30" i="4" s="1"/>
  <c r="U33" i="9"/>
  <c r="AD7" i="4"/>
  <c r="AD11" i="4"/>
  <c r="AD4" i="4"/>
  <c r="AD13" i="4"/>
  <c r="AD5" i="4"/>
  <c r="AD6" i="4"/>
  <c r="AD12" i="4"/>
  <c r="AD10" i="4"/>
  <c r="AD9" i="4"/>
  <c r="AD8" i="4"/>
  <c r="Y6" i="4"/>
  <c r="Y30" i="4" s="1"/>
  <c r="U30" i="10"/>
  <c r="U27" i="10"/>
  <c r="U37" i="10"/>
  <c r="U29" i="10"/>
  <c r="U38" i="10"/>
  <c r="U26" i="10"/>
  <c r="N4" i="9"/>
  <c r="U25" i="9"/>
  <c r="S5" i="4"/>
  <c r="B5" i="4"/>
  <c r="R3" i="9"/>
  <c r="R23" i="9" s="1"/>
  <c r="R11" i="9"/>
  <c r="R31" i="9" s="1"/>
  <c r="B5" i="6"/>
  <c r="R10" i="9"/>
  <c r="R30" i="9" s="1"/>
  <c r="S4" i="4"/>
  <c r="D5" i="3"/>
  <c r="R4" i="8"/>
  <c r="R14" i="8"/>
  <c r="U25" i="8"/>
  <c r="F5" i="3"/>
  <c r="U27" i="8"/>
  <c r="U33" i="8"/>
  <c r="R3" i="8"/>
  <c r="B4" i="4"/>
  <c r="Q46" i="7"/>
  <c r="Q45" i="7"/>
  <c r="R15" i="7"/>
  <c r="R35" i="7" s="1"/>
  <c r="U30" i="7"/>
  <c r="Q47" i="7" s="1"/>
  <c r="U38" i="7"/>
  <c r="R11" i="7"/>
  <c r="R31" i="7" s="1"/>
  <c r="Q44" i="7" s="1"/>
  <c r="Q45" i="8"/>
  <c r="Q46" i="8"/>
  <c r="U30" i="8"/>
  <c r="U32" i="8"/>
  <c r="U38" i="8"/>
  <c r="R11" i="8"/>
  <c r="U29" i="8"/>
  <c r="U37" i="8"/>
  <c r="Q45" i="9"/>
  <c r="Q46" i="9"/>
  <c r="R9" i="9"/>
  <c r="R29" i="9" s="1"/>
  <c r="U27" i="9"/>
  <c r="R15" i="9"/>
  <c r="R35" i="9" s="1"/>
  <c r="U26" i="9"/>
  <c r="U32" i="9"/>
  <c r="U34" i="9"/>
  <c r="U38" i="9"/>
  <c r="U24" i="9"/>
  <c r="U37" i="9"/>
  <c r="F7" i="3"/>
  <c r="R38" i="3"/>
  <c r="T30" i="3"/>
  <c r="V38" i="3"/>
  <c r="V30" i="3"/>
  <c r="X38" i="3"/>
  <c r="V29" i="3"/>
  <c r="V37" i="3"/>
  <c r="X29" i="3"/>
  <c r="X37" i="3"/>
  <c r="S6" i="4"/>
  <c r="R44" i="3"/>
  <c r="T44" i="3"/>
  <c r="V44" i="3"/>
  <c r="X44" i="3"/>
  <c r="B6" i="4"/>
  <c r="N4" i="10"/>
  <c r="N5" i="10"/>
  <c r="R43" i="3"/>
  <c r="T35" i="3"/>
  <c r="V43" i="3"/>
  <c r="V35" i="3"/>
  <c r="X43" i="3"/>
  <c r="X35" i="3"/>
  <c r="T42" i="3"/>
  <c r="T34" i="3"/>
  <c r="V42" i="3"/>
  <c r="X34" i="3"/>
  <c r="T33" i="3"/>
  <c r="V41" i="3"/>
  <c r="V33" i="3"/>
  <c r="T32" i="3"/>
  <c r="V32" i="3"/>
  <c r="X40" i="3"/>
  <c r="X32" i="3"/>
  <c r="B6" i="5"/>
  <c r="H4" i="5" s="1"/>
  <c r="R8" i="10"/>
  <c r="R14" i="10"/>
  <c r="D7" i="3"/>
  <c r="R39" i="3"/>
  <c r="T31" i="3"/>
  <c r="V39" i="3"/>
  <c r="V31" i="3"/>
  <c r="G4" i="6"/>
  <c r="I4" i="5"/>
  <c r="V37" i="5" s="1"/>
  <c r="I6" i="3"/>
  <c r="R16" i="10"/>
  <c r="R5" i="10"/>
  <c r="R3" i="10"/>
  <c r="R4" i="10"/>
  <c r="R15" i="10"/>
  <c r="I4" i="4"/>
  <c r="V37" i="4" s="1"/>
  <c r="D6" i="3"/>
  <c r="F6" i="3"/>
  <c r="N4" i="8"/>
  <c r="N5" i="8"/>
  <c r="O5" i="8" s="1"/>
  <c r="D4" i="5" s="1"/>
  <c r="O4" i="8"/>
  <c r="D4" i="6" s="1"/>
  <c r="R30" i="5"/>
  <c r="H4" i="6"/>
  <c r="U37" i="6" s="1"/>
  <c r="S30" i="5"/>
  <c r="N5" i="7"/>
  <c r="N3" i="7"/>
  <c r="N4" i="7"/>
  <c r="U36" i="6" l="1"/>
  <c r="K34" i="6" s="1"/>
  <c r="K32" i="6"/>
  <c r="V36" i="5"/>
  <c r="L34" i="5" s="1"/>
  <c r="L32" i="5"/>
  <c r="Q46" i="10"/>
  <c r="V12" i="3"/>
  <c r="V15" i="3"/>
  <c r="R28" i="9"/>
  <c r="Q34" i="3"/>
  <c r="Q36" i="3"/>
  <c r="R36" i="3" s="1"/>
  <c r="R36" i="8"/>
  <c r="Q42" i="3"/>
  <c r="R42" i="3" s="1"/>
  <c r="R35" i="8"/>
  <c r="Q41" i="3"/>
  <c r="R23" i="8"/>
  <c r="Q29" i="3"/>
  <c r="R31" i="8"/>
  <c r="Q37" i="3"/>
  <c r="R37" i="3" s="1"/>
  <c r="T15" i="3"/>
  <c r="T16" i="3"/>
  <c r="R26" i="8"/>
  <c r="Q32" i="3"/>
  <c r="R32" i="3" s="1"/>
  <c r="R24" i="8"/>
  <c r="Q30" i="3"/>
  <c r="T19" i="3"/>
  <c r="V11" i="3"/>
  <c r="T11" i="3"/>
  <c r="V16" i="3"/>
  <c r="V20" i="3"/>
  <c r="T20" i="3"/>
  <c r="T8" i="3"/>
  <c r="T21" i="3"/>
  <c r="T61" i="3"/>
  <c r="V21" i="3"/>
  <c r="V61" i="3"/>
  <c r="X22" i="3"/>
  <c r="X62" i="3"/>
  <c r="X50" i="3"/>
  <c r="X10" i="3"/>
  <c r="R30" i="10"/>
  <c r="V22" i="3"/>
  <c r="V62" i="3"/>
  <c r="X57" i="3"/>
  <c r="R27" i="10"/>
  <c r="R25" i="10"/>
  <c r="R37" i="10"/>
  <c r="X54" i="3"/>
  <c r="X14" i="3"/>
  <c r="T50" i="3"/>
  <c r="T10" i="3"/>
  <c r="X11" i="3"/>
  <c r="J6" i="2" s="1"/>
  <c r="J25" i="2" s="1"/>
  <c r="R26" i="10"/>
  <c r="R36" i="10"/>
  <c r="R31" i="10"/>
  <c r="V19" i="3"/>
  <c r="V57" i="3"/>
  <c r="V17" i="3"/>
  <c r="X58" i="3"/>
  <c r="X18" i="3"/>
  <c r="V54" i="3"/>
  <c r="V14" i="3"/>
  <c r="R29" i="10"/>
  <c r="V58" i="3"/>
  <c r="V18" i="3"/>
  <c r="X20" i="3"/>
  <c r="R32" i="10"/>
  <c r="T12" i="3"/>
  <c r="T53" i="3"/>
  <c r="T13" i="3"/>
  <c r="X53" i="3"/>
  <c r="X13" i="3"/>
  <c r="J8" i="2" s="1"/>
  <c r="J27" i="2" s="1"/>
  <c r="R23" i="10"/>
  <c r="T54" i="3"/>
  <c r="T14" i="3"/>
  <c r="R33" i="10"/>
  <c r="X9" i="3"/>
  <c r="X49" i="3"/>
  <c r="T49" i="3"/>
  <c r="R35" i="10"/>
  <c r="R34" i="10"/>
  <c r="R59" i="3"/>
  <c r="V53" i="3"/>
  <c r="V13" i="3"/>
  <c r="T57" i="3"/>
  <c r="T17" i="3"/>
  <c r="T58" i="3"/>
  <c r="T18" i="3"/>
  <c r="V9" i="3"/>
  <c r="V49" i="3"/>
  <c r="V8" i="3"/>
  <c r="X12" i="3"/>
  <c r="R24" i="10"/>
  <c r="R28" i="10"/>
  <c r="X15" i="3"/>
  <c r="V50" i="3"/>
  <c r="V10" i="3"/>
  <c r="V23" i="3"/>
  <c r="X21" i="3"/>
  <c r="X61" i="3"/>
  <c r="R38" i="10"/>
  <c r="T22" i="3"/>
  <c r="T62" i="3"/>
  <c r="T40" i="3"/>
  <c r="R34" i="8"/>
  <c r="Q44" i="8" s="1"/>
  <c r="Q40" i="3"/>
  <c r="J6" i="4"/>
  <c r="J6" i="5"/>
  <c r="J13" i="5" a="1"/>
  <c r="J13" i="5" s="1"/>
  <c r="I6" i="6"/>
  <c r="I13" i="6" a="1"/>
  <c r="I13" i="6" s="1"/>
  <c r="E7" i="3"/>
  <c r="T9" i="3"/>
  <c r="O3" i="9"/>
  <c r="D5" i="4" s="1"/>
  <c r="O5" i="9"/>
  <c r="D5" i="5" s="1"/>
  <c r="R35" i="3"/>
  <c r="H4" i="4"/>
  <c r="S30" i="4"/>
  <c r="O3" i="10"/>
  <c r="D6" i="4" s="1"/>
  <c r="X8" i="3"/>
  <c r="D4" i="4"/>
  <c r="Q47" i="8"/>
  <c r="Q44" i="9"/>
  <c r="Q47" i="9"/>
  <c r="X19" i="3"/>
  <c r="T23" i="3"/>
  <c r="V36" i="3"/>
  <c r="X36" i="3"/>
  <c r="X16" i="3"/>
  <c r="X31" i="3"/>
  <c r="X39" i="3"/>
  <c r="R31" i="3"/>
  <c r="R41" i="3"/>
  <c r="R34" i="3"/>
  <c r="L6" i="3"/>
  <c r="L7" i="3" s="1"/>
  <c r="O4" i="10"/>
  <c r="D6" i="6" s="1"/>
  <c r="I4" i="6" s="1"/>
  <c r="J43" i="3" s="1"/>
  <c r="R30" i="3"/>
  <c r="O5" i="10"/>
  <c r="D6" i="5" s="1"/>
  <c r="Q47" i="10"/>
  <c r="E6" i="3"/>
  <c r="J6" i="3"/>
  <c r="J7" i="3" s="1"/>
  <c r="X31" i="4"/>
  <c r="K53" i="3" s="1"/>
  <c r="I55" i="3" s="1"/>
  <c r="R31" i="5"/>
  <c r="K54" i="3" s="1"/>
  <c r="J55" i="3" s="1"/>
  <c r="O5" i="7"/>
  <c r="E5" i="3"/>
  <c r="O3" i="7"/>
  <c r="O4" i="7"/>
  <c r="AI8" i="3" l="1"/>
  <c r="AI20" i="3"/>
  <c r="AI11" i="3"/>
  <c r="AI10" i="3"/>
  <c r="AI12" i="3"/>
  <c r="V36" i="4"/>
  <c r="L34" i="4" s="1"/>
  <c r="L32" i="4"/>
  <c r="K35" i="6"/>
  <c r="S31" i="4"/>
  <c r="I54" i="3" s="1"/>
  <c r="L54" i="3" s="1"/>
  <c r="L55" i="3"/>
  <c r="Q44" i="10"/>
  <c r="R17" i="3"/>
  <c r="R57" i="3"/>
  <c r="R48" i="3"/>
  <c r="E3" i="2"/>
  <c r="E22" i="2" s="1"/>
  <c r="R61" i="3"/>
  <c r="R21" i="3"/>
  <c r="R19" i="3"/>
  <c r="R51" i="3"/>
  <c r="R11" i="3"/>
  <c r="R52" i="3"/>
  <c r="R12" i="3"/>
  <c r="R9" i="3"/>
  <c r="R49" i="3"/>
  <c r="R62" i="3"/>
  <c r="R22" i="3"/>
  <c r="R18" i="3"/>
  <c r="R58" i="3"/>
  <c r="R54" i="3"/>
  <c r="R14" i="3"/>
  <c r="R56" i="3"/>
  <c r="R16" i="3"/>
  <c r="R50" i="3"/>
  <c r="R10" i="3"/>
  <c r="R55" i="3"/>
  <c r="R15" i="3"/>
  <c r="R63" i="3"/>
  <c r="R23" i="3"/>
  <c r="D18" i="2" s="1"/>
  <c r="D37" i="2" s="1"/>
  <c r="R53" i="3"/>
  <c r="R13" i="3"/>
  <c r="R60" i="3"/>
  <c r="R20" i="3"/>
  <c r="R40" i="3"/>
  <c r="J4" i="4"/>
  <c r="J41" i="3" s="1"/>
  <c r="J4" i="5"/>
  <c r="J42" i="3" s="1"/>
  <c r="K14" i="2"/>
  <c r="K33" i="2" s="1"/>
  <c r="X23" i="3"/>
  <c r="J18" i="2" s="1"/>
  <c r="J37" i="2" s="1"/>
  <c r="X17" i="3"/>
  <c r="J12" i="2" s="1"/>
  <c r="J31" i="2" s="1"/>
  <c r="J46" i="3"/>
  <c r="J47" i="3"/>
  <c r="K47" i="3" s="1"/>
  <c r="R29" i="3"/>
  <c r="J48" i="3"/>
  <c r="K6" i="3"/>
  <c r="K7" i="3" s="1"/>
  <c r="J3" i="2"/>
  <c r="J22" i="2" s="1"/>
  <c r="K3" i="2"/>
  <c r="K22" i="2" s="1"/>
  <c r="K18" i="2"/>
  <c r="K37" i="2" s="1"/>
  <c r="K6" i="2"/>
  <c r="K25" i="2" s="1"/>
  <c r="J10" i="2"/>
  <c r="J29" i="2" s="1"/>
  <c r="K12" i="2"/>
  <c r="K31" i="2" s="1"/>
  <c r="K4" i="2"/>
  <c r="K23" i="2" s="1"/>
  <c r="J4" i="2"/>
  <c r="J23" i="2" s="1"/>
  <c r="J16" i="2"/>
  <c r="J35" i="2" s="1"/>
  <c r="K8" i="2"/>
  <c r="K27" i="2" s="1"/>
  <c r="H11" i="2"/>
  <c r="H30" i="2" s="1"/>
  <c r="H18" i="2"/>
  <c r="H37" i="2" s="1"/>
  <c r="I18" i="2"/>
  <c r="I37" i="2" s="1"/>
  <c r="F18" i="2"/>
  <c r="F37" i="2" s="1"/>
  <c r="G18" i="2"/>
  <c r="G37" i="2" s="1"/>
  <c r="F11" i="2"/>
  <c r="F30" i="2" s="1"/>
  <c r="K10" i="2"/>
  <c r="K29" i="2" s="1"/>
  <c r="K16" i="2"/>
  <c r="K35" i="2" s="1"/>
  <c r="J14" i="2"/>
  <c r="J33" i="2" s="1"/>
  <c r="I11" i="2"/>
  <c r="I30" i="2" s="1"/>
  <c r="G11" i="2"/>
  <c r="G30" i="2" s="1"/>
  <c r="H10" i="2"/>
  <c r="H29" i="2" s="1"/>
  <c r="I10" i="2"/>
  <c r="I29" i="2" s="1"/>
  <c r="J7" i="2"/>
  <c r="J26" i="2" s="1"/>
  <c r="K7" i="2"/>
  <c r="K26" i="2" s="1"/>
  <c r="F13" i="2"/>
  <c r="F32" i="2" s="1"/>
  <c r="G13" i="2"/>
  <c r="G32" i="2" s="1"/>
  <c r="I4" i="2"/>
  <c r="I23" i="2" s="1"/>
  <c r="H4" i="2"/>
  <c r="H23" i="2" s="1"/>
  <c r="F4" i="2"/>
  <c r="F23" i="2" s="1"/>
  <c r="G4" i="2"/>
  <c r="G23" i="2" s="1"/>
  <c r="I17" i="2"/>
  <c r="I36" i="2" s="1"/>
  <c r="H17" i="2"/>
  <c r="H36" i="2" s="1"/>
  <c r="F6" i="2"/>
  <c r="F25" i="2" s="1"/>
  <c r="G6" i="2"/>
  <c r="G25" i="2" s="1"/>
  <c r="I9" i="2"/>
  <c r="I28" i="2" s="1"/>
  <c r="I12" i="2"/>
  <c r="I31" i="2" s="1"/>
  <c r="H12" i="2"/>
  <c r="H31" i="2" s="1"/>
  <c r="I7" i="2"/>
  <c r="I26" i="2" s="1"/>
  <c r="H7" i="2"/>
  <c r="H26" i="2" s="1"/>
  <c r="G3" i="2"/>
  <c r="G22" i="2" s="1"/>
  <c r="F3" i="2"/>
  <c r="F22" i="2" s="1"/>
  <c r="G17" i="2"/>
  <c r="G36" i="2" s="1"/>
  <c r="F17" i="2"/>
  <c r="F36" i="2" s="1"/>
  <c r="J15" i="2"/>
  <c r="J34" i="2" s="1"/>
  <c r="K15" i="2"/>
  <c r="K34" i="2" s="1"/>
  <c r="G16" i="2"/>
  <c r="G35" i="2" s="1"/>
  <c r="F16" i="2"/>
  <c r="F35" i="2" s="1"/>
  <c r="F7" i="2"/>
  <c r="F26" i="2" s="1"/>
  <c r="G7" i="2"/>
  <c r="G26" i="2" s="1"/>
  <c r="J11" i="2"/>
  <c r="J30" i="2" s="1"/>
  <c r="K11" i="2"/>
  <c r="K30" i="2" s="1"/>
  <c r="I15" i="2"/>
  <c r="I34" i="2" s="1"/>
  <c r="H15" i="2"/>
  <c r="H34" i="2" s="1"/>
  <c r="I16" i="2"/>
  <c r="I35" i="2" s="1"/>
  <c r="H16" i="2"/>
  <c r="H35" i="2" s="1"/>
  <c r="J5" i="2"/>
  <c r="J24" i="2" s="1"/>
  <c r="K5" i="2"/>
  <c r="K24" i="2" s="1"/>
  <c r="F10" i="2"/>
  <c r="F29" i="2" s="1"/>
  <c r="G10" i="2"/>
  <c r="G29" i="2" s="1"/>
  <c r="I8" i="2"/>
  <c r="I27" i="2" s="1"/>
  <c r="H8" i="2"/>
  <c r="H27" i="2" s="1"/>
  <c r="F9" i="2"/>
  <c r="F28" i="2" s="1"/>
  <c r="G9" i="2"/>
  <c r="G28" i="2" s="1"/>
  <c r="I14" i="2"/>
  <c r="I33" i="2" s="1"/>
  <c r="H14" i="2"/>
  <c r="H33" i="2" s="1"/>
  <c r="H6" i="2"/>
  <c r="H25" i="2" s="1"/>
  <c r="I6" i="2"/>
  <c r="I25" i="2" s="1"/>
  <c r="G5" i="2"/>
  <c r="G24" i="2" s="1"/>
  <c r="F5" i="2"/>
  <c r="F24" i="2" s="1"/>
  <c r="J17" i="2"/>
  <c r="J36" i="2" s="1"/>
  <c r="K17" i="2"/>
  <c r="K36" i="2" s="1"/>
  <c r="F15" i="2"/>
  <c r="F34" i="2" s="1"/>
  <c r="G15" i="2"/>
  <c r="G34" i="2" s="1"/>
  <c r="J9" i="2"/>
  <c r="J28" i="2" s="1"/>
  <c r="K9" i="2"/>
  <c r="K28" i="2" s="1"/>
  <c r="J13" i="2"/>
  <c r="J32" i="2" s="1"/>
  <c r="K13" i="2"/>
  <c r="K32" i="2" s="1"/>
  <c r="I3" i="2"/>
  <c r="I22" i="2" s="1"/>
  <c r="H3" i="2"/>
  <c r="H22" i="2" s="1"/>
  <c r="H5" i="2"/>
  <c r="H24" i="2" s="1"/>
  <c r="I5" i="2"/>
  <c r="I24" i="2" s="1"/>
  <c r="F8" i="2"/>
  <c r="F27" i="2" s="1"/>
  <c r="G8" i="2"/>
  <c r="G27" i="2" s="1"/>
  <c r="H13" i="2"/>
  <c r="H32" i="2" s="1"/>
  <c r="I13" i="2"/>
  <c r="I32" i="2" s="1"/>
  <c r="G12" i="2"/>
  <c r="G31" i="2" s="1"/>
  <c r="F12" i="2"/>
  <c r="F31" i="2" s="1"/>
  <c r="F14" i="2"/>
  <c r="F33" i="2" s="1"/>
  <c r="G14" i="2"/>
  <c r="G33" i="2" s="1"/>
  <c r="AI17" i="3" l="1"/>
  <c r="AI14" i="3"/>
  <c r="AI18" i="3"/>
  <c r="AI15" i="3"/>
  <c r="AI22" i="3"/>
  <c r="AI21" i="3"/>
  <c r="AI9" i="3"/>
  <c r="AB8" i="3"/>
  <c r="AC8" i="3" s="1"/>
  <c r="AI13" i="3"/>
  <c r="AI16" i="3"/>
  <c r="AI7" i="3"/>
  <c r="AI19" i="3"/>
  <c r="AF9" i="3"/>
  <c r="AF8" i="3"/>
  <c r="L35" i="4"/>
  <c r="J53" i="3"/>
  <c r="L53" i="3" s="1"/>
  <c r="L35" i="5"/>
  <c r="AB13" i="3"/>
  <c r="AC13" i="3" s="1"/>
  <c r="AB21" i="3"/>
  <c r="AC21" i="3" s="1"/>
  <c r="AB17" i="3"/>
  <c r="AC17" i="3" s="1"/>
  <c r="AB16" i="3"/>
  <c r="AC16" i="3" s="1"/>
  <c r="AB22" i="3"/>
  <c r="AC22" i="3" s="1"/>
  <c r="AB19" i="3"/>
  <c r="AC19" i="3" s="1"/>
  <c r="AB11" i="3"/>
  <c r="AC11" i="3" s="1"/>
  <c r="AB9" i="3"/>
  <c r="AC9" i="3" s="1"/>
  <c r="AB20" i="3"/>
  <c r="AC20" i="3" s="1"/>
  <c r="AB15" i="3"/>
  <c r="AC15" i="3" s="1"/>
  <c r="AB23" i="3"/>
  <c r="AC23" i="3" s="1"/>
  <c r="AB10" i="3"/>
  <c r="AC10" i="3" s="1"/>
  <c r="AB18" i="3"/>
  <c r="AC18" i="3" s="1"/>
  <c r="AB14" i="3"/>
  <c r="AC14" i="3" s="1"/>
  <c r="AB12" i="3"/>
  <c r="AC12" i="3" s="1"/>
  <c r="E7" i="2"/>
  <c r="E26" i="2" s="1"/>
  <c r="AN6" i="4"/>
  <c r="AO6" i="4" s="1"/>
  <c r="AN16" i="4"/>
  <c r="AO16" i="4" s="1"/>
  <c r="AN9" i="4"/>
  <c r="AO9" i="4" s="1"/>
  <c r="AN12" i="4"/>
  <c r="AO12" i="4" s="1"/>
  <c r="AN18" i="4"/>
  <c r="AO18" i="4" s="1"/>
  <c r="E13" i="2"/>
  <c r="E32" i="2" s="1"/>
  <c r="E18" i="2"/>
  <c r="E37" i="2" s="1"/>
  <c r="AN14" i="4"/>
  <c r="AO14" i="4" s="1"/>
  <c r="AN10" i="4"/>
  <c r="AO10" i="4" s="1"/>
  <c r="AN19" i="4"/>
  <c r="AO19" i="4" s="1"/>
  <c r="AN8" i="4"/>
  <c r="AO8" i="4" s="1"/>
  <c r="AN5" i="4"/>
  <c r="AO5" i="4" s="1"/>
  <c r="AN17" i="4"/>
  <c r="AO17" i="4" s="1"/>
  <c r="D13" i="2"/>
  <c r="D32" i="2" s="1"/>
  <c r="AN11" i="4"/>
  <c r="AO11" i="4" s="1"/>
  <c r="AN7" i="4"/>
  <c r="AO7" i="4" s="1"/>
  <c r="AN13" i="4"/>
  <c r="AO13" i="4" s="1"/>
  <c r="AN15" i="4"/>
  <c r="AO15" i="4" s="1"/>
  <c r="E14" i="2"/>
  <c r="E33" i="2" s="1"/>
  <c r="E11" i="2"/>
  <c r="E30" i="2" s="1"/>
  <c r="K48" i="3"/>
  <c r="L48" i="3"/>
  <c r="E16" i="2"/>
  <c r="E35" i="2" s="1"/>
  <c r="R8" i="3"/>
  <c r="AF10" i="3" s="1"/>
  <c r="K46" i="3"/>
  <c r="L46" i="3"/>
  <c r="L47" i="3"/>
  <c r="E8" i="2"/>
  <c r="E27" i="2" s="1"/>
  <c r="L25" i="2"/>
  <c r="L27" i="2"/>
  <c r="L29" i="2"/>
  <c r="L24" i="2"/>
  <c r="L28" i="2"/>
  <c r="H9" i="2"/>
  <c r="H28" i="2" s="1"/>
  <c r="E17" i="2"/>
  <c r="E36" i="2" s="1"/>
  <c r="E5" i="2"/>
  <c r="E24" i="2" s="1"/>
  <c r="E15" i="2"/>
  <c r="E34" i="2" s="1"/>
  <c r="E9" i="2"/>
  <c r="E28" i="2" s="1"/>
  <c r="D11" i="2"/>
  <c r="D30" i="2" s="1"/>
  <c r="D16" i="2"/>
  <c r="D35" i="2" s="1"/>
  <c r="E10" i="2"/>
  <c r="E29" i="2" s="1"/>
  <c r="D9" i="2"/>
  <c r="D28" i="2" s="1"/>
  <c r="E12" i="2"/>
  <c r="E31" i="2" s="1"/>
  <c r="E6" i="2"/>
  <c r="E25" i="2" s="1"/>
  <c r="E4" i="2"/>
  <c r="E23" i="2" s="1"/>
  <c r="L31" i="2" l="1"/>
  <c r="L30" i="2" s="1"/>
  <c r="AN4" i="4"/>
  <c r="AO4" i="4" s="1"/>
  <c r="D3" i="2"/>
  <c r="D22" i="2" s="1"/>
  <c r="L26" i="2"/>
  <c r="L23" i="2"/>
  <c r="D17" i="2"/>
  <c r="D36" i="2" s="1"/>
  <c r="D7" i="2"/>
  <c r="D26" i="2" s="1"/>
  <c r="D6" i="2"/>
  <c r="D25" i="2" s="1"/>
  <c r="D4" i="2"/>
  <c r="D23" i="2" s="1"/>
  <c r="D14" i="2"/>
  <c r="D33" i="2" s="1"/>
  <c r="D5" i="2"/>
  <c r="D24" i="2" s="1"/>
  <c r="D12" i="2"/>
  <c r="D31" i="2" s="1"/>
  <c r="D15" i="2"/>
  <c r="D34" i="2" s="1"/>
  <c r="D10" i="2"/>
  <c r="D29" i="2" s="1"/>
  <c r="D8" i="2"/>
  <c r="D27" i="2" s="1"/>
  <c r="L2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<sst xmlns="http://schemas.openxmlformats.org/spreadsheetml/2006/main" count="2885" uniqueCount="243">
  <si>
    <t>Thank you for taking the time to view the past results and statistics. I hope that these will help you to succeed more in the future, and you learn from them.</t>
  </si>
  <si>
    <r>
      <rPr>
        <b/>
        <sz val="11"/>
        <color theme="1"/>
        <rFont val="Calibri"/>
      </rPr>
      <t>S-Streak</t>
    </r>
    <r>
      <rPr>
        <sz val="11"/>
        <color theme="1"/>
        <rFont val="Calibri"/>
      </rPr>
      <t>: The amount of times a player has won a game in a row</t>
    </r>
  </si>
  <si>
    <t>On Statistics Page:</t>
  </si>
  <si>
    <r>
      <rPr>
        <b/>
        <sz val="11"/>
        <color theme="1"/>
        <rFont val="Calibri"/>
      </rPr>
      <t>Streak</t>
    </r>
    <r>
      <rPr>
        <sz val="11"/>
        <color theme="1"/>
        <rFont val="Calibri"/>
      </rPr>
      <t>: The highest scoring streak that player had during that break</t>
    </r>
  </si>
  <si>
    <r>
      <rPr>
        <b/>
        <sz val="11"/>
        <color theme="1"/>
        <rFont val="Calibri"/>
      </rPr>
      <t>Against x team</t>
    </r>
    <r>
      <rPr>
        <sz val="11"/>
        <color theme="1"/>
        <rFont val="Calibri"/>
      </rPr>
      <t>: 'Our best' represents who scored the most against that team.           'Our worst' represents who scored against you the most from that team.</t>
    </r>
  </si>
  <si>
    <t>How to find stuff:</t>
  </si>
  <si>
    <t>Averages: Go to statistics global page, and at the bottom of the 'points section'</t>
  </si>
  <si>
    <t>Head-Head records: Go to statistics page for the team, and navigate to the highlighted areas</t>
  </si>
  <si>
    <t>Points</t>
  </si>
  <si>
    <t>Finishes</t>
  </si>
  <si>
    <t>Midranges</t>
  </si>
  <si>
    <t>Threes</t>
  </si>
  <si>
    <t>Name</t>
  </si>
  <si>
    <t>Team</t>
  </si>
  <si>
    <t>PPG</t>
  </si>
  <si>
    <t>TP</t>
  </si>
  <si>
    <t>FPG</t>
  </si>
  <si>
    <t>TF</t>
  </si>
  <si>
    <t>MPG</t>
  </si>
  <si>
    <t>TM</t>
  </si>
  <si>
    <t>TPG</t>
  </si>
  <si>
    <t>TT</t>
  </si>
  <si>
    <t>AccoladesOne</t>
  </si>
  <si>
    <t>AccoladesTwo</t>
  </si>
  <si>
    <t>AccoladesThree</t>
  </si>
  <si>
    <t>AccoladesFour</t>
  </si>
  <si>
    <t>AccoladesFive</t>
  </si>
  <si>
    <t>AccoladesSix</t>
  </si>
  <si>
    <t>AccoladesSeven</t>
  </si>
  <si>
    <t>AccoladesEight</t>
  </si>
  <si>
    <t>History</t>
  </si>
  <si>
    <t>TeamImage</t>
  </si>
  <si>
    <t>PlayerImage</t>
  </si>
  <si>
    <t>Jasper Collier</t>
  </si>
  <si>
    <t>5 Musketeers</t>
  </si>
  <si>
    <t>../Images/5M_Final.png</t>
  </si>
  <si>
    <t>Conor Farrington</t>
  </si>
  <si>
    <t>../Images/LG_Final.png</t>
  </si>
  <si>
    <t>Alexander Galt</t>
  </si>
  <si>
    <t>Wet Willies</t>
  </si>
  <si>
    <t>Ex-GM</t>
  </si>
  <si>
    <t>All-Defence Team T1</t>
  </si>
  <si>
    <t>Champion T1</t>
  </si>
  <si>
    <t>../Images/WW_Final.png</t>
  </si>
  <si>
    <t>Rudy Hoschke</t>
  </si>
  <si>
    <t>All-Offence Team T1</t>
  </si>
  <si>
    <t>Michael Iffland</t>
  </si>
  <si>
    <t>Playmaker T1</t>
  </si>
  <si>
    <t>Thirdman T1</t>
  </si>
  <si>
    <t>GM</t>
  </si>
  <si>
    <t>../Images/Players/</t>
  </si>
  <si>
    <t>Lukas Johnston</t>
  </si>
  <si>
    <t>MVP Runner Up T1</t>
  </si>
  <si>
    <t>Clarrie Jones</t>
  </si>
  <si>
    <t>Finals MVP</t>
  </si>
  <si>
    <t>Jasper</t>
  </si>
  <si>
    <t>William Kim</t>
  </si>
  <si>
    <t>Loose Gooses</t>
  </si>
  <si>
    <t>MVP T1</t>
  </si>
  <si>
    <t>Conor</t>
  </si>
  <si>
    <t>Samuel McConaghy</t>
  </si>
  <si>
    <t>All-Defence Team T</t>
  </si>
  <si>
    <t>Alex</t>
  </si>
  <si>
    <t>Ryan Pattemore</t>
  </si>
  <si>
    <t>Perimeter T1</t>
  </si>
  <si>
    <t>Rudy</t>
  </si>
  <si>
    <t>Nicholas Szogi</t>
  </si>
  <si>
    <t>The Biggest Bird</t>
  </si>
  <si>
    <t>Michael</t>
  </si>
  <si>
    <t>Christopher Tomkinson</t>
  </si>
  <si>
    <t>MIP T1</t>
  </si>
  <si>
    <t>Lukas</t>
  </si>
  <si>
    <t>Angus Walker</t>
  </si>
  <si>
    <t>TLTBO CEO</t>
  </si>
  <si>
    <t>Scoring Champ T1</t>
  </si>
  <si>
    <t>Clarrie</t>
  </si>
  <si>
    <t>Willie Weekes</t>
  </si>
  <si>
    <t>Teammate T1</t>
  </si>
  <si>
    <t>Kimmy</t>
  </si>
  <si>
    <t>Mitch Yue</t>
  </si>
  <si>
    <t>SamM</t>
  </si>
  <si>
    <t>Ryan</t>
  </si>
  <si>
    <t>Nick</t>
  </si>
  <si>
    <t>Chris</t>
  </si>
  <si>
    <t>Date</t>
  </si>
  <si>
    <t>Angus</t>
  </si>
  <si>
    <t>Willie</t>
  </si>
  <si>
    <t>Mitch</t>
  </si>
  <si>
    <t>Stats Global</t>
  </si>
  <si>
    <t>Games Played</t>
  </si>
  <si>
    <t>1st Wins</t>
  </si>
  <si>
    <t>2nd Wins</t>
  </si>
  <si>
    <t>3rd Wins</t>
  </si>
  <si>
    <t>Averages</t>
  </si>
  <si>
    <t>GP</t>
  </si>
  <si>
    <t>Total</t>
  </si>
  <si>
    <t>%</t>
  </si>
  <si>
    <t>Scoring</t>
  </si>
  <si>
    <t>Average</t>
  </si>
  <si>
    <t>Streak</t>
  </si>
  <si>
    <t>Against Wet Willies</t>
  </si>
  <si>
    <t>Against 5 Musketeers</t>
  </si>
  <si>
    <t>Wins</t>
  </si>
  <si>
    <t>Losses</t>
  </si>
  <si>
    <t>Total Wins</t>
  </si>
  <si>
    <t>Total Losses</t>
  </si>
  <si>
    <t>Total Points</t>
  </si>
  <si>
    <t>SamJ</t>
  </si>
  <si>
    <t>Our Best</t>
  </si>
  <si>
    <t>Our Worst</t>
  </si>
  <si>
    <t>Week 1 %</t>
  </si>
  <si>
    <t>Week 2 %</t>
  </si>
  <si>
    <t>Week 3 %</t>
  </si>
  <si>
    <t>Week 4 %</t>
  </si>
  <si>
    <t>Week 5 %</t>
  </si>
  <si>
    <t>Week 6 %</t>
  </si>
  <si>
    <t>Finals %</t>
  </si>
  <si>
    <t>Overall</t>
  </si>
  <si>
    <t>Totals</t>
  </si>
  <si>
    <t>Team Wet Willies</t>
  </si>
  <si>
    <t>Team 5 Musketeers</t>
  </si>
  <si>
    <t>Date:</t>
  </si>
  <si>
    <t>Stats</t>
  </si>
  <si>
    <t>Midrange</t>
  </si>
  <si>
    <t>3 Pointers</t>
  </si>
  <si>
    <t>Game Number</t>
  </si>
  <si>
    <t>Winner</t>
  </si>
  <si>
    <t>Loser</t>
  </si>
  <si>
    <t>Scorer</t>
  </si>
  <si>
    <t>Type</t>
  </si>
  <si>
    <t>W-Streak</t>
  </si>
  <si>
    <t>L-Streak</t>
  </si>
  <si>
    <t>LG</t>
  </si>
  <si>
    <t>WW</t>
  </si>
  <si>
    <t>5M</t>
  </si>
  <si>
    <t>Chris Tomkinson</t>
  </si>
  <si>
    <t>Team Loose Gooses</t>
  </si>
  <si>
    <t>S-Streak</t>
  </si>
  <si>
    <t>Steps for each day:</t>
  </si>
  <si>
    <t>Put new data in new page</t>
  </si>
  <si>
    <t>Update top left and formulas on Global Page</t>
  </si>
  <si>
    <t>Update days played</t>
  </si>
  <si>
    <t>Put new data on team page</t>
  </si>
  <si>
    <t>Put streaks on team page</t>
  </si>
  <si>
    <t>Put records on team page</t>
  </si>
  <si>
    <t>Retained by 5 Musketeers</t>
  </si>
  <si>
    <t>Retained by Wet Willies</t>
  </si>
  <si>
    <t>Retained by Loose Gooses</t>
  </si>
  <si>
    <t>Sam James</t>
  </si>
  <si>
    <t>Sam J</t>
  </si>
  <si>
    <t>Drafted by 5 Musketeers</t>
  </si>
  <si>
    <t>Drafted by Wet Willies</t>
  </si>
  <si>
    <t>Drafted by Loose Gooses</t>
  </si>
  <si>
    <t>Sam M</t>
  </si>
  <si>
    <t>Finish</t>
  </si>
  <si>
    <t>Ladder Points:</t>
  </si>
  <si>
    <t>Averages2</t>
  </si>
  <si>
    <t>Averages3</t>
  </si>
  <si>
    <t>Date goes here</t>
  </si>
  <si>
    <t>COPY THIS</t>
  </si>
  <si>
    <t>Missed Games</t>
  </si>
  <si>
    <t>Did not Play</t>
  </si>
  <si>
    <t>Scores Against Us</t>
  </si>
  <si>
    <t>Avg F</t>
  </si>
  <si>
    <t>Avg M</t>
  </si>
  <si>
    <t>Avg 3</t>
  </si>
  <si>
    <t>Avg P</t>
  </si>
  <si>
    <t>Change results.js</t>
  </si>
  <si>
    <t>Change array.js</t>
  </si>
  <si>
    <t>Sam</t>
  </si>
  <si>
    <t>M/R</t>
  </si>
  <si>
    <t>Alex Hewes</t>
  </si>
  <si>
    <t>Three Pointer</t>
  </si>
  <si>
    <t>Week 1</t>
  </si>
  <si>
    <t>Week 2</t>
  </si>
  <si>
    <t>N/A/R/S</t>
  </si>
  <si>
    <t>Last Season</t>
  </si>
  <si>
    <t>Change</t>
  </si>
  <si>
    <t>R/M</t>
  </si>
  <si>
    <t>Against Loose Gooses</t>
  </si>
  <si>
    <t>DNP</t>
  </si>
  <si>
    <t>Against other team</t>
  </si>
  <si>
    <t>Typical Matchups</t>
  </si>
  <si>
    <t>Sub</t>
  </si>
  <si>
    <t>Christopher</t>
  </si>
  <si>
    <t>Nicholas</t>
  </si>
  <si>
    <t>Week 3</t>
  </si>
  <si>
    <t>M/C</t>
  </si>
  <si>
    <t>Head-head records</t>
  </si>
  <si>
    <t>x</t>
  </si>
  <si>
    <t>LG -&gt;</t>
  </si>
  <si>
    <t>WW -&gt;</t>
  </si>
  <si>
    <t>5M -&gt;</t>
  </si>
  <si>
    <t>"PartA":[</t>
  </si>
  <si>
    <t>"PartB":[</t>
  </si>
  <si>
    <t>"PartC":[</t>
  </si>
  <si>
    <t>"PartD":[</t>
  </si>
  <si>
    <t>Leaders</t>
  </si>
  <si>
    <t>Angus Walker, Mitch Yue</t>
  </si>
  <si>
    <t>Angus Walker, Clarrie Jones</t>
  </si>
  <si>
    <t>W Kim, C Jones, M Yue</t>
  </si>
  <si>
    <t>TA</t>
  </si>
  <si>
    <t>TB</t>
  </si>
  <si>
    <t>N/A</t>
  </si>
  <si>
    <t>Michael Iffland, Rudy Hoschke</t>
  </si>
  <si>
    <t>Rudy Hoschke, Michael Iffland</t>
  </si>
  <si>
    <t>Michael Iffland, Conor Farrington</t>
  </si>
  <si>
    <t>Conor Farrington, Rudy Hoschke</t>
  </si>
  <si>
    <t>Nick S, Alex G, Ryan P, Sam M</t>
  </si>
  <si>
    <t>Jasper Collier, Nicholas Szogi</t>
  </si>
  <si>
    <t>Alexander Galt, Nicholas Szogi</t>
  </si>
  <si>
    <t>This Season</t>
  </si>
  <si>
    <t>Usage rates</t>
  </si>
  <si>
    <t>Week 4</t>
  </si>
  <si>
    <t>League Stats</t>
  </si>
  <si>
    <t>Percentage</t>
  </si>
  <si>
    <t>TLTBO Manager</t>
  </si>
  <si>
    <t>Mitch Yue, Christopher Tomkinson</t>
  </si>
  <si>
    <t>Christopher Tomkinson, Clarrie Jones</t>
  </si>
  <si>
    <t>Christopher Tomkinson, Clarrie Jones, William Kim</t>
  </si>
  <si>
    <t>Samuel McConaghy, Nicholas Szogi</t>
  </si>
  <si>
    <t>Points Counter Over Days</t>
  </si>
  <si>
    <t>Week 5</t>
  </si>
  <si>
    <t>Christopher Tomkinson, Angus Walker</t>
  </si>
  <si>
    <t>Alexander Galt, Samuel McConaghy</t>
  </si>
  <si>
    <t>Lukas Johnston, Rudy Hoschke</t>
  </si>
  <si>
    <t>Medians</t>
  </si>
  <si>
    <t>Angus Walker, Christopher Tomkinson</t>
  </si>
  <si>
    <t>Samuel McConaghy, Ryan Pattemore</t>
  </si>
  <si>
    <t>Day by Day Scoring</t>
  </si>
  <si>
    <t>Team Usage Rates</t>
  </si>
  <si>
    <t>Over the League</t>
  </si>
  <si>
    <t>Score</t>
  </si>
  <si>
    <t>1-0</t>
  </si>
  <si>
    <t>-</t>
  </si>
  <si>
    <t>2-0</t>
  </si>
  <si>
    <t>3-0</t>
  </si>
  <si>
    <t>1-1</t>
  </si>
  <si>
    <t>2-1</t>
  </si>
  <si>
    <t>Angus Walker, William Kim</t>
  </si>
  <si>
    <t>Michael Iffland, Lukas Johnston</t>
  </si>
  <si>
    <t>Finals Week</t>
  </si>
  <si>
    <t>Clarri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</si>
</sst>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2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4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u/>
      <sz val="11"/>
      <color theme="1"/>
      <name val="Calibri"/>
    </font>
    <font>
      <b/>
      <sz val="30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scheme val="minor"/>
    </font>
    <font>
      <sz val="8"/>
      <name val="Calibri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FFFF00"/>
      </patternFill>
    </fill>
    <fill>
      <patternFill patternType="solid">
        <fgColor theme="1"/>
        <bgColor rgb="FFFF00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7" fillId="0" borderId="1"/>
    <xf numFmtId="9" fontId="7" fillId="0" borderId="0" applyFont="0" applyFill="0" applyBorder="0" applyAlignment="0" applyProtection="0"/>
  </cellStyleXfs>
  <cellXfs count="151">
    <xf numFmtId="0" fontId="0" fillId="0" borderId="0" xfId="0" applyFont="1" applyAlignment="1"/>
    <xf numFmtId="0" fontId="7" fillId="0" borderId="0" xfId="0" applyFont="1"/>
    <xf numFmtId="0" fontId="8" fillId="0" borderId="0" xfId="0" applyFont="1"/>
    <xf numFmtId="0" fontId="7" fillId="0" borderId="0" xfId="0" applyFont="1" applyAlignment="1"/>
    <xf numFmtId="16" fontId="9" fillId="0" borderId="0" xfId="0" applyNumberFormat="1" applyFont="1"/>
    <xf numFmtId="0" fontId="10" fillId="0" borderId="0" xfId="0" applyFont="1"/>
    <xf numFmtId="0" fontId="9" fillId="0" borderId="1" xfId="0" applyFont="1" applyBorder="1"/>
    <xf numFmtId="2" fontId="9" fillId="0" borderId="0" xfId="0" applyNumberFormat="1" applyFont="1"/>
    <xf numFmtId="164" fontId="11" fillId="0" borderId="0" xfId="0" applyNumberFormat="1" applyFont="1"/>
    <xf numFmtId="0" fontId="10" fillId="0" borderId="0" xfId="0" applyFont="1" applyAlignment="1"/>
    <xf numFmtId="0" fontId="10" fillId="0" borderId="1" xfId="0" applyFont="1" applyBorder="1"/>
    <xf numFmtId="2" fontId="9" fillId="0" borderId="1" xfId="0" applyNumberFormat="1" applyFont="1" applyBorder="1"/>
    <xf numFmtId="0" fontId="9" fillId="0" borderId="0" xfId="0" applyFont="1" applyAlignment="1">
      <alignment horizontal="center"/>
    </xf>
    <xf numFmtId="0" fontId="7" fillId="0" borderId="0" xfId="0" applyFont="1"/>
    <xf numFmtId="2" fontId="7" fillId="0" borderId="0" xfId="0" applyNumberFormat="1" applyFont="1"/>
    <xf numFmtId="165" fontId="7" fillId="0" borderId="0" xfId="0" applyNumberFormat="1" applyFont="1"/>
    <xf numFmtId="0" fontId="9" fillId="0" borderId="0" xfId="0" applyFont="1"/>
    <xf numFmtId="0" fontId="9" fillId="2" borderId="1" xfId="0" applyFont="1" applyFill="1" applyBorder="1"/>
    <xf numFmtId="164" fontId="9" fillId="0" borderId="0" xfId="0" applyNumberFormat="1" applyFont="1"/>
    <xf numFmtId="1" fontId="7" fillId="0" borderId="0" xfId="0" applyNumberFormat="1" applyFont="1"/>
    <xf numFmtId="1" fontId="9" fillId="0" borderId="0" xfId="0" applyNumberFormat="1" applyFont="1"/>
    <xf numFmtId="0" fontId="12" fillId="0" borderId="0" xfId="0" applyFont="1"/>
    <xf numFmtId="9" fontId="9" fillId="0" borderId="0" xfId="0" applyNumberFormat="1" applyFont="1"/>
    <xf numFmtId="10" fontId="9" fillId="0" borderId="0" xfId="0" applyNumberFormat="1" applyFont="1"/>
    <xf numFmtId="0" fontId="7" fillId="0" borderId="0" xfId="0" applyFont="1"/>
    <xf numFmtId="16" fontId="7" fillId="0" borderId="0" xfId="0" applyNumberFormat="1" applyFont="1"/>
    <xf numFmtId="16" fontId="7" fillId="0" borderId="0" xfId="0" applyNumberFormat="1" applyFont="1" applyAlignment="1"/>
    <xf numFmtId="1" fontId="7" fillId="0" borderId="0" xfId="0" applyNumberFormat="1" applyFont="1" applyAlignment="1"/>
    <xf numFmtId="0" fontId="7" fillId="3" borderId="0" xfId="0" applyFont="1" applyFill="1"/>
    <xf numFmtId="2" fontId="9" fillId="3" borderId="0" xfId="0" applyNumberFormat="1" applyFont="1" applyFill="1"/>
    <xf numFmtId="0" fontId="7" fillId="3" borderId="0" xfId="0" applyFont="1" applyFill="1" applyAlignment="1"/>
    <xf numFmtId="0" fontId="13" fillId="3" borderId="0" xfId="0" applyFont="1" applyFill="1"/>
    <xf numFmtId="0" fontId="13" fillId="0" borderId="0" xfId="0" applyFont="1"/>
    <xf numFmtId="0" fontId="13" fillId="0" borderId="0" xfId="0" applyFont="1" applyAlignment="1"/>
    <xf numFmtId="0" fontId="14" fillId="3" borderId="0" xfId="0" applyFont="1" applyFill="1" applyAlignment="1"/>
    <xf numFmtId="0" fontId="14" fillId="0" borderId="0" xfId="0" applyFont="1" applyAlignment="1"/>
    <xf numFmtId="16" fontId="0" fillId="0" borderId="0" xfId="0" applyNumberFormat="1" applyFont="1" applyAlignment="1"/>
    <xf numFmtId="0" fontId="15" fillId="0" borderId="0" xfId="0" applyFont="1" applyAlignment="1">
      <alignment horizontal="center" vertical="center" wrapText="1"/>
    </xf>
    <xf numFmtId="0" fontId="0" fillId="0" borderId="0" xfId="0" applyFont="1" applyAlignment="1"/>
    <xf numFmtId="0" fontId="12" fillId="0" borderId="0" xfId="0" applyFont="1"/>
    <xf numFmtId="0" fontId="0" fillId="0" borderId="0" xfId="0" applyFont="1" applyAlignment="1"/>
    <xf numFmtId="2" fontId="0" fillId="0" borderId="0" xfId="0" applyNumberFormat="1" applyFont="1" applyAlignment="1"/>
    <xf numFmtId="1" fontId="0" fillId="0" borderId="0" xfId="0" applyNumberFormat="1" applyFont="1" applyAlignment="1"/>
    <xf numFmtId="0" fontId="0" fillId="0" borderId="0" xfId="0" quotePrefix="1" applyFont="1" applyAlignment="1"/>
    <xf numFmtId="1" fontId="0" fillId="0" borderId="0" xfId="0" quotePrefix="1" applyNumberFormat="1" applyFont="1" applyAlignment="1"/>
    <xf numFmtId="0" fontId="13" fillId="0" borderId="3" xfId="0" applyFont="1" applyFill="1" applyBorder="1"/>
    <xf numFmtId="0" fontId="13" fillId="0" borderId="4" xfId="0" applyFont="1" applyFill="1" applyBorder="1"/>
    <xf numFmtId="0" fontId="13" fillId="0" borderId="4" xfId="0" applyFont="1" applyFill="1" applyBorder="1" applyAlignment="1"/>
    <xf numFmtId="0" fontId="14" fillId="0" borderId="4" xfId="0" applyFont="1" applyFill="1" applyBorder="1" applyAlignment="1"/>
    <xf numFmtId="0" fontId="10" fillId="0" borderId="5" xfId="0" applyFont="1" applyFill="1" applyBorder="1"/>
    <xf numFmtId="0" fontId="17" fillId="0" borderId="1" xfId="1" applyNumberFormat="1"/>
    <xf numFmtId="0" fontId="17" fillId="0" borderId="1" xfId="1" applyNumberFormat="1" applyFill="1"/>
    <xf numFmtId="0" fontId="0" fillId="3" borderId="0" xfId="0" applyFont="1" applyFill="1" applyAlignment="1"/>
    <xf numFmtId="0" fontId="0" fillId="0" borderId="0" xfId="0"/>
    <xf numFmtId="0" fontId="19" fillId="0" borderId="0" xfId="0" applyFont="1"/>
    <xf numFmtId="9" fontId="0" fillId="0" borderId="0" xfId="2" applyFont="1" applyAlignment="1"/>
    <xf numFmtId="0" fontId="13" fillId="0" borderId="0" xfId="0" applyFont="1" applyFill="1"/>
    <xf numFmtId="0" fontId="13" fillId="0" borderId="0" xfId="0" applyFont="1" applyFill="1" applyAlignment="1"/>
    <xf numFmtId="0" fontId="14" fillId="0" borderId="0" xfId="0" applyFont="1" applyFill="1" applyAlignment="1"/>
    <xf numFmtId="1" fontId="0" fillId="0" borderId="0" xfId="0" quotePrefix="1" applyNumberFormat="1" applyFont="1" applyFill="1" applyAlignment="1"/>
    <xf numFmtId="2" fontId="9" fillId="0" borderId="0" xfId="0" applyNumberFormat="1" applyFont="1" applyFill="1"/>
    <xf numFmtId="1" fontId="7" fillId="0" borderId="0" xfId="0" applyNumberFormat="1" applyFont="1" applyFill="1" applyAlignment="1"/>
    <xf numFmtId="0" fontId="7" fillId="0" borderId="0" xfId="0" applyFont="1" applyFill="1"/>
    <xf numFmtId="0" fontId="0" fillId="0" borderId="0" xfId="0" applyFont="1" applyFill="1" applyAlignment="1"/>
    <xf numFmtId="165" fontId="0" fillId="0" borderId="0" xfId="0" applyNumberFormat="1" applyFont="1" applyAlignment="1"/>
    <xf numFmtId="0" fontId="14" fillId="0" borderId="5" xfId="0" applyFont="1" applyFill="1" applyBorder="1" applyAlignment="1"/>
    <xf numFmtId="9" fontId="0" fillId="0" borderId="0" xfId="0" applyNumberFormat="1" applyFont="1" applyAlignment="1"/>
    <xf numFmtId="0" fontId="17" fillId="0" borderId="1" xfId="1" applyNumberFormat="1"/>
    <xf numFmtId="1" fontId="0" fillId="4" borderId="2" xfId="0" quotePrefix="1" applyNumberFormat="1" applyFont="1" applyFill="1" applyBorder="1" applyAlignment="1"/>
    <xf numFmtId="2" fontId="9" fillId="4" borderId="2" xfId="0" applyNumberFormat="1" applyFont="1" applyFill="1" applyBorder="1"/>
    <xf numFmtId="1" fontId="7" fillId="4" borderId="2" xfId="0" applyNumberFormat="1" applyFont="1" applyFill="1" applyBorder="1" applyAlignment="1"/>
    <xf numFmtId="0" fontId="7" fillId="4" borderId="2" xfId="0" applyFont="1" applyFill="1" applyBorder="1"/>
    <xf numFmtId="1" fontId="0" fillId="5" borderId="2" xfId="0" quotePrefix="1" applyNumberFormat="1" applyFont="1" applyFill="1" applyBorder="1" applyAlignment="1"/>
    <xf numFmtId="2" fontId="9" fillId="5" borderId="2" xfId="0" applyNumberFormat="1" applyFont="1" applyFill="1" applyBorder="1"/>
    <xf numFmtId="1" fontId="7" fillId="5" borderId="2" xfId="0" applyNumberFormat="1" applyFont="1" applyFill="1" applyBorder="1" applyAlignment="1"/>
    <xf numFmtId="0" fontId="7" fillId="5" borderId="2" xfId="0" applyFont="1" applyFill="1" applyBorder="1"/>
    <xf numFmtId="1" fontId="0" fillId="6" borderId="2" xfId="0" quotePrefix="1" applyNumberFormat="1" applyFont="1" applyFill="1" applyBorder="1" applyAlignment="1"/>
    <xf numFmtId="2" fontId="9" fillId="6" borderId="2" xfId="0" applyNumberFormat="1" applyFont="1" applyFill="1" applyBorder="1"/>
    <xf numFmtId="1" fontId="7" fillId="6" borderId="2" xfId="0" applyNumberFormat="1" applyFont="1" applyFill="1" applyBorder="1" applyAlignment="1"/>
    <xf numFmtId="0" fontId="7" fillId="6" borderId="2" xfId="0" applyFont="1" applyFill="1" applyBorder="1"/>
    <xf numFmtId="0" fontId="7" fillId="4" borderId="2" xfId="0" applyFont="1" applyFill="1" applyBorder="1" applyAlignment="1"/>
    <xf numFmtId="1" fontId="9" fillId="4" borderId="2" xfId="0" applyNumberFormat="1" applyFont="1" applyFill="1" applyBorder="1"/>
    <xf numFmtId="0" fontId="7" fillId="5" borderId="2" xfId="0" applyFont="1" applyFill="1" applyBorder="1" applyAlignment="1"/>
    <xf numFmtId="1" fontId="9" fillId="5" borderId="2" xfId="0" applyNumberFormat="1" applyFont="1" applyFill="1" applyBorder="1"/>
    <xf numFmtId="0" fontId="7" fillId="6" borderId="2" xfId="0" applyFont="1" applyFill="1" applyBorder="1" applyAlignment="1"/>
    <xf numFmtId="1" fontId="9" fillId="6" borderId="2" xfId="0" applyNumberFormat="1" applyFont="1" applyFill="1" applyBorder="1"/>
    <xf numFmtId="0" fontId="0" fillId="6" borderId="2" xfId="0" applyFont="1" applyFill="1" applyBorder="1" applyAlignment="1"/>
    <xf numFmtId="0" fontId="9" fillId="0" borderId="1" xfId="0" applyFont="1" applyFill="1" applyBorder="1"/>
    <xf numFmtId="0" fontId="0" fillId="0" borderId="0" xfId="0" applyNumberFormat="1" applyFont="1" applyFill="1" applyAlignment="1"/>
    <xf numFmtId="1" fontId="0" fillId="0" borderId="0" xfId="0" applyNumberFormat="1" applyFont="1" applyFill="1" applyAlignment="1"/>
    <xf numFmtId="0" fontId="0" fillId="0" borderId="0" xfId="0" applyNumberFormat="1" applyFont="1" applyAlignment="1">
      <alignment vertical="center"/>
    </xf>
    <xf numFmtId="0" fontId="0" fillId="7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7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3" fillId="0" borderId="0" xfId="0" applyNumberFormat="1" applyFont="1" applyAlignment="1">
      <alignment vertical="center"/>
    </xf>
    <xf numFmtId="0" fontId="13" fillId="7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/>
    </xf>
    <xf numFmtId="0" fontId="6" fillId="0" borderId="0" xfId="0" applyFont="1" applyAlignment="1"/>
    <xf numFmtId="0" fontId="17" fillId="0" borderId="1" xfId="1" applyNumberFormat="1"/>
    <xf numFmtId="2" fontId="7" fillId="0" borderId="0" xfId="0" applyNumberFormat="1" applyFont="1" applyFill="1"/>
    <xf numFmtId="2" fontId="0" fillId="0" borderId="0" xfId="0" applyNumberFormat="1" applyFont="1" applyFill="1" applyAlignment="1"/>
    <xf numFmtId="0" fontId="7" fillId="0" borderId="0" xfId="0" quotePrefix="1" applyFont="1"/>
    <xf numFmtId="0" fontId="19" fillId="0" borderId="1" xfId="0" applyFont="1" applyFill="1" applyBorder="1"/>
    <xf numFmtId="165" fontId="19" fillId="0" borderId="0" xfId="0" applyNumberFormat="1" applyFont="1"/>
    <xf numFmtId="10" fontId="0" fillId="0" borderId="0" xfId="0" applyNumberFormat="1" applyFont="1" applyAlignment="1"/>
    <xf numFmtId="0" fontId="0" fillId="0" borderId="0" xfId="0" applyNumberFormat="1" applyFont="1" applyAlignment="1"/>
    <xf numFmtId="10" fontId="0" fillId="4" borderId="2" xfId="2" applyNumberFormat="1" applyFont="1" applyFill="1" applyBorder="1" applyAlignment="1"/>
    <xf numFmtId="10" fontId="0" fillId="0" borderId="2" xfId="2" applyNumberFormat="1" applyFont="1" applyBorder="1" applyAlignment="1"/>
    <xf numFmtId="10" fontId="0" fillId="5" borderId="2" xfId="2" applyNumberFormat="1" applyFont="1" applyFill="1" applyBorder="1" applyAlignment="1"/>
    <xf numFmtId="10" fontId="0" fillId="6" borderId="2" xfId="2" applyNumberFormat="1" applyFont="1" applyFill="1" applyBorder="1" applyAlignment="1"/>
    <xf numFmtId="1" fontId="9" fillId="0" borderId="1" xfId="0" applyNumberFormat="1" applyFont="1" applyFill="1" applyBorder="1"/>
    <xf numFmtId="0" fontId="9" fillId="0" borderId="1" xfId="0" applyFont="1" applyFill="1" applyBorder="1" applyAlignment="1"/>
    <xf numFmtId="0" fontId="7" fillId="4" borderId="0" xfId="0" applyFont="1" applyFill="1" applyAlignment="1"/>
    <xf numFmtId="1" fontId="0" fillId="4" borderId="0" xfId="0" quotePrefix="1" applyNumberFormat="1" applyFont="1" applyFill="1" applyAlignment="1"/>
    <xf numFmtId="2" fontId="9" fillId="4" borderId="0" xfId="0" applyNumberFormat="1" applyFont="1" applyFill="1"/>
    <xf numFmtId="1" fontId="7" fillId="4" borderId="0" xfId="0" applyNumberFormat="1" applyFont="1" applyFill="1" applyAlignment="1"/>
    <xf numFmtId="2" fontId="7" fillId="4" borderId="0" xfId="0" applyNumberFormat="1" applyFont="1" applyFill="1"/>
    <xf numFmtId="0" fontId="7" fillId="4" borderId="0" xfId="0" applyFont="1" applyFill="1"/>
    <xf numFmtId="1" fontId="0" fillId="4" borderId="0" xfId="0" applyNumberFormat="1" applyFont="1" applyFill="1" applyAlignment="1"/>
    <xf numFmtId="2" fontId="0" fillId="4" borderId="0" xfId="0" applyNumberFormat="1" applyFont="1" applyFill="1" applyAlignment="1"/>
    <xf numFmtId="0" fontId="0" fillId="4" borderId="0" xfId="0" applyNumberFormat="1" applyFont="1" applyFill="1" applyAlignment="1"/>
    <xf numFmtId="9" fontId="0" fillId="4" borderId="0" xfId="2" applyFont="1" applyFill="1" applyAlignment="1"/>
    <xf numFmtId="0" fontId="0" fillId="4" borderId="0" xfId="0" applyFont="1" applyFill="1" applyAlignment="1"/>
    <xf numFmtId="2" fontId="9" fillId="4" borderId="0" xfId="0" applyNumberFormat="1" applyFont="1" applyFill="1" applyAlignment="1"/>
    <xf numFmtId="0" fontId="0" fillId="8" borderId="0" xfId="0" applyFont="1" applyFill="1" applyAlignment="1"/>
    <xf numFmtId="0" fontId="7" fillId="8" borderId="0" xfId="0" applyFont="1" applyFill="1"/>
    <xf numFmtId="0" fontId="9" fillId="9" borderId="1" xfId="0" applyFont="1" applyFill="1" applyBorder="1"/>
    <xf numFmtId="0" fontId="9" fillId="10" borderId="1" xfId="0" applyFont="1" applyFill="1" applyBorder="1"/>
    <xf numFmtId="0" fontId="19" fillId="9" borderId="1" xfId="0" applyFont="1" applyFill="1" applyBorder="1"/>
    <xf numFmtId="0" fontId="4" fillId="0" borderId="0" xfId="0" applyFont="1" applyAlignment="1"/>
    <xf numFmtId="16" fontId="5" fillId="0" borderId="0" xfId="0" applyNumberFormat="1" applyFont="1" applyAlignment="1"/>
    <xf numFmtId="0" fontId="0" fillId="4" borderId="2" xfId="0" applyFont="1" applyFill="1" applyBorder="1" applyAlignment="1"/>
    <xf numFmtId="0" fontId="0" fillId="5" borderId="2" xfId="0" applyFont="1" applyFill="1" applyBorder="1" applyAlignment="1"/>
    <xf numFmtId="0" fontId="3" fillId="4" borderId="2" xfId="0" applyFont="1" applyFill="1" applyBorder="1" applyAlignment="1"/>
    <xf numFmtId="0" fontId="3" fillId="5" borderId="2" xfId="0" applyFont="1" applyFill="1" applyBorder="1" applyAlignment="1"/>
    <xf numFmtId="0" fontId="3" fillId="6" borderId="2" xfId="0" applyFont="1" applyFill="1" applyBorder="1" applyAlignment="1"/>
    <xf numFmtId="9" fontId="0" fillId="4" borderId="2" xfId="2" applyFont="1" applyFill="1" applyBorder="1" applyAlignment="1"/>
    <xf numFmtId="9" fontId="0" fillId="5" borderId="2" xfId="2" applyFont="1" applyFill="1" applyBorder="1" applyAlignment="1"/>
    <xf numFmtId="9" fontId="0" fillId="6" borderId="2" xfId="0" applyNumberFormat="1" applyFont="1" applyFill="1" applyBorder="1" applyAlignment="1"/>
    <xf numFmtId="9" fontId="9" fillId="9" borderId="1" xfId="2" applyFont="1" applyFill="1" applyBorder="1"/>
    <xf numFmtId="0" fontId="18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1" fontId="9" fillId="0" borderId="0" xfId="2" applyNumberFormat="1" applyFont="1"/>
    <xf numFmtId="0" fontId="2" fillId="0" borderId="0" xfId="0" applyFont="1" applyAlignment="1"/>
    <xf numFmtId="0" fontId="19" fillId="0" borderId="1" xfId="0" applyFont="1" applyFill="1" applyBorder="1" applyAlignment="1"/>
    <xf numFmtId="0" fontId="18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17" fillId="0" borderId="1" xfId="1" applyNumberFormat="1"/>
    <xf numFmtId="0" fontId="1" fillId="0" borderId="0" xfId="0" applyFont="1" applyAlignment="1"/>
  </cellXfs>
  <cellStyles count="3">
    <cellStyle name="Normal" xfId="0" builtinId="0"/>
    <cellStyle name="Normal 2" xfId="1" xr:uid="{E4ED72E7-E964-4884-BAF1-D3A03BDB6523}"/>
    <cellStyle name="Percent" xfId="2" builtinId="5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4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>
                <a:solidFill>
                  <a:srgbClr val="757575"/>
                </a:solidFill>
                <a:latin typeface="+mn-lt"/>
              </a:rPr>
              <a:t>Average Wins by Placing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400" b="0" i="0" u="none" strike="noStrike" kern="1200" baseline="0">
              <a:solidFill>
                <a:srgbClr val="757575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B47-41CB-BDE6-0D6F14CDFE1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6DB-4242-82A4-405C1990D0B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6DB-4242-82A4-405C1990D0B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6350" cap="flat" cmpd="sng" algn="ctr">
                  <a:solidFill>
                    <a:schemeClr val="tx1"/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'Stats Global'!$J$5:$L$5</c:f>
              <c:strCache>
                <c:ptCount val="3"/>
                <c:pt idx="0">
                  <c:v>1st Wins</c:v>
                </c:pt>
                <c:pt idx="1">
                  <c:v>2nd Wins</c:v>
                </c:pt>
                <c:pt idx="2">
                  <c:v>3rd Wins</c:v>
                </c:pt>
              </c:strCache>
            </c:strRef>
          </c:cat>
          <c:val>
            <c:numRef>
              <c:f>'Stats Global'!$J$7:$L$7</c:f>
              <c:numCache>
                <c:formatCode>0.0%</c:formatCode>
                <c:ptCount val="3"/>
                <c:pt idx="0">
                  <c:v>0.54201680672268915</c:v>
                </c:pt>
                <c:pt idx="1">
                  <c:v>0.30252100840336138</c:v>
                </c:pt>
                <c:pt idx="2">
                  <c:v>0.15546218487394958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47-41CB-BDE6-0D6F14CDF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9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Points</a:t>
            </a:r>
            <a:r>
              <a:rPr lang="en-AU" baseline="0"/>
              <a:t> over time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'Stats Global'!$J$75</c:f>
              <c:strCache>
                <c:ptCount val="1"/>
                <c:pt idx="0">
                  <c:v>LG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numRef>
              <c:f>'Stats Global'!$H$76:$H$88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'Stats Global'!$J$76:$J$88</c:f>
              <c:numCache>
                <c:formatCode>General</c:formatCode>
                <c:ptCount val="13"/>
                <c:pt idx="0">
                  <c:v>2</c:v>
                </c:pt>
                <c:pt idx="1">
                  <c:v>4</c:v>
                </c:pt>
                <c:pt idx="2">
                  <c:v>7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14</c:v>
                </c:pt>
                <c:pt idx="7">
                  <c:v>16</c:v>
                </c:pt>
                <c:pt idx="8">
                  <c:v>17</c:v>
                </c:pt>
                <c:pt idx="9">
                  <c:v>20</c:v>
                </c:pt>
                <c:pt idx="10">
                  <c:v>22</c:v>
                </c:pt>
                <c:pt idx="11">
                  <c:v>25</c:v>
                </c:pt>
                <c:pt idx="12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31-4BEE-9F9C-118C510FDFF0}"/>
            </c:ext>
          </c:extLst>
        </c:ser>
        <c:ser>
          <c:idx val="1"/>
          <c:order val="1"/>
          <c:tx>
            <c:strRef>
              <c:f>'Stats Global'!$K$75</c:f>
              <c:strCache>
                <c:ptCount val="1"/>
                <c:pt idx="0">
                  <c:v>WW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numRef>
              <c:f>'Stats Global'!$H$76:$H$88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'Stats Global'!$K$76:$K$88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9</c:v>
                </c:pt>
                <c:pt idx="6">
                  <c:v>11</c:v>
                </c:pt>
                <c:pt idx="7">
                  <c:v>14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20</c:v>
                </c:pt>
                <c:pt idx="12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31-4BEE-9F9C-118C510FDFF0}"/>
            </c:ext>
          </c:extLst>
        </c:ser>
        <c:ser>
          <c:idx val="2"/>
          <c:order val="2"/>
          <c:tx>
            <c:strRef>
              <c:f>'Stats Global'!$L$75</c:f>
              <c:strCache>
                <c:ptCount val="1"/>
                <c:pt idx="0">
                  <c:v>5M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numRef>
              <c:f>'Stats Global'!$H$76:$H$88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'Stats Global'!$L$76:$L$88</c:f>
              <c:numCache>
                <c:formatCode>General</c:formatCode>
                <c:ptCount val="13"/>
                <c:pt idx="0">
                  <c:v>3</c:v>
                </c:pt>
                <c:pt idx="1">
                  <c:v>6</c:v>
                </c:pt>
                <c:pt idx="2">
                  <c:v>8</c:v>
                </c:pt>
                <c:pt idx="3">
                  <c:v>11</c:v>
                </c:pt>
                <c:pt idx="4">
                  <c:v>14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21</c:v>
                </c:pt>
                <c:pt idx="9">
                  <c:v>23</c:v>
                </c:pt>
                <c:pt idx="10">
                  <c:v>26</c:v>
                </c:pt>
                <c:pt idx="11">
                  <c:v>27</c:v>
                </c:pt>
                <c:pt idx="12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31-4BEE-9F9C-118C510FD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1444239"/>
        <c:axId val="971464623"/>
      </c:lineChart>
      <c:catAx>
        <c:axId val="9714442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464623"/>
        <c:crosses val="autoZero"/>
        <c:auto val="1"/>
        <c:lblAlgn val="ctr"/>
        <c:lblOffset val="100"/>
        <c:noMultiLvlLbl val="0"/>
      </c:catAx>
      <c:valAx>
        <c:axId val="97146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444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2.6339842389212966E-2"/>
          <c:y val="0.90468697660333874"/>
          <c:w val="0.93396745168324458"/>
          <c:h val="7.03130151945587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'Stats Global'!$G$94</c:f>
              <c:strCache>
                <c:ptCount val="1"/>
                <c:pt idx="0">
                  <c:v>Jasper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Global'!$H$94:$T$94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33-4F31-B3DD-FB37CF910316}"/>
            </c:ext>
          </c:extLst>
        </c:ser>
        <c:ser>
          <c:idx val="1"/>
          <c:order val="1"/>
          <c:tx>
            <c:strRef>
              <c:f>'Stats Global'!$G$95</c:f>
              <c:strCache>
                <c:ptCount val="1"/>
                <c:pt idx="0">
                  <c:v>Conor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Global'!$H$95:$T$95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33-4F31-B3DD-FB37CF910316}"/>
            </c:ext>
          </c:extLst>
        </c:ser>
        <c:ser>
          <c:idx val="2"/>
          <c:order val="2"/>
          <c:tx>
            <c:strRef>
              <c:f>'Stats Global'!$G$96</c:f>
              <c:strCache>
                <c:ptCount val="1"/>
                <c:pt idx="0">
                  <c:v>Alex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Global'!$H$96:$T$96</c:f>
              <c:numCache>
                <c:formatCode>0</c:formatCode>
                <c:ptCount val="13"/>
                <c:pt idx="0">
                  <c:v>3</c:v>
                </c:pt>
                <c:pt idx="1">
                  <c:v>0</c:v>
                </c:pt>
                <c:pt idx="2">
                  <c:v>2</c:v>
                </c:pt>
                <c:pt idx="3">
                  <c:v>6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</c:v>
                </c:pt>
                <c:pt idx="9">
                  <c:v>1</c:v>
                </c:pt>
                <c:pt idx="10">
                  <c:v>4</c:v>
                </c:pt>
                <c:pt idx="11">
                  <c:v>1</c:v>
                </c:pt>
                <c:pt idx="1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33-4F31-B3DD-FB37CF910316}"/>
            </c:ext>
          </c:extLst>
        </c:ser>
        <c:ser>
          <c:idx val="3"/>
          <c:order val="3"/>
          <c:tx>
            <c:strRef>
              <c:f>'Stats Global'!$G$97</c:f>
              <c:strCache>
                <c:ptCount val="1"/>
                <c:pt idx="0">
                  <c:v>Rudy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Global'!$H$97:$T$97</c:f>
              <c:numCache>
                <c:formatCode>0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12</c:v>
                </c:pt>
                <c:pt idx="6">
                  <c:v>6</c:v>
                </c:pt>
                <c:pt idx="7">
                  <c:v>4</c:v>
                </c:pt>
                <c:pt idx="8">
                  <c:v>5</c:v>
                </c:pt>
                <c:pt idx="9">
                  <c:v>1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433-4F31-B3DD-FB37CF910316}"/>
            </c:ext>
          </c:extLst>
        </c:ser>
        <c:ser>
          <c:idx val="4"/>
          <c:order val="4"/>
          <c:tx>
            <c:strRef>
              <c:f>'Stats Global'!$G$98</c:f>
              <c:strCache>
                <c:ptCount val="1"/>
                <c:pt idx="0">
                  <c:v>Michael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Global'!$H$98:$T$98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5</c:v>
                </c:pt>
                <c:pt idx="8">
                  <c:v>4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433-4F31-B3DD-FB37CF910316}"/>
            </c:ext>
          </c:extLst>
        </c:ser>
        <c:ser>
          <c:idx val="5"/>
          <c:order val="5"/>
          <c:tx>
            <c:strRef>
              <c:f>'Stats Global'!$G$99</c:f>
              <c:strCache>
                <c:ptCount val="1"/>
                <c:pt idx="0">
                  <c:v>Lukas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Global'!$H$99:$T$99</c:f>
              <c:numCache>
                <c:formatCode>0</c:formatCode>
                <c:ptCount val="13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433-4F31-B3DD-FB37CF910316}"/>
            </c:ext>
          </c:extLst>
        </c:ser>
        <c:ser>
          <c:idx val="6"/>
          <c:order val="6"/>
          <c:tx>
            <c:strRef>
              <c:f>'Stats Global'!$G$100</c:f>
              <c:strCache>
                <c:ptCount val="1"/>
                <c:pt idx="0">
                  <c:v>Clarrie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Global'!$H$100:$T$100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433-4F31-B3DD-FB37CF910316}"/>
            </c:ext>
          </c:extLst>
        </c:ser>
        <c:ser>
          <c:idx val="7"/>
          <c:order val="7"/>
          <c:tx>
            <c:strRef>
              <c:f>'Stats Global'!$G$101</c:f>
              <c:strCache>
                <c:ptCount val="1"/>
                <c:pt idx="0">
                  <c:v>Kimmy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Global'!$H$101:$T$101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  <c:pt idx="6">
                  <c:v>7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433-4F31-B3DD-FB37CF910316}"/>
            </c:ext>
          </c:extLst>
        </c:ser>
        <c:ser>
          <c:idx val="8"/>
          <c:order val="8"/>
          <c:tx>
            <c:strRef>
              <c:f>'Stats Global'!$G$102</c:f>
              <c:strCache>
                <c:ptCount val="1"/>
                <c:pt idx="0">
                  <c:v>SamM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Global'!$H$102:$T$102</c:f>
              <c:numCache>
                <c:formatCode>0</c:formatCode>
                <c:ptCount val="13"/>
                <c:pt idx="0">
                  <c:v>2</c:v>
                </c:pt>
                <c:pt idx="1">
                  <c:v>0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2</c:v>
                </c:pt>
                <c:pt idx="7">
                  <c:v>1</c:v>
                </c:pt>
                <c:pt idx="8">
                  <c:v>5</c:v>
                </c:pt>
                <c:pt idx="9">
                  <c:v>1</c:v>
                </c:pt>
                <c:pt idx="10">
                  <c:v>5</c:v>
                </c:pt>
                <c:pt idx="11">
                  <c:v>0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433-4F31-B3DD-FB37CF910316}"/>
            </c:ext>
          </c:extLst>
        </c:ser>
        <c:ser>
          <c:idx val="9"/>
          <c:order val="9"/>
          <c:tx>
            <c:strRef>
              <c:f>'Stats Global'!$G$103</c:f>
              <c:strCache>
                <c:ptCount val="1"/>
                <c:pt idx="0">
                  <c:v>Ryan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Global'!$H$103:$T$103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433-4F31-B3DD-FB37CF910316}"/>
            </c:ext>
          </c:extLst>
        </c:ser>
        <c:ser>
          <c:idx val="10"/>
          <c:order val="10"/>
          <c:tx>
            <c:strRef>
              <c:f>'Stats Global'!$G$104</c:f>
              <c:strCache>
                <c:ptCount val="1"/>
                <c:pt idx="0">
                  <c:v>Nicholas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Global'!$H$104:$T$104</c:f>
              <c:numCache>
                <c:formatCode>0</c:formatCode>
                <c:ptCount val="13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433-4F31-B3DD-FB37CF910316}"/>
            </c:ext>
          </c:extLst>
        </c:ser>
        <c:ser>
          <c:idx val="11"/>
          <c:order val="11"/>
          <c:tx>
            <c:strRef>
              <c:f>'Stats Global'!$G$105</c:f>
              <c:strCache>
                <c:ptCount val="1"/>
                <c:pt idx="0">
                  <c:v>Christopher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Global'!$H$105:$T$105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433-4F31-B3DD-FB37CF910316}"/>
            </c:ext>
          </c:extLst>
        </c:ser>
        <c:ser>
          <c:idx val="12"/>
          <c:order val="12"/>
          <c:tx>
            <c:strRef>
              <c:f>'Stats Global'!$G$106</c:f>
              <c:strCache>
                <c:ptCount val="1"/>
                <c:pt idx="0">
                  <c:v>Angus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Global'!$H$106:$T$106</c:f>
              <c:numCache>
                <c:formatCode>0</c:formatCode>
                <c:ptCount val="13"/>
                <c:pt idx="0">
                  <c:v>3</c:v>
                </c:pt>
                <c:pt idx="1">
                  <c:v>1</c:v>
                </c:pt>
                <c:pt idx="2">
                  <c:v>6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  <c:pt idx="1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433-4F31-B3DD-FB37CF910316}"/>
            </c:ext>
          </c:extLst>
        </c:ser>
        <c:ser>
          <c:idx val="13"/>
          <c:order val="13"/>
          <c:tx>
            <c:strRef>
              <c:f>'Stats Global'!$G$107</c:f>
              <c:strCache>
                <c:ptCount val="1"/>
                <c:pt idx="0">
                  <c:v>Willie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Global'!$H$107:$T$107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433-4F31-B3DD-FB37CF910316}"/>
            </c:ext>
          </c:extLst>
        </c:ser>
        <c:ser>
          <c:idx val="14"/>
          <c:order val="14"/>
          <c:tx>
            <c:strRef>
              <c:f>'Stats Global'!$G$108</c:f>
              <c:strCache>
                <c:ptCount val="1"/>
                <c:pt idx="0">
                  <c:v>Mitch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Global'!$H$108:$T$108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433-4F31-B3DD-FB37CF910316}"/>
            </c:ext>
          </c:extLst>
        </c:ser>
        <c:ser>
          <c:idx val="15"/>
          <c:order val="15"/>
          <c:tx>
            <c:strRef>
              <c:f>'Stats Global'!$G$109</c:f>
              <c:strCache>
                <c:ptCount val="1"/>
                <c:pt idx="0">
                  <c:v>SamJ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Global'!$H$109:$T$109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3433-4F31-B3DD-FB37CF9103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8341056"/>
        <c:axId val="1848340640"/>
      </c:lineChart>
      <c:catAx>
        <c:axId val="1848341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340640"/>
        <c:crosses val="autoZero"/>
        <c:auto val="1"/>
        <c:lblAlgn val="ctr"/>
        <c:lblOffset val="100"/>
        <c:noMultiLvlLbl val="0"/>
      </c:catAx>
      <c:valAx>
        <c:axId val="184834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341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 %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223350419408369E-2"/>
          <c:y val="0.17311303800715469"/>
          <c:w val="0.86621079958758707"/>
          <c:h val="0.57859055484462774"/>
        </c:manualLayout>
      </c:layout>
      <c:lineChart>
        <c:grouping val="standard"/>
        <c:varyColors val="0"/>
        <c:ser>
          <c:idx val="0"/>
          <c:order val="0"/>
          <c:tx>
            <c:v>Wet Willies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'Statistics LG'!$U$4:$U$16</c:f>
              <c:numCache>
                <c:formatCode>0%</c:formatCode>
                <c:ptCount val="13"/>
                <c:pt idx="0">
                  <c:v>0.66666666666666663</c:v>
                </c:pt>
                <c:pt idx="1">
                  <c:v>0.33333333333333331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</c:v>
                </c:pt>
                <c:pt idx="5">
                  <c:v>8.3333333333333329E-2</c:v>
                </c:pt>
                <c:pt idx="6">
                  <c:v>0.5</c:v>
                </c:pt>
                <c:pt idx="7">
                  <c:v>0.22222222222222221</c:v>
                </c:pt>
                <c:pt idx="8">
                  <c:v>0.33333333333333331</c:v>
                </c:pt>
                <c:pt idx="9">
                  <c:v>0.75</c:v>
                </c:pt>
                <c:pt idx="10">
                  <c:v>0.5</c:v>
                </c:pt>
                <c:pt idx="11">
                  <c:v>0.7142857142857143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1F-4243-A81C-AA0E5280C3AE}"/>
            </c:ext>
          </c:extLst>
        </c:ser>
        <c:ser>
          <c:idx val="1"/>
          <c:order val="1"/>
          <c:tx>
            <c:v>Musketeers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'Statistics LG'!$Z$4:$Z$16</c:f>
              <c:numCache>
                <c:formatCode>0%</c:formatCode>
                <c:ptCount val="13"/>
                <c:pt idx="0">
                  <c:v>0.2</c:v>
                </c:pt>
                <c:pt idx="1">
                  <c:v>0.66666666666666663</c:v>
                </c:pt>
                <c:pt idx="2">
                  <c:v>0.5</c:v>
                </c:pt>
                <c:pt idx="3">
                  <c:v>0.33333333333333331</c:v>
                </c:pt>
                <c:pt idx="4">
                  <c:v>0.2</c:v>
                </c:pt>
                <c:pt idx="5">
                  <c:v>0.66666666666666663</c:v>
                </c:pt>
                <c:pt idx="6">
                  <c:v>0.875</c:v>
                </c:pt>
                <c:pt idx="7">
                  <c:v>1</c:v>
                </c:pt>
                <c:pt idx="8">
                  <c:v>0.33333333333333331</c:v>
                </c:pt>
                <c:pt idx="9">
                  <c:v>0.5</c:v>
                </c:pt>
                <c:pt idx="10">
                  <c:v>0.14285714285714285</c:v>
                </c:pt>
                <c:pt idx="11">
                  <c:v>1</c:v>
                </c:pt>
                <c:pt idx="12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1F-4243-A81C-AA0E5280C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1639904"/>
        <c:axId val="1541640320"/>
      </c:lineChart>
      <c:catAx>
        <c:axId val="1541639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640320"/>
        <c:crosses val="autoZero"/>
        <c:auto val="1"/>
        <c:lblAlgn val="ctr"/>
        <c:lblOffset val="100"/>
        <c:noMultiLvlLbl val="0"/>
      </c:catAx>
      <c:valAx>
        <c:axId val="154164032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63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9329596890219028"/>
          <c:y val="0.83684391186520912"/>
          <c:w val="0.42863839578461255"/>
          <c:h val="0.157525099099085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Win</a:t>
            </a:r>
            <a:r>
              <a:rPr lang="en-AU" baseline="0"/>
              <a:t> % against Musketeers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'Statistics WW'!$T$4:$T$16</c:f>
              <c:numCache>
                <c:formatCode>0%</c:formatCode>
                <c:ptCount val="13"/>
                <c:pt idx="0">
                  <c:v>0.4</c:v>
                </c:pt>
                <c:pt idx="1">
                  <c:v>0.25</c:v>
                </c:pt>
                <c:pt idx="2">
                  <c:v>0.42857142857142855</c:v>
                </c:pt>
                <c:pt idx="3">
                  <c:v>0.25</c:v>
                </c:pt>
                <c:pt idx="4">
                  <c:v>0.5714285714285714</c:v>
                </c:pt>
                <c:pt idx="5">
                  <c:v>0.61538461538461542</c:v>
                </c:pt>
                <c:pt idx="6">
                  <c:v>0.66666666666666663</c:v>
                </c:pt>
                <c:pt idx="7">
                  <c:v>0.8571428571428571</c:v>
                </c:pt>
                <c:pt idx="8">
                  <c:v>0.3</c:v>
                </c:pt>
                <c:pt idx="9">
                  <c:v>0.33333333333333331</c:v>
                </c:pt>
                <c:pt idx="10">
                  <c:v>0</c:v>
                </c:pt>
                <c:pt idx="11">
                  <c:v>0.66666666666666663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27-490C-9DF5-1B6C656BB9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0017439"/>
        <c:axId val="1158175359"/>
      </c:lineChart>
      <c:catAx>
        <c:axId val="10800174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175359"/>
        <c:crosses val="autoZero"/>
        <c:auto val="1"/>
        <c:lblAlgn val="ctr"/>
        <c:lblOffset val="100"/>
        <c:noMultiLvlLbl val="0"/>
      </c:catAx>
      <c:valAx>
        <c:axId val="1158175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017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567418</xdr:colOff>
      <xdr:row>8</xdr:row>
      <xdr:rowOff>47625</xdr:rowOff>
    </xdr:from>
    <xdr:ext cx="3867150" cy="3190875"/>
    <xdr:graphicFrame macro="">
      <xdr:nvGraphicFramePr>
        <xdr:cNvPr id="626447301" name="Chart 1">
          <a:extLst>
            <a:ext uri="{FF2B5EF4-FFF2-40B4-BE49-F238E27FC236}">
              <a16:creationId xmlns:a16="http://schemas.microsoft.com/office/drawing/2014/main" id="{00000000-0008-0000-0200-0000C5D356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5</xdr:col>
      <xdr:colOff>430696</xdr:colOff>
      <xdr:row>56</xdr:row>
      <xdr:rowOff>49696</xdr:rowOff>
    </xdr:from>
    <xdr:to>
      <xdr:col>14</xdr:col>
      <xdr:colOff>509380</xdr:colOff>
      <xdr:row>72</xdr:row>
      <xdr:rowOff>182217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4AE712-61A4-8DB9-D878-7C31A702BA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536863</xdr:colOff>
      <xdr:row>112</xdr:row>
      <xdr:rowOff>31170</xdr:rowOff>
    </xdr:from>
    <xdr:to>
      <xdr:col>31</xdr:col>
      <xdr:colOff>476248</xdr:colOff>
      <xdr:row>150</xdr:row>
      <xdr:rowOff>138545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367569-17A8-7E0A-EA50-CE8FF5C573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527276</xdr:colOff>
      <xdr:row>38</xdr:row>
      <xdr:rowOff>53747</xdr:rowOff>
    </xdr:from>
    <xdr:to>
      <xdr:col>24</xdr:col>
      <xdr:colOff>91847</xdr:colOff>
      <xdr:row>53</xdr:row>
      <xdr:rowOff>41500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62D6A2-FA38-EED7-7AC8-FD3E433D5A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25213</xdr:colOff>
      <xdr:row>39</xdr:row>
      <xdr:rowOff>6722</xdr:rowOff>
    </xdr:from>
    <xdr:to>
      <xdr:col>17</xdr:col>
      <xdr:colOff>243727</xdr:colOff>
      <xdr:row>54</xdr:row>
      <xdr:rowOff>60511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B093EB-5E1A-36FE-A6E9-45A08A3561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8ECA3B-99B4-4CAB-8F81-5D711AA5A7FC}" name="Table1" displayName="Table1" ref="P7:AC23" totalsRowShown="0" headerRowDxfId="33" headerRowBorderDxfId="32" tableBorderDxfId="31" totalsRowBorderDxfId="30">
  <autoFilter ref="P7:AC23" xr:uid="{598ECA3B-99B4-4CAB-8F81-5D711AA5A7FC}"/>
  <tableColumns count="14">
    <tableColumn id="1" xr3:uid="{9B036617-5450-4894-9268-827D2E0914FF}" name="Scoring" dataDxfId="29"/>
    <tableColumn id="2" xr3:uid="{6662CE93-E9C4-47DE-9476-E46126825B0A}" name="Points" dataDxfId="28">
      <calculatedColumnFormula>Q29+Q48+Q67+AB29+AB48+AB67</calculatedColumnFormula>
    </tableColumn>
    <tableColumn id="3" xr3:uid="{8FDDFCB0-2692-4EB0-948C-7B877263B55B}" name="Average" dataDxfId="27">
      <calculatedColumnFormula>Table1[[#This Row],[Points]]/($Q$5-Table1[[#This Row],[Missed Games]])</calculatedColumnFormula>
    </tableColumn>
    <tableColumn id="4" xr3:uid="{CC3F9B31-1857-48FB-A18B-CBC82C117BF4}" name="Finishes" dataDxfId="26">
      <calculatedColumnFormula>S29+S48+S67+AD29+AD48+AD67</calculatedColumnFormula>
    </tableColumn>
    <tableColumn id="5" xr3:uid="{5F324C66-956D-4EDC-870F-8EDE96C328C8}" name="Averages" dataDxfId="25">
      <calculatedColumnFormula>Table1[[#This Row],[Finishes]]/($Q$5-Table1[[#This Row],[Missed Games]])</calculatedColumnFormula>
    </tableColumn>
    <tableColumn id="6" xr3:uid="{80C6E15E-675D-4F58-AA26-27226F1CE373}" name="Midranges" dataDxfId="24">
      <calculatedColumnFormula>U29+U48+U67+AF29+AF48+AF67</calculatedColumnFormula>
    </tableColumn>
    <tableColumn id="7" xr3:uid="{8E7E6B37-23A0-4556-8839-B9D7834E3E68}" name="Averages2" dataDxfId="23">
      <calculatedColumnFormula>Table1[[#This Row],[Midranges]]/($Q$5-Table1[[#This Row],[Missed Games]])</calculatedColumnFormula>
    </tableColumn>
    <tableColumn id="8" xr3:uid="{8B28715D-E310-4E1F-B9F0-F58F7C70E830}" name="Threes" dataDxfId="22">
      <calculatedColumnFormula>W29+W48+W67+AH29+AH48+AH67</calculatedColumnFormula>
    </tableColumn>
    <tableColumn id="9" xr3:uid="{E0C0BF1C-40E8-4137-8E0F-BB238D651DAE}" name="Averages3" dataDxfId="21">
      <calculatedColumnFormula>Table1[[#This Row],[Threes]]/($Q$5-Table1[[#This Row],[Missed Games]])</calculatedColumnFormula>
    </tableColumn>
    <tableColumn id="10" xr3:uid="{1C75F230-74E0-47EE-BF13-C22289FE0F87}" name="Team" dataDxfId="20"/>
    <tableColumn id="11" xr3:uid="{E167D7FA-56F9-4571-B292-FF3869585F59}" name="Missed Games" dataDxfId="19">
      <calculatedColumnFormula>Y29+Y48+Y67+AJ29+AJ48+AJ67</calculatedColumnFormula>
    </tableColumn>
    <tableColumn id="12" xr3:uid="{1E9F03B6-331B-4AEA-A1FF-6B0C39F44510}" name="Last Season" dataDxfId="18" dataCellStyle="Percent"/>
    <tableColumn id="13" xr3:uid="{070DA09E-0E42-4E75-A3F1-D53845D2080C}" name="This Season" dataDxfId="17" dataCellStyle="Percent">
      <calculatedColumnFormula>(Table1[[#This Row],[Averages]]+Table1[[#This Row],[Averages2]]+Table1[[#This Row],[Averages3]])/SUM(Table1[Averages],Table1[Averages2],Table1[Averages3])</calculatedColumnFormula>
    </tableColumn>
    <tableColumn id="14" xr3:uid="{12B5C492-7B8C-4354-BC2D-17D953D3BB2D}" name="Change" dataDxfId="16" dataCellStyle="Percent">
      <calculatedColumnFormula>AB8-AA8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7B90AE-8257-4DD1-B916-54A097BDCDB9}" name="Table2" displayName="Table2" ref="AC3:AL19" totalsRowShown="0" headerRowDxfId="11" dataDxfId="10">
  <autoFilter ref="AC3:AL19" xr:uid="{587B90AE-8257-4DD1-B916-54A097BDCDB9}"/>
  <tableColumns count="10">
    <tableColumn id="1" xr3:uid="{9C18B4B0-9A37-408A-98B5-B414F029A26A}" name="Scoring" dataDxfId="9"/>
    <tableColumn id="2" xr3:uid="{CC6666B6-FDFB-4B1A-846E-17C28664C92E}" name="Points" dataDxfId="8">
      <calculatedColumnFormula>Table2[[#This Row],[Finishes]]+Table2[[#This Row],[Midranges]]+Table2[[#This Row],[Threes]]+Table2[[#This Row],[Threes]]</calculatedColumnFormula>
    </tableColumn>
    <tableColumn id="3" xr3:uid="{B5D40421-D55D-4F90-92A6-7ACDF9A81BB9}" name="Avg P" dataDxfId="7">
      <calculatedColumnFormula>Table2[[#This Row],[Points]]/($AE$2-Table2[[#This Row],[DNP]])</calculatedColumnFormula>
    </tableColumn>
    <tableColumn id="4" xr3:uid="{FA85A798-E688-4A4F-A92F-2DD56D710025}" name="Finishes" dataDxfId="6">
      <calculatedColumnFormula>'2404'!AC3+'2604'!AC3+'0205'!AC3+'0305'!AC3+'0805'!AC3+'0905'!AC3+'1005'!AC3+'1505'!AC3+'1605'!AC3+'1705'!AC3+'2205'!AC3+'2305'!AC3+'2405'!AC3</calculatedColumnFormula>
    </tableColumn>
    <tableColumn id="5" xr3:uid="{14C722B6-CCC7-4AA5-A077-4781282133B0}" name="Avg F" dataDxfId="5">
      <calculatedColumnFormula>Table2[[#This Row],[Finishes]]/($AE$2-Table2[[#This Row],[DNP]])</calculatedColumnFormula>
    </tableColumn>
    <tableColumn id="6" xr3:uid="{1E54054E-9F21-4987-99FC-EF35338EC708}" name="Midranges" dataDxfId="4">
      <calculatedColumnFormula>'2404'!AD3+'2604'!AD3+'0205'!AD3+'0305'!AD3+'0805'!AD3+'0905'!AD3+'1005'!AD3+'1505'!AD3+'1605'!AD3+'1705'!AD3+'2205'!AD3+'2305'!AD3+'2405'!AD3</calculatedColumnFormula>
    </tableColumn>
    <tableColumn id="7" xr3:uid="{3BC984C2-EE5E-43C7-8014-7F0DA5F9EB7A}" name="Avg M" dataDxfId="3">
      <calculatedColumnFormula>Table2[[#This Row],[Midranges]]/($AE$2-Table2[[#This Row],[DNP]])</calculatedColumnFormula>
    </tableColumn>
    <tableColumn id="8" xr3:uid="{9FAC1FFA-039C-4124-88C5-1A3BE26F7F04}" name="Threes" dataDxfId="2">
      <calculatedColumnFormula>'2404'!AE3+'2604'!AE3+'0205'!AE3+'0305'!AE3+'0805'!AE3+'0905'!AE3+'1005'!AE3+'1505'!AE3+'1605'!AE3+'1705'!AE3+'2205'!AE3+'2305'!AE3+'2405'!AE3</calculatedColumnFormula>
    </tableColumn>
    <tableColumn id="9" xr3:uid="{44E19C86-A8F7-4165-82A8-E143251937CE}" name="Avg 3" dataDxfId="1">
      <calculatedColumnFormula>Table2[[#This Row],[Threes]]/($AE$2-Table2[[#This Row],[DNP]])</calculatedColumnFormula>
    </tableColumn>
    <tableColumn id="10" xr3:uid="{DA5CCBEE-C42A-4EE7-8A28-4BA362276422}" name="DNP" dataDxfId="0">
      <calculatedColumnFormula>'Stats Global'!Z8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1000"/>
  <sheetViews>
    <sheetView workbookViewId="0"/>
  </sheetViews>
  <sheetFormatPr defaultColWidth="14.3984375" defaultRowHeight="15" customHeight="1" x14ac:dyDescent="0.45"/>
  <cols>
    <col min="1" max="26" width="8.73046875" customWidth="1"/>
  </cols>
  <sheetData>
    <row r="1" spans="2:2" ht="14.25" customHeight="1" x14ac:dyDescent="0.45"/>
    <row r="2" spans="2:2" ht="14.25" customHeight="1" x14ac:dyDescent="0.45">
      <c r="B2" s="1" t="s">
        <v>0</v>
      </c>
    </row>
    <row r="3" spans="2:2" ht="14.25" customHeight="1" x14ac:dyDescent="0.45"/>
    <row r="4" spans="2:2" ht="14.25" customHeight="1" x14ac:dyDescent="0.45">
      <c r="B4" s="1" t="s">
        <v>1</v>
      </c>
    </row>
    <row r="5" spans="2:2" ht="14.25" customHeight="1" x14ac:dyDescent="0.45"/>
    <row r="6" spans="2:2" ht="14.25" customHeight="1" x14ac:dyDescent="0.55000000000000004">
      <c r="B6" s="2" t="s">
        <v>2</v>
      </c>
    </row>
    <row r="7" spans="2:2" ht="14.25" customHeight="1" x14ac:dyDescent="0.45">
      <c r="B7" s="1" t="s">
        <v>3</v>
      </c>
    </row>
    <row r="8" spans="2:2" ht="14.25" customHeight="1" x14ac:dyDescent="0.45">
      <c r="B8" s="1" t="s">
        <v>4</v>
      </c>
    </row>
    <row r="9" spans="2:2" ht="14.25" customHeight="1" x14ac:dyDescent="0.45"/>
    <row r="10" spans="2:2" ht="14.25" customHeight="1" x14ac:dyDescent="0.45"/>
    <row r="11" spans="2:2" ht="14.25" customHeight="1" x14ac:dyDescent="0.45"/>
    <row r="12" spans="2:2" ht="14.25" customHeight="1" x14ac:dyDescent="0.55000000000000004">
      <c r="B12" s="2" t="s">
        <v>5</v>
      </c>
    </row>
    <row r="13" spans="2:2" ht="14.25" customHeight="1" x14ac:dyDescent="0.45">
      <c r="B13" s="1" t="s">
        <v>6</v>
      </c>
    </row>
    <row r="14" spans="2:2" ht="14.25" customHeight="1" x14ac:dyDescent="0.45">
      <c r="B14" s="1" t="s">
        <v>7</v>
      </c>
    </row>
    <row r="15" spans="2:2" ht="14.25" customHeight="1" x14ac:dyDescent="0.45"/>
    <row r="16" spans="2:2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X1000"/>
  <sheetViews>
    <sheetView zoomScale="85" zoomScaleNormal="85" workbookViewId="0">
      <selection activeCell="L22" sqref="L22:L30"/>
    </sheetView>
  </sheetViews>
  <sheetFormatPr defaultColWidth="14.3984375" defaultRowHeight="15" customHeight="1" x14ac:dyDescent="0.45"/>
  <cols>
    <col min="1" max="1" width="12.53125" customWidth="1"/>
    <col min="2" max="2" width="21.3984375" customWidth="1"/>
    <col min="3" max="19" width="12.53125" customWidth="1"/>
    <col min="20" max="20" width="30.53125" customWidth="1"/>
    <col min="21" max="22" width="25.53125" customWidth="1"/>
    <col min="23" max="26" width="8.73046875" customWidth="1"/>
  </cols>
  <sheetData>
    <row r="1" spans="2:24" ht="14.25" customHeight="1" x14ac:dyDescent="0.45">
      <c r="D1" s="1" t="s">
        <v>8</v>
      </c>
      <c r="F1" s="1" t="s">
        <v>9</v>
      </c>
      <c r="H1" s="1" t="s">
        <v>10</v>
      </c>
      <c r="J1" s="1" t="s">
        <v>11</v>
      </c>
    </row>
    <row r="2" spans="2:24" ht="14.25" customHeight="1" x14ac:dyDescent="0.45"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</row>
    <row r="3" spans="2:24" ht="14.25" customHeight="1" x14ac:dyDescent="0.45">
      <c r="B3" s="3" t="s">
        <v>33</v>
      </c>
      <c r="C3" s="3" t="s">
        <v>34</v>
      </c>
      <c r="D3" s="14">
        <f>'Stats Global'!R8</f>
        <v>0.46666666666666667</v>
      </c>
      <c r="E3" s="1">
        <f>'Stats Global'!Q8</f>
        <v>7</v>
      </c>
      <c r="F3" s="14">
        <f>'Stats Global'!T8</f>
        <v>0.13333333333333333</v>
      </c>
      <c r="G3" s="24">
        <f>'Stats Global'!S8</f>
        <v>2</v>
      </c>
      <c r="H3" s="14">
        <f>'Stats Global'!V8</f>
        <v>0.33333333333333331</v>
      </c>
      <c r="I3" s="24">
        <f>'Stats Global'!U8</f>
        <v>5</v>
      </c>
      <c r="J3" s="14">
        <f>'Stats Global'!X8</f>
        <v>0</v>
      </c>
      <c r="K3" s="24">
        <f>'Stats Global'!W8</f>
        <v>0</v>
      </c>
      <c r="T3" s="1" t="s">
        <v>150</v>
      </c>
      <c r="U3" s="1" t="str">
        <f t="shared" ref="U3:U18" si="0">IF(C3="5 Musketeers", $X$3, IF(C3="Loose Gooses", $X$4, $X$5))</f>
        <v>../Images/5M_Final.png</v>
      </c>
      <c r="V3" s="1" t="str">
        <f t="shared" ref="V3:V18" si="1">X$7&amp;X9&amp;".png"</f>
        <v>../Images/Players/Jasper.png</v>
      </c>
      <c r="X3" s="3" t="s">
        <v>35</v>
      </c>
    </row>
    <row r="4" spans="2:24" ht="14.25" customHeight="1" x14ac:dyDescent="0.45">
      <c r="B4" s="3" t="s">
        <v>36</v>
      </c>
      <c r="C4" s="3" t="s">
        <v>39</v>
      </c>
      <c r="D4" s="14">
        <f>'Stats Global'!R9</f>
        <v>0.69230769230769229</v>
      </c>
      <c r="E4" s="24">
        <f>'Stats Global'!Q9</f>
        <v>9</v>
      </c>
      <c r="F4" s="14">
        <f>'Stats Global'!T9</f>
        <v>0.46153846153846156</v>
      </c>
      <c r="G4" s="24">
        <f>'Stats Global'!S9</f>
        <v>6</v>
      </c>
      <c r="H4" s="14">
        <f>'Stats Global'!V9</f>
        <v>0.23076923076923078</v>
      </c>
      <c r="I4" s="24">
        <f>'Stats Global'!U9</f>
        <v>3</v>
      </c>
      <c r="J4" s="14">
        <f>'Stats Global'!X9</f>
        <v>0</v>
      </c>
      <c r="K4" s="24">
        <f>'Stats Global'!W9</f>
        <v>0</v>
      </c>
      <c r="T4" s="24" t="s">
        <v>151</v>
      </c>
      <c r="U4" s="1" t="str">
        <f t="shared" si="0"/>
        <v>../Images/WW_Final.png</v>
      </c>
      <c r="V4" s="1" t="str">
        <f t="shared" si="1"/>
        <v>../Images/Players/Conor.png</v>
      </c>
      <c r="X4" s="3" t="s">
        <v>37</v>
      </c>
    </row>
    <row r="5" spans="2:24" ht="14.25" customHeight="1" x14ac:dyDescent="0.45">
      <c r="B5" s="3" t="s">
        <v>38</v>
      </c>
      <c r="C5" s="3" t="s">
        <v>34</v>
      </c>
      <c r="D5" s="14">
        <f>'Stats Global'!R10</f>
        <v>2.6666666666666665</v>
      </c>
      <c r="E5" s="24">
        <f>'Stats Global'!Q10</f>
        <v>32</v>
      </c>
      <c r="F5" s="14">
        <f>'Stats Global'!T10</f>
        <v>2.6666666666666665</v>
      </c>
      <c r="G5" s="24">
        <f>'Stats Global'!S10</f>
        <v>32</v>
      </c>
      <c r="H5" s="14">
        <f>'Stats Global'!V10</f>
        <v>0</v>
      </c>
      <c r="I5" s="24">
        <f>'Stats Global'!U10</f>
        <v>0</v>
      </c>
      <c r="J5" s="14">
        <f>'Stats Global'!X10</f>
        <v>0</v>
      </c>
      <c r="K5" s="24">
        <f>'Stats Global'!W10</f>
        <v>0</v>
      </c>
      <c r="L5" s="3" t="s">
        <v>40</v>
      </c>
      <c r="M5" s="3" t="s">
        <v>41</v>
      </c>
      <c r="N5" s="3" t="s">
        <v>42</v>
      </c>
      <c r="T5" s="1" t="s">
        <v>145</v>
      </c>
      <c r="U5" s="1" t="str">
        <f t="shared" si="0"/>
        <v>../Images/5M_Final.png</v>
      </c>
      <c r="V5" s="1" t="str">
        <f t="shared" si="1"/>
        <v>../Images/Players/Alex.png</v>
      </c>
      <c r="X5" s="3" t="s">
        <v>43</v>
      </c>
    </row>
    <row r="6" spans="2:24" ht="14.25" customHeight="1" x14ac:dyDescent="0.45">
      <c r="B6" s="3" t="s">
        <v>44</v>
      </c>
      <c r="C6" s="3" t="s">
        <v>39</v>
      </c>
      <c r="D6" s="14">
        <f>'Stats Global'!R11</f>
        <v>2.7857142857142856</v>
      </c>
      <c r="E6" s="24">
        <f>'Stats Global'!Q11</f>
        <v>39</v>
      </c>
      <c r="F6" s="14">
        <f>'Stats Global'!T11</f>
        <v>2.5714285714285716</v>
      </c>
      <c r="G6" s="24">
        <f>'Stats Global'!S11</f>
        <v>36</v>
      </c>
      <c r="H6" s="14">
        <f>'Stats Global'!V11</f>
        <v>0.21428571428571427</v>
      </c>
      <c r="I6" s="24">
        <f>'Stats Global'!U11</f>
        <v>3</v>
      </c>
      <c r="J6" s="14">
        <f>'Stats Global'!X11</f>
        <v>0</v>
      </c>
      <c r="K6" s="24">
        <f>'Stats Global'!W11</f>
        <v>0</v>
      </c>
      <c r="L6" t="s">
        <v>216</v>
      </c>
      <c r="M6" s="3" t="s">
        <v>40</v>
      </c>
      <c r="N6" s="3" t="s">
        <v>45</v>
      </c>
      <c r="O6" s="3" t="s">
        <v>41</v>
      </c>
      <c r="P6" s="3" t="s">
        <v>42</v>
      </c>
      <c r="T6" s="1" t="s">
        <v>146</v>
      </c>
      <c r="U6" s="1" t="str">
        <f t="shared" si="0"/>
        <v>../Images/WW_Final.png</v>
      </c>
      <c r="V6" s="1" t="str">
        <f t="shared" si="1"/>
        <v>../Images/Players/Rudy.png</v>
      </c>
    </row>
    <row r="7" spans="2:24" ht="14.25" customHeight="1" x14ac:dyDescent="0.45">
      <c r="B7" s="3" t="s">
        <v>46</v>
      </c>
      <c r="C7" s="3" t="s">
        <v>39</v>
      </c>
      <c r="D7" s="14">
        <f>'Stats Global'!R12</f>
        <v>1.9333333333333333</v>
      </c>
      <c r="E7" s="24">
        <f>'Stats Global'!Q12</f>
        <v>29</v>
      </c>
      <c r="F7" s="14">
        <f>'Stats Global'!T12</f>
        <v>0.6</v>
      </c>
      <c r="G7" s="24">
        <f>'Stats Global'!S12</f>
        <v>9</v>
      </c>
      <c r="H7" s="14">
        <f>'Stats Global'!V12</f>
        <v>0.8</v>
      </c>
      <c r="I7" s="24">
        <f>'Stats Global'!U12</f>
        <v>12</v>
      </c>
      <c r="J7" s="14">
        <f>'Stats Global'!X12</f>
        <v>0.26666666666666666</v>
      </c>
      <c r="K7" s="24">
        <f>'Stats Global'!W12</f>
        <v>4</v>
      </c>
      <c r="L7" t="s">
        <v>216</v>
      </c>
      <c r="M7" s="3" t="s">
        <v>47</v>
      </c>
      <c r="N7" s="3" t="s">
        <v>48</v>
      </c>
      <c r="O7" s="3" t="s">
        <v>49</v>
      </c>
      <c r="T7" s="24"/>
      <c r="U7" s="1" t="str">
        <f t="shared" si="0"/>
        <v>../Images/WW_Final.png</v>
      </c>
      <c r="V7" s="1" t="str">
        <f t="shared" si="1"/>
        <v>../Images/Players/Michael.png</v>
      </c>
      <c r="X7" s="3" t="s">
        <v>50</v>
      </c>
    </row>
    <row r="8" spans="2:24" ht="14.25" customHeight="1" x14ac:dyDescent="0.45">
      <c r="B8" s="3" t="s">
        <v>51</v>
      </c>
      <c r="C8" s="3" t="s">
        <v>39</v>
      </c>
      <c r="D8" s="14">
        <f>'Stats Global'!R13</f>
        <v>0.83333333333333337</v>
      </c>
      <c r="E8" s="24">
        <f>'Stats Global'!Q13</f>
        <v>10</v>
      </c>
      <c r="F8" s="14">
        <f>'Stats Global'!T13</f>
        <v>0.33333333333333331</v>
      </c>
      <c r="G8" s="24">
        <f>'Stats Global'!S13</f>
        <v>4</v>
      </c>
      <c r="H8" s="14">
        <f>'Stats Global'!V13</f>
        <v>0.5</v>
      </c>
      <c r="I8" s="24">
        <f>'Stats Global'!U13</f>
        <v>6</v>
      </c>
      <c r="J8" s="14">
        <f>'Stats Global'!X13</f>
        <v>0</v>
      </c>
      <c r="K8" s="24">
        <f>'Stats Global'!W13</f>
        <v>0</v>
      </c>
      <c r="L8" s="3" t="s">
        <v>52</v>
      </c>
      <c r="M8" s="3" t="s">
        <v>45</v>
      </c>
      <c r="N8" s="40"/>
      <c r="T8" s="24" t="s">
        <v>151</v>
      </c>
      <c r="U8" s="1" t="str">
        <f t="shared" si="0"/>
        <v>../Images/WW_Final.png</v>
      </c>
      <c r="V8" s="1" t="str">
        <f t="shared" si="1"/>
        <v>../Images/Players/Lukas.png</v>
      </c>
    </row>
    <row r="9" spans="2:24" ht="14.25" customHeight="1" x14ac:dyDescent="0.45">
      <c r="B9" s="3" t="s">
        <v>53</v>
      </c>
      <c r="C9" s="3" t="s">
        <v>57</v>
      </c>
      <c r="D9" s="14">
        <f>'Stats Global'!R14</f>
        <v>1.6666666666666667</v>
      </c>
      <c r="E9" s="24">
        <f>'Stats Global'!Q14</f>
        <v>25</v>
      </c>
      <c r="F9" s="14">
        <f>'Stats Global'!T14</f>
        <v>0.33333333333333331</v>
      </c>
      <c r="G9" s="24">
        <f>'Stats Global'!S14</f>
        <v>5</v>
      </c>
      <c r="H9" s="14">
        <f>'Stats Global'!V14</f>
        <v>0.13333333333333333</v>
      </c>
      <c r="I9" s="24">
        <f>'Stats Global'!U14</f>
        <v>2</v>
      </c>
      <c r="J9" s="14">
        <f>'Stats Global'!X14</f>
        <v>0.6</v>
      </c>
      <c r="K9" s="24">
        <f>'Stats Global'!W14</f>
        <v>9</v>
      </c>
      <c r="L9" s="40" t="s">
        <v>216</v>
      </c>
      <c r="M9" s="3" t="s">
        <v>42</v>
      </c>
      <c r="N9" s="3" t="s">
        <v>54</v>
      </c>
      <c r="T9" s="24" t="s">
        <v>152</v>
      </c>
      <c r="U9" s="1" t="str">
        <f t="shared" si="0"/>
        <v>../Images/LG_Final.png</v>
      </c>
      <c r="V9" s="1" t="str">
        <f t="shared" si="1"/>
        <v>../Images/Players/Clarrie.png</v>
      </c>
      <c r="X9" s="3" t="s">
        <v>55</v>
      </c>
    </row>
    <row r="10" spans="2:24" ht="14.25" customHeight="1" x14ac:dyDescent="0.45">
      <c r="B10" s="3" t="s">
        <v>56</v>
      </c>
      <c r="C10" s="3" t="s">
        <v>57</v>
      </c>
      <c r="D10" s="14">
        <f>'Stats Global'!R15</f>
        <v>1.5333333333333334</v>
      </c>
      <c r="E10" s="24">
        <f>'Stats Global'!Q15</f>
        <v>23</v>
      </c>
      <c r="F10" s="14">
        <f>'Stats Global'!T15</f>
        <v>0.4</v>
      </c>
      <c r="G10" s="24">
        <f>'Stats Global'!S15</f>
        <v>6</v>
      </c>
      <c r="H10" s="14">
        <f>'Stats Global'!V15</f>
        <v>1.1333333333333333</v>
      </c>
      <c r="I10" s="24">
        <f>'Stats Global'!U15</f>
        <v>17</v>
      </c>
      <c r="J10" s="14">
        <f>'Stats Global'!X15</f>
        <v>0</v>
      </c>
      <c r="K10" s="24">
        <f>'Stats Global'!W15</f>
        <v>0</v>
      </c>
      <c r="L10" s="3" t="s">
        <v>58</v>
      </c>
      <c r="M10" s="3" t="s">
        <v>45</v>
      </c>
      <c r="N10" s="3" t="s">
        <v>41</v>
      </c>
      <c r="T10" s="1" t="s">
        <v>147</v>
      </c>
      <c r="U10" s="1" t="str">
        <f t="shared" si="0"/>
        <v>../Images/LG_Final.png</v>
      </c>
      <c r="V10" s="1" t="str">
        <f t="shared" si="1"/>
        <v>../Images/Players/Kimmy.png</v>
      </c>
      <c r="X10" s="3" t="s">
        <v>59</v>
      </c>
    </row>
    <row r="11" spans="2:24" ht="14.25" customHeight="1" x14ac:dyDescent="0.45">
      <c r="B11" s="3" t="s">
        <v>60</v>
      </c>
      <c r="C11" s="3" t="s">
        <v>34</v>
      </c>
      <c r="D11" s="14">
        <f>'Stats Global'!R16</f>
        <v>2.3076923076923075</v>
      </c>
      <c r="E11" s="24">
        <f>'Stats Global'!Q16</f>
        <v>30</v>
      </c>
      <c r="F11" s="14">
        <f>'Stats Global'!T16</f>
        <v>0.53846153846153844</v>
      </c>
      <c r="G11" s="24">
        <f>'Stats Global'!S16</f>
        <v>7</v>
      </c>
      <c r="H11" s="14">
        <f>'Stats Global'!V16</f>
        <v>1.7692307692307692</v>
      </c>
      <c r="I11" s="24">
        <f>'Stats Global'!U16</f>
        <v>23</v>
      </c>
      <c r="J11" s="14">
        <f>'Stats Global'!X16</f>
        <v>0</v>
      </c>
      <c r="K11" s="24">
        <f>'Stats Global'!W16</f>
        <v>0</v>
      </c>
      <c r="L11" s="40" t="s">
        <v>216</v>
      </c>
      <c r="M11" s="3" t="s">
        <v>49</v>
      </c>
      <c r="N11" s="3" t="s">
        <v>45</v>
      </c>
      <c r="O11" s="3" t="s">
        <v>61</v>
      </c>
      <c r="T11" s="24"/>
      <c r="U11" s="1" t="str">
        <f t="shared" si="0"/>
        <v>../Images/5M_Final.png</v>
      </c>
      <c r="V11" s="1" t="str">
        <f t="shared" si="1"/>
        <v>../Images/Players/SamM.png</v>
      </c>
      <c r="X11" s="3" t="s">
        <v>62</v>
      </c>
    </row>
    <row r="12" spans="2:24" ht="14.25" customHeight="1" x14ac:dyDescent="0.45">
      <c r="B12" s="3" t="s">
        <v>63</v>
      </c>
      <c r="C12" s="3" t="s">
        <v>34</v>
      </c>
      <c r="D12" s="14">
        <f>'Stats Global'!R17</f>
        <v>0.8571428571428571</v>
      </c>
      <c r="E12" s="24">
        <f>'Stats Global'!Q17</f>
        <v>12</v>
      </c>
      <c r="F12" s="14">
        <f>'Stats Global'!T17</f>
        <v>0.14285714285714285</v>
      </c>
      <c r="G12" s="24">
        <f>'Stats Global'!S17</f>
        <v>2</v>
      </c>
      <c r="H12" s="14">
        <f>'Stats Global'!V17</f>
        <v>0.7142857142857143</v>
      </c>
      <c r="I12" s="24">
        <f>'Stats Global'!U17</f>
        <v>10</v>
      </c>
      <c r="J12" s="14">
        <f>'Stats Global'!X17</f>
        <v>0</v>
      </c>
      <c r="K12" s="24">
        <f>'Stats Global'!W17</f>
        <v>0</v>
      </c>
      <c r="L12" s="3" t="s">
        <v>64</v>
      </c>
      <c r="M12" s="3" t="s">
        <v>42</v>
      </c>
      <c r="N12" s="40"/>
      <c r="T12" s="24" t="s">
        <v>150</v>
      </c>
      <c r="U12" s="1" t="str">
        <f t="shared" si="0"/>
        <v>../Images/5M_Final.png</v>
      </c>
      <c r="V12" s="1" t="str">
        <f t="shared" si="1"/>
        <v>../Images/Players/Ryan.png</v>
      </c>
      <c r="X12" s="3" t="s">
        <v>65</v>
      </c>
    </row>
    <row r="13" spans="2:24" ht="14.25" customHeight="1" x14ac:dyDescent="0.45">
      <c r="B13" s="3" t="s">
        <v>66</v>
      </c>
      <c r="C13" s="3" t="s">
        <v>34</v>
      </c>
      <c r="D13" s="14">
        <f>'Stats Global'!R18</f>
        <v>1.2307692307692308</v>
      </c>
      <c r="E13" s="24">
        <f>'Stats Global'!Q18</f>
        <v>16</v>
      </c>
      <c r="F13" s="14">
        <f>'Stats Global'!T18</f>
        <v>0.61538461538461542</v>
      </c>
      <c r="G13" s="24">
        <f>'Stats Global'!S18</f>
        <v>8</v>
      </c>
      <c r="H13" s="14">
        <f>'Stats Global'!V18</f>
        <v>0.15384615384615385</v>
      </c>
      <c r="I13" s="24">
        <f>'Stats Global'!U18</f>
        <v>2</v>
      </c>
      <c r="J13" s="14">
        <f>'Stats Global'!X18</f>
        <v>0.23076923076923078</v>
      </c>
      <c r="K13" s="24">
        <f>'Stats Global'!W18</f>
        <v>3</v>
      </c>
      <c r="L13" s="3" t="s">
        <v>67</v>
      </c>
      <c r="M13" s="3" t="s">
        <v>42</v>
      </c>
      <c r="N13" s="40"/>
      <c r="T13" s="24" t="s">
        <v>150</v>
      </c>
      <c r="U13" s="1" t="str">
        <f t="shared" si="0"/>
        <v>../Images/5M_Final.png</v>
      </c>
      <c r="V13" s="1" t="str">
        <f t="shared" si="1"/>
        <v>../Images/Players/Nick.png</v>
      </c>
      <c r="X13" s="3" t="s">
        <v>68</v>
      </c>
    </row>
    <row r="14" spans="2:24" ht="14.25" customHeight="1" x14ac:dyDescent="0.45">
      <c r="B14" s="3" t="s">
        <v>69</v>
      </c>
      <c r="C14" s="3" t="s">
        <v>57</v>
      </c>
      <c r="D14" s="14">
        <f>'Stats Global'!R19</f>
        <v>0.93333333333333335</v>
      </c>
      <c r="E14" s="24">
        <f>'Stats Global'!Q19</f>
        <v>14</v>
      </c>
      <c r="F14" s="14">
        <f>'Stats Global'!T19</f>
        <v>0.46666666666666667</v>
      </c>
      <c r="G14" s="24">
        <f>'Stats Global'!S19</f>
        <v>7</v>
      </c>
      <c r="H14" s="14">
        <f>'Stats Global'!V19</f>
        <v>0.46666666666666667</v>
      </c>
      <c r="I14" s="24">
        <f>'Stats Global'!U19</f>
        <v>7</v>
      </c>
      <c r="J14" s="14">
        <f>'Stats Global'!X19</f>
        <v>0</v>
      </c>
      <c r="K14" s="24">
        <f>'Stats Global'!W19</f>
        <v>0</v>
      </c>
      <c r="L14" s="3" t="s">
        <v>70</v>
      </c>
      <c r="N14" s="40"/>
      <c r="T14" s="24" t="s">
        <v>152</v>
      </c>
      <c r="U14" s="1" t="str">
        <f t="shared" si="0"/>
        <v>../Images/LG_Final.png</v>
      </c>
      <c r="V14" s="1" t="str">
        <f t="shared" si="1"/>
        <v>../Images/Players/Chris.png</v>
      </c>
      <c r="X14" s="3" t="s">
        <v>71</v>
      </c>
    </row>
    <row r="15" spans="2:24" ht="14.25" customHeight="1" x14ac:dyDescent="0.45">
      <c r="B15" s="3" t="s">
        <v>72</v>
      </c>
      <c r="C15" s="3" t="s">
        <v>57</v>
      </c>
      <c r="D15" s="14">
        <f>'Stats Global'!R20</f>
        <v>2.4166666666666665</v>
      </c>
      <c r="E15" s="24">
        <f>'Stats Global'!Q20</f>
        <v>29</v>
      </c>
      <c r="F15" s="14">
        <f>'Stats Global'!T20</f>
        <v>1.5833333333333333</v>
      </c>
      <c r="G15" s="24">
        <f>'Stats Global'!S20</f>
        <v>19</v>
      </c>
      <c r="H15" s="14">
        <f>'Stats Global'!V20</f>
        <v>0.33333333333333331</v>
      </c>
      <c r="I15" s="24">
        <f>'Stats Global'!U20</f>
        <v>4</v>
      </c>
      <c r="J15" s="14">
        <f>'Stats Global'!X20</f>
        <v>0.25</v>
      </c>
      <c r="K15" s="24">
        <f>'Stats Global'!W20</f>
        <v>3</v>
      </c>
      <c r="L15" s="3" t="s">
        <v>73</v>
      </c>
      <c r="M15" s="3" t="s">
        <v>49</v>
      </c>
      <c r="N15" s="3" t="s">
        <v>45</v>
      </c>
      <c r="O15" s="3" t="s">
        <v>41</v>
      </c>
      <c r="P15" s="3" t="s">
        <v>74</v>
      </c>
      <c r="T15" s="24"/>
      <c r="U15" s="1" t="str">
        <f t="shared" si="0"/>
        <v>../Images/LG_Final.png</v>
      </c>
      <c r="V15" s="1" t="str">
        <f t="shared" si="1"/>
        <v>../Images/Players/Angus.png</v>
      </c>
      <c r="X15" s="3" t="s">
        <v>75</v>
      </c>
    </row>
    <row r="16" spans="2:24" ht="14.25" customHeight="1" x14ac:dyDescent="0.45">
      <c r="B16" s="3" t="s">
        <v>76</v>
      </c>
      <c r="C16" s="3" t="s">
        <v>39</v>
      </c>
      <c r="D16" s="14">
        <f>'Stats Global'!R21</f>
        <v>0.13333333333333333</v>
      </c>
      <c r="E16" s="24">
        <f>'Stats Global'!Q21</f>
        <v>2</v>
      </c>
      <c r="F16" s="14">
        <f>'Stats Global'!T21</f>
        <v>0.13333333333333333</v>
      </c>
      <c r="G16" s="24">
        <f>'Stats Global'!S21</f>
        <v>2</v>
      </c>
      <c r="H16" s="14">
        <f>'Stats Global'!V21</f>
        <v>0</v>
      </c>
      <c r="I16" s="24">
        <f>'Stats Global'!U21</f>
        <v>0</v>
      </c>
      <c r="J16" s="14">
        <f>'Stats Global'!X21</f>
        <v>0</v>
      </c>
      <c r="K16" s="24">
        <f>'Stats Global'!W21</f>
        <v>0</v>
      </c>
      <c r="L16" s="3" t="s">
        <v>77</v>
      </c>
      <c r="M16" s="3" t="s">
        <v>42</v>
      </c>
      <c r="T16" s="24" t="s">
        <v>151</v>
      </c>
      <c r="U16" s="1" t="str">
        <f t="shared" si="0"/>
        <v>../Images/WW_Final.png</v>
      </c>
      <c r="V16" s="1" t="str">
        <f t="shared" si="1"/>
        <v>../Images/Players/Willie.png</v>
      </c>
      <c r="X16" s="3" t="s">
        <v>78</v>
      </c>
    </row>
    <row r="17" spans="2:24" ht="14.25" customHeight="1" x14ac:dyDescent="0.45">
      <c r="B17" s="3" t="s">
        <v>79</v>
      </c>
      <c r="C17" s="3" t="s">
        <v>57</v>
      </c>
      <c r="D17" s="14">
        <f>'Stats Global'!R22</f>
        <v>0.46666666666666667</v>
      </c>
      <c r="E17" s="24">
        <f>'Stats Global'!Q22</f>
        <v>7</v>
      </c>
      <c r="F17" s="14">
        <f>'Stats Global'!T22</f>
        <v>0.26666666666666666</v>
      </c>
      <c r="G17" s="24">
        <f>'Stats Global'!S22</f>
        <v>4</v>
      </c>
      <c r="H17" s="14">
        <f>'Stats Global'!V22</f>
        <v>0.2</v>
      </c>
      <c r="I17" s="24">
        <f>'Stats Global'!U22</f>
        <v>3</v>
      </c>
      <c r="J17" s="14">
        <f>'Stats Global'!X22</f>
        <v>0</v>
      </c>
      <c r="K17" s="24">
        <f>'Stats Global'!W22</f>
        <v>0</v>
      </c>
      <c r="T17" s="24" t="s">
        <v>152</v>
      </c>
      <c r="U17" s="1" t="str">
        <f t="shared" si="0"/>
        <v>../Images/LG_Final.png</v>
      </c>
      <c r="V17" s="1" t="str">
        <f t="shared" si="1"/>
        <v>../Images/Players/Mitch.png</v>
      </c>
      <c r="X17" s="3" t="s">
        <v>80</v>
      </c>
    </row>
    <row r="18" spans="2:24" ht="14.25" customHeight="1" x14ac:dyDescent="0.45">
      <c r="B18" s="40" t="s">
        <v>148</v>
      </c>
      <c r="C18" s="40" t="s">
        <v>57</v>
      </c>
      <c r="D18" s="14">
        <f>'Stats Global'!R23</f>
        <v>0.2857142857142857</v>
      </c>
      <c r="E18" s="24">
        <f>'Stats Global'!Q23</f>
        <v>4</v>
      </c>
      <c r="F18" s="14">
        <f>'Stats Global'!T23</f>
        <v>0.21428571428571427</v>
      </c>
      <c r="G18" s="24">
        <f>'Stats Global'!S23</f>
        <v>3</v>
      </c>
      <c r="H18" s="14">
        <f>'Stats Global'!V23</f>
        <v>7.1428571428571425E-2</v>
      </c>
      <c r="I18" s="24">
        <f>'Stats Global'!U23</f>
        <v>1</v>
      </c>
      <c r="J18" s="14">
        <f>'Stats Global'!X23</f>
        <v>0</v>
      </c>
      <c r="K18" s="24">
        <f>'Stats Global'!W23</f>
        <v>0</v>
      </c>
      <c r="T18" s="24" t="s">
        <v>152</v>
      </c>
      <c r="U18" s="40" t="str">
        <f t="shared" si="0"/>
        <v>../Images/LG_Final.png</v>
      </c>
      <c r="V18" s="24" t="str">
        <f t="shared" si="1"/>
        <v>../Images/Players/SamJ.png</v>
      </c>
      <c r="X18" s="3" t="s">
        <v>81</v>
      </c>
    </row>
    <row r="19" spans="2:24" ht="14.25" customHeight="1" x14ac:dyDescent="0.45">
      <c r="X19" s="3" t="s">
        <v>82</v>
      </c>
    </row>
    <row r="20" spans="2:24" ht="14.25" customHeight="1" x14ac:dyDescent="0.45">
      <c r="B20" s="1"/>
      <c r="D20" s="41"/>
      <c r="F20" s="41"/>
      <c r="H20" s="41"/>
      <c r="I20" s="38"/>
      <c r="J20" s="41"/>
      <c r="K20" s="38"/>
      <c r="L20" s="147" t="s">
        <v>159</v>
      </c>
      <c r="M20" s="147"/>
      <c r="N20" s="147"/>
      <c r="X20" s="3" t="s">
        <v>83</v>
      </c>
    </row>
    <row r="21" spans="2:24" ht="14.25" customHeight="1" x14ac:dyDescent="0.45">
      <c r="B21" s="1"/>
      <c r="C21" s="1"/>
      <c r="D21" s="41" t="str">
        <f>CHAR(34)&amp;"PPG"&amp;CHAR(34)</f>
        <v>"PPG"</v>
      </c>
      <c r="E21" s="41" t="str">
        <f>CHAR(34)&amp;"TP"&amp;CHAR(34)</f>
        <v>"TP"</v>
      </c>
      <c r="F21" s="41" t="str">
        <f>CHAR(34)&amp;"FPG"&amp;CHAR(34)</f>
        <v>"FPG"</v>
      </c>
      <c r="G21" s="41" t="str">
        <f>CHAR(34)&amp;"TF"&amp;CHAR(34)</f>
        <v>"TF"</v>
      </c>
      <c r="H21" s="41" t="str">
        <f>CHAR(34)&amp;"MPG"&amp;CHAR(34)</f>
        <v>"MPG"</v>
      </c>
      <c r="I21" s="41" t="str">
        <f>CHAR(34)&amp;"TM"&amp;CHAR(34)</f>
        <v>"TM"</v>
      </c>
      <c r="J21" s="41" t="str">
        <f>CHAR(34)&amp;"TPG"&amp;CHAR(34)</f>
        <v>"TPG"</v>
      </c>
      <c r="K21" s="41" t="str">
        <f>CHAR(34)&amp;"TT"&amp;CHAR(34)</f>
        <v>"TT"</v>
      </c>
      <c r="L21" s="147"/>
      <c r="M21" s="147"/>
      <c r="N21" s="147"/>
      <c r="X21" s="3" t="s">
        <v>85</v>
      </c>
    </row>
    <row r="22" spans="2:24" ht="14.25" customHeight="1" x14ac:dyDescent="0.45">
      <c r="B22" s="4"/>
      <c r="D22" s="41" t="str">
        <f>ROUND(D3,2)&amp;","</f>
        <v>0.47,</v>
      </c>
      <c r="E22" s="41" t="str">
        <f>E3&amp;","</f>
        <v>7,</v>
      </c>
      <c r="F22" s="41" t="str">
        <f t="shared" ref="F22:F37" si="2">ROUND(F3,2)&amp;","</f>
        <v>0.13,</v>
      </c>
      <c r="G22" s="41" t="str">
        <f t="shared" ref="G22:G36" si="3">G3&amp;","</f>
        <v>2,</v>
      </c>
      <c r="H22" s="41" t="str">
        <f t="shared" ref="H22:H37" si="4">ROUND(H3,2)&amp;","</f>
        <v>0.33,</v>
      </c>
      <c r="I22" s="41" t="str">
        <f t="shared" ref="I22:I36" si="5">I3&amp;","</f>
        <v>5,</v>
      </c>
      <c r="J22" s="41" t="str">
        <f t="shared" ref="J22:J37" si="6">ROUND(J3,2)&amp;","</f>
        <v>0,</v>
      </c>
      <c r="K22" s="41" t="str">
        <f t="shared" ref="K22:K36" si="7">K3&amp;","</f>
        <v>0,</v>
      </c>
      <c r="L22" s="41" t="str">
        <f>D21&amp;":["&amp;D22&amp;D23&amp;D24&amp;D25&amp;D26&amp;D27&amp;D28&amp;D29&amp;D30&amp;D31&amp;D32&amp;D33&amp;D34&amp;D35&amp;D36&amp;D37&amp;"],"</f>
        <v>"PPG":[0.47,0.69,2.67,2.79,1.93,0.83,1.67,1.53,2.31,0.86,1.23,0.93,2.42,0.13,0.47,0.29,],</v>
      </c>
      <c r="X22" s="3" t="s">
        <v>86</v>
      </c>
    </row>
    <row r="23" spans="2:24" ht="14.25" customHeight="1" x14ac:dyDescent="0.45">
      <c r="B23" s="4"/>
      <c r="D23" s="41" t="str">
        <f t="shared" ref="D23:D37" si="8">ROUND(D4,2)&amp;","</f>
        <v>0.69,</v>
      </c>
      <c r="E23" s="41" t="str">
        <f t="shared" ref="E23:E37" si="9">E4&amp;","</f>
        <v>9,</v>
      </c>
      <c r="F23" s="41" t="str">
        <f t="shared" si="2"/>
        <v>0.46,</v>
      </c>
      <c r="G23" s="41" t="str">
        <f t="shared" si="3"/>
        <v>6,</v>
      </c>
      <c r="H23" s="41" t="str">
        <f t="shared" si="4"/>
        <v>0.23,</v>
      </c>
      <c r="I23" s="41" t="str">
        <f t="shared" si="5"/>
        <v>3,</v>
      </c>
      <c r="J23" s="41" t="str">
        <f t="shared" si="6"/>
        <v>0,</v>
      </c>
      <c r="K23" s="41" t="str">
        <f t="shared" si="7"/>
        <v>0,</v>
      </c>
      <c r="L23" t="str">
        <f>E21&amp;":["&amp;E22&amp;E23&amp;E24&amp;E25&amp;E26&amp;E27&amp;E28&amp;E29&amp;E30&amp;E31&amp;E32&amp;E33&amp;E34&amp;E35&amp;E36&amp;E37&amp;"],"</f>
        <v>"TP":[7,9,32,39,29,10,25,23,30,12,16,14,29,2,7,4,],</v>
      </c>
      <c r="X23" s="3" t="s">
        <v>87</v>
      </c>
    </row>
    <row r="24" spans="2:24" ht="14.25" customHeight="1" x14ac:dyDescent="0.45">
      <c r="D24" s="41" t="str">
        <f t="shared" si="8"/>
        <v>2.67,</v>
      </c>
      <c r="E24" s="41" t="str">
        <f t="shared" si="9"/>
        <v>32,</v>
      </c>
      <c r="F24" s="41" t="str">
        <f t="shared" si="2"/>
        <v>2.67,</v>
      </c>
      <c r="G24" s="41" t="str">
        <f t="shared" si="3"/>
        <v>32,</v>
      </c>
      <c r="H24" s="41" t="str">
        <f t="shared" si="4"/>
        <v>0,</v>
      </c>
      <c r="I24" s="41" t="str">
        <f t="shared" si="5"/>
        <v>0,</v>
      </c>
      <c r="J24" s="41" t="str">
        <f t="shared" si="6"/>
        <v>0,</v>
      </c>
      <c r="K24" s="41" t="str">
        <f t="shared" si="7"/>
        <v>0,</v>
      </c>
      <c r="L24" t="str">
        <f>F21&amp;":["&amp;F22&amp;F23&amp;F24&amp;F25&amp;F26&amp;F27&amp;F28&amp;F29&amp;F30&amp;F31&amp;F32&amp;F33&amp;F34&amp;F35&amp;F36&amp;F37&amp;"],"</f>
        <v>"FPG":[0.13,0.46,2.67,2.57,0.6,0.33,0.33,0.4,0.54,0.14,0.62,0.47,1.58,0.13,0.27,0.21,],</v>
      </c>
      <c r="X24" s="40" t="s">
        <v>107</v>
      </c>
    </row>
    <row r="25" spans="2:24" ht="14.25" customHeight="1" x14ac:dyDescent="0.45">
      <c r="D25" s="41" t="str">
        <f t="shared" si="8"/>
        <v>2.79,</v>
      </c>
      <c r="E25" s="41" t="str">
        <f t="shared" si="9"/>
        <v>39,</v>
      </c>
      <c r="F25" s="41" t="str">
        <f t="shared" si="2"/>
        <v>2.57,</v>
      </c>
      <c r="G25" s="41" t="str">
        <f t="shared" si="3"/>
        <v>36,</v>
      </c>
      <c r="H25" s="41" t="str">
        <f t="shared" si="4"/>
        <v>0.21,</v>
      </c>
      <c r="I25" s="41" t="str">
        <f t="shared" si="5"/>
        <v>3,</v>
      </c>
      <c r="J25" s="41" t="str">
        <f t="shared" si="6"/>
        <v>0,</v>
      </c>
      <c r="K25" s="41" t="str">
        <f t="shared" si="7"/>
        <v>0,</v>
      </c>
      <c r="L25" t="str">
        <f>G21&amp;":["&amp;G22&amp;G23&amp;G24&amp;G25&amp;G26&amp;G27&amp;G28&amp;G29&amp;G30&amp;G31&amp;G32&amp;G33&amp;G34&amp;G35&amp;G36&amp;G37&amp;"],"</f>
        <v>"TF":[2,6,32,36,9,4,5,6,7,2,8,7,19,2,4,3],</v>
      </c>
    </row>
    <row r="26" spans="2:24" ht="14.25" customHeight="1" x14ac:dyDescent="0.45">
      <c r="D26" s="41" t="str">
        <f t="shared" si="8"/>
        <v>1.93,</v>
      </c>
      <c r="E26" s="41" t="str">
        <f t="shared" si="9"/>
        <v>29,</v>
      </c>
      <c r="F26" s="41" t="str">
        <f t="shared" si="2"/>
        <v>0.6,</v>
      </c>
      <c r="G26" s="41" t="str">
        <f t="shared" si="3"/>
        <v>9,</v>
      </c>
      <c r="H26" s="41" t="str">
        <f t="shared" si="4"/>
        <v>0.8,</v>
      </c>
      <c r="I26" s="41" t="str">
        <f t="shared" si="5"/>
        <v>12,</v>
      </c>
      <c r="J26" s="41" t="str">
        <f t="shared" si="6"/>
        <v>0.27,</v>
      </c>
      <c r="K26" s="41" t="str">
        <f t="shared" si="7"/>
        <v>4,</v>
      </c>
      <c r="L26" t="str">
        <f>H21&amp;":["&amp;H22&amp;H23&amp;H24&amp;H25&amp;H26&amp;H27&amp;H28&amp;H29&amp;H30&amp;H31&amp;H32&amp;H33&amp;H34&amp;H35&amp;H36&amp;H37&amp;"],"</f>
        <v>"MPG":[0.33,0.23,0,0.21,0.8,0.5,0.13,1.13,1.77,0.71,0.15,0.47,0.33,0,0.2,0.07,],</v>
      </c>
    </row>
    <row r="27" spans="2:24" ht="14.25" customHeight="1" x14ac:dyDescent="0.45">
      <c r="D27" s="41" t="str">
        <f t="shared" si="8"/>
        <v>0.83,</v>
      </c>
      <c r="E27" s="41" t="str">
        <f t="shared" si="9"/>
        <v>10,</v>
      </c>
      <c r="F27" s="41" t="str">
        <f t="shared" si="2"/>
        <v>0.33,</v>
      </c>
      <c r="G27" s="41" t="str">
        <f t="shared" si="3"/>
        <v>4,</v>
      </c>
      <c r="H27" s="41" t="str">
        <f t="shared" si="4"/>
        <v>0.5,</v>
      </c>
      <c r="I27" s="41" t="str">
        <f t="shared" si="5"/>
        <v>6,</v>
      </c>
      <c r="J27" s="41" t="str">
        <f t="shared" si="6"/>
        <v>0,</v>
      </c>
      <c r="K27" s="41" t="str">
        <f t="shared" si="7"/>
        <v>0,</v>
      </c>
      <c r="L27" t="str">
        <f>I21&amp;":["&amp;I22&amp;I23&amp;I24&amp;I25&amp;I26&amp;I27&amp;I28&amp;I29&amp;I30&amp;I31&amp;I32&amp;I33&amp;I34&amp;I35&amp;I36&amp;I37&amp;"],"</f>
        <v>"TM":[5,3,0,3,12,6,2,17,23,10,2,7,4,0,3,1],</v>
      </c>
    </row>
    <row r="28" spans="2:24" ht="14.25" customHeight="1" x14ac:dyDescent="0.45">
      <c r="D28" s="41" t="str">
        <f t="shared" si="8"/>
        <v>1.67,</v>
      </c>
      <c r="E28" s="41" t="str">
        <f t="shared" si="9"/>
        <v>25,</v>
      </c>
      <c r="F28" s="41" t="str">
        <f t="shared" si="2"/>
        <v>0.33,</v>
      </c>
      <c r="G28" s="41" t="str">
        <f t="shared" si="3"/>
        <v>5,</v>
      </c>
      <c r="H28" s="41" t="str">
        <f t="shared" si="4"/>
        <v>0.13,</v>
      </c>
      <c r="I28" s="41" t="str">
        <f t="shared" si="5"/>
        <v>2,</v>
      </c>
      <c r="J28" s="41" t="str">
        <f t="shared" si="6"/>
        <v>0.6,</v>
      </c>
      <c r="K28" s="41" t="str">
        <f t="shared" si="7"/>
        <v>9,</v>
      </c>
      <c r="L28" t="str">
        <f>J21&amp;":["&amp;J22&amp;J23&amp;J24&amp;J25&amp;J26&amp;J27&amp;J28&amp;J29&amp;J30&amp;J31&amp;J32&amp;J33&amp;J34&amp;J35&amp;J36&amp;J37&amp;"],"</f>
        <v>"TPG":[0,0,0,0,0.27,0,0.6,0,0,0,0.23,0,0.25,0,0,0,],</v>
      </c>
    </row>
    <row r="29" spans="2:24" ht="14.25" customHeight="1" x14ac:dyDescent="0.45">
      <c r="D29" s="41" t="str">
        <f t="shared" si="8"/>
        <v>1.53,</v>
      </c>
      <c r="E29" s="41" t="str">
        <f t="shared" si="9"/>
        <v>23,</v>
      </c>
      <c r="F29" s="41" t="str">
        <f t="shared" si="2"/>
        <v>0.4,</v>
      </c>
      <c r="G29" s="41" t="str">
        <f t="shared" si="3"/>
        <v>6,</v>
      </c>
      <c r="H29" s="41" t="str">
        <f t="shared" si="4"/>
        <v>1.13,</v>
      </c>
      <c r="I29" s="41" t="str">
        <f t="shared" si="5"/>
        <v>17,</v>
      </c>
      <c r="J29" s="41" t="str">
        <f t="shared" si="6"/>
        <v>0,</v>
      </c>
      <c r="K29" s="41" t="str">
        <f t="shared" si="7"/>
        <v>0,</v>
      </c>
      <c r="L29" t="str">
        <f>K21&amp;":["&amp;K22&amp;K23&amp;K24&amp;K25&amp;K26&amp;K27&amp;K28&amp;K29&amp;K30&amp;K31&amp;K32&amp;K33&amp;K34&amp;K35&amp;K36&amp;K37&amp;"],"</f>
        <v>"TT":[0,0,0,0,4,0,9,0,0,0,3,0,3,0,0,0],</v>
      </c>
    </row>
    <row r="30" spans="2:24" ht="14.25" customHeight="1" x14ac:dyDescent="0.45">
      <c r="C30" s="41"/>
      <c r="D30" s="41" t="str">
        <f t="shared" si="8"/>
        <v>2.31,</v>
      </c>
      <c r="E30" s="41" t="str">
        <f t="shared" si="9"/>
        <v>30,</v>
      </c>
      <c r="F30" s="41" t="str">
        <f t="shared" si="2"/>
        <v>0.54,</v>
      </c>
      <c r="G30" s="41" t="str">
        <f t="shared" si="3"/>
        <v>7,</v>
      </c>
      <c r="H30" s="41" t="str">
        <f t="shared" si="4"/>
        <v>1.77,</v>
      </c>
      <c r="I30" s="41" t="str">
        <f t="shared" si="5"/>
        <v>23,</v>
      </c>
      <c r="J30" s="41" t="str">
        <f t="shared" si="6"/>
        <v>0,</v>
      </c>
      <c r="K30" s="41" t="str">
        <f t="shared" si="7"/>
        <v>0,</v>
      </c>
      <c r="L30" t="str">
        <f>CHAR(34)&amp;"NBAMODENUMBER"&amp;CHAR(34)&amp;":["&amp;ROUND(L31,2)&amp;"],"</f>
        <v>"NBAMODENUMBER":[13.44],</v>
      </c>
    </row>
    <row r="31" spans="2:24" ht="14.25" customHeight="1" x14ac:dyDescent="0.45">
      <c r="C31" s="41"/>
      <c r="D31" s="41" t="str">
        <f t="shared" si="8"/>
        <v>0.86,</v>
      </c>
      <c r="E31" s="41" t="str">
        <f t="shared" si="9"/>
        <v>12,</v>
      </c>
      <c r="F31" s="41" t="str">
        <f t="shared" si="2"/>
        <v>0.14,</v>
      </c>
      <c r="G31" s="41" t="str">
        <f t="shared" si="3"/>
        <v>2,</v>
      </c>
      <c r="H31" s="41" t="str">
        <f t="shared" si="4"/>
        <v>0.71,</v>
      </c>
      <c r="I31" s="41" t="str">
        <f t="shared" si="5"/>
        <v>10,</v>
      </c>
      <c r="J31" s="41" t="str">
        <f t="shared" si="6"/>
        <v>0,</v>
      </c>
      <c r="K31" s="41" t="str">
        <f t="shared" si="7"/>
        <v>0,</v>
      </c>
      <c r="L31" s="41">
        <f>95/(SUM(Table1[Average])/3)</f>
        <v>13.437475713064428</v>
      </c>
    </row>
    <row r="32" spans="2:24" ht="14.25" customHeight="1" x14ac:dyDescent="0.45">
      <c r="C32" s="41"/>
      <c r="D32" s="41" t="str">
        <f t="shared" si="8"/>
        <v>1.23,</v>
      </c>
      <c r="E32" s="41" t="str">
        <f t="shared" si="9"/>
        <v>16,</v>
      </c>
      <c r="F32" s="41" t="str">
        <f t="shared" si="2"/>
        <v>0.62,</v>
      </c>
      <c r="G32" s="41" t="str">
        <f t="shared" si="3"/>
        <v>8,</v>
      </c>
      <c r="H32" s="41" t="str">
        <f t="shared" si="4"/>
        <v>0.15,</v>
      </c>
      <c r="I32" s="41" t="str">
        <f t="shared" si="5"/>
        <v>2,</v>
      </c>
      <c r="J32" s="41" t="str">
        <f t="shared" si="6"/>
        <v>0.23,</v>
      </c>
      <c r="K32" s="41" t="str">
        <f t="shared" si="7"/>
        <v>3,</v>
      </c>
    </row>
    <row r="33" spans="3:11" ht="14.25" customHeight="1" x14ac:dyDescent="0.45">
      <c r="C33" s="41"/>
      <c r="D33" s="41" t="str">
        <f t="shared" si="8"/>
        <v>0.93,</v>
      </c>
      <c r="E33" s="41" t="str">
        <f t="shared" si="9"/>
        <v>14,</v>
      </c>
      <c r="F33" s="41" t="str">
        <f t="shared" si="2"/>
        <v>0.47,</v>
      </c>
      <c r="G33" s="41" t="str">
        <f t="shared" si="3"/>
        <v>7,</v>
      </c>
      <c r="H33" s="41" t="str">
        <f t="shared" si="4"/>
        <v>0.47,</v>
      </c>
      <c r="I33" s="41" t="str">
        <f t="shared" si="5"/>
        <v>7,</v>
      </c>
      <c r="J33" s="41" t="str">
        <f t="shared" si="6"/>
        <v>0,</v>
      </c>
      <c r="K33" s="41" t="str">
        <f t="shared" si="7"/>
        <v>0,</v>
      </c>
    </row>
    <row r="34" spans="3:11" ht="14.25" customHeight="1" x14ac:dyDescent="0.45">
      <c r="C34" s="41"/>
      <c r="D34" s="41" t="str">
        <f t="shared" si="8"/>
        <v>2.42,</v>
      </c>
      <c r="E34" s="41" t="str">
        <f t="shared" si="9"/>
        <v>29,</v>
      </c>
      <c r="F34" s="41" t="str">
        <f t="shared" si="2"/>
        <v>1.58,</v>
      </c>
      <c r="G34" s="41" t="str">
        <f t="shared" si="3"/>
        <v>19,</v>
      </c>
      <c r="H34" s="41" t="str">
        <f t="shared" si="4"/>
        <v>0.33,</v>
      </c>
      <c r="I34" s="41" t="str">
        <f t="shared" si="5"/>
        <v>4,</v>
      </c>
      <c r="J34" s="41" t="str">
        <f t="shared" si="6"/>
        <v>0.25,</v>
      </c>
      <c r="K34" s="41" t="str">
        <f t="shared" si="7"/>
        <v>3,</v>
      </c>
    </row>
    <row r="35" spans="3:11" ht="14.25" customHeight="1" x14ac:dyDescent="0.45">
      <c r="C35" s="41"/>
      <c r="D35" s="41" t="str">
        <f t="shared" si="8"/>
        <v>0.13,</v>
      </c>
      <c r="E35" s="41" t="str">
        <f t="shared" si="9"/>
        <v>2,</v>
      </c>
      <c r="F35" s="41" t="str">
        <f t="shared" si="2"/>
        <v>0.13,</v>
      </c>
      <c r="G35" s="41" t="str">
        <f t="shared" si="3"/>
        <v>2,</v>
      </c>
      <c r="H35" s="41" t="str">
        <f t="shared" si="4"/>
        <v>0,</v>
      </c>
      <c r="I35" s="41" t="str">
        <f t="shared" si="5"/>
        <v>0,</v>
      </c>
      <c r="J35" s="41" t="str">
        <f t="shared" si="6"/>
        <v>0,</v>
      </c>
      <c r="K35" s="41" t="str">
        <f t="shared" si="7"/>
        <v>0,</v>
      </c>
    </row>
    <row r="36" spans="3:11" ht="14.25" customHeight="1" x14ac:dyDescent="0.45">
      <c r="C36" s="41"/>
      <c r="D36" s="41" t="str">
        <f t="shared" si="8"/>
        <v>0.47,</v>
      </c>
      <c r="E36" s="41" t="str">
        <f t="shared" si="9"/>
        <v>7,</v>
      </c>
      <c r="F36" s="41" t="str">
        <f t="shared" si="2"/>
        <v>0.27,</v>
      </c>
      <c r="G36" s="41" t="str">
        <f t="shared" si="3"/>
        <v>4,</v>
      </c>
      <c r="H36" s="41" t="str">
        <f t="shared" si="4"/>
        <v>0.2,</v>
      </c>
      <c r="I36" s="41" t="str">
        <f t="shared" si="5"/>
        <v>3,</v>
      </c>
      <c r="J36" s="41" t="str">
        <f t="shared" si="6"/>
        <v>0,</v>
      </c>
      <c r="K36" s="41" t="str">
        <f t="shared" si="7"/>
        <v>0,</v>
      </c>
    </row>
    <row r="37" spans="3:11" ht="14.25" customHeight="1" x14ac:dyDescent="0.45">
      <c r="C37" s="41"/>
      <c r="D37" s="41" t="str">
        <f t="shared" si="8"/>
        <v>0.29,</v>
      </c>
      <c r="E37" s="41" t="str">
        <f t="shared" si="9"/>
        <v>4,</v>
      </c>
      <c r="F37" s="41" t="str">
        <f t="shared" si="2"/>
        <v>0.21,</v>
      </c>
      <c r="G37" s="41">
        <f>G18</f>
        <v>3</v>
      </c>
      <c r="H37" s="41" t="str">
        <f t="shared" si="4"/>
        <v>0.07,</v>
      </c>
      <c r="I37" s="41">
        <f>I18</f>
        <v>1</v>
      </c>
      <c r="J37" s="41" t="str">
        <f t="shared" si="6"/>
        <v>0,</v>
      </c>
      <c r="K37" s="41">
        <f>K18</f>
        <v>0</v>
      </c>
    </row>
    <row r="38" spans="3:11" ht="14.25" customHeight="1" x14ac:dyDescent="0.45"/>
    <row r="39" spans="3:11" ht="14.25" customHeight="1" x14ac:dyDescent="0.45">
      <c r="E39" s="41"/>
      <c r="F39" s="41"/>
      <c r="G39" s="41"/>
      <c r="H39" s="41"/>
      <c r="I39" s="41"/>
      <c r="J39" s="41"/>
      <c r="K39" s="41"/>
    </row>
    <row r="40" spans="3:11" ht="14.25" customHeight="1" x14ac:dyDescent="0.45"/>
    <row r="41" spans="3:11" ht="14.25" customHeight="1" x14ac:dyDescent="0.45"/>
    <row r="42" spans="3:11" ht="14.25" customHeight="1" x14ac:dyDescent="0.45"/>
    <row r="43" spans="3:11" ht="14.25" customHeight="1" x14ac:dyDescent="0.45"/>
    <row r="44" spans="3:11" ht="14.25" customHeight="1" x14ac:dyDescent="0.45"/>
    <row r="45" spans="3:11" ht="14.25" customHeight="1" x14ac:dyDescent="0.45"/>
    <row r="46" spans="3:11" ht="14.25" customHeight="1" x14ac:dyDescent="0.45"/>
    <row r="47" spans="3:11" ht="14.25" customHeight="1" x14ac:dyDescent="0.45"/>
    <row r="48" spans="3:1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L20:N2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AL1000"/>
  <sheetViews>
    <sheetView zoomScale="70" zoomScaleNormal="70" workbookViewId="0">
      <selection activeCell="J41" sqref="J41"/>
    </sheetView>
  </sheetViews>
  <sheetFormatPr defaultColWidth="14.3984375" defaultRowHeight="15" customHeight="1" x14ac:dyDescent="0.45"/>
  <cols>
    <col min="1" max="2" width="8.73046875" customWidth="1"/>
    <col min="3" max="3" width="12.1328125" customWidth="1"/>
    <col min="4" max="17" width="8.73046875" customWidth="1"/>
    <col min="18" max="18" width="9.53125" customWidth="1"/>
    <col min="19" max="19" width="10.1328125" customWidth="1"/>
    <col min="20" max="20" width="10.265625" customWidth="1"/>
    <col min="21" max="22" width="11.33203125" customWidth="1"/>
    <col min="23" max="23" width="8.73046875" customWidth="1"/>
    <col min="24" max="24" width="11.33203125" customWidth="1"/>
    <col min="25" max="25" width="12.796875" customWidth="1"/>
    <col min="26" max="26" width="8.73046875" customWidth="1"/>
    <col min="27" max="27" width="13.06640625" customWidth="1"/>
    <col min="28" max="28" width="13.59765625" customWidth="1"/>
    <col min="29" max="29" width="12.33203125" customWidth="1"/>
    <col min="30" max="30" width="11.06640625" customWidth="1"/>
    <col min="31" max="38" width="8.73046875" customWidth="1"/>
  </cols>
  <sheetData>
    <row r="1" spans="2:38" ht="14.25" customHeight="1" x14ac:dyDescent="0.45"/>
    <row r="2" spans="2:38" ht="14.25" customHeight="1" x14ac:dyDescent="0.45">
      <c r="B2" s="5" t="s">
        <v>88</v>
      </c>
    </row>
    <row r="3" spans="2:38" ht="14.25" customHeight="1" x14ac:dyDescent="0.45"/>
    <row r="4" spans="2:38" ht="14.25" customHeight="1" x14ac:dyDescent="0.45">
      <c r="B4" s="5" t="s">
        <v>84</v>
      </c>
      <c r="C4" s="5" t="s">
        <v>89</v>
      </c>
      <c r="D4" s="5" t="s">
        <v>90</v>
      </c>
      <c r="E4" s="5" t="s">
        <v>91</v>
      </c>
      <c r="F4" s="5" t="s">
        <v>92</v>
      </c>
      <c r="I4" s="5" t="s">
        <v>93</v>
      </c>
    </row>
    <row r="5" spans="2:38" ht="14.25" customHeight="1" x14ac:dyDescent="0.45">
      <c r="B5" s="36">
        <f>'2404'!$C$2</f>
        <v>45040</v>
      </c>
      <c r="C5" s="3">
        <f>COUNT('2404'!$B$3:$B$30)</f>
        <v>13</v>
      </c>
      <c r="D5" s="3">
        <f>MAX('2404'!$L$3:$L$5)</f>
        <v>7</v>
      </c>
      <c r="E5" s="3">
        <f t="shared" ref="E5:E10" si="0">C5-D5-F5</f>
        <v>3</v>
      </c>
      <c r="F5" s="3">
        <f>MIN('2404'!$L$3:$L$5)</f>
        <v>3</v>
      </c>
      <c r="I5" s="1" t="s">
        <v>94</v>
      </c>
      <c r="J5" s="1" t="s">
        <v>90</v>
      </c>
      <c r="K5" s="1" t="s">
        <v>91</v>
      </c>
      <c r="L5" s="1" t="s">
        <v>92</v>
      </c>
      <c r="P5" s="3" t="s">
        <v>95</v>
      </c>
      <c r="Q5" s="1">
        <v>15</v>
      </c>
      <c r="AH5" s="148" t="s">
        <v>230</v>
      </c>
      <c r="AI5" s="148"/>
      <c r="AJ5" s="148"/>
      <c r="AK5" s="6"/>
      <c r="AL5" s="6"/>
    </row>
    <row r="6" spans="2:38" ht="14.25" customHeight="1" x14ac:dyDescent="0.45">
      <c r="B6" s="36">
        <f>'2604'!$C$2</f>
        <v>45042</v>
      </c>
      <c r="C6" s="3">
        <f>COUNT('2604'!$B$3:$B$30)</f>
        <v>10</v>
      </c>
      <c r="D6" s="3">
        <f>MAX('2604'!$L$3:$L$5)</f>
        <v>4</v>
      </c>
      <c r="E6" s="3">
        <f t="shared" si="0"/>
        <v>3</v>
      </c>
      <c r="F6" s="3">
        <f>MIN('2604'!$L$3:$L$5)</f>
        <v>3</v>
      </c>
      <c r="I6" s="7">
        <f t="shared" ref="I6:L6" si="1">AVERAGE(C5:C30)</f>
        <v>18.307692307692307</v>
      </c>
      <c r="J6" s="1">
        <f t="shared" si="1"/>
        <v>9.9230769230769234</v>
      </c>
      <c r="K6" s="1">
        <f t="shared" si="1"/>
        <v>5.5384615384615383</v>
      </c>
      <c r="L6" s="1">
        <f t="shared" si="1"/>
        <v>2.8461538461538463</v>
      </c>
      <c r="AA6" s="33" t="s">
        <v>212</v>
      </c>
      <c r="AB6" s="33" t="s">
        <v>231</v>
      </c>
      <c r="AE6" s="105"/>
      <c r="AF6" s="55"/>
      <c r="AH6" s="148"/>
      <c r="AI6" s="148"/>
      <c r="AJ6" s="148"/>
      <c r="AK6" s="6"/>
      <c r="AL6" s="6"/>
    </row>
    <row r="7" spans="2:38" ht="14.25" customHeight="1" x14ac:dyDescent="0.45">
      <c r="B7" s="36">
        <f>'0205'!$C$2</f>
        <v>45048</v>
      </c>
      <c r="C7" s="3">
        <f>COUNT('0205'!$B$3:$B$30)</f>
        <v>21</v>
      </c>
      <c r="D7" s="3">
        <f>MAX('0205'!$L$3:$L$5)</f>
        <v>8</v>
      </c>
      <c r="E7" s="3">
        <f t="shared" si="0"/>
        <v>8</v>
      </c>
      <c r="F7" s="3">
        <f>MIN('0205'!$L$3:$L$5)</f>
        <v>5</v>
      </c>
      <c r="I7" s="5" t="s">
        <v>96</v>
      </c>
      <c r="J7" s="8">
        <f t="shared" ref="J7:L7" si="2">J6/$I$6</f>
        <v>0.54201680672268915</v>
      </c>
      <c r="K7" s="8">
        <f t="shared" si="2"/>
        <v>0.30252100840336138</v>
      </c>
      <c r="L7" s="8">
        <f t="shared" si="2"/>
        <v>0.15546218487394958</v>
      </c>
      <c r="P7" s="45" t="s">
        <v>97</v>
      </c>
      <c r="Q7" s="46" t="s">
        <v>8</v>
      </c>
      <c r="R7" s="46" t="s">
        <v>98</v>
      </c>
      <c r="S7" s="47" t="s">
        <v>9</v>
      </c>
      <c r="T7" s="48" t="s">
        <v>93</v>
      </c>
      <c r="U7" s="48" t="s">
        <v>10</v>
      </c>
      <c r="V7" s="48" t="s">
        <v>156</v>
      </c>
      <c r="W7" s="47" t="s">
        <v>11</v>
      </c>
      <c r="X7" s="48" t="s">
        <v>157</v>
      </c>
      <c r="Y7" s="49" t="s">
        <v>13</v>
      </c>
      <c r="Z7" s="65" t="s">
        <v>160</v>
      </c>
      <c r="AA7" s="48" t="s">
        <v>176</v>
      </c>
      <c r="AB7" s="48" t="s">
        <v>211</v>
      </c>
      <c r="AC7" s="48" t="s">
        <v>177</v>
      </c>
      <c r="AE7" s="33" t="s">
        <v>226</v>
      </c>
      <c r="AH7" s="135" t="s">
        <v>55</v>
      </c>
      <c r="AI7" s="138">
        <f>(T8+V8+X8)/SUM($T$8,V$8,X$8,T$10,V$10,X$10,T$16,V$16,X$16,T$17,V$17,X$17,T$18,V$18,X$18)</f>
        <v>6.3942983336679374E-2</v>
      </c>
      <c r="AJ7" s="10"/>
      <c r="AK7" s="10"/>
      <c r="AL7" s="10"/>
    </row>
    <row r="8" spans="2:38" ht="14.25" customHeight="1" x14ac:dyDescent="0.45">
      <c r="B8" s="36">
        <f>'0305'!$C$2</f>
        <v>45049</v>
      </c>
      <c r="C8" s="3">
        <f>COUNT('0305'!$B$3:$B$30)</f>
        <v>23</v>
      </c>
      <c r="D8" s="3">
        <f>MAX('0305'!$L$3:$L$5)</f>
        <v>12</v>
      </c>
      <c r="E8" s="3">
        <f t="shared" si="0"/>
        <v>7</v>
      </c>
      <c r="F8" s="3">
        <f>MIN('0305'!$L$3:$L$5)</f>
        <v>4</v>
      </c>
      <c r="P8" s="80" t="s">
        <v>55</v>
      </c>
      <c r="Q8" s="68">
        <f t="shared" ref="Q8:Q23" si="3">Q29+Q48+Q67+AB29+AB48+AB67</f>
        <v>7</v>
      </c>
      <c r="R8" s="69">
        <f>Table1[[#This Row],[Points]]/($Q$5-Table1[[#This Row],[Missed Games]])</f>
        <v>0.46666666666666667</v>
      </c>
      <c r="S8" s="70">
        <f t="shared" ref="S8:S23" si="4">S29+S48+S67+AD29+AD48+AD67</f>
        <v>2</v>
      </c>
      <c r="T8" s="71">
        <f>Table1[[#This Row],[Finishes]]/($Q$5-Table1[[#This Row],[Missed Games]])</f>
        <v>0.13333333333333333</v>
      </c>
      <c r="U8" s="70">
        <f t="shared" ref="U8:U23" si="5">U29+U48+U67+AF29+AF48+AF67</f>
        <v>5</v>
      </c>
      <c r="V8" s="71">
        <f>Table1[[#This Row],[Midranges]]/($Q$5-Table1[[#This Row],[Missed Games]])</f>
        <v>0.33333333333333331</v>
      </c>
      <c r="W8" s="70">
        <f t="shared" ref="W8:W23" si="6">W29+W48+W67+AH29+AH48+AH67</f>
        <v>0</v>
      </c>
      <c r="X8" s="71">
        <f>Table1[[#This Row],[Threes]]/($Q$5-Table1[[#This Row],[Missed Games]])</f>
        <v>0</v>
      </c>
      <c r="Y8" s="80" t="s">
        <v>34</v>
      </c>
      <c r="Z8" s="81">
        <f t="shared" ref="Z8:Z23" si="7">Y29+Y48+Y67+AJ29+AJ48+AJ67</f>
        <v>0</v>
      </c>
      <c r="AA8" s="108">
        <f>1.5564%*1.007842</f>
        <v>1.5686052887999999E-2</v>
      </c>
      <c r="AB8" s="108">
        <f>(Table1[[#This Row],[Averages]]+Table1[[#This Row],[Averages2]]+Table1[[#This Row],[Averages3]])/SUM(Table1[Averages],Table1[Averages2],Table1[Averages3])</f>
        <v>2.3495564612802691E-2</v>
      </c>
      <c r="AC8" s="109">
        <f t="shared" ref="AC8:AC23" si="8">AB8-AA8</f>
        <v>7.8095117248026917E-3</v>
      </c>
      <c r="AE8" s="64" t="s">
        <v>132</v>
      </c>
      <c r="AF8" s="41">
        <f>MEDIAN(R14:R15,R19:R20,R22:R23)</f>
        <v>1.2333333333333334</v>
      </c>
      <c r="AH8" s="136" t="s">
        <v>59</v>
      </c>
      <c r="AI8" s="139">
        <f>(T9+V9+X9)/SUM(T$9,V$9,X$9,T$11:T$13,V$11:V$13,X$11:X$13,T$21,V$21,X$21)</f>
        <v>0.11328218652601293</v>
      </c>
      <c r="AJ8" s="6"/>
      <c r="AK8" s="6"/>
      <c r="AL8" s="11"/>
    </row>
    <row r="9" spans="2:38" ht="14.25" customHeight="1" x14ac:dyDescent="0.45">
      <c r="B9" s="36">
        <f>'0805'!$C$2</f>
        <v>45054</v>
      </c>
      <c r="C9" s="3">
        <f>COUNT('0805'!$B$3:$B$30)</f>
        <v>17</v>
      </c>
      <c r="D9" s="3">
        <f>MAX('0805'!$L$3:$L$5)</f>
        <v>7</v>
      </c>
      <c r="E9" s="3">
        <f t="shared" si="0"/>
        <v>6</v>
      </c>
      <c r="F9" s="3">
        <f>MIN('0805'!$L$3:$L$5)</f>
        <v>4</v>
      </c>
      <c r="P9" s="82" t="s">
        <v>59</v>
      </c>
      <c r="Q9" s="72">
        <f t="shared" si="3"/>
        <v>9</v>
      </c>
      <c r="R9" s="73">
        <f>Table1[[#This Row],[Points]]/($Q$5-Table1[[#This Row],[Missed Games]])</f>
        <v>0.69230769230769229</v>
      </c>
      <c r="S9" s="74">
        <f t="shared" si="4"/>
        <v>6</v>
      </c>
      <c r="T9" s="75">
        <f>Table1[[#This Row],[Finishes]]/($Q$5-Table1[[#This Row],[Missed Games]])</f>
        <v>0.46153846153846156</v>
      </c>
      <c r="U9" s="74">
        <f t="shared" si="5"/>
        <v>3</v>
      </c>
      <c r="V9" s="75">
        <f>Table1[[#This Row],[Midranges]]/($Q$5-Table1[[#This Row],[Missed Games]])</f>
        <v>0.23076923076923078</v>
      </c>
      <c r="W9" s="74">
        <f t="shared" si="6"/>
        <v>0</v>
      </c>
      <c r="X9" s="75">
        <f>Table1[[#This Row],[Threes]]/($Q$5-Table1[[#This Row],[Missed Games]])</f>
        <v>0</v>
      </c>
      <c r="Y9" s="82" t="s">
        <v>39</v>
      </c>
      <c r="Z9" s="83">
        <f t="shared" si="7"/>
        <v>2</v>
      </c>
      <c r="AA9" s="110">
        <f>1.007842*2.7237%</f>
        <v>2.7450592553999998E-2</v>
      </c>
      <c r="AB9" s="110">
        <f>(Table1[[#This Row],[Averages]]+Table1[[#This Row],[Averages2]]+Table1[[#This Row],[Averages3]])/SUM(Table1[Averages],Table1[Averages2],Table1[Averages3])</f>
        <v>3.4856057392619377E-2</v>
      </c>
      <c r="AC9" s="109">
        <f t="shared" si="8"/>
        <v>7.4054648386193793E-3</v>
      </c>
      <c r="AE9" s="64" t="s">
        <v>133</v>
      </c>
      <c r="AF9" s="41">
        <f>MEDIAN(R9,R11:R13,R21)</f>
        <v>0.83333333333333337</v>
      </c>
      <c r="AH9" s="135" t="s">
        <v>62</v>
      </c>
      <c r="AI9" s="138">
        <f>(T10+V10+X10)/SUM($T$8,V$8,X$8,T$10,V$10,X$10,T$16,V$16,X$16,T$17,V$17,X$17,T$18,V$18,X$18)</f>
        <v>0.36538847620959641</v>
      </c>
      <c r="AJ9" s="6"/>
      <c r="AK9" s="6"/>
      <c r="AL9" s="11"/>
    </row>
    <row r="10" spans="2:38" ht="14.25" customHeight="1" x14ac:dyDescent="0.45">
      <c r="B10" s="36">
        <f>'0905'!$C$2</f>
        <v>45055</v>
      </c>
      <c r="C10" s="3">
        <f>COUNT('0905'!$B$3:$B$35)</f>
        <v>31</v>
      </c>
      <c r="D10" s="3">
        <f>MAX('0905'!$L$3:$L$5)</f>
        <v>19</v>
      </c>
      <c r="E10" s="3">
        <f t="shared" si="0"/>
        <v>7</v>
      </c>
      <c r="F10" s="3">
        <f>MIN('0905'!$L$3:$L$5)</f>
        <v>5</v>
      </c>
      <c r="P10" s="80" t="s">
        <v>62</v>
      </c>
      <c r="Q10" s="68">
        <f t="shared" si="3"/>
        <v>32</v>
      </c>
      <c r="R10" s="69">
        <f>Table1[[#This Row],[Points]]/($Q$5-Table1[[#This Row],[Missed Games]])</f>
        <v>2.6666666666666665</v>
      </c>
      <c r="S10" s="70">
        <f t="shared" si="4"/>
        <v>32</v>
      </c>
      <c r="T10" s="71">
        <f>Table1[[#This Row],[Finishes]]/($Q$5-Table1[[#This Row],[Missed Games]])</f>
        <v>2.6666666666666665</v>
      </c>
      <c r="U10" s="70">
        <f t="shared" si="5"/>
        <v>0</v>
      </c>
      <c r="V10" s="71">
        <f>Table1[[#This Row],[Midranges]]/($Q$5-Table1[[#This Row],[Missed Games]])</f>
        <v>0</v>
      </c>
      <c r="W10" s="70">
        <f t="shared" si="6"/>
        <v>0</v>
      </c>
      <c r="X10" s="71">
        <f>Table1[[#This Row],[Threes]]/($Q$5-Table1[[#This Row],[Missed Games]])</f>
        <v>0</v>
      </c>
      <c r="Y10" s="80" t="s">
        <v>34</v>
      </c>
      <c r="Z10" s="81">
        <f t="shared" si="7"/>
        <v>3</v>
      </c>
      <c r="AA10" s="108">
        <f>1.007842*12.0623%</f>
        <v>0.12156892556599999</v>
      </c>
      <c r="AB10" s="108">
        <f>(Table1[[#This Row],[Averages]]+Table1[[#This Row],[Averages2]]+Table1[[#This Row],[Averages3]])/SUM(Table1[Averages],Table1[Averages2],Table1[Averages3])</f>
        <v>0.13426036921601536</v>
      </c>
      <c r="AC10" s="109">
        <f t="shared" si="8"/>
        <v>1.2691443650015372E-2</v>
      </c>
      <c r="AE10" s="64" t="s">
        <v>134</v>
      </c>
      <c r="AF10" s="41">
        <f>MEDIAN(R8,R10,R16:R18)</f>
        <v>1.2307692307692308</v>
      </c>
      <c r="AH10" s="136" t="s">
        <v>65</v>
      </c>
      <c r="AI10" s="139">
        <f>(T11+V11+X11)/SUM(T$9,V$9,X$9,T$11:T$13,V$11:V$13,X$11:X$13,T$21,V$21,X$21)</f>
        <v>0.45582594102133783</v>
      </c>
      <c r="AJ10" s="6"/>
      <c r="AK10" s="6"/>
      <c r="AL10" s="11"/>
    </row>
    <row r="11" spans="2:38" ht="14.25" customHeight="1" x14ac:dyDescent="0.45">
      <c r="B11" s="36">
        <f>'1005'!$C$2</f>
        <v>45056</v>
      </c>
      <c r="C11" s="3">
        <f>COUNT('1005'!$B$3:$B$35)</f>
        <v>26</v>
      </c>
      <c r="D11" s="3">
        <f>MAX('1005'!$L$3:$L$5)</f>
        <v>13</v>
      </c>
      <c r="E11" s="3">
        <f t="shared" ref="E11" si="9">C11-D11-F11</f>
        <v>10</v>
      </c>
      <c r="F11" s="3">
        <f>MIN('1005'!$L$3:$L$5)</f>
        <v>3</v>
      </c>
      <c r="P11" s="82" t="s">
        <v>65</v>
      </c>
      <c r="Q11" s="72">
        <f t="shared" si="3"/>
        <v>39</v>
      </c>
      <c r="R11" s="73">
        <f>Table1[[#This Row],[Points]]/($Q$5-Table1[[#This Row],[Missed Games]])</f>
        <v>2.7857142857142856</v>
      </c>
      <c r="S11" s="74">
        <f t="shared" si="4"/>
        <v>36</v>
      </c>
      <c r="T11" s="75">
        <f>Table1[[#This Row],[Finishes]]/($Q$5-Table1[[#This Row],[Missed Games]])</f>
        <v>2.5714285714285716</v>
      </c>
      <c r="U11" s="74">
        <f t="shared" si="5"/>
        <v>3</v>
      </c>
      <c r="V11" s="75">
        <f>Table1[[#This Row],[Midranges]]/($Q$5-Table1[[#This Row],[Missed Games]])</f>
        <v>0.21428571428571427</v>
      </c>
      <c r="W11" s="74">
        <f t="shared" si="6"/>
        <v>0</v>
      </c>
      <c r="X11" s="75">
        <f>Table1[[#This Row],[Threes]]/($Q$5-Table1[[#This Row],[Missed Games]])</f>
        <v>0</v>
      </c>
      <c r="Y11" s="82" t="s">
        <v>39</v>
      </c>
      <c r="Z11" s="83">
        <f t="shared" si="7"/>
        <v>1</v>
      </c>
      <c r="AA11" s="110">
        <f>1.007842*12.4514%</f>
        <v>0.12549043878799998</v>
      </c>
      <c r="AB11" s="110">
        <f>(Table1[[#This Row],[Averages]]+Table1[[#This Row],[Averages2]]+Table1[[#This Row],[Averages3]])/SUM(Table1[Averages],Table1[Averages2],Table1[Averages3])</f>
        <v>0.14025413569887321</v>
      </c>
      <c r="AC11" s="109">
        <f t="shared" si="8"/>
        <v>1.4763696910873231E-2</v>
      </c>
      <c r="AE11" s="64"/>
      <c r="AH11" s="136" t="s">
        <v>68</v>
      </c>
      <c r="AI11" s="139">
        <f>(T12+V12+X12)/SUM(T$9,V$9,X$9,T$11:T$13,V$11:V$13,X$11:X$13,T$21,V$21,X$21)</f>
        <v>0.27271637497003109</v>
      </c>
      <c r="AJ11" s="6"/>
      <c r="AK11" s="6"/>
      <c r="AL11" s="11"/>
    </row>
    <row r="12" spans="2:38" ht="14.25" customHeight="1" x14ac:dyDescent="0.45">
      <c r="B12" s="36">
        <f>'1505'!$C$2</f>
        <v>45061</v>
      </c>
      <c r="C12" s="3">
        <f>COUNT('1505'!$B$3:$B$35)</f>
        <v>20</v>
      </c>
      <c r="D12" s="3">
        <f>MAX('1505'!$L$3:$L$5)</f>
        <v>13</v>
      </c>
      <c r="E12" s="3">
        <f t="shared" ref="E12" si="10">C12-D12-F12</f>
        <v>6</v>
      </c>
      <c r="F12" s="3">
        <f>MIN('1505'!$L$3:$L$5)</f>
        <v>1</v>
      </c>
      <c r="P12" s="82" t="s">
        <v>68</v>
      </c>
      <c r="Q12" s="72">
        <f t="shared" si="3"/>
        <v>29</v>
      </c>
      <c r="R12" s="73">
        <f>Table1[[#This Row],[Points]]/($Q$5-Table1[[#This Row],[Missed Games]])</f>
        <v>1.9333333333333333</v>
      </c>
      <c r="S12" s="74">
        <f t="shared" si="4"/>
        <v>9</v>
      </c>
      <c r="T12" s="75">
        <f>Table1[[#This Row],[Finishes]]/($Q$5-Table1[[#This Row],[Missed Games]])</f>
        <v>0.6</v>
      </c>
      <c r="U12" s="74">
        <f t="shared" si="5"/>
        <v>12</v>
      </c>
      <c r="V12" s="75">
        <f>Table1[[#This Row],[Midranges]]/($Q$5-Table1[[#This Row],[Missed Games]])</f>
        <v>0.8</v>
      </c>
      <c r="W12" s="74">
        <f t="shared" si="6"/>
        <v>4</v>
      </c>
      <c r="X12" s="75">
        <f>Table1[[#This Row],[Threes]]/($Q$5-Table1[[#This Row],[Missed Games]])</f>
        <v>0.26666666666666666</v>
      </c>
      <c r="Y12" s="82" t="s">
        <v>39</v>
      </c>
      <c r="Z12" s="83">
        <f t="shared" si="7"/>
        <v>0</v>
      </c>
      <c r="AA12" s="110">
        <f>1.007842*5.4475%</f>
        <v>5.4902192949999991E-2</v>
      </c>
      <c r="AB12" s="110">
        <f>(Table1[[#This Row],[Averages]]+Table1[[#This Row],[Averages2]]+Table1[[#This Row],[Averages3]])/SUM(Table1[Averages],Table1[Averages2],Table1[Averages3])</f>
        <v>8.3912730760009602E-2</v>
      </c>
      <c r="AC12" s="109">
        <f t="shared" si="8"/>
        <v>2.9010537810009611E-2</v>
      </c>
      <c r="AE12" s="64"/>
      <c r="AH12" s="136" t="s">
        <v>71</v>
      </c>
      <c r="AI12" s="139">
        <f>(T13+V13+X13)/SUM(T$9,V$9,X$9,T$11:T$13,V$11:V$13,X$11:X$13,T$21,V$21,X$21)</f>
        <v>0.13635818748501555</v>
      </c>
      <c r="AJ12" s="6"/>
      <c r="AK12" s="6"/>
      <c r="AL12" s="11"/>
    </row>
    <row r="13" spans="2:38" ht="14.25" customHeight="1" x14ac:dyDescent="0.45">
      <c r="B13" s="36">
        <f>'1605'!$C$2</f>
        <v>45062</v>
      </c>
      <c r="C13" s="3">
        <f>COUNT('1605'!$B$3:$B$35)</f>
        <v>25</v>
      </c>
      <c r="D13" s="3">
        <f>MAX('1605'!$L$3:$L$5)</f>
        <v>13</v>
      </c>
      <c r="E13" s="3">
        <f t="shared" ref="E13" si="11">C13-D13-F13</f>
        <v>7</v>
      </c>
      <c r="F13" s="3">
        <f>MIN('1605'!$L$3:$L$5)</f>
        <v>5</v>
      </c>
      <c r="P13" s="82" t="s">
        <v>71</v>
      </c>
      <c r="Q13" s="72">
        <f t="shared" si="3"/>
        <v>10</v>
      </c>
      <c r="R13" s="73">
        <f>Table1[[#This Row],[Points]]/($Q$5-Table1[[#This Row],[Missed Games]])</f>
        <v>0.83333333333333337</v>
      </c>
      <c r="S13" s="74">
        <f t="shared" si="4"/>
        <v>4</v>
      </c>
      <c r="T13" s="75">
        <f>Table1[[#This Row],[Finishes]]/($Q$5-Table1[[#This Row],[Missed Games]])</f>
        <v>0.33333333333333331</v>
      </c>
      <c r="U13" s="74">
        <f t="shared" si="5"/>
        <v>6</v>
      </c>
      <c r="V13" s="75">
        <f>Table1[[#This Row],[Midranges]]/($Q$5-Table1[[#This Row],[Missed Games]])</f>
        <v>0.5</v>
      </c>
      <c r="W13" s="74">
        <f t="shared" si="6"/>
        <v>0</v>
      </c>
      <c r="X13" s="75">
        <f>Table1[[#This Row],[Threes]]/($Q$5-Table1[[#This Row],[Missed Games]])</f>
        <v>0</v>
      </c>
      <c r="Y13" s="82" t="s">
        <v>39</v>
      </c>
      <c r="Z13" s="83">
        <f t="shared" si="7"/>
        <v>3</v>
      </c>
      <c r="AA13" s="110">
        <f>1.007842*10.1167%</f>
        <v>0.10196035161399998</v>
      </c>
      <c r="AB13" s="110">
        <f>(Table1[[#This Row],[Averages]]+Table1[[#This Row],[Averages2]]+Table1[[#This Row],[Averages3]])/SUM(Table1[Averages],Table1[Averages2],Table1[Averages3])</f>
        <v>4.1956365380004801E-2</v>
      </c>
      <c r="AC13" s="109">
        <f t="shared" si="8"/>
        <v>-6.000398623399518E-2</v>
      </c>
      <c r="AE13" s="64"/>
      <c r="AH13" s="137" t="s">
        <v>75</v>
      </c>
      <c r="AI13" s="140">
        <f>SUM(T14,V14,X14)/SUM(T$14,V$14,X$14,T$15,V$15,X$15,T$19:T$20,V$19:V$20,X$19:X$20,T$22:T$23,V$22:V$23,X$22:X$23)</f>
        <v>0.16531365313653135</v>
      </c>
      <c r="AJ13" s="6"/>
      <c r="AK13" s="6"/>
      <c r="AL13" s="11"/>
    </row>
    <row r="14" spans="2:38" ht="14.25" customHeight="1" x14ac:dyDescent="0.45">
      <c r="B14" s="36">
        <f>'1705'!$C$2</f>
        <v>45063</v>
      </c>
      <c r="C14" s="3">
        <f>COUNT('1705'!$B$3:$B$35)</f>
        <v>13</v>
      </c>
      <c r="D14" s="3">
        <f>MAX('1705'!$L$3:$L$5)</f>
        <v>6</v>
      </c>
      <c r="E14" s="3">
        <f t="shared" ref="E14" si="12">C14-D14-F14</f>
        <v>5</v>
      </c>
      <c r="F14" s="3">
        <f>MIN('1705'!$L$3:$L$5)</f>
        <v>2</v>
      </c>
      <c r="P14" s="84" t="s">
        <v>75</v>
      </c>
      <c r="Q14" s="76">
        <f t="shared" si="3"/>
        <v>25</v>
      </c>
      <c r="R14" s="77">
        <f>Table1[[#This Row],[Points]]/($Q$5-Table1[[#This Row],[Missed Games]])</f>
        <v>1.6666666666666667</v>
      </c>
      <c r="S14" s="78">
        <f t="shared" si="4"/>
        <v>5</v>
      </c>
      <c r="T14" s="79">
        <f>Table1[[#This Row],[Finishes]]/($Q$5-Table1[[#This Row],[Missed Games]])</f>
        <v>0.33333333333333331</v>
      </c>
      <c r="U14" s="78">
        <f t="shared" si="5"/>
        <v>2</v>
      </c>
      <c r="V14" s="79">
        <f>Table1[[#This Row],[Midranges]]/($Q$5-Table1[[#This Row],[Missed Games]])</f>
        <v>0.13333333333333333</v>
      </c>
      <c r="W14" s="78">
        <f t="shared" si="6"/>
        <v>9</v>
      </c>
      <c r="X14" s="79">
        <f>Table1[[#This Row],[Threes]]/($Q$5-Table1[[#This Row],[Missed Games]])</f>
        <v>0.6</v>
      </c>
      <c r="Y14" s="84" t="s">
        <v>57</v>
      </c>
      <c r="Z14" s="85">
        <f t="shared" si="7"/>
        <v>0</v>
      </c>
      <c r="AA14" s="111">
        <f>1.007842*3.8911%</f>
        <v>3.9216140061999999E-2</v>
      </c>
      <c r="AB14" s="111">
        <f>(Table1[[#This Row],[Averages]]+Table1[[#This Row],[Averages2]]+Table1[[#This Row],[Averages3]])/SUM(Table1[Averages],Table1[Averages2],Table1[Averages3])</f>
        <v>5.3704147686406148E-2</v>
      </c>
      <c r="AC14" s="109">
        <f t="shared" si="8"/>
        <v>1.4488007624406149E-2</v>
      </c>
      <c r="AE14" s="64"/>
      <c r="AH14" s="137" t="s">
        <v>78</v>
      </c>
      <c r="AI14" s="140">
        <f>SUM(T15,V15,X15)/SUM(T$14,V$14,X$14,T$15,V$15,X$15,T$19:T$20,V$19:V$20,X$19:X$20,T$22:T$23,V$22:V$23,X$22:X$23)</f>
        <v>0.23763837638376381</v>
      </c>
      <c r="AJ14" s="6"/>
      <c r="AK14" s="6"/>
      <c r="AL14" s="11"/>
    </row>
    <row r="15" spans="2:38" ht="14.25" customHeight="1" x14ac:dyDescent="0.45">
      <c r="B15" s="36">
        <f>'2205'!$C$2</f>
        <v>45068</v>
      </c>
      <c r="C15" s="3">
        <f>COUNT('2205'!$B$3:$B$35)</f>
        <v>15</v>
      </c>
      <c r="D15" s="3">
        <f>MAX('2205'!$L$3:$L$5)</f>
        <v>12</v>
      </c>
      <c r="E15" s="3">
        <f t="shared" ref="E15" si="13">C15-D15-F15</f>
        <v>2</v>
      </c>
      <c r="F15" s="3">
        <f>MIN('2205'!$L$3:$L$5)</f>
        <v>1</v>
      </c>
      <c r="P15" s="84" t="s">
        <v>78</v>
      </c>
      <c r="Q15" s="76">
        <f t="shared" si="3"/>
        <v>23</v>
      </c>
      <c r="R15" s="77">
        <f>Table1[[#This Row],[Points]]/($Q$5-Table1[[#This Row],[Missed Games]])</f>
        <v>1.5333333333333334</v>
      </c>
      <c r="S15" s="78">
        <f t="shared" si="4"/>
        <v>6</v>
      </c>
      <c r="T15" s="79">
        <f>Table1[[#This Row],[Finishes]]/($Q$5-Table1[[#This Row],[Missed Games]])</f>
        <v>0.4</v>
      </c>
      <c r="U15" s="78">
        <f t="shared" si="5"/>
        <v>17</v>
      </c>
      <c r="V15" s="79">
        <f>Table1[[#This Row],[Midranges]]/($Q$5-Table1[[#This Row],[Missed Games]])</f>
        <v>1.1333333333333333</v>
      </c>
      <c r="W15" s="78">
        <f t="shared" si="6"/>
        <v>0</v>
      </c>
      <c r="X15" s="79">
        <f>Table1[[#This Row],[Threes]]/($Q$5-Table1[[#This Row],[Missed Games]])</f>
        <v>0</v>
      </c>
      <c r="Y15" s="84" t="s">
        <v>57</v>
      </c>
      <c r="Z15" s="85">
        <f t="shared" si="7"/>
        <v>0</v>
      </c>
      <c r="AA15" s="111">
        <f>1.007842*12.4514%</f>
        <v>0.12549043878799998</v>
      </c>
      <c r="AB15" s="111">
        <f>(Table1[[#This Row],[Averages]]+Table1[[#This Row],[Averages2]]+Table1[[#This Row],[Averages3]])/SUM(Table1[Averages],Table1[Averages2],Table1[Averages3])</f>
        <v>7.7199712299208842E-2</v>
      </c>
      <c r="AC15" s="109">
        <f t="shared" si="8"/>
        <v>-4.8290726488791139E-2</v>
      </c>
      <c r="AE15" s="64"/>
      <c r="AH15" s="135" t="s">
        <v>80</v>
      </c>
      <c r="AI15" s="138">
        <f>(T16+V16+X16)/SUM($T$8,V$8,X$8,T$10,V$10,X$10,T$16,V$16,X$16,T$17,V$17,X$17,T$18,V$18,X$18)</f>
        <v>0.31620156595061227</v>
      </c>
      <c r="AJ15" s="6"/>
      <c r="AK15" s="6"/>
      <c r="AL15" s="11"/>
    </row>
    <row r="16" spans="2:38" ht="14.25" customHeight="1" x14ac:dyDescent="0.45">
      <c r="B16" s="36">
        <f>'2305'!$C$2</f>
        <v>45069</v>
      </c>
      <c r="C16" s="3">
        <f>COUNT('2305'!$B$3:$B$35)</f>
        <v>16</v>
      </c>
      <c r="D16" s="3">
        <f>MAX('2305'!$L$3:$L$5)</f>
        <v>11</v>
      </c>
      <c r="E16" s="3">
        <f t="shared" ref="E16" si="14">C16-D16-F16</f>
        <v>4</v>
      </c>
      <c r="F16" s="3">
        <f>MIN('2305'!$L$3:$L$5)</f>
        <v>1</v>
      </c>
      <c r="P16" s="80" t="s">
        <v>80</v>
      </c>
      <c r="Q16" s="68">
        <f t="shared" si="3"/>
        <v>30</v>
      </c>
      <c r="R16" s="69">
        <f>Table1[[#This Row],[Points]]/($Q$5-Table1[[#This Row],[Missed Games]])</f>
        <v>2.3076923076923075</v>
      </c>
      <c r="S16" s="70">
        <f t="shared" si="4"/>
        <v>7</v>
      </c>
      <c r="T16" s="71">
        <f>Table1[[#This Row],[Finishes]]/($Q$5-Table1[[#This Row],[Missed Games]])</f>
        <v>0.53846153846153844</v>
      </c>
      <c r="U16" s="70">
        <f t="shared" si="5"/>
        <v>23</v>
      </c>
      <c r="V16" s="71">
        <f>Table1[[#This Row],[Midranges]]/($Q$5-Table1[[#This Row],[Missed Games]])</f>
        <v>1.7692307692307692</v>
      </c>
      <c r="W16" s="70">
        <f t="shared" si="6"/>
        <v>0</v>
      </c>
      <c r="X16" s="71">
        <f>Table1[[#This Row],[Threes]]/($Q$5-Table1[[#This Row],[Missed Games]])</f>
        <v>0</v>
      </c>
      <c r="Y16" s="80" t="s">
        <v>34</v>
      </c>
      <c r="Z16" s="81">
        <f t="shared" si="7"/>
        <v>2</v>
      </c>
      <c r="AA16" s="108">
        <f>1.007842*9.7276%</f>
        <v>9.8038838391999991E-2</v>
      </c>
      <c r="AB16" s="108">
        <f>(Table1[[#This Row],[Averages]]+Table1[[#This Row],[Averages2]]+Table1[[#This Row],[Averages3]])/SUM(Table1[Averages],Table1[Averages2],Table1[Averages3])</f>
        <v>0.11618685797539791</v>
      </c>
      <c r="AC16" s="109">
        <f t="shared" si="8"/>
        <v>1.8148019583397915E-2</v>
      </c>
      <c r="AE16" s="64"/>
      <c r="AH16" s="135" t="s">
        <v>81</v>
      </c>
      <c r="AI16" s="138">
        <f>(T17+V17+X17)/SUM($T$8,V$8,X$8,T$10,V$10,X$10,T$16,V$16,X$16,T$17,V$17,X$17,T$18,V$18,X$18)</f>
        <v>0.11744629592451315</v>
      </c>
      <c r="AJ16" s="6"/>
      <c r="AK16" s="6"/>
      <c r="AL16" s="11"/>
    </row>
    <row r="17" spans="2:38" ht="14.25" customHeight="1" x14ac:dyDescent="0.45">
      <c r="B17" s="36">
        <f>'2405'!$C$2</f>
        <v>45070</v>
      </c>
      <c r="C17" s="3">
        <f>COUNT('2405'!$B$3:$B$35)</f>
        <v>8</v>
      </c>
      <c r="D17" s="3">
        <f>MAX('2405'!$L$3:$L$5)</f>
        <v>4</v>
      </c>
      <c r="E17" s="3">
        <f t="shared" ref="E17" si="15">C17-D17-F17</f>
        <v>4</v>
      </c>
      <c r="F17" s="3">
        <f>MIN('2405'!$L$3:$L$5)</f>
        <v>0</v>
      </c>
      <c r="P17" s="80" t="s">
        <v>81</v>
      </c>
      <c r="Q17" s="68">
        <f t="shared" si="3"/>
        <v>12</v>
      </c>
      <c r="R17" s="69">
        <f>Table1[[#This Row],[Points]]/($Q$5-Table1[[#This Row],[Missed Games]])</f>
        <v>0.8571428571428571</v>
      </c>
      <c r="S17" s="70">
        <f t="shared" si="4"/>
        <v>2</v>
      </c>
      <c r="T17" s="71">
        <f>Table1[[#This Row],[Finishes]]/($Q$5-Table1[[#This Row],[Missed Games]])</f>
        <v>0.14285714285714285</v>
      </c>
      <c r="U17" s="70">
        <f t="shared" si="5"/>
        <v>10</v>
      </c>
      <c r="V17" s="71">
        <f>Table1[[#This Row],[Midranges]]/($Q$5-Table1[[#This Row],[Missed Games]])</f>
        <v>0.7142857142857143</v>
      </c>
      <c r="W17" s="70">
        <f t="shared" si="6"/>
        <v>0</v>
      </c>
      <c r="X17" s="71">
        <f>Table1[[#This Row],[Threes]]/($Q$5-Table1[[#This Row],[Missed Games]])</f>
        <v>0</v>
      </c>
      <c r="Y17" s="80" t="s">
        <v>34</v>
      </c>
      <c r="Z17" s="81">
        <f t="shared" si="7"/>
        <v>1</v>
      </c>
      <c r="AA17" s="108">
        <f>1.007842*1.9455%</f>
        <v>1.9607566109999999E-2</v>
      </c>
      <c r="AB17" s="108">
        <f>(Table1[[#This Row],[Averages]]+Table1[[#This Row],[Averages2]]+Table1[[#This Row],[Averages3]])/SUM(Table1[Averages],Table1[Averages2],Table1[Averages3])</f>
        <v>4.3155118676576378E-2</v>
      </c>
      <c r="AC17" s="109">
        <f t="shared" si="8"/>
        <v>2.3547552566576379E-2</v>
      </c>
      <c r="AE17" s="64"/>
      <c r="AH17" s="135" t="s">
        <v>185</v>
      </c>
      <c r="AI17" s="138">
        <f>(T18+V18+X18)/SUM($T$8,V$8,X$8,T$10,V$10,X$10,T$16,V$16,X$16,T$17,V$17,X$17,T$18,V$18,X$18)</f>
        <v>0.13702067857859865</v>
      </c>
      <c r="AJ17" s="6"/>
      <c r="AK17" s="6"/>
      <c r="AL17" s="11"/>
    </row>
    <row r="18" spans="2:38" ht="14.25" customHeight="1" x14ac:dyDescent="0.45">
      <c r="B18" s="36"/>
      <c r="C18" s="3"/>
      <c r="D18" s="3"/>
      <c r="E18" s="3"/>
      <c r="F18" s="3"/>
      <c r="P18" s="80" t="s">
        <v>185</v>
      </c>
      <c r="Q18" s="68">
        <f t="shared" si="3"/>
        <v>16</v>
      </c>
      <c r="R18" s="69">
        <f>Table1[[#This Row],[Points]]/($Q$5-Table1[[#This Row],[Missed Games]])</f>
        <v>1.2307692307692308</v>
      </c>
      <c r="S18" s="70">
        <f t="shared" si="4"/>
        <v>8</v>
      </c>
      <c r="T18" s="71">
        <f>Table1[[#This Row],[Finishes]]/($Q$5-Table1[[#This Row],[Missed Games]])</f>
        <v>0.61538461538461542</v>
      </c>
      <c r="U18" s="70">
        <f t="shared" si="5"/>
        <v>2</v>
      </c>
      <c r="V18" s="71">
        <f>Table1[[#This Row],[Midranges]]/($Q$5-Table1[[#This Row],[Missed Games]])</f>
        <v>0.15384615384615385</v>
      </c>
      <c r="W18" s="70">
        <f t="shared" si="6"/>
        <v>3</v>
      </c>
      <c r="X18" s="71">
        <f>Table1[[#This Row],[Threes]]/($Q$5-Table1[[#This Row],[Missed Games]])</f>
        <v>0.23076923076923078</v>
      </c>
      <c r="Y18" s="80" t="s">
        <v>34</v>
      </c>
      <c r="Z18" s="81">
        <f t="shared" si="7"/>
        <v>2</v>
      </c>
      <c r="AA18" s="108">
        <f>1.007842*3.8911%</f>
        <v>3.9216140061999999E-2</v>
      </c>
      <c r="AB18" s="108">
        <f>(Table1[[#This Row],[Averages]]+Table1[[#This Row],[Averages2]]+Table1[[#This Row],[Averages3]])/SUM(Table1[Averages],Table1[Averages2],Table1[Averages3])</f>
        <v>5.0347638456005768E-2</v>
      </c>
      <c r="AC18" s="109">
        <f t="shared" si="8"/>
        <v>1.1131498394005769E-2</v>
      </c>
      <c r="AE18" s="64"/>
      <c r="AH18" s="137" t="s">
        <v>184</v>
      </c>
      <c r="AI18" s="140">
        <f>SUM(T19,V19,X19)/SUM(T$14,V$14,X$14,T$15,V$15,X$15,T$19:T$20,V$19:V$20,X$19:X$20,T$22:T$23,V$22:V$23,X$22:X$23)</f>
        <v>0.14464944649446496</v>
      </c>
      <c r="AJ18" s="6"/>
      <c r="AK18" s="6"/>
      <c r="AL18" s="11"/>
    </row>
    <row r="19" spans="2:38" ht="14.25" customHeight="1" x14ac:dyDescent="0.45">
      <c r="B19" s="4"/>
      <c r="P19" s="84" t="s">
        <v>184</v>
      </c>
      <c r="Q19" s="76">
        <f t="shared" si="3"/>
        <v>14</v>
      </c>
      <c r="R19" s="77">
        <f>Table1[[#This Row],[Points]]/($Q$5-Table1[[#This Row],[Missed Games]])</f>
        <v>0.93333333333333335</v>
      </c>
      <c r="S19" s="78">
        <f t="shared" si="4"/>
        <v>7</v>
      </c>
      <c r="T19" s="79">
        <f>Table1[[#This Row],[Finishes]]/($Q$5-Table1[[#This Row],[Missed Games]])</f>
        <v>0.46666666666666667</v>
      </c>
      <c r="U19" s="78">
        <f t="shared" si="5"/>
        <v>7</v>
      </c>
      <c r="V19" s="79">
        <f>Table1[[#This Row],[Midranges]]/($Q$5-Table1[[#This Row],[Missed Games]])</f>
        <v>0.46666666666666667</v>
      </c>
      <c r="W19" s="78">
        <f t="shared" si="6"/>
        <v>0</v>
      </c>
      <c r="X19" s="79">
        <f>Table1[[#This Row],[Threes]]/($Q$5-Table1[[#This Row],[Missed Games]])</f>
        <v>0</v>
      </c>
      <c r="Y19" s="84" t="s">
        <v>57</v>
      </c>
      <c r="Z19" s="85">
        <f t="shared" si="7"/>
        <v>0</v>
      </c>
      <c r="AA19" s="111">
        <f>1.007842*3.8911%</f>
        <v>3.9216140061999999E-2</v>
      </c>
      <c r="AB19" s="111">
        <f>(Table1[[#This Row],[Averages]]+Table1[[#This Row],[Averages2]]+Table1[[#This Row],[Averages3]])/SUM(Table1[Averages],Table1[Averages2],Table1[Averages3])</f>
        <v>4.6991129225605381E-2</v>
      </c>
      <c r="AC19" s="109">
        <f t="shared" si="8"/>
        <v>7.7749891636053822E-3</v>
      </c>
      <c r="AE19" s="64"/>
      <c r="AH19" s="137" t="s">
        <v>85</v>
      </c>
      <c r="AI19" s="140">
        <f>SUM(T20,V20,X20)/SUM(T$14,V$14,X$14,T$15,V$15,X$15,T$19:T$20,V$19:V$20,X$19:X$20,T$22:T$23,V$22:V$23,X$22:X$23)</f>
        <v>0.33579335793357928</v>
      </c>
      <c r="AJ19" s="6"/>
      <c r="AK19" s="6"/>
      <c r="AL19" s="11"/>
    </row>
    <row r="20" spans="2:38" ht="14.25" customHeight="1" x14ac:dyDescent="0.45">
      <c r="B20" s="4"/>
      <c r="P20" s="84" t="s">
        <v>85</v>
      </c>
      <c r="Q20" s="76">
        <f t="shared" si="3"/>
        <v>29</v>
      </c>
      <c r="R20" s="77">
        <f>Table1[[#This Row],[Points]]/($Q$5-Table1[[#This Row],[Missed Games]])</f>
        <v>2.4166666666666665</v>
      </c>
      <c r="S20" s="78">
        <f t="shared" si="4"/>
        <v>19</v>
      </c>
      <c r="T20" s="79">
        <f>Table1[[#This Row],[Finishes]]/($Q$5-Table1[[#This Row],[Missed Games]])</f>
        <v>1.5833333333333333</v>
      </c>
      <c r="U20" s="78">
        <f t="shared" si="5"/>
        <v>4</v>
      </c>
      <c r="V20" s="79">
        <f>Table1[[#This Row],[Midranges]]/($Q$5-Table1[[#This Row],[Missed Games]])</f>
        <v>0.33333333333333331</v>
      </c>
      <c r="W20" s="78">
        <f t="shared" si="6"/>
        <v>3</v>
      </c>
      <c r="X20" s="79">
        <f>Table1[[#This Row],[Threes]]/($Q$5-Table1[[#This Row],[Missed Games]])</f>
        <v>0.25</v>
      </c>
      <c r="Y20" s="84" t="s">
        <v>57</v>
      </c>
      <c r="Z20" s="85">
        <f t="shared" si="7"/>
        <v>3</v>
      </c>
      <c r="AA20" s="111">
        <f>1.007842*12.8405%</f>
        <v>0.12941195200999997</v>
      </c>
      <c r="AB20" s="111">
        <f>(Table1[[#This Row],[Averages]]+Table1[[#This Row],[Averages2]]+Table1[[#This Row],[Averages3]])/SUM(Table1[Averages],Table1[Averages2],Table1[Averages3])</f>
        <v>0.10908654998801248</v>
      </c>
      <c r="AC20" s="109">
        <f t="shared" si="8"/>
        <v>-2.0325402021987488E-2</v>
      </c>
      <c r="AE20" s="64"/>
      <c r="AH20" s="136" t="s">
        <v>86</v>
      </c>
      <c r="AI20" s="139">
        <f>(T21+V21+X21)/SUM(T$9,V$9,X$9,T$11:T$13,V$11:V$13,X$11:X$13,T$21,V$21,X$21)</f>
        <v>2.181730999760249E-2</v>
      </c>
      <c r="AJ20" s="6"/>
      <c r="AK20" s="6"/>
      <c r="AL20" s="11"/>
    </row>
    <row r="21" spans="2:38" ht="14.25" customHeight="1" x14ac:dyDescent="0.45">
      <c r="B21" s="4"/>
      <c r="P21" s="82" t="s">
        <v>86</v>
      </c>
      <c r="Q21" s="72">
        <f t="shared" si="3"/>
        <v>2</v>
      </c>
      <c r="R21" s="73">
        <f>Table1[[#This Row],[Points]]/($Q$5-Table1[[#This Row],[Missed Games]])</f>
        <v>0.13333333333333333</v>
      </c>
      <c r="S21" s="74">
        <f t="shared" si="4"/>
        <v>2</v>
      </c>
      <c r="T21" s="75">
        <f>Table1[[#This Row],[Finishes]]/($Q$5-Table1[[#This Row],[Missed Games]])</f>
        <v>0.13333333333333333</v>
      </c>
      <c r="U21" s="74">
        <f t="shared" si="5"/>
        <v>0</v>
      </c>
      <c r="V21" s="75">
        <f>Table1[[#This Row],[Midranges]]/($Q$5-Table1[[#This Row],[Missed Games]])</f>
        <v>0</v>
      </c>
      <c r="W21" s="74">
        <f t="shared" si="6"/>
        <v>0</v>
      </c>
      <c r="X21" s="75">
        <f>Table1[[#This Row],[Threes]]/($Q$5-Table1[[#This Row],[Missed Games]])</f>
        <v>0</v>
      </c>
      <c r="Y21" s="82" t="s">
        <v>39</v>
      </c>
      <c r="Z21" s="83">
        <f t="shared" si="7"/>
        <v>0</v>
      </c>
      <c r="AA21" s="110">
        <f>1.007842*2.7237%</f>
        <v>2.7450592553999998E-2</v>
      </c>
      <c r="AB21" s="110">
        <f>(Table1[[#This Row],[Averages]]+Table1[[#This Row],[Averages2]]+Table1[[#This Row],[Averages3]])/SUM(Table1[Averages],Table1[Averages2],Table1[Averages3])</f>
        <v>6.7130184608007685E-3</v>
      </c>
      <c r="AC21" s="109">
        <f t="shared" si="8"/>
        <v>-2.0737574093199228E-2</v>
      </c>
      <c r="AE21" s="64"/>
      <c r="AH21" s="137" t="s">
        <v>87</v>
      </c>
      <c r="AI21" s="140">
        <f>SUM(T22,V22,X22)/SUM(T$14,V$14,X$14,T$15,V$15,X$15,T$19:T$20,V$19:V$20,X$19:X$20,T$22:T$23,V$22:V$23,X$22:X$23)</f>
        <v>7.2324723247232478E-2</v>
      </c>
      <c r="AJ21" s="6"/>
      <c r="AK21" s="6"/>
      <c r="AL21" s="11"/>
    </row>
    <row r="22" spans="2:38" ht="14.25" customHeight="1" x14ac:dyDescent="0.45">
      <c r="P22" s="84" t="s">
        <v>87</v>
      </c>
      <c r="Q22" s="76">
        <f t="shared" si="3"/>
        <v>7</v>
      </c>
      <c r="R22" s="77">
        <f>Table1[[#This Row],[Points]]/($Q$5-Table1[[#This Row],[Missed Games]])</f>
        <v>0.46666666666666667</v>
      </c>
      <c r="S22" s="78">
        <f t="shared" si="4"/>
        <v>4</v>
      </c>
      <c r="T22" s="79">
        <f>Table1[[#This Row],[Finishes]]/($Q$5-Table1[[#This Row],[Missed Games]])</f>
        <v>0.26666666666666666</v>
      </c>
      <c r="U22" s="78">
        <f t="shared" si="5"/>
        <v>3</v>
      </c>
      <c r="V22" s="79">
        <f>Table1[[#This Row],[Midranges]]/($Q$5-Table1[[#This Row],[Missed Games]])</f>
        <v>0.2</v>
      </c>
      <c r="W22" s="78">
        <f t="shared" si="6"/>
        <v>0</v>
      </c>
      <c r="X22" s="79">
        <f>Table1[[#This Row],[Threes]]/($Q$5-Table1[[#This Row],[Missed Games]])</f>
        <v>0</v>
      </c>
      <c r="Y22" s="84" t="s">
        <v>57</v>
      </c>
      <c r="Z22" s="85">
        <f t="shared" si="7"/>
        <v>0</v>
      </c>
      <c r="AA22" s="111">
        <f>1.007842*2.3346%</f>
        <v>2.3529079331999995E-2</v>
      </c>
      <c r="AB22" s="111">
        <f>(Table1[[#This Row],[Averages]]+Table1[[#This Row],[Averages2]]+Table1[[#This Row],[Averages3]])/SUM(Table1[Averages],Table1[Averages2],Table1[Averages3])</f>
        <v>2.3495564612802691E-2</v>
      </c>
      <c r="AC22" s="109">
        <f t="shared" si="8"/>
        <v>-3.3514719197304255E-5</v>
      </c>
      <c r="AE22" s="64"/>
      <c r="AH22" s="137" t="s">
        <v>107</v>
      </c>
      <c r="AI22" s="140">
        <f>SUM(T23,V23,X23)/SUM(T$14,V$14,X$14,T$15,V$15,X$15,T$19:T$20,V$19:V$20,X$19:X$20,T$22:T$23,V$22:V$23,X$22:X$23)</f>
        <v>4.4280442804428041E-2</v>
      </c>
      <c r="AJ22" s="6"/>
      <c r="AK22" s="6"/>
      <c r="AL22" s="11"/>
    </row>
    <row r="23" spans="2:38" ht="14.25" customHeight="1" x14ac:dyDescent="0.45">
      <c r="P23" s="86" t="s">
        <v>107</v>
      </c>
      <c r="Q23" s="76">
        <f t="shared" si="3"/>
        <v>4</v>
      </c>
      <c r="R23" s="77">
        <f>Table1[[#This Row],[Points]]/($Q$5-Table1[[#This Row],[Missed Games]])</f>
        <v>0.2857142857142857</v>
      </c>
      <c r="S23" s="78">
        <f t="shared" si="4"/>
        <v>3</v>
      </c>
      <c r="T23" s="79">
        <f>Table1[[#This Row],[Finishes]]/($Q$5-Table1[[#This Row],[Missed Games]])</f>
        <v>0.21428571428571427</v>
      </c>
      <c r="U23" s="78">
        <f t="shared" si="5"/>
        <v>1</v>
      </c>
      <c r="V23" s="79">
        <f>Table1[[#This Row],[Midranges]]/($Q$5-Table1[[#This Row],[Missed Games]])</f>
        <v>7.1428571428571425E-2</v>
      </c>
      <c r="W23" s="78">
        <f t="shared" si="6"/>
        <v>0</v>
      </c>
      <c r="X23" s="79">
        <f>Table1[[#This Row],[Threes]]/($Q$5-Table1[[#This Row],[Missed Games]])</f>
        <v>0</v>
      </c>
      <c r="Y23" s="86" t="s">
        <v>57</v>
      </c>
      <c r="Z23" s="85">
        <f t="shared" si="7"/>
        <v>1</v>
      </c>
      <c r="AA23" s="111">
        <f>1.007842*1.1673%</f>
        <v>1.1764539665999997E-2</v>
      </c>
      <c r="AB23" s="111">
        <f>(Table1[[#This Row],[Averages]]+Table1[[#This Row],[Averages2]]+Table1[[#This Row],[Averages3]])/SUM(Table1[Averages],Table1[Averages2],Table1[Averages3])</f>
        <v>1.438503955885879E-2</v>
      </c>
      <c r="AC23" s="109">
        <f t="shared" si="8"/>
        <v>2.6204998928587922E-3</v>
      </c>
      <c r="AE23" s="64"/>
      <c r="AI23" s="66"/>
      <c r="AJ23" s="6"/>
      <c r="AK23" s="6"/>
      <c r="AL23" s="11"/>
    </row>
    <row r="24" spans="2:38" ht="14.25" customHeight="1" x14ac:dyDescent="0.45">
      <c r="R24" s="7"/>
      <c r="V24" s="7"/>
      <c r="Z24" s="7"/>
      <c r="AB24" s="106"/>
      <c r="AC24" s="107"/>
      <c r="AD24" s="7"/>
      <c r="AJ24" s="6"/>
      <c r="AK24" s="6"/>
      <c r="AL24" s="11"/>
    </row>
    <row r="25" spans="2:38" ht="14.25" customHeight="1" x14ac:dyDescent="0.45">
      <c r="R25" s="41"/>
    </row>
    <row r="26" spans="2:38" ht="14.25" customHeight="1" x14ac:dyDescent="0.45">
      <c r="P26" s="3" t="s">
        <v>173</v>
      </c>
      <c r="Q26" s="1">
        <v>2</v>
      </c>
      <c r="AA26" s="3" t="s">
        <v>213</v>
      </c>
      <c r="AB26" s="24">
        <v>3</v>
      </c>
      <c r="AC26" s="40"/>
      <c r="AD26" s="40"/>
      <c r="AE26" s="40"/>
      <c r="AF26" s="40"/>
      <c r="AG26" s="40"/>
      <c r="AH26" s="40"/>
      <c r="AI26" s="40"/>
      <c r="AJ26" s="40"/>
    </row>
    <row r="27" spans="2:38" ht="14.25" customHeight="1" x14ac:dyDescent="0.45">
      <c r="Y27" s="5"/>
      <c r="AA27" s="40"/>
      <c r="AB27" s="40"/>
      <c r="AC27" s="40"/>
      <c r="AD27" s="40"/>
      <c r="AE27" s="40"/>
      <c r="AF27" s="40"/>
      <c r="AG27" s="40"/>
      <c r="AH27" s="40"/>
      <c r="AI27" s="40"/>
      <c r="AJ27" s="5"/>
    </row>
    <row r="28" spans="2:38" ht="14.25" customHeight="1" x14ac:dyDescent="0.45">
      <c r="H28" s="5"/>
      <c r="I28" s="5" t="s">
        <v>138</v>
      </c>
      <c r="J28" s="5"/>
      <c r="K28" s="5"/>
      <c r="L28" s="5"/>
      <c r="M28" s="5"/>
      <c r="N28" s="5"/>
      <c r="P28" s="31" t="s">
        <v>97</v>
      </c>
      <c r="Q28" s="32" t="s">
        <v>8</v>
      </c>
      <c r="R28" s="31" t="s">
        <v>98</v>
      </c>
      <c r="S28" s="33" t="s">
        <v>9</v>
      </c>
      <c r="T28" s="34" t="s">
        <v>93</v>
      </c>
      <c r="U28" s="35" t="s">
        <v>10</v>
      </c>
      <c r="V28" s="34" t="s">
        <v>93</v>
      </c>
      <c r="W28" s="33" t="s">
        <v>11</v>
      </c>
      <c r="X28" s="34" t="s">
        <v>93</v>
      </c>
      <c r="Y28" s="5" t="s">
        <v>160</v>
      </c>
      <c r="AA28" s="31" t="s">
        <v>97</v>
      </c>
      <c r="AB28" s="32" t="s">
        <v>8</v>
      </c>
      <c r="AC28" s="31" t="s">
        <v>98</v>
      </c>
      <c r="AD28" s="33" t="s">
        <v>9</v>
      </c>
      <c r="AE28" s="34" t="s">
        <v>93</v>
      </c>
      <c r="AF28" s="35" t="s">
        <v>10</v>
      </c>
      <c r="AG28" s="34" t="s">
        <v>93</v>
      </c>
      <c r="AH28" s="33" t="s">
        <v>11</v>
      </c>
      <c r="AI28" s="34" t="s">
        <v>93</v>
      </c>
      <c r="AJ28" s="5" t="s">
        <v>160</v>
      </c>
    </row>
    <row r="29" spans="2:38" ht="14.25" customHeight="1" x14ac:dyDescent="0.45">
      <c r="H29" s="5"/>
      <c r="I29" t="s">
        <v>139</v>
      </c>
      <c r="N29" s="43"/>
      <c r="O29" s="43"/>
      <c r="P29" s="30" t="s">
        <v>55</v>
      </c>
      <c r="Q29" s="44">
        <f>'2404'!$R$3+'2604'!$R$3</f>
        <v>1</v>
      </c>
      <c r="R29" s="29">
        <f>Q29/(Q$26-Y29)</f>
        <v>0.5</v>
      </c>
      <c r="S29" s="27">
        <f>'2404'!$S$3+'2604'!$S$3</f>
        <v>0</v>
      </c>
      <c r="T29" s="28">
        <f>S29/($Q$26-Y29)</f>
        <v>0</v>
      </c>
      <c r="U29" s="27">
        <f>'2404'!$T$3+'2604'!$T$3</f>
        <v>1</v>
      </c>
      <c r="V29" s="28">
        <f>U29/($Q$26-Y29)</f>
        <v>0.5</v>
      </c>
      <c r="W29" s="27">
        <f>'2404'!$U$3+'2604'!$U$3</f>
        <v>0</v>
      </c>
      <c r="X29" s="28">
        <f>W29/($Q$26-Y29)</f>
        <v>0</v>
      </c>
      <c r="Y29">
        <v>0</v>
      </c>
      <c r="AA29" s="30" t="s">
        <v>55</v>
      </c>
      <c r="AB29" s="44">
        <f>'1505'!$R3+'1605'!$R3+'1705'!$R3</f>
        <v>2</v>
      </c>
      <c r="AC29" s="29">
        <f>AB29/(AB$26-AJ29)</f>
        <v>0.66666666666666663</v>
      </c>
      <c r="AD29" s="27">
        <f>'1505'!$S3+'1605'!$S3+'1705'!$S3</f>
        <v>0</v>
      </c>
      <c r="AE29" s="28">
        <f>AD29/($Q$26-AJ29)</f>
        <v>0</v>
      </c>
      <c r="AF29" s="27">
        <f>'1505'!$T3+'1605'!$T3+'1705'!$T3</f>
        <v>2</v>
      </c>
      <c r="AG29" s="28">
        <f>AF29/($Q$26-AJ29)</f>
        <v>1</v>
      </c>
      <c r="AH29" s="27">
        <f>'1505'!$U3+'1605'!$U3+'1705'!$U3</f>
        <v>0</v>
      </c>
      <c r="AI29" s="28">
        <f>AH29/($Q$26-AJ29)</f>
        <v>0</v>
      </c>
      <c r="AJ29" s="40">
        <v>0</v>
      </c>
    </row>
    <row r="30" spans="2:38" ht="14.25" customHeight="1" x14ac:dyDescent="0.45">
      <c r="H30" s="5"/>
      <c r="I30" t="s">
        <v>140</v>
      </c>
      <c r="P30" s="30" t="s">
        <v>59</v>
      </c>
      <c r="Q30" s="44">
        <f>'2404'!R4+'2604'!R4</f>
        <v>0</v>
      </c>
      <c r="R30" s="29">
        <f t="shared" ref="R30:R44" si="16">Q30/(Q$26-Y30)</f>
        <v>0</v>
      </c>
      <c r="S30" s="27">
        <f>'2404'!S4+'2604'!S4</f>
        <v>0</v>
      </c>
      <c r="T30" s="28">
        <f t="shared" ref="T30:T44" si="17">S30/($Q$26-Y30)</f>
        <v>0</v>
      </c>
      <c r="U30" s="27">
        <f>'2404'!T4+'2604'!T4</f>
        <v>0</v>
      </c>
      <c r="V30" s="28">
        <f t="shared" ref="V30:V44" si="18">U30/($Q$26-Y30)</f>
        <v>0</v>
      </c>
      <c r="W30" s="27">
        <f>'2404'!U4+'2604'!U4</f>
        <v>0</v>
      </c>
      <c r="X30" s="28">
        <f t="shared" ref="X30:X44" si="19">W30/($Q$26-Y30)</f>
        <v>0</v>
      </c>
      <c r="Y30" s="40">
        <v>1</v>
      </c>
      <c r="AA30" s="30" t="s">
        <v>59</v>
      </c>
      <c r="AB30" s="44">
        <f>'1505'!$R4+'1605'!$R4+'1705'!$R4</f>
        <v>3</v>
      </c>
      <c r="AC30" s="29">
        <f t="shared" ref="AC30:AC44" si="20">AB30/(AB$26-AJ30)</f>
        <v>1</v>
      </c>
      <c r="AD30" s="27">
        <f>'1505'!$S4+'1605'!$S4+'1705'!$S4</f>
        <v>0</v>
      </c>
      <c r="AE30" s="28">
        <f t="shared" ref="AE30:AE44" si="21">AD30/($Q$26-AJ30)</f>
        <v>0</v>
      </c>
      <c r="AF30" s="27">
        <f>'1505'!$T4+'1605'!$T4+'1705'!$T4</f>
        <v>3</v>
      </c>
      <c r="AG30" s="28">
        <f t="shared" ref="AG30:AG44" si="22">AF30/($Q$26-AJ30)</f>
        <v>1.5</v>
      </c>
      <c r="AH30" s="27">
        <f>'1505'!$U4+'1605'!$U4+'1705'!$U4</f>
        <v>0</v>
      </c>
      <c r="AI30" s="28">
        <f t="shared" ref="AI30:AI44" si="23">AH30/($Q$26-AJ30)</f>
        <v>0</v>
      </c>
      <c r="AJ30" s="40">
        <v>0</v>
      </c>
    </row>
    <row r="31" spans="2:38" ht="14.25" customHeight="1" x14ac:dyDescent="0.45">
      <c r="H31" s="5"/>
      <c r="I31" t="s">
        <v>141</v>
      </c>
      <c r="P31" s="30" t="s">
        <v>62</v>
      </c>
      <c r="Q31" s="44">
        <f>'2404'!R5+'2604'!R5</f>
        <v>3</v>
      </c>
      <c r="R31" s="29">
        <f t="shared" si="16"/>
        <v>1.5</v>
      </c>
      <c r="S31" s="27">
        <f>'2404'!S5+'2604'!S5</f>
        <v>3</v>
      </c>
      <c r="T31" s="28">
        <f t="shared" si="17"/>
        <v>1.5</v>
      </c>
      <c r="U31" s="27">
        <f>'2404'!T5+'2604'!T5</f>
        <v>0</v>
      </c>
      <c r="V31" s="28">
        <f t="shared" si="18"/>
        <v>0</v>
      </c>
      <c r="W31" s="27">
        <f>'2404'!U5+'2604'!U5</f>
        <v>0</v>
      </c>
      <c r="X31" s="28">
        <f t="shared" si="19"/>
        <v>0</v>
      </c>
      <c r="Y31" s="40">
        <v>0</v>
      </c>
      <c r="AA31" s="30" t="s">
        <v>62</v>
      </c>
      <c r="AB31" s="44">
        <f>'1505'!$R5+'1605'!$R5+'1705'!$R5</f>
        <v>5</v>
      </c>
      <c r="AC31" s="29">
        <f t="shared" si="20"/>
        <v>2.5</v>
      </c>
      <c r="AD31" s="27">
        <f>'1505'!$S5+'1605'!$S5+'1705'!$S5</f>
        <v>5</v>
      </c>
      <c r="AE31" s="28">
        <f t="shared" si="21"/>
        <v>5</v>
      </c>
      <c r="AF31" s="27">
        <f>'1505'!$T5+'1605'!$T5+'1705'!$T5</f>
        <v>0</v>
      </c>
      <c r="AG31" s="28">
        <f t="shared" si="22"/>
        <v>0</v>
      </c>
      <c r="AH31" s="27">
        <f>'1505'!$U5+'1605'!$U5+'1705'!$U5</f>
        <v>0</v>
      </c>
      <c r="AI31" s="28">
        <f t="shared" si="23"/>
        <v>0</v>
      </c>
      <c r="AJ31" s="40">
        <v>1</v>
      </c>
    </row>
    <row r="32" spans="2:38" ht="14.25" customHeight="1" x14ac:dyDescent="0.45">
      <c r="I32" t="s">
        <v>142</v>
      </c>
      <c r="N32" s="42"/>
      <c r="P32" s="30" t="s">
        <v>65</v>
      </c>
      <c r="Q32" s="44">
        <f>'2404'!R6+'2604'!R6</f>
        <v>3</v>
      </c>
      <c r="R32" s="29">
        <f t="shared" si="16"/>
        <v>1.5</v>
      </c>
      <c r="S32" s="27">
        <f>'2404'!S6+'2604'!S6</f>
        <v>3</v>
      </c>
      <c r="T32" s="28">
        <f t="shared" si="17"/>
        <v>1.5</v>
      </c>
      <c r="U32" s="27">
        <f>'2404'!T6+'2604'!T6</f>
        <v>0</v>
      </c>
      <c r="V32" s="28">
        <f t="shared" si="18"/>
        <v>0</v>
      </c>
      <c r="W32" s="27">
        <f>'2404'!U6+'2604'!U6</f>
        <v>0</v>
      </c>
      <c r="X32" s="28">
        <f t="shared" si="19"/>
        <v>0</v>
      </c>
      <c r="Y32" s="40">
        <v>0</v>
      </c>
      <c r="AA32" s="30" t="s">
        <v>65</v>
      </c>
      <c r="AB32" s="44">
        <f>'1505'!$R6+'1605'!$R6+'1705'!$R6</f>
        <v>10</v>
      </c>
      <c r="AC32" s="29">
        <f t="shared" si="20"/>
        <v>3.3333333333333335</v>
      </c>
      <c r="AD32" s="27">
        <f>'1505'!$S6+'1605'!$S6+'1705'!$S6</f>
        <v>9</v>
      </c>
      <c r="AE32" s="28">
        <f t="shared" si="21"/>
        <v>4.5</v>
      </c>
      <c r="AF32" s="27">
        <f>'1505'!$T6+'1605'!$T6+'1705'!$T6</f>
        <v>1</v>
      </c>
      <c r="AG32" s="28">
        <f t="shared" si="22"/>
        <v>0.5</v>
      </c>
      <c r="AH32" s="27">
        <f>'1505'!$U6+'1605'!$U6+'1705'!$U6</f>
        <v>0</v>
      </c>
      <c r="AI32" s="28">
        <f t="shared" si="23"/>
        <v>0</v>
      </c>
      <c r="AJ32" s="40">
        <v>0</v>
      </c>
    </row>
    <row r="33" spans="8:36" ht="14.25" customHeight="1" x14ac:dyDescent="0.45">
      <c r="I33" t="s">
        <v>143</v>
      </c>
      <c r="P33" s="30" t="s">
        <v>68</v>
      </c>
      <c r="Q33" s="44">
        <f>'2404'!R7+'2604'!R7</f>
        <v>1</v>
      </c>
      <c r="R33" s="29">
        <f t="shared" si="16"/>
        <v>0.5</v>
      </c>
      <c r="S33" s="27">
        <f>'2404'!S7+'2604'!S7</f>
        <v>1</v>
      </c>
      <c r="T33" s="28">
        <f t="shared" si="17"/>
        <v>0.5</v>
      </c>
      <c r="U33" s="27">
        <f>'2404'!T7+'2604'!T7</f>
        <v>0</v>
      </c>
      <c r="V33" s="28">
        <f t="shared" si="18"/>
        <v>0</v>
      </c>
      <c r="W33" s="27">
        <f>'2404'!U7+'2604'!U7</f>
        <v>0</v>
      </c>
      <c r="X33" s="28">
        <f t="shared" si="19"/>
        <v>0</v>
      </c>
      <c r="Y33" s="40">
        <v>0</v>
      </c>
      <c r="AA33" s="30" t="s">
        <v>68</v>
      </c>
      <c r="AB33" s="44">
        <f>'1505'!$R7+'1605'!$R7+'1705'!$R7</f>
        <v>9</v>
      </c>
      <c r="AC33" s="29">
        <f t="shared" si="20"/>
        <v>3</v>
      </c>
      <c r="AD33" s="27">
        <f>'1505'!$S7+'1605'!$S7+'1705'!$S7</f>
        <v>3</v>
      </c>
      <c r="AE33" s="28">
        <f t="shared" si="21"/>
        <v>1.5</v>
      </c>
      <c r="AF33" s="27">
        <f>'1505'!$T7+'1605'!$T7+'1705'!$T7</f>
        <v>0</v>
      </c>
      <c r="AG33" s="28">
        <f t="shared" si="22"/>
        <v>0</v>
      </c>
      <c r="AH33" s="27">
        <f>'1505'!$U7+'1605'!$U7+'1705'!$U7</f>
        <v>3</v>
      </c>
      <c r="AI33" s="28">
        <f t="shared" si="23"/>
        <v>1.5</v>
      </c>
      <c r="AJ33" s="40">
        <v>0</v>
      </c>
    </row>
    <row r="34" spans="8:36" ht="14.25" customHeight="1" x14ac:dyDescent="0.45">
      <c r="I34" t="s">
        <v>144</v>
      </c>
      <c r="P34" s="30" t="s">
        <v>71</v>
      </c>
      <c r="Q34" s="44">
        <f>'2404'!R8+'2604'!R8</f>
        <v>2</v>
      </c>
      <c r="R34" s="29">
        <f t="shared" si="16"/>
        <v>1</v>
      </c>
      <c r="S34" s="27">
        <f>'2404'!S8+'2604'!S8</f>
        <v>2</v>
      </c>
      <c r="T34" s="28">
        <f t="shared" si="17"/>
        <v>1</v>
      </c>
      <c r="U34" s="27">
        <f>'2404'!T8+'2604'!T8</f>
        <v>0</v>
      </c>
      <c r="V34" s="28">
        <f t="shared" si="18"/>
        <v>0</v>
      </c>
      <c r="W34" s="27">
        <f>'2404'!U8+'2604'!U8</f>
        <v>0</v>
      </c>
      <c r="X34" s="28">
        <f t="shared" si="19"/>
        <v>0</v>
      </c>
      <c r="Y34" s="40">
        <v>0</v>
      </c>
      <c r="AA34" s="30" t="s">
        <v>71</v>
      </c>
      <c r="AB34" s="44">
        <f>'1505'!$R8+'1605'!$R8+'1705'!$R8</f>
        <v>2</v>
      </c>
      <c r="AC34" s="29">
        <f t="shared" si="20"/>
        <v>0.66666666666666663</v>
      </c>
      <c r="AD34" s="27">
        <f>'1505'!$S8+'1605'!$S8+'1705'!$S8</f>
        <v>1</v>
      </c>
      <c r="AE34" s="28">
        <f t="shared" si="21"/>
        <v>0.5</v>
      </c>
      <c r="AF34" s="27">
        <f>'1505'!$T8+'1605'!$T8+'1705'!$T8</f>
        <v>1</v>
      </c>
      <c r="AG34" s="28">
        <f t="shared" si="22"/>
        <v>0.5</v>
      </c>
      <c r="AH34" s="27">
        <f>'1505'!$U8+'1605'!$U8+'1705'!$U8</f>
        <v>0</v>
      </c>
      <c r="AI34" s="28">
        <f t="shared" si="23"/>
        <v>0</v>
      </c>
      <c r="AJ34" s="40">
        <v>0</v>
      </c>
    </row>
    <row r="35" spans="8:36" ht="14.25" customHeight="1" x14ac:dyDescent="0.45">
      <c r="I35" t="s">
        <v>168</v>
      </c>
      <c r="P35" s="30" t="s">
        <v>75</v>
      </c>
      <c r="Q35" s="44">
        <f>'2404'!R9+'2604'!R9</f>
        <v>0</v>
      </c>
      <c r="R35" s="29">
        <f t="shared" si="16"/>
        <v>0</v>
      </c>
      <c r="S35" s="27">
        <f>'2404'!S9+'2604'!S9</f>
        <v>0</v>
      </c>
      <c r="T35" s="28">
        <f t="shared" si="17"/>
        <v>0</v>
      </c>
      <c r="U35" s="27">
        <f>'2404'!T9+'2604'!T9</f>
        <v>0</v>
      </c>
      <c r="V35" s="28">
        <f t="shared" si="18"/>
        <v>0</v>
      </c>
      <c r="W35" s="27">
        <f>'2404'!U9+'2604'!U9</f>
        <v>0</v>
      </c>
      <c r="X35" s="28">
        <f t="shared" si="19"/>
        <v>0</v>
      </c>
      <c r="Y35" s="40">
        <v>0</v>
      </c>
      <c r="AA35" s="30" t="s">
        <v>75</v>
      </c>
      <c r="AB35" s="44">
        <f>'1505'!$R9+'1605'!$R9+'1705'!$R9</f>
        <v>6</v>
      </c>
      <c r="AC35" s="29">
        <f t="shared" si="20"/>
        <v>2</v>
      </c>
      <c r="AD35" s="27">
        <f>'1505'!$S9+'1605'!$S9+'1705'!$S9</f>
        <v>2</v>
      </c>
      <c r="AE35" s="28">
        <f t="shared" si="21"/>
        <v>1</v>
      </c>
      <c r="AF35" s="27">
        <f>'1505'!$T9+'1605'!$T9+'1705'!$T9</f>
        <v>0</v>
      </c>
      <c r="AG35" s="28">
        <f t="shared" si="22"/>
        <v>0</v>
      </c>
      <c r="AH35" s="27">
        <f>'1505'!$U9+'1605'!$U9+'1705'!$U9</f>
        <v>2</v>
      </c>
      <c r="AI35" s="28">
        <f t="shared" si="23"/>
        <v>1</v>
      </c>
      <c r="AJ35" s="40">
        <v>0</v>
      </c>
    </row>
    <row r="36" spans="8:36" ht="14.25" customHeight="1" x14ac:dyDescent="0.45">
      <c r="I36" t="s">
        <v>167</v>
      </c>
      <c r="P36" s="30" t="s">
        <v>78</v>
      </c>
      <c r="Q36" s="44">
        <f>'2404'!R10+'2604'!R10</f>
        <v>0</v>
      </c>
      <c r="R36" s="29">
        <f t="shared" si="16"/>
        <v>0</v>
      </c>
      <c r="S36" s="27">
        <f>'2404'!S10+'2604'!S10</f>
        <v>0</v>
      </c>
      <c r="T36" s="28">
        <f t="shared" si="17"/>
        <v>0</v>
      </c>
      <c r="U36" s="27">
        <f>'2404'!T10+'2604'!T10</f>
        <v>0</v>
      </c>
      <c r="V36" s="28">
        <f t="shared" si="18"/>
        <v>0</v>
      </c>
      <c r="W36" s="27">
        <f>'2404'!U10+'2604'!U10</f>
        <v>0</v>
      </c>
      <c r="X36" s="28">
        <f t="shared" si="19"/>
        <v>0</v>
      </c>
      <c r="Y36" s="40">
        <v>0</v>
      </c>
      <c r="AA36" s="30" t="s">
        <v>78</v>
      </c>
      <c r="AB36" s="44">
        <f>'1505'!$R10+'1605'!$R10+'1705'!$R10</f>
        <v>3</v>
      </c>
      <c r="AC36" s="29">
        <f t="shared" si="20"/>
        <v>1</v>
      </c>
      <c r="AD36" s="27">
        <f>'1505'!$S10+'1605'!$S10+'1705'!$S10</f>
        <v>1</v>
      </c>
      <c r="AE36" s="28">
        <f t="shared" si="21"/>
        <v>0.5</v>
      </c>
      <c r="AF36" s="27">
        <f>'1505'!$T10+'1605'!$T10+'1705'!$T10</f>
        <v>2</v>
      </c>
      <c r="AG36" s="28">
        <f t="shared" si="22"/>
        <v>1</v>
      </c>
      <c r="AH36" s="27">
        <f>'1505'!$U10+'1605'!$U10+'1705'!$U10</f>
        <v>0</v>
      </c>
      <c r="AI36" s="28">
        <f t="shared" si="23"/>
        <v>0</v>
      </c>
      <c r="AJ36" s="40">
        <v>0</v>
      </c>
    </row>
    <row r="37" spans="8:36" ht="14.25" customHeight="1" x14ac:dyDescent="0.45">
      <c r="P37" s="30" t="s">
        <v>80</v>
      </c>
      <c r="Q37" s="44">
        <f>'2404'!R11+'2604'!R11</f>
        <v>2</v>
      </c>
      <c r="R37" s="29">
        <f t="shared" si="16"/>
        <v>2</v>
      </c>
      <c r="S37" s="27">
        <f>'2404'!S11+'2604'!S11</f>
        <v>1</v>
      </c>
      <c r="T37" s="28">
        <f t="shared" si="17"/>
        <v>1</v>
      </c>
      <c r="U37" s="27">
        <f>'2404'!T11+'2604'!T11</f>
        <v>1</v>
      </c>
      <c r="V37" s="28">
        <f t="shared" si="18"/>
        <v>1</v>
      </c>
      <c r="W37" s="27">
        <f>'2404'!U11+'2604'!U11</f>
        <v>0</v>
      </c>
      <c r="X37" s="28">
        <f t="shared" si="19"/>
        <v>0</v>
      </c>
      <c r="Y37" s="40">
        <v>1</v>
      </c>
      <c r="AA37" s="30" t="s">
        <v>80</v>
      </c>
      <c r="AB37" s="44">
        <f>'1505'!$R11+'1605'!$R11+'1705'!$R11</f>
        <v>7</v>
      </c>
      <c r="AC37" s="29">
        <f t="shared" si="20"/>
        <v>2.3333333333333335</v>
      </c>
      <c r="AD37" s="27">
        <f>'1505'!$S11+'1605'!$S11+'1705'!$S11</f>
        <v>3</v>
      </c>
      <c r="AE37" s="28">
        <f t="shared" si="21"/>
        <v>1.5</v>
      </c>
      <c r="AF37" s="27">
        <f>'1505'!$T11+'1605'!$T11+'1705'!$T11</f>
        <v>4</v>
      </c>
      <c r="AG37" s="28">
        <f t="shared" si="22"/>
        <v>2</v>
      </c>
      <c r="AH37" s="27">
        <f>'1505'!$U11+'1605'!$U11+'1705'!$U11</f>
        <v>0</v>
      </c>
      <c r="AI37" s="28">
        <f t="shared" si="23"/>
        <v>0</v>
      </c>
      <c r="AJ37" s="40">
        <v>0</v>
      </c>
    </row>
    <row r="38" spans="8:36" ht="14.25" customHeight="1" x14ac:dyDescent="0.45">
      <c r="P38" s="30" t="s">
        <v>81</v>
      </c>
      <c r="Q38" s="44">
        <f>'2404'!R12+'2604'!R12</f>
        <v>0</v>
      </c>
      <c r="R38" s="29">
        <f t="shared" si="16"/>
        <v>0</v>
      </c>
      <c r="S38" s="27">
        <f>'2404'!S12+'2604'!S12</f>
        <v>0</v>
      </c>
      <c r="T38" s="28">
        <f t="shared" si="17"/>
        <v>0</v>
      </c>
      <c r="U38" s="27">
        <f>'2404'!T12+'2604'!T12</f>
        <v>0</v>
      </c>
      <c r="V38" s="28">
        <f t="shared" si="18"/>
        <v>0</v>
      </c>
      <c r="W38" s="27">
        <f>'2404'!U12+'2604'!U12</f>
        <v>0</v>
      </c>
      <c r="X38" s="28">
        <f t="shared" si="19"/>
        <v>0</v>
      </c>
      <c r="Y38" s="40">
        <v>0</v>
      </c>
      <c r="AA38" s="30" t="s">
        <v>81</v>
      </c>
      <c r="AB38" s="44">
        <f>'1505'!$R12+'1605'!$R12+'1705'!$R12</f>
        <v>2</v>
      </c>
      <c r="AC38" s="29">
        <f t="shared" si="20"/>
        <v>0.66666666666666663</v>
      </c>
      <c r="AD38" s="27">
        <f>'1505'!$S12+'1605'!$S12+'1705'!$S12</f>
        <v>0</v>
      </c>
      <c r="AE38" s="28">
        <f t="shared" si="21"/>
        <v>0</v>
      </c>
      <c r="AF38" s="27">
        <f>'1505'!$T12+'1605'!$T12+'1705'!$T12</f>
        <v>2</v>
      </c>
      <c r="AG38" s="28">
        <f t="shared" si="22"/>
        <v>1</v>
      </c>
      <c r="AH38" s="27">
        <f>'1505'!$U12+'1605'!$U12+'1705'!$U12</f>
        <v>0</v>
      </c>
      <c r="AI38" s="28">
        <f t="shared" si="23"/>
        <v>0</v>
      </c>
      <c r="AJ38" s="40">
        <v>0</v>
      </c>
    </row>
    <row r="39" spans="8:36" ht="14.25" customHeight="1" x14ac:dyDescent="0.45">
      <c r="P39" s="30" t="s">
        <v>185</v>
      </c>
      <c r="Q39" s="44">
        <f>'2404'!R13+'2604'!R13</f>
        <v>4</v>
      </c>
      <c r="R39" s="29">
        <f t="shared" si="16"/>
        <v>2</v>
      </c>
      <c r="S39" s="27">
        <f>'2404'!S13+'2604'!S13</f>
        <v>4</v>
      </c>
      <c r="T39" s="28">
        <f t="shared" si="17"/>
        <v>2</v>
      </c>
      <c r="U39" s="27">
        <f>'2404'!T13+'2604'!T13</f>
        <v>0</v>
      </c>
      <c r="V39" s="28">
        <f t="shared" si="18"/>
        <v>0</v>
      </c>
      <c r="W39" s="27">
        <f>'2404'!U13+'2604'!U13</f>
        <v>0</v>
      </c>
      <c r="X39" s="28">
        <f t="shared" si="19"/>
        <v>0</v>
      </c>
      <c r="Y39" s="40">
        <v>0</v>
      </c>
      <c r="Z39" s="12"/>
      <c r="AA39" s="30" t="s">
        <v>185</v>
      </c>
      <c r="AB39" s="44">
        <f>'1505'!$R13+'1605'!$R13+'1705'!$R13</f>
        <v>4</v>
      </c>
      <c r="AC39" s="29">
        <f t="shared" si="20"/>
        <v>1.3333333333333333</v>
      </c>
      <c r="AD39" s="27">
        <f>'1505'!$S13+'1605'!$S13+'1705'!$S13</f>
        <v>1</v>
      </c>
      <c r="AE39" s="28">
        <f t="shared" si="21"/>
        <v>0.5</v>
      </c>
      <c r="AF39" s="27">
        <f>'1505'!$T13+'1605'!$T13+'1705'!$T13</f>
        <v>1</v>
      </c>
      <c r="AG39" s="28">
        <f t="shared" si="22"/>
        <v>0.5</v>
      </c>
      <c r="AH39" s="27">
        <f>'1505'!$U13+'1605'!$U13+'1705'!$U13</f>
        <v>1</v>
      </c>
      <c r="AI39" s="28">
        <f t="shared" si="23"/>
        <v>0.5</v>
      </c>
      <c r="AJ39" s="40">
        <v>0</v>
      </c>
    </row>
    <row r="40" spans="8:36" ht="14.25" customHeight="1" x14ac:dyDescent="0.45">
      <c r="I40" s="33" t="s">
        <v>155</v>
      </c>
      <c r="P40" s="30" t="s">
        <v>184</v>
      </c>
      <c r="Q40" s="44">
        <f>'2404'!R14+'2604'!R14</f>
        <v>0</v>
      </c>
      <c r="R40" s="29">
        <f t="shared" si="16"/>
        <v>0</v>
      </c>
      <c r="S40" s="27">
        <f>'2404'!S14+'2604'!S14</f>
        <v>0</v>
      </c>
      <c r="T40" s="28">
        <f t="shared" si="17"/>
        <v>0</v>
      </c>
      <c r="U40" s="27">
        <f>'2404'!T14+'2604'!T14</f>
        <v>0</v>
      </c>
      <c r="V40" s="28">
        <f t="shared" si="18"/>
        <v>0</v>
      </c>
      <c r="W40" s="27">
        <f>'2404'!U14+'2604'!U14</f>
        <v>0</v>
      </c>
      <c r="X40" s="28">
        <f t="shared" si="19"/>
        <v>0</v>
      </c>
      <c r="Y40" s="40">
        <v>0</v>
      </c>
      <c r="AA40" s="30" t="s">
        <v>184</v>
      </c>
      <c r="AB40" s="44">
        <f>'1505'!$R14+'1605'!$R14+'1705'!$R14</f>
        <v>4</v>
      </c>
      <c r="AC40" s="29">
        <f t="shared" si="20"/>
        <v>1.3333333333333333</v>
      </c>
      <c r="AD40" s="27">
        <f>'1505'!$S14+'1605'!$S14+'1705'!$S14</f>
        <v>2</v>
      </c>
      <c r="AE40" s="28">
        <f t="shared" si="21"/>
        <v>1</v>
      </c>
      <c r="AF40" s="27">
        <f>'1505'!$T14+'1605'!$T14+'1705'!$T14</f>
        <v>2</v>
      </c>
      <c r="AG40" s="28">
        <f t="shared" si="22"/>
        <v>1</v>
      </c>
      <c r="AH40" s="27">
        <f>'1505'!$U14+'1605'!$U14+'1705'!$U14</f>
        <v>0</v>
      </c>
      <c r="AI40" s="28">
        <f t="shared" si="23"/>
        <v>0</v>
      </c>
      <c r="AJ40" s="40">
        <v>0</v>
      </c>
    </row>
    <row r="41" spans="8:36" ht="14.25" customHeight="1" x14ac:dyDescent="0.45">
      <c r="I41" s="33" t="s">
        <v>132</v>
      </c>
      <c r="J41">
        <f>'Statistics LG'!J4</f>
        <v>31</v>
      </c>
      <c r="L41" s="55"/>
      <c r="P41" s="30" t="s">
        <v>85</v>
      </c>
      <c r="Q41" s="44">
        <f>'2404'!R15+'2604'!R15</f>
        <v>4</v>
      </c>
      <c r="R41" s="29">
        <f t="shared" si="16"/>
        <v>2</v>
      </c>
      <c r="S41" s="27">
        <f>'2404'!S15+'2604'!S15</f>
        <v>4</v>
      </c>
      <c r="T41" s="28">
        <f t="shared" si="17"/>
        <v>2</v>
      </c>
      <c r="U41" s="27">
        <f>'2404'!T15+'2604'!T15</f>
        <v>0</v>
      </c>
      <c r="V41" s="28">
        <f t="shared" si="18"/>
        <v>0</v>
      </c>
      <c r="W41" s="27">
        <f>'2404'!U15+'2604'!U15</f>
        <v>0</v>
      </c>
      <c r="X41" s="28">
        <f t="shared" si="19"/>
        <v>0</v>
      </c>
      <c r="Y41" s="40">
        <v>0</v>
      </c>
      <c r="AA41" s="30" t="s">
        <v>85</v>
      </c>
      <c r="AB41" s="44">
        <f>'1505'!$R15+'1605'!$R15+'1705'!$R15</f>
        <v>3</v>
      </c>
      <c r="AC41" s="29">
        <f t="shared" si="20"/>
        <v>1</v>
      </c>
      <c r="AD41" s="27">
        <f>'1505'!$S15+'1605'!$S15+'1705'!$S15</f>
        <v>3</v>
      </c>
      <c r="AE41" s="28">
        <f t="shared" si="21"/>
        <v>1.5</v>
      </c>
      <c r="AF41" s="27">
        <f>'1505'!$T15+'1605'!$T15+'1705'!$T15</f>
        <v>0</v>
      </c>
      <c r="AG41" s="28">
        <f t="shared" si="22"/>
        <v>0</v>
      </c>
      <c r="AH41" s="27">
        <f>'1505'!$U15+'1605'!$U15+'1705'!$U15</f>
        <v>0</v>
      </c>
      <c r="AI41" s="28">
        <f t="shared" si="23"/>
        <v>0</v>
      </c>
      <c r="AJ41" s="40">
        <v>0</v>
      </c>
    </row>
    <row r="42" spans="8:36" ht="14.25" customHeight="1" x14ac:dyDescent="0.45">
      <c r="I42" s="33" t="s">
        <v>133</v>
      </c>
      <c r="J42">
        <f>'Statistics WW'!J4</f>
        <v>22</v>
      </c>
      <c r="L42" s="55"/>
      <c r="P42" s="30" t="s">
        <v>86</v>
      </c>
      <c r="Q42" s="44">
        <f>'2404'!R16+'2604'!R16</f>
        <v>0</v>
      </c>
      <c r="R42" s="29">
        <f t="shared" si="16"/>
        <v>0</v>
      </c>
      <c r="S42" s="27">
        <f>'2404'!S16+'2604'!S16</f>
        <v>0</v>
      </c>
      <c r="T42" s="28">
        <f t="shared" si="17"/>
        <v>0</v>
      </c>
      <c r="U42" s="27">
        <f>'2404'!T16+'2604'!T16</f>
        <v>0</v>
      </c>
      <c r="V42" s="28">
        <f t="shared" si="18"/>
        <v>0</v>
      </c>
      <c r="W42" s="27">
        <f>'2404'!U16+'2604'!U16</f>
        <v>0</v>
      </c>
      <c r="X42" s="28">
        <f t="shared" si="19"/>
        <v>0</v>
      </c>
      <c r="Y42" s="40">
        <v>0</v>
      </c>
      <c r="AA42" s="30" t="s">
        <v>86</v>
      </c>
      <c r="AB42" s="44">
        <f>'1505'!$R16+'1605'!$R16+'1705'!$R16</f>
        <v>1</v>
      </c>
      <c r="AC42" s="29">
        <f t="shared" si="20"/>
        <v>0.33333333333333331</v>
      </c>
      <c r="AD42" s="27">
        <f>'1505'!$S16+'1605'!$S16+'1705'!$S16</f>
        <v>1</v>
      </c>
      <c r="AE42" s="28">
        <f t="shared" si="21"/>
        <v>0.5</v>
      </c>
      <c r="AF42" s="27">
        <f>'1505'!$T16+'1605'!$T16+'1705'!$T16</f>
        <v>0</v>
      </c>
      <c r="AG42" s="28">
        <f t="shared" si="22"/>
        <v>0</v>
      </c>
      <c r="AH42" s="27">
        <f>'1505'!$U16+'1605'!$U16+'1705'!$U16</f>
        <v>0</v>
      </c>
      <c r="AI42" s="28">
        <f t="shared" si="23"/>
        <v>0</v>
      </c>
      <c r="AJ42" s="40">
        <v>0</v>
      </c>
    </row>
    <row r="43" spans="8:36" ht="14.25" customHeight="1" x14ac:dyDescent="0.45">
      <c r="I43" s="33" t="s">
        <v>134</v>
      </c>
      <c r="J43">
        <f>'Statistics 5M'!I4</f>
        <v>31</v>
      </c>
      <c r="L43" s="55"/>
      <c r="P43" s="30" t="s">
        <v>87</v>
      </c>
      <c r="Q43" s="44">
        <f>'2404'!R17+'2604'!R17</f>
        <v>1</v>
      </c>
      <c r="R43" s="29">
        <f t="shared" si="16"/>
        <v>0.5</v>
      </c>
      <c r="S43" s="27">
        <f>'2404'!S17+'2604'!S17</f>
        <v>1</v>
      </c>
      <c r="T43" s="28">
        <f t="shared" si="17"/>
        <v>0.5</v>
      </c>
      <c r="U43" s="27">
        <f>'2404'!T17+'2604'!T17</f>
        <v>0</v>
      </c>
      <c r="V43" s="28">
        <f t="shared" si="18"/>
        <v>0</v>
      </c>
      <c r="W43" s="27">
        <f>'2404'!U17+'2604'!U17</f>
        <v>0</v>
      </c>
      <c r="X43" s="28">
        <f t="shared" si="19"/>
        <v>0</v>
      </c>
      <c r="Y43" s="40">
        <v>0</v>
      </c>
      <c r="AA43" s="30" t="s">
        <v>87</v>
      </c>
      <c r="AB43" s="44">
        <f>'1505'!$R17+'1605'!$R17+'1705'!$R17</f>
        <v>2</v>
      </c>
      <c r="AC43" s="29">
        <f t="shared" si="20"/>
        <v>0.66666666666666663</v>
      </c>
      <c r="AD43" s="27">
        <f>'1505'!$S17+'1605'!$S17+'1705'!$S17</f>
        <v>0</v>
      </c>
      <c r="AE43" s="28">
        <f t="shared" si="21"/>
        <v>0</v>
      </c>
      <c r="AF43" s="27">
        <f>'1505'!$T17+'1605'!$T17+'1705'!$T17</f>
        <v>2</v>
      </c>
      <c r="AG43" s="28">
        <f t="shared" si="22"/>
        <v>1</v>
      </c>
      <c r="AH43" s="27">
        <f>'1505'!$U17+'1605'!$U17+'1705'!$U17</f>
        <v>0</v>
      </c>
      <c r="AI43" s="28">
        <f t="shared" si="23"/>
        <v>0</v>
      </c>
      <c r="AJ43" s="40">
        <v>0</v>
      </c>
    </row>
    <row r="44" spans="8:36" ht="14.25" customHeight="1" x14ac:dyDescent="0.45">
      <c r="P44" s="52" t="s">
        <v>107</v>
      </c>
      <c r="Q44" s="44">
        <f>'2404'!R18+'2604'!R18</f>
        <v>1</v>
      </c>
      <c r="R44" s="29">
        <f t="shared" si="16"/>
        <v>0.5</v>
      </c>
      <c r="S44" s="27">
        <f>'2404'!S18+'2604'!S18</f>
        <v>1</v>
      </c>
      <c r="T44" s="28">
        <f t="shared" si="17"/>
        <v>0.5</v>
      </c>
      <c r="U44" s="27">
        <f>'2404'!T18+'2604'!T18</f>
        <v>0</v>
      </c>
      <c r="V44" s="28">
        <f t="shared" si="18"/>
        <v>0</v>
      </c>
      <c r="W44" s="27">
        <f>'2404'!U18+'2604'!U18</f>
        <v>0</v>
      </c>
      <c r="X44" s="28">
        <f t="shared" si="19"/>
        <v>0</v>
      </c>
      <c r="Y44" s="40">
        <v>0</v>
      </c>
      <c r="AA44" s="52" t="s">
        <v>107</v>
      </c>
      <c r="AB44" s="44">
        <f>'1505'!$R18+'1605'!$R18+'1705'!$R18</f>
        <v>1</v>
      </c>
      <c r="AC44" s="29">
        <f t="shared" si="20"/>
        <v>0.33333333333333331</v>
      </c>
      <c r="AD44" s="27">
        <f>'1505'!$S18+'1605'!$S18+'1705'!$S18</f>
        <v>0</v>
      </c>
      <c r="AE44" s="28">
        <f t="shared" si="21"/>
        <v>0</v>
      </c>
      <c r="AF44" s="27">
        <f>'1505'!$T18+'1605'!$T18+'1705'!$T18</f>
        <v>1</v>
      </c>
      <c r="AG44" s="28">
        <f t="shared" si="22"/>
        <v>0.5</v>
      </c>
      <c r="AH44" s="27">
        <f>'1505'!$U18+'1605'!$U18+'1705'!$U18</f>
        <v>0</v>
      </c>
      <c r="AI44" s="28">
        <f t="shared" si="23"/>
        <v>0</v>
      </c>
      <c r="AJ44" s="40">
        <v>0</v>
      </c>
    </row>
    <row r="45" spans="8:36" ht="14.25" customHeight="1" x14ac:dyDescent="0.45">
      <c r="H45" s="33" t="s">
        <v>214</v>
      </c>
      <c r="J45" s="33" t="s">
        <v>95</v>
      </c>
      <c r="K45" s="33" t="s">
        <v>98</v>
      </c>
      <c r="L45" s="33" t="s">
        <v>215</v>
      </c>
      <c r="O45" s="40"/>
    </row>
    <row r="46" spans="8:36" ht="14.25" customHeight="1" x14ac:dyDescent="0.45">
      <c r="I46" s="33" t="s">
        <v>9</v>
      </c>
      <c r="J46" s="42">
        <f>SUM(Table1[Finishes])</f>
        <v>152</v>
      </c>
      <c r="K46" s="41">
        <f>J46/Q5</f>
        <v>10.133333333333333</v>
      </c>
      <c r="L46" s="55">
        <f>J46/SUM($J$46:$J$48)</f>
        <v>0.56505576208178443</v>
      </c>
      <c r="P46" s="63" t="s">
        <v>174</v>
      </c>
      <c r="Q46" s="13">
        <v>2</v>
      </c>
      <c r="R46" s="13"/>
      <c r="S46" s="13"/>
      <c r="AA46" s="3" t="s">
        <v>222</v>
      </c>
      <c r="AB46" s="24">
        <v>3</v>
      </c>
      <c r="AC46" s="40"/>
      <c r="AD46" s="40"/>
      <c r="AE46" s="40"/>
      <c r="AF46" s="40"/>
      <c r="AG46" s="40"/>
      <c r="AH46" s="40"/>
      <c r="AI46" s="40"/>
      <c r="AJ46" s="40"/>
    </row>
    <row r="47" spans="8:36" ht="14.25" customHeight="1" x14ac:dyDescent="0.45">
      <c r="I47" s="33" t="s">
        <v>10</v>
      </c>
      <c r="J47" s="42">
        <f>SUM(Table1[Midranges])</f>
        <v>98</v>
      </c>
      <c r="K47" s="41">
        <f>J47/Q5</f>
        <v>6.5333333333333332</v>
      </c>
      <c r="L47" s="55">
        <f t="shared" ref="L47:L48" si="24">J47/SUM($J$46:$J$48)</f>
        <v>0.36431226765799257</v>
      </c>
      <c r="P47" s="31" t="s">
        <v>97</v>
      </c>
      <c r="Q47" s="32" t="s">
        <v>8</v>
      </c>
      <c r="R47" s="31" t="s">
        <v>98</v>
      </c>
      <c r="S47" s="33" t="s">
        <v>9</v>
      </c>
      <c r="T47" s="34" t="s">
        <v>93</v>
      </c>
      <c r="U47" s="35" t="s">
        <v>10</v>
      </c>
      <c r="V47" s="34" t="s">
        <v>93</v>
      </c>
      <c r="W47" s="33" t="s">
        <v>11</v>
      </c>
      <c r="X47" s="34" t="s">
        <v>93</v>
      </c>
      <c r="Y47" s="5" t="s">
        <v>160</v>
      </c>
      <c r="AA47" s="31" t="s">
        <v>97</v>
      </c>
      <c r="AB47" s="32" t="s">
        <v>8</v>
      </c>
      <c r="AC47" s="31" t="s">
        <v>98</v>
      </c>
      <c r="AD47" s="33" t="s">
        <v>9</v>
      </c>
      <c r="AE47" s="34" t="s">
        <v>93</v>
      </c>
      <c r="AF47" s="35" t="s">
        <v>10</v>
      </c>
      <c r="AG47" s="34" t="s">
        <v>93</v>
      </c>
      <c r="AH47" s="33" t="s">
        <v>11</v>
      </c>
      <c r="AI47" s="34" t="s">
        <v>93</v>
      </c>
      <c r="AJ47" s="5" t="s">
        <v>160</v>
      </c>
    </row>
    <row r="48" spans="8:36" ht="14.25" customHeight="1" x14ac:dyDescent="0.45">
      <c r="I48" s="33" t="s">
        <v>11</v>
      </c>
      <c r="J48" s="42">
        <f>SUM(Table1[Threes])</f>
        <v>19</v>
      </c>
      <c r="K48" s="41">
        <f>J48/Q5</f>
        <v>1.2666666666666666</v>
      </c>
      <c r="L48" s="55">
        <f t="shared" si="24"/>
        <v>7.0631970260223054E-2</v>
      </c>
      <c r="P48" s="30" t="s">
        <v>55</v>
      </c>
      <c r="Q48" s="44">
        <f>'0205'!R3+'0305'!R3</f>
        <v>0</v>
      </c>
      <c r="R48" s="29">
        <f>Q48/(Q$46-Y48)</f>
        <v>0</v>
      </c>
      <c r="S48" s="27">
        <f>'0205'!S3+'0305'!S3</f>
        <v>0</v>
      </c>
      <c r="T48" s="28">
        <f>S48/($Q$46-Y48)</f>
        <v>0</v>
      </c>
      <c r="U48" s="27">
        <f>'0205'!T3+'0305'!T3</f>
        <v>0</v>
      </c>
      <c r="V48" s="28">
        <f>U48/($Q$46-Y48)</f>
        <v>0</v>
      </c>
      <c r="W48" s="27">
        <f>'0205'!U3+'0305'!U3</f>
        <v>0</v>
      </c>
      <c r="X48" s="28">
        <f>W48/($Q$46-Y48)</f>
        <v>0</v>
      </c>
      <c r="Y48" s="40">
        <v>0</v>
      </c>
      <c r="AA48" s="30" t="s">
        <v>55</v>
      </c>
      <c r="AB48" s="44">
        <f>'2205'!$R3+'2305'!$R3+'2405'!$R3</f>
        <v>0</v>
      </c>
      <c r="AC48" s="29">
        <f t="shared" ref="AC48:AC63" si="25">AB48/(AB$46-AJ48)</f>
        <v>0</v>
      </c>
      <c r="AD48" s="27">
        <f>'2205'!$S3+'2305'!$S3+'2405'!$S3</f>
        <v>0</v>
      </c>
      <c r="AE48" s="28">
        <f t="shared" ref="AE48:AE63" si="26">AD48/($AB$46-AJ48)</f>
        <v>0</v>
      </c>
      <c r="AF48" s="27">
        <f>'2205'!$T3+'2305'!$T3+'2405'!$T3</f>
        <v>0</v>
      </c>
      <c r="AG48" s="28">
        <f t="shared" ref="AG48:AG63" si="27">AF48/(AB$46-AJ48)</f>
        <v>0</v>
      </c>
      <c r="AH48" s="27">
        <f>'2205'!$U3+'2305'!$U3+'2405'!$U3</f>
        <v>0</v>
      </c>
      <c r="AI48" s="28">
        <f t="shared" ref="AI48:AI63" si="28">AH48/(AB$46-AJ48)</f>
        <v>0</v>
      </c>
      <c r="AJ48" s="40">
        <v>0</v>
      </c>
    </row>
    <row r="49" spans="8:36" ht="14.25" customHeight="1" x14ac:dyDescent="0.45">
      <c r="P49" s="30" t="s">
        <v>59</v>
      </c>
      <c r="Q49" s="44">
        <f>'0205'!R4+'0305'!R4</f>
        <v>1</v>
      </c>
      <c r="R49" s="29">
        <f t="shared" ref="R49:R63" si="29">Q49/(Q$46-Y49)</f>
        <v>0.5</v>
      </c>
      <c r="S49" s="27">
        <f>'0205'!S4+'0305'!S4</f>
        <v>1</v>
      </c>
      <c r="T49" s="28">
        <f t="shared" ref="T49:T63" si="30">S49/($Q$46-Y49)</f>
        <v>0.5</v>
      </c>
      <c r="U49" s="27">
        <f>'0205'!T4+'0305'!T4</f>
        <v>0</v>
      </c>
      <c r="V49" s="28">
        <f t="shared" ref="V49:V63" si="31">U49/($Q$46-Y49)</f>
        <v>0</v>
      </c>
      <c r="W49" s="27">
        <f>'0205'!U4+'0305'!U4</f>
        <v>0</v>
      </c>
      <c r="X49" s="28">
        <f t="shared" ref="X49:X63" si="32">W49/($Q$46-Y49)</f>
        <v>0</v>
      </c>
      <c r="Y49" s="40">
        <v>0</v>
      </c>
      <c r="AA49" s="30" t="s">
        <v>59</v>
      </c>
      <c r="AB49" s="44">
        <f>'2205'!$R4+'2305'!$R4+'2405'!$R4</f>
        <v>0</v>
      </c>
      <c r="AC49" s="29">
        <f t="shared" si="25"/>
        <v>0</v>
      </c>
      <c r="AD49" s="27">
        <f>'2205'!$S4+'2305'!$S4+'2405'!$S4</f>
        <v>0</v>
      </c>
      <c r="AE49" s="28">
        <f t="shared" si="26"/>
        <v>0</v>
      </c>
      <c r="AF49" s="27">
        <f>'2205'!$T4+'2305'!$T4+'2405'!$T4</f>
        <v>0</v>
      </c>
      <c r="AG49" s="28">
        <f t="shared" si="27"/>
        <v>0</v>
      </c>
      <c r="AH49" s="27">
        <f>'2205'!$U4+'2305'!$U4+'2405'!$U4</f>
        <v>0</v>
      </c>
      <c r="AI49" s="28">
        <f t="shared" si="28"/>
        <v>0</v>
      </c>
      <c r="AJ49" s="40">
        <v>1</v>
      </c>
    </row>
    <row r="50" spans="8:36" ht="14.25" customHeight="1" x14ac:dyDescent="0.45">
      <c r="P50" s="30" t="s">
        <v>62</v>
      </c>
      <c r="Q50" s="44">
        <f>'0205'!R5+'0305'!R5</f>
        <v>8</v>
      </c>
      <c r="R50" s="29">
        <f t="shared" si="29"/>
        <v>4</v>
      </c>
      <c r="S50" s="27">
        <f>'0205'!S5+'0305'!S5</f>
        <v>8</v>
      </c>
      <c r="T50" s="28">
        <f t="shared" si="30"/>
        <v>4</v>
      </c>
      <c r="U50" s="27">
        <f>'0205'!T5+'0305'!T5</f>
        <v>0</v>
      </c>
      <c r="V50" s="28">
        <f t="shared" si="31"/>
        <v>0</v>
      </c>
      <c r="W50" s="27">
        <f>'0205'!U5+'0305'!U5</f>
        <v>0</v>
      </c>
      <c r="X50" s="28">
        <f t="shared" si="32"/>
        <v>0</v>
      </c>
      <c r="Y50" s="40">
        <v>0</v>
      </c>
      <c r="AA50" s="30" t="s">
        <v>62</v>
      </c>
      <c r="AB50" s="44">
        <f>'2205'!$R5+'2305'!$R5+'2405'!$R5</f>
        <v>7</v>
      </c>
      <c r="AC50" s="29">
        <f t="shared" si="25"/>
        <v>2.3333333333333335</v>
      </c>
      <c r="AD50" s="27">
        <f>'2205'!$S5+'2305'!$S5+'2405'!$S5</f>
        <v>7</v>
      </c>
      <c r="AE50" s="28">
        <f t="shared" si="26"/>
        <v>2.3333333333333335</v>
      </c>
      <c r="AF50" s="27">
        <f>'2205'!$T5+'2305'!$T5+'2405'!$T5</f>
        <v>0</v>
      </c>
      <c r="AG50" s="28">
        <f t="shared" si="27"/>
        <v>0</v>
      </c>
      <c r="AH50" s="27">
        <f>'2205'!$U5+'2305'!$U5+'2405'!$U5</f>
        <v>0</v>
      </c>
      <c r="AI50" s="28">
        <f t="shared" si="28"/>
        <v>0</v>
      </c>
      <c r="AJ50" s="40">
        <v>0</v>
      </c>
    </row>
    <row r="51" spans="8:36" ht="14.25" customHeight="1" x14ac:dyDescent="0.45">
      <c r="I51" s="33" t="s">
        <v>188</v>
      </c>
      <c r="P51" s="30" t="s">
        <v>65</v>
      </c>
      <c r="Q51" s="44">
        <f>'0205'!R6+'0305'!R6</f>
        <v>4</v>
      </c>
      <c r="R51" s="29">
        <f t="shared" si="29"/>
        <v>2</v>
      </c>
      <c r="S51" s="27">
        <f>'0205'!S6+'0305'!S6</f>
        <v>4</v>
      </c>
      <c r="T51" s="28">
        <f t="shared" si="30"/>
        <v>2</v>
      </c>
      <c r="U51" s="27">
        <f>'0205'!T6+'0305'!T6</f>
        <v>0</v>
      </c>
      <c r="V51" s="28">
        <f t="shared" si="31"/>
        <v>0</v>
      </c>
      <c r="W51" s="27">
        <f>'0205'!U6+'0305'!U6</f>
        <v>0</v>
      </c>
      <c r="X51" s="28">
        <f t="shared" si="32"/>
        <v>0</v>
      </c>
      <c r="Y51" s="40">
        <v>0</v>
      </c>
      <c r="AA51" s="30" t="s">
        <v>65</v>
      </c>
      <c r="AB51" s="44">
        <f>'2205'!$R6+'2305'!$R6+'2405'!$R6</f>
        <v>2</v>
      </c>
      <c r="AC51" s="29">
        <f t="shared" si="25"/>
        <v>0.66666666666666663</v>
      </c>
      <c r="AD51" s="27">
        <f>'2205'!$S6+'2305'!$S6+'2405'!$S6</f>
        <v>2</v>
      </c>
      <c r="AE51" s="28">
        <f t="shared" si="26"/>
        <v>0.66666666666666663</v>
      </c>
      <c r="AF51" s="27">
        <f>'2205'!$T6+'2305'!$T6+'2405'!$T6</f>
        <v>0</v>
      </c>
      <c r="AG51" s="28">
        <f t="shared" si="27"/>
        <v>0</v>
      </c>
      <c r="AH51" s="27">
        <f>'2205'!$U6+'2305'!$U6+'2405'!$U6</f>
        <v>0</v>
      </c>
      <c r="AI51" s="28">
        <f t="shared" si="28"/>
        <v>0</v>
      </c>
      <c r="AJ51" s="40">
        <v>0</v>
      </c>
    </row>
    <row r="52" spans="8:36" ht="14.25" customHeight="1" x14ac:dyDescent="0.45">
      <c r="I52" s="33" t="s">
        <v>132</v>
      </c>
      <c r="J52" s="33" t="s">
        <v>133</v>
      </c>
      <c r="K52" s="33" t="s">
        <v>134</v>
      </c>
      <c r="P52" s="30" t="s">
        <v>68</v>
      </c>
      <c r="Q52" s="44">
        <f>'0205'!R7+'0305'!R7</f>
        <v>3</v>
      </c>
      <c r="R52" s="29">
        <f t="shared" si="29"/>
        <v>1.5</v>
      </c>
      <c r="S52" s="27">
        <f>'0205'!S7+'0305'!S7</f>
        <v>0</v>
      </c>
      <c r="T52" s="28">
        <f t="shared" si="30"/>
        <v>0</v>
      </c>
      <c r="U52" s="27">
        <f>'0205'!T7+'0305'!T7</f>
        <v>3</v>
      </c>
      <c r="V52" s="28">
        <f t="shared" si="31"/>
        <v>1.5</v>
      </c>
      <c r="W52" s="27">
        <f>'0205'!U7+'0305'!U7</f>
        <v>0</v>
      </c>
      <c r="X52" s="28">
        <f t="shared" si="32"/>
        <v>0</v>
      </c>
      <c r="Y52" s="40">
        <v>0</v>
      </c>
      <c r="AA52" s="30" t="s">
        <v>68</v>
      </c>
      <c r="AB52" s="44">
        <f>'2205'!$R7+'2305'!$R7+'2405'!$R7</f>
        <v>1</v>
      </c>
      <c r="AC52" s="29">
        <f t="shared" si="25"/>
        <v>0.33333333333333331</v>
      </c>
      <c r="AD52" s="27">
        <f>'2205'!$S7+'2305'!$S7+'2405'!$S7</f>
        <v>1</v>
      </c>
      <c r="AE52" s="28">
        <f t="shared" si="26"/>
        <v>0.33333333333333331</v>
      </c>
      <c r="AF52" s="27">
        <f>'2205'!$T7+'2305'!$T7+'2405'!$T7</f>
        <v>0</v>
      </c>
      <c r="AG52" s="28">
        <f t="shared" si="27"/>
        <v>0</v>
      </c>
      <c r="AH52" s="27">
        <f>'2205'!$U7+'2305'!$U7+'2405'!$U7</f>
        <v>0</v>
      </c>
      <c r="AI52" s="28">
        <f t="shared" si="28"/>
        <v>0</v>
      </c>
      <c r="AJ52" s="40">
        <v>0</v>
      </c>
    </row>
    <row r="53" spans="8:36" ht="14.25" customHeight="1" x14ac:dyDescent="0.45">
      <c r="H53" s="33" t="s">
        <v>190</v>
      </c>
      <c r="I53" s="98" t="s">
        <v>189</v>
      </c>
      <c r="J53" s="66">
        <f>'Statistics LG'!S31</f>
        <v>0.49397590361445781</v>
      </c>
      <c r="K53" s="66">
        <f>'Statistics LG'!X31</f>
        <v>0.5</v>
      </c>
      <c r="L53" s="66">
        <f>AVERAGE(J53:K53)</f>
        <v>0.49698795180722888</v>
      </c>
      <c r="P53" s="30" t="s">
        <v>71</v>
      </c>
      <c r="Q53" s="44">
        <f>'0205'!R8+'0305'!R8</f>
        <v>1</v>
      </c>
      <c r="R53" s="29">
        <f t="shared" si="29"/>
        <v>0.5</v>
      </c>
      <c r="S53" s="27">
        <f>'0205'!S8+'0305'!S8</f>
        <v>0</v>
      </c>
      <c r="T53" s="28">
        <f t="shared" si="30"/>
        <v>0</v>
      </c>
      <c r="U53" s="27">
        <f>'0205'!T8+'0305'!T8</f>
        <v>1</v>
      </c>
      <c r="V53" s="28">
        <f t="shared" si="31"/>
        <v>0.5</v>
      </c>
      <c r="W53" s="27">
        <f>'0205'!U8+'0305'!U8</f>
        <v>0</v>
      </c>
      <c r="X53" s="28">
        <f t="shared" si="32"/>
        <v>0</v>
      </c>
      <c r="Y53" s="40">
        <v>0</v>
      </c>
      <c r="AA53" s="30" t="s">
        <v>71</v>
      </c>
      <c r="AB53" s="44">
        <f>'2205'!$R8+'2305'!$R8+'2405'!$R8</f>
        <v>2</v>
      </c>
      <c r="AC53" s="29">
        <f t="shared" si="25"/>
        <v>0.66666666666666663</v>
      </c>
      <c r="AD53" s="27">
        <f>'2205'!$S8+'2305'!$S8+'2405'!$S8</f>
        <v>1</v>
      </c>
      <c r="AE53" s="28">
        <f t="shared" si="26"/>
        <v>0.33333333333333331</v>
      </c>
      <c r="AF53" s="27">
        <f>'2205'!$T8+'2305'!$T8+'2405'!$T8</f>
        <v>1</v>
      </c>
      <c r="AG53" s="28">
        <f t="shared" si="27"/>
        <v>0.33333333333333331</v>
      </c>
      <c r="AH53" s="27">
        <f>'2205'!$U8+'2305'!$U8+'2405'!$U8</f>
        <v>0</v>
      </c>
      <c r="AI53" s="28">
        <f t="shared" si="28"/>
        <v>0</v>
      </c>
      <c r="AJ53" s="40">
        <v>0</v>
      </c>
    </row>
    <row r="54" spans="8:36" ht="14.25" customHeight="1" x14ac:dyDescent="0.45">
      <c r="H54" s="33" t="s">
        <v>191</v>
      </c>
      <c r="I54" s="66">
        <f>1-'Statistics LG'!S31</f>
        <v>0.50602409638554224</v>
      </c>
      <c r="J54" s="98" t="s">
        <v>189</v>
      </c>
      <c r="K54" s="66">
        <f>'Statistics WW'!R31</f>
        <v>0.45882352941176469</v>
      </c>
      <c r="L54" s="66">
        <f>AVERAGE(I54:K54)</f>
        <v>0.48242381289865344</v>
      </c>
      <c r="P54" s="30" t="s">
        <v>75</v>
      </c>
      <c r="Q54" s="44">
        <f>'0205'!R9+'0305'!R9</f>
        <v>5</v>
      </c>
      <c r="R54" s="29">
        <f t="shared" si="29"/>
        <v>2.5</v>
      </c>
      <c r="S54" s="27">
        <f>'0205'!S9+'0305'!S9</f>
        <v>0</v>
      </c>
      <c r="T54" s="28">
        <f t="shared" si="30"/>
        <v>0</v>
      </c>
      <c r="U54" s="27">
        <f>'0205'!T9+'0305'!T9</f>
        <v>1</v>
      </c>
      <c r="V54" s="28">
        <f t="shared" si="31"/>
        <v>0.5</v>
      </c>
      <c r="W54" s="27">
        <f>'0205'!U9+'0305'!U9</f>
        <v>2</v>
      </c>
      <c r="X54" s="28">
        <f t="shared" si="32"/>
        <v>1</v>
      </c>
      <c r="Y54" s="40">
        <v>0</v>
      </c>
      <c r="AA54" s="30" t="s">
        <v>75</v>
      </c>
      <c r="AB54" s="44">
        <f>'2205'!$R9+'2305'!$R9+'2405'!$R9</f>
        <v>3</v>
      </c>
      <c r="AC54" s="29">
        <f t="shared" si="25"/>
        <v>1</v>
      </c>
      <c r="AD54" s="27">
        <f>'2205'!$S9+'2305'!$S9+'2405'!$S9</f>
        <v>0</v>
      </c>
      <c r="AE54" s="28">
        <f t="shared" si="26"/>
        <v>0</v>
      </c>
      <c r="AF54" s="27">
        <f>'2205'!$T9+'2305'!$T9+'2405'!$T9</f>
        <v>1</v>
      </c>
      <c r="AG54" s="28">
        <f t="shared" si="27"/>
        <v>0.33333333333333331</v>
      </c>
      <c r="AH54" s="27">
        <f>'2205'!$U9+'2305'!$U9+'2405'!$U9</f>
        <v>1</v>
      </c>
      <c r="AI54" s="28">
        <f t="shared" si="28"/>
        <v>0.33333333333333331</v>
      </c>
      <c r="AJ54" s="40">
        <v>0</v>
      </c>
    </row>
    <row r="55" spans="8:36" ht="14.25" customHeight="1" x14ac:dyDescent="0.45">
      <c r="H55" s="33" t="s">
        <v>192</v>
      </c>
      <c r="I55" s="66">
        <f>1-K53</f>
        <v>0.5</v>
      </c>
      <c r="J55" s="66">
        <f>1-K54</f>
        <v>0.54117647058823537</v>
      </c>
      <c r="K55" s="98" t="s">
        <v>189</v>
      </c>
      <c r="L55" s="66">
        <f>AVERAGE(I55:K55)</f>
        <v>0.52058823529411768</v>
      </c>
      <c r="P55" s="30" t="s">
        <v>78</v>
      </c>
      <c r="Q55" s="44">
        <f>'0205'!R10+'0305'!R10</f>
        <v>3</v>
      </c>
      <c r="R55" s="29">
        <f t="shared" si="29"/>
        <v>1.5</v>
      </c>
      <c r="S55" s="27">
        <f>'0205'!S10+'0305'!S10</f>
        <v>1</v>
      </c>
      <c r="T55" s="28">
        <f t="shared" si="30"/>
        <v>0.5</v>
      </c>
      <c r="U55" s="27">
        <f>'0205'!T10+'0305'!T10</f>
        <v>2</v>
      </c>
      <c r="V55" s="28">
        <f t="shared" si="31"/>
        <v>1</v>
      </c>
      <c r="W55" s="27">
        <f>'0205'!U10+'0305'!U10</f>
        <v>0</v>
      </c>
      <c r="X55" s="28">
        <f t="shared" si="32"/>
        <v>0</v>
      </c>
      <c r="Y55" s="40">
        <v>0</v>
      </c>
      <c r="AA55" s="30" t="s">
        <v>78</v>
      </c>
      <c r="AB55" s="44">
        <f>'2205'!$R10+'2305'!$R10+'2405'!$R10</f>
        <v>2</v>
      </c>
      <c r="AC55" s="29">
        <f t="shared" si="25"/>
        <v>0.66666666666666663</v>
      </c>
      <c r="AD55" s="27">
        <f>'2205'!$S10+'2305'!$S10+'2405'!$S10</f>
        <v>0</v>
      </c>
      <c r="AE55" s="28">
        <f t="shared" si="26"/>
        <v>0</v>
      </c>
      <c r="AF55" s="27">
        <f>'2205'!$T10+'2305'!$T10+'2405'!$T10</f>
        <v>2</v>
      </c>
      <c r="AG55" s="28">
        <f t="shared" si="27"/>
        <v>0.66666666666666663</v>
      </c>
      <c r="AH55" s="27">
        <f>'2205'!$U10+'2305'!$U10+'2405'!$U10</f>
        <v>0</v>
      </c>
      <c r="AI55" s="28">
        <f t="shared" si="28"/>
        <v>0</v>
      </c>
      <c r="AJ55" s="40">
        <v>0</v>
      </c>
    </row>
    <row r="56" spans="8:36" ht="14.25" customHeight="1" x14ac:dyDescent="0.45">
      <c r="L56" s="99"/>
      <c r="M56" s="99"/>
      <c r="P56" s="30" t="s">
        <v>80</v>
      </c>
      <c r="Q56" s="44">
        <f>'0205'!R11+'0305'!R11</f>
        <v>5</v>
      </c>
      <c r="R56" s="29">
        <f t="shared" si="29"/>
        <v>2.5</v>
      </c>
      <c r="S56" s="27">
        <f>'0205'!S11+'0305'!S11</f>
        <v>2</v>
      </c>
      <c r="T56" s="28">
        <f t="shared" si="30"/>
        <v>1</v>
      </c>
      <c r="U56" s="27">
        <f>'0205'!T11+'0305'!T11</f>
        <v>3</v>
      </c>
      <c r="V56" s="28">
        <f t="shared" si="31"/>
        <v>1.5</v>
      </c>
      <c r="W56" s="27">
        <f>'0205'!U11+'0305'!U11</f>
        <v>0</v>
      </c>
      <c r="X56" s="28">
        <f t="shared" si="32"/>
        <v>0</v>
      </c>
      <c r="Y56" s="40">
        <v>0</v>
      </c>
      <c r="AA56" s="30" t="s">
        <v>80</v>
      </c>
      <c r="AB56" s="44">
        <f>'2205'!$R11+'2305'!$R11+'2405'!$R11</f>
        <v>6</v>
      </c>
      <c r="AC56" s="29">
        <f t="shared" si="25"/>
        <v>2</v>
      </c>
      <c r="AD56" s="27">
        <f>'2205'!$S11+'2305'!$S11+'2405'!$S11</f>
        <v>1</v>
      </c>
      <c r="AE56" s="28">
        <f t="shared" si="26"/>
        <v>0.33333333333333331</v>
      </c>
      <c r="AF56" s="27">
        <f>'2205'!$T11+'2305'!$T11+'2405'!$T11</f>
        <v>5</v>
      </c>
      <c r="AG56" s="28">
        <f t="shared" si="27"/>
        <v>1.6666666666666667</v>
      </c>
      <c r="AH56" s="27">
        <f>'2205'!$U11+'2305'!$U11+'2405'!$U11</f>
        <v>0</v>
      </c>
      <c r="AI56" s="28">
        <f t="shared" si="28"/>
        <v>0</v>
      </c>
      <c r="AJ56" s="40">
        <v>0</v>
      </c>
    </row>
    <row r="57" spans="8:36" ht="14.25" customHeight="1" x14ac:dyDescent="0.45">
      <c r="P57" s="30" t="s">
        <v>81</v>
      </c>
      <c r="Q57" s="44">
        <f>'0205'!R12+'0305'!R12</f>
        <v>4</v>
      </c>
      <c r="R57" s="29">
        <f t="shared" si="29"/>
        <v>2</v>
      </c>
      <c r="S57" s="27">
        <f>'0205'!S12+'0305'!S12</f>
        <v>1</v>
      </c>
      <c r="T57" s="28">
        <f t="shared" si="30"/>
        <v>0.5</v>
      </c>
      <c r="U57" s="27">
        <f>'0205'!T12+'0305'!T12</f>
        <v>3</v>
      </c>
      <c r="V57" s="28">
        <f t="shared" si="31"/>
        <v>1.5</v>
      </c>
      <c r="W57" s="27">
        <f>'0205'!U12+'0305'!U12</f>
        <v>0</v>
      </c>
      <c r="X57" s="28">
        <f t="shared" si="32"/>
        <v>0</v>
      </c>
      <c r="Y57" s="40">
        <v>0</v>
      </c>
      <c r="AA57" s="30" t="s">
        <v>81</v>
      </c>
      <c r="AB57" s="44">
        <f>'2205'!$R12+'2305'!$R12+'2405'!$R12</f>
        <v>3</v>
      </c>
      <c r="AC57" s="29">
        <f t="shared" si="25"/>
        <v>1.5</v>
      </c>
      <c r="AD57" s="27">
        <f>'2205'!$S12+'2305'!$S12+'2405'!$S12</f>
        <v>0</v>
      </c>
      <c r="AE57" s="28">
        <f t="shared" si="26"/>
        <v>0</v>
      </c>
      <c r="AF57" s="27">
        <f>'2205'!$T12+'2305'!$T12+'2405'!$T12</f>
        <v>3</v>
      </c>
      <c r="AG57" s="28">
        <f t="shared" si="27"/>
        <v>1.5</v>
      </c>
      <c r="AH57" s="27">
        <f>'2205'!$U12+'2305'!$U12+'2405'!$U12</f>
        <v>0</v>
      </c>
      <c r="AI57" s="28">
        <f t="shared" si="28"/>
        <v>0</v>
      </c>
      <c r="AJ57" s="40">
        <v>1</v>
      </c>
    </row>
    <row r="58" spans="8:36" ht="14.25" customHeight="1" x14ac:dyDescent="0.45">
      <c r="P58" s="30" t="s">
        <v>185</v>
      </c>
      <c r="Q58" s="44">
        <f>'0205'!R13+'0305'!R13</f>
        <v>3</v>
      </c>
      <c r="R58" s="29">
        <f t="shared" si="29"/>
        <v>1.5</v>
      </c>
      <c r="S58" s="27">
        <f>'0205'!S13+'0305'!S13</f>
        <v>3</v>
      </c>
      <c r="T58" s="28">
        <f t="shared" si="30"/>
        <v>1.5</v>
      </c>
      <c r="U58" s="27">
        <f>'0205'!T13+'0305'!T13</f>
        <v>0</v>
      </c>
      <c r="V58" s="28">
        <f t="shared" si="31"/>
        <v>0</v>
      </c>
      <c r="W58" s="27">
        <f>'0205'!U13+'0305'!U13</f>
        <v>0</v>
      </c>
      <c r="X58" s="28">
        <f t="shared" si="32"/>
        <v>0</v>
      </c>
      <c r="Y58" s="40">
        <v>0</v>
      </c>
      <c r="AA58" s="30" t="s">
        <v>185</v>
      </c>
      <c r="AB58" s="44">
        <f>'2205'!$R13+'2305'!$R13+'2405'!$R13</f>
        <v>1</v>
      </c>
      <c r="AC58" s="29">
        <f t="shared" si="25"/>
        <v>0.33333333333333331</v>
      </c>
      <c r="AD58" s="27">
        <f>'2205'!$S13+'2305'!$S13+'2405'!$S13</f>
        <v>0</v>
      </c>
      <c r="AE58" s="28">
        <f t="shared" si="26"/>
        <v>0</v>
      </c>
      <c r="AF58" s="27">
        <f>'2205'!$T13+'2305'!$T13+'2405'!$T13</f>
        <v>1</v>
      </c>
      <c r="AG58" s="28">
        <f t="shared" si="27"/>
        <v>0.33333333333333331</v>
      </c>
      <c r="AH58" s="27">
        <f>'2205'!$U13+'2305'!$U13+'2405'!$U13</f>
        <v>0</v>
      </c>
      <c r="AI58" s="28">
        <f t="shared" si="28"/>
        <v>0</v>
      </c>
      <c r="AJ58" s="40">
        <v>0</v>
      </c>
    </row>
    <row r="59" spans="8:36" ht="14.25" customHeight="1" x14ac:dyDescent="0.45">
      <c r="P59" s="30" t="s">
        <v>184</v>
      </c>
      <c r="Q59" s="44">
        <f>'0205'!R14+'0305'!R14</f>
        <v>2</v>
      </c>
      <c r="R59" s="29">
        <f t="shared" si="29"/>
        <v>1</v>
      </c>
      <c r="S59" s="27">
        <f>'0205'!S14+'0305'!S14</f>
        <v>2</v>
      </c>
      <c r="T59" s="28">
        <f t="shared" si="30"/>
        <v>1</v>
      </c>
      <c r="U59" s="27">
        <f>'0205'!T14+'0305'!T14</f>
        <v>0</v>
      </c>
      <c r="V59" s="28">
        <f t="shared" si="31"/>
        <v>0</v>
      </c>
      <c r="W59" s="27">
        <f>'0205'!U14+'0305'!U14</f>
        <v>0</v>
      </c>
      <c r="X59" s="28">
        <f t="shared" si="32"/>
        <v>0</v>
      </c>
      <c r="Y59" s="40">
        <v>0</v>
      </c>
      <c r="AA59" s="30" t="s">
        <v>184</v>
      </c>
      <c r="AB59" s="44">
        <f>'2205'!$R14+'2305'!$R14+'2405'!$R14</f>
        <v>5</v>
      </c>
      <c r="AC59" s="29">
        <f t="shared" si="25"/>
        <v>1.6666666666666667</v>
      </c>
      <c r="AD59" s="27">
        <f>'2205'!$S14+'2305'!$S14+'2405'!$S14</f>
        <v>2</v>
      </c>
      <c r="AE59" s="28">
        <f t="shared" si="26"/>
        <v>0.66666666666666663</v>
      </c>
      <c r="AF59" s="27">
        <f>'2205'!$T14+'2305'!$T14+'2405'!$T14</f>
        <v>3</v>
      </c>
      <c r="AG59" s="28">
        <f t="shared" si="27"/>
        <v>1</v>
      </c>
      <c r="AH59" s="27">
        <f>'2205'!$U14+'2305'!$U14+'2405'!$U14</f>
        <v>0</v>
      </c>
      <c r="AI59" s="28">
        <f t="shared" si="28"/>
        <v>0</v>
      </c>
      <c r="AJ59" s="40">
        <v>0</v>
      </c>
    </row>
    <row r="60" spans="8:36" ht="14.25" customHeight="1" x14ac:dyDescent="0.45">
      <c r="P60" s="30" t="s">
        <v>85</v>
      </c>
      <c r="Q60" s="44">
        <f>'0205'!R15+'0305'!R15</f>
        <v>6</v>
      </c>
      <c r="R60" s="29">
        <f t="shared" si="29"/>
        <v>6</v>
      </c>
      <c r="S60" s="27">
        <f>'0205'!S15+'0305'!S15</f>
        <v>4</v>
      </c>
      <c r="T60" s="28">
        <f t="shared" si="30"/>
        <v>4</v>
      </c>
      <c r="U60" s="27">
        <f>'0205'!T15+'0305'!T15</f>
        <v>0</v>
      </c>
      <c r="V60" s="28">
        <f t="shared" si="31"/>
        <v>0</v>
      </c>
      <c r="W60" s="27">
        <f>'0205'!U15+'0305'!U15</f>
        <v>1</v>
      </c>
      <c r="X60" s="28">
        <f t="shared" si="32"/>
        <v>1</v>
      </c>
      <c r="Y60" s="40">
        <v>1</v>
      </c>
      <c r="AA60" s="30" t="s">
        <v>85</v>
      </c>
      <c r="AB60" s="44">
        <f>'2205'!$R15+'2305'!$R15+'2405'!$R15</f>
        <v>8</v>
      </c>
      <c r="AC60" s="29">
        <f t="shared" si="25"/>
        <v>2.6666666666666665</v>
      </c>
      <c r="AD60" s="27">
        <f>'2205'!$S15+'2305'!$S15+'2405'!$S15</f>
        <v>4</v>
      </c>
      <c r="AE60" s="28">
        <f t="shared" si="26"/>
        <v>1.3333333333333333</v>
      </c>
      <c r="AF60" s="27">
        <f>'2205'!$T15+'2305'!$T15+'2405'!$T15</f>
        <v>2</v>
      </c>
      <c r="AG60" s="28">
        <f t="shared" si="27"/>
        <v>0.66666666666666663</v>
      </c>
      <c r="AH60" s="27">
        <f>'2205'!$U15+'2305'!$U15+'2405'!$U15</f>
        <v>1</v>
      </c>
      <c r="AI60" s="28">
        <f t="shared" si="28"/>
        <v>0.33333333333333331</v>
      </c>
      <c r="AJ60" s="40">
        <v>0</v>
      </c>
    </row>
    <row r="61" spans="8:36" ht="14.25" customHeight="1" x14ac:dyDescent="0.45">
      <c r="P61" s="30" t="s">
        <v>86</v>
      </c>
      <c r="Q61" s="44">
        <f>'0205'!R16+'0305'!R16</f>
        <v>0</v>
      </c>
      <c r="R61" s="29">
        <f t="shared" si="29"/>
        <v>0</v>
      </c>
      <c r="S61" s="27">
        <f>'0205'!S16+'0305'!S16</f>
        <v>0</v>
      </c>
      <c r="T61" s="28">
        <f t="shared" si="30"/>
        <v>0</v>
      </c>
      <c r="U61" s="27">
        <f>'0205'!T16+'0305'!T16</f>
        <v>0</v>
      </c>
      <c r="V61" s="28">
        <f t="shared" si="31"/>
        <v>0</v>
      </c>
      <c r="W61" s="27">
        <f>'0205'!U16+'0305'!U16</f>
        <v>0</v>
      </c>
      <c r="X61" s="28">
        <f t="shared" si="32"/>
        <v>0</v>
      </c>
      <c r="Y61" s="40">
        <v>0</v>
      </c>
      <c r="AA61" s="30" t="s">
        <v>86</v>
      </c>
      <c r="AB61" s="44">
        <f>'2205'!$R16+'2305'!$R16+'2405'!$R16</f>
        <v>0</v>
      </c>
      <c r="AC61" s="29">
        <f t="shared" si="25"/>
        <v>0</v>
      </c>
      <c r="AD61" s="27">
        <f>'2205'!$S16+'2305'!$S16+'2405'!$S16</f>
        <v>0</v>
      </c>
      <c r="AE61" s="28">
        <f t="shared" si="26"/>
        <v>0</v>
      </c>
      <c r="AF61" s="27">
        <f>'2205'!$T16+'2305'!$T16+'2405'!$T16</f>
        <v>0</v>
      </c>
      <c r="AG61" s="28">
        <f t="shared" si="27"/>
        <v>0</v>
      </c>
      <c r="AH61" s="27">
        <f>'2205'!$U16+'2305'!$U16+'2405'!$U16</f>
        <v>0</v>
      </c>
      <c r="AI61" s="28">
        <f t="shared" si="28"/>
        <v>0</v>
      </c>
      <c r="AJ61" s="40">
        <v>0</v>
      </c>
    </row>
    <row r="62" spans="8:36" ht="14.25" customHeight="1" x14ac:dyDescent="0.45">
      <c r="P62" s="30" t="s">
        <v>87</v>
      </c>
      <c r="Q62" s="44">
        <f>'0205'!R17+'0305'!R17</f>
        <v>0</v>
      </c>
      <c r="R62" s="29">
        <f t="shared" si="29"/>
        <v>0</v>
      </c>
      <c r="S62" s="27">
        <f>'0205'!S17+'0305'!S17</f>
        <v>0</v>
      </c>
      <c r="T62" s="28">
        <f t="shared" si="30"/>
        <v>0</v>
      </c>
      <c r="U62" s="27">
        <f>'0205'!T17+'0305'!T17</f>
        <v>0</v>
      </c>
      <c r="V62" s="28">
        <f t="shared" si="31"/>
        <v>0</v>
      </c>
      <c r="W62" s="27">
        <f>'0205'!U17+'0305'!U17</f>
        <v>0</v>
      </c>
      <c r="X62" s="28">
        <f t="shared" si="32"/>
        <v>0</v>
      </c>
      <c r="Y62" s="40">
        <v>0</v>
      </c>
      <c r="AA62" s="30" t="s">
        <v>87</v>
      </c>
      <c r="AB62" s="44">
        <f>'2205'!$R17+'2305'!$R17+'2405'!$R17</f>
        <v>1</v>
      </c>
      <c r="AC62" s="29">
        <f t="shared" si="25"/>
        <v>0.33333333333333331</v>
      </c>
      <c r="AD62" s="27">
        <f>'2205'!$S17+'2305'!$S17+'2405'!$S17</f>
        <v>1</v>
      </c>
      <c r="AE62" s="28">
        <f t="shared" si="26"/>
        <v>0.33333333333333331</v>
      </c>
      <c r="AF62" s="27">
        <f>'2205'!$T17+'2305'!$T17+'2405'!$T17</f>
        <v>0</v>
      </c>
      <c r="AG62" s="28">
        <f t="shared" si="27"/>
        <v>0</v>
      </c>
      <c r="AH62" s="27">
        <f>'2205'!$U17+'2305'!$U17+'2405'!$U17</f>
        <v>0</v>
      </c>
      <c r="AI62" s="28">
        <f t="shared" si="28"/>
        <v>0</v>
      </c>
      <c r="AJ62" s="40">
        <v>0</v>
      </c>
    </row>
    <row r="63" spans="8:36" ht="14.25" customHeight="1" x14ac:dyDescent="0.45">
      <c r="P63" s="52" t="s">
        <v>107</v>
      </c>
      <c r="Q63" s="44">
        <f>'0205'!R18+'0305'!R18</f>
        <v>2</v>
      </c>
      <c r="R63" s="29">
        <f t="shared" si="29"/>
        <v>1</v>
      </c>
      <c r="S63" s="27">
        <f>'0205'!S18+'0305'!S18</f>
        <v>2</v>
      </c>
      <c r="T63" s="28">
        <f t="shared" si="30"/>
        <v>1</v>
      </c>
      <c r="U63" s="27">
        <f>'0205'!T18+'0305'!T18</f>
        <v>0</v>
      </c>
      <c r="V63" s="28">
        <f t="shared" si="31"/>
        <v>0</v>
      </c>
      <c r="W63" s="27">
        <f>'0205'!U18+'0305'!U18</f>
        <v>0</v>
      </c>
      <c r="X63" s="28">
        <f t="shared" si="32"/>
        <v>0</v>
      </c>
      <c r="Y63" s="40">
        <v>0</v>
      </c>
      <c r="AA63" s="52" t="s">
        <v>107</v>
      </c>
      <c r="AB63" s="44">
        <f>'2205'!$R18+'2305'!$R18+'2405'!$R18</f>
        <v>0</v>
      </c>
      <c r="AC63" s="29">
        <f t="shared" si="25"/>
        <v>0</v>
      </c>
      <c r="AD63" s="27">
        <f>'2205'!$S18+'2305'!$S18+'2405'!$S18</f>
        <v>0</v>
      </c>
      <c r="AE63" s="28">
        <f t="shared" si="26"/>
        <v>0</v>
      </c>
      <c r="AF63" s="27">
        <f>'2205'!$T18+'2305'!$T18+'2405'!$T18</f>
        <v>0</v>
      </c>
      <c r="AG63" s="28">
        <f t="shared" si="27"/>
        <v>0</v>
      </c>
      <c r="AH63" s="27">
        <f>'2205'!$U18+'2305'!$U18+'2405'!$U18</f>
        <v>0</v>
      </c>
      <c r="AI63" s="28">
        <f t="shared" si="28"/>
        <v>0</v>
      </c>
      <c r="AJ63" s="40">
        <v>1</v>
      </c>
    </row>
    <row r="64" spans="8:36" ht="14.25" customHeight="1" x14ac:dyDescent="0.45">
      <c r="P64" s="13"/>
      <c r="Q64" s="15"/>
      <c r="R64" s="15"/>
      <c r="S64" s="15"/>
    </row>
    <row r="65" spans="8:36" ht="14.25" customHeight="1" x14ac:dyDescent="0.45">
      <c r="P65" s="52" t="s">
        <v>186</v>
      </c>
      <c r="Q65">
        <v>3</v>
      </c>
      <c r="AA65" s="52" t="s">
        <v>241</v>
      </c>
      <c r="AB65">
        <v>2</v>
      </c>
    </row>
    <row r="66" spans="8:36" ht="14.25" customHeight="1" x14ac:dyDescent="0.45">
      <c r="P66" s="31" t="s">
        <v>97</v>
      </c>
      <c r="Q66" s="32" t="s">
        <v>8</v>
      </c>
      <c r="R66" s="31" t="s">
        <v>98</v>
      </c>
      <c r="S66" s="33" t="s">
        <v>9</v>
      </c>
      <c r="T66" s="34" t="s">
        <v>93</v>
      </c>
      <c r="U66" s="35" t="s">
        <v>10</v>
      </c>
      <c r="V66" s="34" t="s">
        <v>93</v>
      </c>
      <c r="W66" s="33" t="s">
        <v>11</v>
      </c>
      <c r="X66" s="34" t="s">
        <v>93</v>
      </c>
      <c r="Y66" s="5" t="s">
        <v>160</v>
      </c>
      <c r="AA66" s="31" t="s">
        <v>97</v>
      </c>
      <c r="AB66" s="32" t="s">
        <v>8</v>
      </c>
      <c r="AC66" s="31" t="s">
        <v>98</v>
      </c>
      <c r="AD66" s="33" t="s">
        <v>9</v>
      </c>
      <c r="AE66" s="34" t="s">
        <v>93</v>
      </c>
      <c r="AF66" s="35" t="s">
        <v>10</v>
      </c>
      <c r="AG66" s="34" t="s">
        <v>93</v>
      </c>
      <c r="AH66" s="33" t="s">
        <v>11</v>
      </c>
      <c r="AI66" s="34" t="s">
        <v>93</v>
      </c>
      <c r="AJ66" s="5" t="s">
        <v>160</v>
      </c>
    </row>
    <row r="67" spans="8:36" ht="14.25" customHeight="1" x14ac:dyDescent="0.45">
      <c r="P67" s="30" t="s">
        <v>55</v>
      </c>
      <c r="Q67" s="44">
        <f>'0805'!$R3+'0905'!$R3+'1005'!$R3</f>
        <v>4</v>
      </c>
      <c r="R67" s="29">
        <f t="shared" ref="R67:R82" si="33">Q67/(Q$65-Y67)</f>
        <v>1.3333333333333333</v>
      </c>
      <c r="S67" s="27">
        <f>'0805'!$S3+'0905'!$S3+'1005'!$S3</f>
        <v>2</v>
      </c>
      <c r="T67" s="28">
        <f t="shared" ref="T67:T82" si="34">S67/($Q$65-Y67)</f>
        <v>0.66666666666666663</v>
      </c>
      <c r="U67" s="27">
        <f>'0805'!$T3+'0905'!$T3+'1005'!$T3</f>
        <v>2</v>
      </c>
      <c r="V67" s="28">
        <f t="shared" ref="V67:V82" si="35">U67/($Q$65-Y67)</f>
        <v>0.66666666666666663</v>
      </c>
      <c r="W67" s="27">
        <f>'0805'!$U3+'0905'!$U3+'1005'!$U3</f>
        <v>0</v>
      </c>
      <c r="X67" s="28">
        <f t="shared" ref="X67:X82" si="36">W67/($Q$65-Y67)</f>
        <v>0</v>
      </c>
      <c r="Y67" s="40">
        <v>0</v>
      </c>
      <c r="AA67" s="30" t="s">
        <v>55</v>
      </c>
      <c r="AB67" s="44">
        <f>'Finals 1'!$S3+'Finals 2'!$S3</f>
        <v>0</v>
      </c>
      <c r="AC67" s="29">
        <f>AB67/(AB$65-AJ67)</f>
        <v>0</v>
      </c>
      <c r="AD67" s="27">
        <f>'Finals 1'!$T3+'Finals 2'!$T3</f>
        <v>0</v>
      </c>
      <c r="AE67" s="28">
        <f>AD67/(AB$65-AJ67)</f>
        <v>0</v>
      </c>
      <c r="AF67" s="27">
        <f>'Finals 1'!$U3+'Finals 2'!$U3</f>
        <v>0</v>
      </c>
      <c r="AG67" s="28">
        <f>AF67/(AB$65-AJ67)</f>
        <v>0</v>
      </c>
      <c r="AH67" s="27">
        <f>'Finals 1'!$V3+'Finals 2'!$V3</f>
        <v>0</v>
      </c>
      <c r="AI67" s="28">
        <f>AH67/(AB$65-AJ67)</f>
        <v>0</v>
      </c>
      <c r="AJ67" s="40">
        <v>0</v>
      </c>
    </row>
    <row r="68" spans="8:36" ht="14.25" customHeight="1" x14ac:dyDescent="0.45">
      <c r="P68" s="30" t="s">
        <v>59</v>
      </c>
      <c r="Q68" s="44">
        <f>'0805'!$R4+'0905'!$R4+'1005'!$R4</f>
        <v>4</v>
      </c>
      <c r="R68" s="29">
        <f t="shared" si="33"/>
        <v>1.3333333333333333</v>
      </c>
      <c r="S68" s="27">
        <f>'0805'!$S4+'0905'!$S4+'1005'!$S4</f>
        <v>4</v>
      </c>
      <c r="T68" s="28">
        <f t="shared" si="34"/>
        <v>1.3333333333333333</v>
      </c>
      <c r="U68" s="27">
        <f>'0805'!$T4+'0905'!$T4+'1005'!$T4</f>
        <v>0</v>
      </c>
      <c r="V68" s="28">
        <f t="shared" si="35"/>
        <v>0</v>
      </c>
      <c r="W68" s="27">
        <f>'0805'!$U4+'0905'!$U4+'1005'!$U4</f>
        <v>0</v>
      </c>
      <c r="X68" s="28">
        <f t="shared" si="36"/>
        <v>0</v>
      </c>
      <c r="Y68" s="40">
        <v>0</v>
      </c>
      <c r="AA68" s="30" t="s">
        <v>59</v>
      </c>
      <c r="AB68" s="44">
        <f>'Finals 1'!$S4+'Finals 2'!$S4</f>
        <v>1</v>
      </c>
      <c r="AC68" s="29">
        <f t="shared" ref="AC68:AC82" si="37">AB68/(AB$65-AJ68)</f>
        <v>0.5</v>
      </c>
      <c r="AD68" s="27">
        <f>'Finals 1'!$T4+'Finals 2'!$T4</f>
        <v>1</v>
      </c>
      <c r="AE68" s="28">
        <f t="shared" ref="AE68:AE82" si="38">AD68/(AB$65-AJ68)</f>
        <v>0.5</v>
      </c>
      <c r="AF68" s="27">
        <f>'Finals 1'!$U4+'Finals 2'!$U4</f>
        <v>0</v>
      </c>
      <c r="AG68" s="28">
        <f t="shared" ref="AG68:AG82" si="39">AF68/(AB$65-AJ68)</f>
        <v>0</v>
      </c>
      <c r="AH68" s="27">
        <f>'Finals 1'!$V4+'Finals 2'!$V4</f>
        <v>0</v>
      </c>
      <c r="AI68" s="28">
        <f t="shared" ref="AI68:AI82" si="40">AH68/(AB$65-AJ68)</f>
        <v>0</v>
      </c>
      <c r="AJ68" s="40">
        <v>0</v>
      </c>
    </row>
    <row r="69" spans="8:36" ht="14.25" customHeight="1" x14ac:dyDescent="0.45">
      <c r="P69" s="30" t="s">
        <v>62</v>
      </c>
      <c r="Q69" s="44">
        <f>'0805'!$R5+'0905'!$R5+'1005'!$R5</f>
        <v>2</v>
      </c>
      <c r="R69" s="29">
        <f t="shared" si="33"/>
        <v>2</v>
      </c>
      <c r="S69" s="27">
        <f>'0805'!$S5+'0905'!$S5+'1005'!$S5</f>
        <v>2</v>
      </c>
      <c r="T69" s="28">
        <f t="shared" si="34"/>
        <v>2</v>
      </c>
      <c r="U69" s="27">
        <f>'0805'!$T5+'0905'!$T5+'1005'!$T5</f>
        <v>0</v>
      </c>
      <c r="V69" s="28">
        <f t="shared" si="35"/>
        <v>0</v>
      </c>
      <c r="W69" s="27">
        <f>'0805'!$U5+'0905'!$U5+'1005'!$U5</f>
        <v>0</v>
      </c>
      <c r="X69" s="28">
        <f t="shared" si="36"/>
        <v>0</v>
      </c>
      <c r="Y69" s="40">
        <v>2</v>
      </c>
      <c r="AA69" s="30" t="s">
        <v>62</v>
      </c>
      <c r="AB69" s="44">
        <f>'Finals 1'!$S5+'Finals 2'!$S5</f>
        <v>7</v>
      </c>
      <c r="AC69" s="29">
        <f t="shared" si="37"/>
        <v>3.5</v>
      </c>
      <c r="AD69" s="27">
        <f>'Finals 1'!$T5+'Finals 2'!$T5</f>
        <v>7</v>
      </c>
      <c r="AE69" s="28">
        <f t="shared" si="38"/>
        <v>3.5</v>
      </c>
      <c r="AF69" s="27">
        <f>'Finals 1'!$U5+'Finals 2'!$U5</f>
        <v>0</v>
      </c>
      <c r="AG69" s="28">
        <f t="shared" si="39"/>
        <v>0</v>
      </c>
      <c r="AH69" s="27">
        <f>'Finals 1'!$V5+'Finals 2'!$V5</f>
        <v>0</v>
      </c>
      <c r="AI69" s="28">
        <f t="shared" si="40"/>
        <v>0</v>
      </c>
      <c r="AJ69" s="40">
        <v>0</v>
      </c>
    </row>
    <row r="70" spans="8:36" ht="14.25" customHeight="1" x14ac:dyDescent="0.45">
      <c r="H70" s="132"/>
      <c r="I70" s="40"/>
      <c r="J70" s="40"/>
      <c r="K70" s="40"/>
      <c r="P70" s="30" t="s">
        <v>65</v>
      </c>
      <c r="Q70" s="44">
        <f>'0805'!$R6+'0905'!$R6+'1005'!$R6</f>
        <v>19</v>
      </c>
      <c r="R70" s="29">
        <f t="shared" si="33"/>
        <v>6.333333333333333</v>
      </c>
      <c r="S70" s="27">
        <f>'0805'!$S6+'0905'!$S6+'1005'!$S6</f>
        <v>17</v>
      </c>
      <c r="T70" s="28">
        <f t="shared" si="34"/>
        <v>5.666666666666667</v>
      </c>
      <c r="U70" s="27">
        <f>'0805'!$T6+'0905'!$T6+'1005'!$T6</f>
        <v>2</v>
      </c>
      <c r="V70" s="28">
        <f t="shared" si="35"/>
        <v>0.66666666666666663</v>
      </c>
      <c r="W70" s="27">
        <f>'0805'!$U6+'0905'!$U6+'1005'!$U6</f>
        <v>0</v>
      </c>
      <c r="X70" s="28">
        <f t="shared" si="36"/>
        <v>0</v>
      </c>
      <c r="Y70" s="40">
        <v>0</v>
      </c>
      <c r="AA70" s="30" t="s">
        <v>65</v>
      </c>
      <c r="AB70" s="44">
        <f>'Finals 1'!$S6+'Finals 2'!$S6</f>
        <v>1</v>
      </c>
      <c r="AC70" s="29">
        <f t="shared" si="37"/>
        <v>1</v>
      </c>
      <c r="AD70" s="27">
        <f>'Finals 1'!$T6+'Finals 2'!$T6</f>
        <v>1</v>
      </c>
      <c r="AE70" s="28">
        <f t="shared" si="38"/>
        <v>1</v>
      </c>
      <c r="AF70" s="27">
        <f>'Finals 1'!$U6+'Finals 2'!$U6</f>
        <v>0</v>
      </c>
      <c r="AG70" s="28">
        <f t="shared" si="39"/>
        <v>0</v>
      </c>
      <c r="AH70" s="27">
        <f>'Finals 1'!$V6+'Finals 2'!$V6</f>
        <v>0</v>
      </c>
      <c r="AI70" s="28">
        <f t="shared" si="40"/>
        <v>0</v>
      </c>
      <c r="AJ70" s="40">
        <v>1</v>
      </c>
    </row>
    <row r="71" spans="8:36" ht="14.25" customHeight="1" x14ac:dyDescent="0.45">
      <c r="P71" s="30" t="s">
        <v>68</v>
      </c>
      <c r="Q71" s="44">
        <f>'0805'!$R7+'0905'!$R7+'1005'!$R7</f>
        <v>11</v>
      </c>
      <c r="R71" s="29">
        <f t="shared" si="33"/>
        <v>3.6666666666666665</v>
      </c>
      <c r="S71" s="27">
        <f>'0805'!$S7+'0905'!$S7+'1005'!$S7</f>
        <v>2</v>
      </c>
      <c r="T71" s="28">
        <f t="shared" si="34"/>
        <v>0.66666666666666663</v>
      </c>
      <c r="U71" s="27">
        <f>'0805'!$T7+'0905'!$T7+'1005'!$T7</f>
        <v>9</v>
      </c>
      <c r="V71" s="28">
        <f t="shared" si="35"/>
        <v>3</v>
      </c>
      <c r="W71" s="27">
        <f>'0805'!$U7+'0905'!$U7+'1005'!$U7</f>
        <v>0</v>
      </c>
      <c r="X71" s="28">
        <f t="shared" si="36"/>
        <v>0</v>
      </c>
      <c r="Y71" s="40">
        <v>0</v>
      </c>
      <c r="AA71" s="30" t="s">
        <v>68</v>
      </c>
      <c r="AB71" s="44">
        <f>'Finals 1'!$S7+'Finals 2'!$S7</f>
        <v>4</v>
      </c>
      <c r="AC71" s="29">
        <f t="shared" si="37"/>
        <v>2</v>
      </c>
      <c r="AD71" s="27">
        <f>'Finals 1'!$T7+'Finals 2'!$T7</f>
        <v>2</v>
      </c>
      <c r="AE71" s="28">
        <f t="shared" si="38"/>
        <v>1</v>
      </c>
      <c r="AF71" s="27">
        <f>'Finals 1'!$U7+'Finals 2'!$U7</f>
        <v>0</v>
      </c>
      <c r="AG71" s="28">
        <f t="shared" si="39"/>
        <v>0</v>
      </c>
      <c r="AH71" s="27">
        <f>'Finals 1'!$V7+'Finals 2'!$V7</f>
        <v>1</v>
      </c>
      <c r="AI71" s="28">
        <f t="shared" si="40"/>
        <v>0.5</v>
      </c>
      <c r="AJ71" s="40">
        <v>0</v>
      </c>
    </row>
    <row r="72" spans="8:36" ht="14.25" customHeight="1" x14ac:dyDescent="0.45">
      <c r="P72" s="30" t="s">
        <v>71</v>
      </c>
      <c r="Q72" s="44">
        <f>'0805'!$R8+'0905'!$R8+'1005'!$R8</f>
        <v>0</v>
      </c>
      <c r="R72" s="29" t="e">
        <f t="shared" si="33"/>
        <v>#DIV/0!</v>
      </c>
      <c r="S72" s="27">
        <f>'0805'!$S8+'0905'!$S8+'1005'!$S8</f>
        <v>0</v>
      </c>
      <c r="T72" s="28" t="e">
        <f t="shared" si="34"/>
        <v>#DIV/0!</v>
      </c>
      <c r="U72" s="27">
        <f>'0805'!$T8+'0905'!$T8+'1005'!$T8</f>
        <v>0</v>
      </c>
      <c r="V72" s="28" t="e">
        <f t="shared" si="35"/>
        <v>#DIV/0!</v>
      </c>
      <c r="W72" s="27">
        <f>'0805'!$U8+'0905'!$U8+'1005'!$U8</f>
        <v>0</v>
      </c>
      <c r="X72" s="28" t="e">
        <f t="shared" si="36"/>
        <v>#DIV/0!</v>
      </c>
      <c r="Y72" s="40">
        <v>3</v>
      </c>
      <c r="AA72" s="30" t="s">
        <v>71</v>
      </c>
      <c r="AB72" s="44">
        <f>'Finals 1'!$S8+'Finals 2'!$S8</f>
        <v>3</v>
      </c>
      <c r="AC72" s="29">
        <f t="shared" si="37"/>
        <v>1.5</v>
      </c>
      <c r="AD72" s="27">
        <f>'Finals 1'!$T8+'Finals 2'!$T8</f>
        <v>0</v>
      </c>
      <c r="AE72" s="28">
        <f t="shared" si="38"/>
        <v>0</v>
      </c>
      <c r="AF72" s="27">
        <f>'Finals 1'!$U8+'Finals 2'!$U8</f>
        <v>3</v>
      </c>
      <c r="AG72" s="28">
        <f t="shared" si="39"/>
        <v>1.5</v>
      </c>
      <c r="AH72" s="27">
        <f>'Finals 1'!$V8+'Finals 2'!$V8</f>
        <v>0</v>
      </c>
      <c r="AI72" s="28">
        <f t="shared" si="40"/>
        <v>0</v>
      </c>
      <c r="AJ72" s="40">
        <v>0</v>
      </c>
    </row>
    <row r="73" spans="8:36" ht="14.25" customHeight="1" x14ac:dyDescent="0.45">
      <c r="P73" s="30" t="s">
        <v>75</v>
      </c>
      <c r="Q73" s="44">
        <f>'0805'!$R9+'0905'!$R9+'1005'!$R9</f>
        <v>4</v>
      </c>
      <c r="R73" s="29">
        <f t="shared" si="33"/>
        <v>1.3333333333333333</v>
      </c>
      <c r="S73" s="27">
        <f>'0805'!$S9+'0905'!$S9+'1005'!$S9</f>
        <v>2</v>
      </c>
      <c r="T73" s="28">
        <f t="shared" si="34"/>
        <v>0.66666666666666663</v>
      </c>
      <c r="U73" s="27">
        <f>'0805'!$T9+'0905'!$T9+'1005'!$T9</f>
        <v>0</v>
      </c>
      <c r="V73" s="28">
        <f t="shared" si="35"/>
        <v>0</v>
      </c>
      <c r="W73" s="27">
        <f>'0805'!$U9+'0905'!$U9+'1005'!$U9</f>
        <v>1</v>
      </c>
      <c r="X73" s="28">
        <f t="shared" si="36"/>
        <v>0.33333333333333331</v>
      </c>
      <c r="Y73" s="40">
        <v>0</v>
      </c>
      <c r="AA73" s="30" t="s">
        <v>75</v>
      </c>
      <c r="AB73" s="44">
        <f>'Finals 1'!$S9+'Finals 2'!$S9</f>
        <v>7</v>
      </c>
      <c r="AC73" s="29">
        <f t="shared" si="37"/>
        <v>3.5</v>
      </c>
      <c r="AD73" s="27">
        <f>'Finals 1'!$T9+'Finals 2'!$T9</f>
        <v>1</v>
      </c>
      <c r="AE73" s="28">
        <f t="shared" si="38"/>
        <v>0.5</v>
      </c>
      <c r="AF73" s="27">
        <f>'Finals 1'!$U9+'Finals 2'!$U9</f>
        <v>0</v>
      </c>
      <c r="AG73" s="28">
        <f t="shared" si="39"/>
        <v>0</v>
      </c>
      <c r="AH73" s="27">
        <f>'Finals 1'!$V9+'Finals 2'!$V9</f>
        <v>3</v>
      </c>
      <c r="AI73" s="28">
        <f t="shared" si="40"/>
        <v>1.5</v>
      </c>
      <c r="AJ73" s="40">
        <v>0</v>
      </c>
    </row>
    <row r="74" spans="8:36" ht="14.25" customHeight="1" x14ac:dyDescent="0.45">
      <c r="J74" s="33" t="s">
        <v>221</v>
      </c>
      <c r="P74" s="30" t="s">
        <v>78</v>
      </c>
      <c r="Q74" s="44">
        <f>'0805'!$R10+'0905'!$R10+'1005'!$R10</f>
        <v>10</v>
      </c>
      <c r="R74" s="29">
        <f t="shared" si="33"/>
        <v>3.3333333333333335</v>
      </c>
      <c r="S74" s="27">
        <f>'0805'!$S10+'0905'!$S10+'1005'!$S10</f>
        <v>4</v>
      </c>
      <c r="T74" s="28">
        <f t="shared" si="34"/>
        <v>1.3333333333333333</v>
      </c>
      <c r="U74" s="27">
        <f>'0805'!$T10+'0905'!$T10+'1005'!$T10</f>
        <v>6</v>
      </c>
      <c r="V74" s="28">
        <f t="shared" si="35"/>
        <v>2</v>
      </c>
      <c r="W74" s="27">
        <f>'0805'!$U10+'0905'!$U10+'1005'!$U10</f>
        <v>0</v>
      </c>
      <c r="X74" s="28">
        <f t="shared" si="36"/>
        <v>0</v>
      </c>
      <c r="Y74" s="40">
        <v>0</v>
      </c>
      <c r="AA74" s="30" t="s">
        <v>78</v>
      </c>
      <c r="AB74" s="44">
        <f>'Finals 1'!$S10+'Finals 2'!$S10</f>
        <v>5</v>
      </c>
      <c r="AC74" s="29">
        <f t="shared" si="37"/>
        <v>2.5</v>
      </c>
      <c r="AD74" s="27">
        <f>'Finals 1'!$T10+'Finals 2'!$T10</f>
        <v>0</v>
      </c>
      <c r="AE74" s="28">
        <f t="shared" si="38"/>
        <v>0</v>
      </c>
      <c r="AF74" s="27">
        <f>'Finals 1'!$U10+'Finals 2'!$U10</f>
        <v>5</v>
      </c>
      <c r="AG74" s="28">
        <f t="shared" si="39"/>
        <v>2.5</v>
      </c>
      <c r="AH74" s="27">
        <f>'Finals 1'!$V10+'Finals 2'!$V10</f>
        <v>0</v>
      </c>
      <c r="AI74" s="28">
        <f t="shared" si="40"/>
        <v>0</v>
      </c>
      <c r="AJ74" s="40">
        <v>0</v>
      </c>
    </row>
    <row r="75" spans="8:36" ht="14.25" customHeight="1" x14ac:dyDescent="0.45">
      <c r="I75" s="131" t="s">
        <v>84</v>
      </c>
      <c r="J75" t="s">
        <v>132</v>
      </c>
      <c r="K75" t="s">
        <v>133</v>
      </c>
      <c r="L75" t="s">
        <v>134</v>
      </c>
      <c r="P75" s="30" t="s">
        <v>80</v>
      </c>
      <c r="Q75" s="44">
        <f>'0805'!$R11+'0905'!$R11+'1005'!$R11</f>
        <v>9</v>
      </c>
      <c r="R75" s="29">
        <f t="shared" si="33"/>
        <v>3</v>
      </c>
      <c r="S75" s="27">
        <f>'0805'!$S11+'0905'!$S11+'1005'!$S11</f>
        <v>0</v>
      </c>
      <c r="T75" s="28">
        <f t="shared" si="34"/>
        <v>0</v>
      </c>
      <c r="U75" s="27">
        <f>'0805'!$T11+'0905'!$T11+'1005'!$T11</f>
        <v>9</v>
      </c>
      <c r="V75" s="28">
        <f t="shared" si="35"/>
        <v>3</v>
      </c>
      <c r="W75" s="27">
        <f>'0805'!$U11+'0905'!$U11+'1005'!$U11</f>
        <v>0</v>
      </c>
      <c r="X75" s="28">
        <f t="shared" si="36"/>
        <v>0</v>
      </c>
      <c r="Y75" s="40">
        <v>0</v>
      </c>
      <c r="AA75" s="30" t="s">
        <v>80</v>
      </c>
      <c r="AB75" s="44">
        <f>'Finals 1'!$S11+'Finals 2'!$S11</f>
        <v>1</v>
      </c>
      <c r="AC75" s="29">
        <f t="shared" si="37"/>
        <v>1</v>
      </c>
      <c r="AD75" s="27">
        <f>'Finals 1'!$T11+'Finals 2'!$T11</f>
        <v>0</v>
      </c>
      <c r="AE75" s="28">
        <f t="shared" si="38"/>
        <v>0</v>
      </c>
      <c r="AF75" s="27">
        <f>'Finals 1'!$U11+'Finals 2'!$U11</f>
        <v>1</v>
      </c>
      <c r="AG75" s="28">
        <f t="shared" si="39"/>
        <v>1</v>
      </c>
      <c r="AH75" s="27">
        <f>'Finals 1'!$V11+'Finals 2'!$V11</f>
        <v>0</v>
      </c>
      <c r="AI75" s="28">
        <f t="shared" si="40"/>
        <v>0</v>
      </c>
      <c r="AJ75" s="40">
        <v>1</v>
      </c>
    </row>
    <row r="76" spans="8:36" ht="14.25" customHeight="1" x14ac:dyDescent="0.45">
      <c r="H76">
        <v>1</v>
      </c>
      <c r="I76" s="132">
        <f>'Statistics LG'!A4</f>
        <v>45040</v>
      </c>
      <c r="J76">
        <f>'Statistics LG'!D4</f>
        <v>2</v>
      </c>
      <c r="K76">
        <f>'Statistics WW'!D4</f>
        <v>1</v>
      </c>
      <c r="L76">
        <f>'Statistics 5M'!D4</f>
        <v>3</v>
      </c>
      <c r="P76" s="30" t="s">
        <v>81</v>
      </c>
      <c r="Q76" s="44">
        <f>'0805'!$R12+'0905'!$R12+'1005'!$R12</f>
        <v>2</v>
      </c>
      <c r="R76" s="29">
        <f t="shared" si="33"/>
        <v>0.66666666666666663</v>
      </c>
      <c r="S76" s="27">
        <f>'0805'!$S12+'0905'!$S12+'1005'!$S12</f>
        <v>0</v>
      </c>
      <c r="T76" s="28">
        <f t="shared" si="34"/>
        <v>0</v>
      </c>
      <c r="U76" s="27">
        <f>'0805'!$T12+'0905'!$T12+'1005'!$T12</f>
        <v>2</v>
      </c>
      <c r="V76" s="28">
        <f t="shared" si="35"/>
        <v>0.66666666666666663</v>
      </c>
      <c r="W76" s="27">
        <f>'0805'!$U12+'0905'!$U12+'1005'!$U12</f>
        <v>0</v>
      </c>
      <c r="X76" s="28">
        <f t="shared" si="36"/>
        <v>0</v>
      </c>
      <c r="Y76" s="40">
        <v>0</v>
      </c>
      <c r="AA76" s="30" t="s">
        <v>81</v>
      </c>
      <c r="AB76" s="44">
        <f>'Finals 1'!$S12+'Finals 2'!$S12</f>
        <v>1</v>
      </c>
      <c r="AC76" s="29">
        <f t="shared" si="37"/>
        <v>0.5</v>
      </c>
      <c r="AD76" s="27">
        <f>'Finals 1'!$T12+'Finals 2'!$T12</f>
        <v>1</v>
      </c>
      <c r="AE76" s="28">
        <f t="shared" si="38"/>
        <v>0.5</v>
      </c>
      <c r="AF76" s="27">
        <f>'Finals 1'!$U12+'Finals 2'!$U12</f>
        <v>0</v>
      </c>
      <c r="AG76" s="28">
        <f t="shared" si="39"/>
        <v>0</v>
      </c>
      <c r="AH76" s="27">
        <f>'Finals 1'!$V12+'Finals 2'!$V12</f>
        <v>0</v>
      </c>
      <c r="AI76" s="28">
        <f t="shared" si="40"/>
        <v>0</v>
      </c>
      <c r="AJ76" s="40">
        <v>0</v>
      </c>
    </row>
    <row r="77" spans="8:36" ht="14.25" customHeight="1" x14ac:dyDescent="0.45">
      <c r="H77">
        <v>2</v>
      </c>
      <c r="I77" s="132">
        <f>'Statistics LG'!A5</f>
        <v>45042</v>
      </c>
      <c r="J77">
        <f>J76+'Statistics LG'!D5</f>
        <v>4</v>
      </c>
      <c r="K77">
        <f>K76+'Statistics WW'!D5</f>
        <v>2</v>
      </c>
      <c r="L77">
        <f>L76+'Statistics 5M'!D5</f>
        <v>6</v>
      </c>
      <c r="P77" s="30" t="s">
        <v>185</v>
      </c>
      <c r="Q77" s="44">
        <f>'0805'!$R13+'0905'!$R13+'1005'!$R13</f>
        <v>0</v>
      </c>
      <c r="R77" s="29">
        <f t="shared" si="33"/>
        <v>0</v>
      </c>
      <c r="S77" s="27">
        <f>'0805'!$S13+'0905'!$S13+'1005'!$S13</f>
        <v>0</v>
      </c>
      <c r="T77" s="28">
        <f t="shared" si="34"/>
        <v>0</v>
      </c>
      <c r="U77" s="27">
        <f>'0805'!$T13+'0905'!$T13+'1005'!$T13</f>
        <v>0</v>
      </c>
      <c r="V77" s="28">
        <f t="shared" si="35"/>
        <v>0</v>
      </c>
      <c r="W77" s="27">
        <f>'0805'!$U13+'0905'!$U13+'1005'!$U13</f>
        <v>0</v>
      </c>
      <c r="X77" s="28">
        <f t="shared" si="36"/>
        <v>0</v>
      </c>
      <c r="Y77" s="40">
        <v>2</v>
      </c>
      <c r="AA77" s="30" t="s">
        <v>185</v>
      </c>
      <c r="AB77" s="44">
        <f>'Finals 1'!$S13+'Finals 2'!$S13</f>
        <v>4</v>
      </c>
      <c r="AC77" s="29">
        <f t="shared" si="37"/>
        <v>2</v>
      </c>
      <c r="AD77" s="27">
        <f>'Finals 1'!$T13+'Finals 2'!$T13</f>
        <v>0</v>
      </c>
      <c r="AE77" s="28">
        <f t="shared" si="38"/>
        <v>0</v>
      </c>
      <c r="AF77" s="27">
        <f>'Finals 1'!$U13+'Finals 2'!$U13</f>
        <v>0</v>
      </c>
      <c r="AG77" s="28">
        <f t="shared" si="39"/>
        <v>0</v>
      </c>
      <c r="AH77" s="27">
        <f>'Finals 1'!$V13+'Finals 2'!$V13</f>
        <v>2</v>
      </c>
      <c r="AI77" s="28">
        <f t="shared" si="40"/>
        <v>1</v>
      </c>
      <c r="AJ77" s="40">
        <v>0</v>
      </c>
    </row>
    <row r="78" spans="8:36" ht="14.25" customHeight="1" x14ac:dyDescent="0.45">
      <c r="H78" s="40">
        <v>3</v>
      </c>
      <c r="I78" s="132">
        <f>'Statistics LG'!A6</f>
        <v>45048</v>
      </c>
      <c r="J78" s="40">
        <f>J77+'Statistics LG'!D6</f>
        <v>7</v>
      </c>
      <c r="K78" s="40">
        <f>K77+'Statistics WW'!D6</f>
        <v>3</v>
      </c>
      <c r="L78" s="40">
        <f>L77+'Statistics 5M'!D6</f>
        <v>8</v>
      </c>
      <c r="P78" s="30" t="s">
        <v>184</v>
      </c>
      <c r="Q78" s="44">
        <f>'0805'!$R14+'0905'!$R14+'1005'!$R14</f>
        <v>3</v>
      </c>
      <c r="R78" s="29">
        <f t="shared" si="33"/>
        <v>1</v>
      </c>
      <c r="S78" s="27">
        <f>'0805'!$S14+'0905'!$S14+'1005'!$S14</f>
        <v>1</v>
      </c>
      <c r="T78" s="28">
        <f t="shared" si="34"/>
        <v>0.33333333333333331</v>
      </c>
      <c r="U78" s="27">
        <f>'0805'!$T14+'0905'!$T14+'1005'!$T14</f>
        <v>2</v>
      </c>
      <c r="V78" s="28">
        <f t="shared" si="35"/>
        <v>0.66666666666666663</v>
      </c>
      <c r="W78" s="27">
        <f>'0805'!$U14+'0905'!$U14+'1005'!$U14</f>
        <v>0</v>
      </c>
      <c r="X78" s="28">
        <f t="shared" si="36"/>
        <v>0</v>
      </c>
      <c r="Y78" s="40">
        <v>0</v>
      </c>
      <c r="AA78" s="30" t="s">
        <v>184</v>
      </c>
      <c r="AB78" s="44">
        <f>'Finals 1'!$S14+'Finals 2'!$S14</f>
        <v>0</v>
      </c>
      <c r="AC78" s="29">
        <f t="shared" si="37"/>
        <v>0</v>
      </c>
      <c r="AD78" s="27">
        <f>'Finals 1'!$T14+'Finals 2'!$T14</f>
        <v>0</v>
      </c>
      <c r="AE78" s="28">
        <f t="shared" si="38"/>
        <v>0</v>
      </c>
      <c r="AF78" s="27">
        <f>'Finals 1'!$U14+'Finals 2'!$U14</f>
        <v>0</v>
      </c>
      <c r="AG78" s="28">
        <f t="shared" si="39"/>
        <v>0</v>
      </c>
      <c r="AH78" s="27">
        <f>'Finals 1'!$V14+'Finals 2'!$V14</f>
        <v>0</v>
      </c>
      <c r="AI78" s="28">
        <f t="shared" si="40"/>
        <v>0</v>
      </c>
      <c r="AJ78" s="40">
        <v>0</v>
      </c>
    </row>
    <row r="79" spans="8:36" ht="14.25" customHeight="1" x14ac:dyDescent="0.45">
      <c r="H79" s="40">
        <v>4</v>
      </c>
      <c r="I79" s="132">
        <f>'Statistics LG'!A7</f>
        <v>45049</v>
      </c>
      <c r="J79" s="40">
        <f>J78+'Statistics LG'!D7</f>
        <v>9</v>
      </c>
      <c r="K79" s="40">
        <f>K78+'Statistics WW'!D7</f>
        <v>4</v>
      </c>
      <c r="L79" s="40">
        <f>L78+'Statistics 5M'!D7</f>
        <v>11</v>
      </c>
      <c r="P79" s="30" t="s">
        <v>85</v>
      </c>
      <c r="Q79" s="44">
        <f>'0805'!$R15+'0905'!$R15+'1005'!$R15</f>
        <v>4</v>
      </c>
      <c r="R79" s="29">
        <f t="shared" si="33"/>
        <v>4</v>
      </c>
      <c r="S79" s="27">
        <f>'0805'!$S15+'0905'!$S15+'1005'!$S15</f>
        <v>2</v>
      </c>
      <c r="T79" s="28">
        <f t="shared" si="34"/>
        <v>2</v>
      </c>
      <c r="U79" s="27">
        <f>'0805'!$T15+'0905'!$T15+'1005'!$T15</f>
        <v>0</v>
      </c>
      <c r="V79" s="28">
        <f t="shared" si="35"/>
        <v>0</v>
      </c>
      <c r="W79" s="27">
        <f>'0805'!$U15+'0905'!$U15+'1005'!$U15</f>
        <v>1</v>
      </c>
      <c r="X79" s="28">
        <f t="shared" si="36"/>
        <v>1</v>
      </c>
      <c r="Y79" s="40">
        <v>2</v>
      </c>
      <c r="AA79" s="30" t="s">
        <v>85</v>
      </c>
      <c r="AB79" s="44">
        <f>'Finals 1'!$S15+'Finals 2'!$S15</f>
        <v>4</v>
      </c>
      <c r="AC79" s="29">
        <f t="shared" si="37"/>
        <v>2</v>
      </c>
      <c r="AD79" s="27">
        <f>'Finals 1'!$T15+'Finals 2'!$T15</f>
        <v>2</v>
      </c>
      <c r="AE79" s="28">
        <f t="shared" si="38"/>
        <v>1</v>
      </c>
      <c r="AF79" s="27">
        <f>'Finals 1'!$U15+'Finals 2'!$U15</f>
        <v>2</v>
      </c>
      <c r="AG79" s="28">
        <f t="shared" si="39"/>
        <v>1</v>
      </c>
      <c r="AH79" s="27">
        <f>'Finals 1'!$V15+'Finals 2'!$V15</f>
        <v>0</v>
      </c>
      <c r="AI79" s="28">
        <f t="shared" si="40"/>
        <v>0</v>
      </c>
      <c r="AJ79" s="40">
        <v>0</v>
      </c>
    </row>
    <row r="80" spans="8:36" ht="14.25" customHeight="1" x14ac:dyDescent="0.45">
      <c r="H80" s="40">
        <v>5</v>
      </c>
      <c r="I80" s="132">
        <f>'Statistics LG'!A8</f>
        <v>45054</v>
      </c>
      <c r="J80" s="40">
        <f>J79+'Statistics LG'!D8</f>
        <v>10</v>
      </c>
      <c r="K80" s="40">
        <f>K79+'Statistics WW'!D8</f>
        <v>6</v>
      </c>
      <c r="L80" s="40">
        <f>L79+'Statistics 5M'!D8</f>
        <v>14</v>
      </c>
      <c r="P80" s="30" t="s">
        <v>86</v>
      </c>
      <c r="Q80" s="44">
        <f>'0805'!$R16+'0905'!$R16+'1005'!$R16</f>
        <v>1</v>
      </c>
      <c r="R80" s="29">
        <f t="shared" si="33"/>
        <v>0.33333333333333331</v>
      </c>
      <c r="S80" s="27">
        <f>'0805'!$S16+'0905'!$S16+'1005'!$S16</f>
        <v>1</v>
      </c>
      <c r="T80" s="28">
        <f t="shared" si="34"/>
        <v>0.33333333333333331</v>
      </c>
      <c r="U80" s="27">
        <f>'0805'!$T16+'0905'!$T16+'1005'!$T16</f>
        <v>0</v>
      </c>
      <c r="V80" s="28">
        <f t="shared" si="35"/>
        <v>0</v>
      </c>
      <c r="W80" s="27">
        <f>'0805'!$U16+'0905'!$U16+'1005'!$U16</f>
        <v>0</v>
      </c>
      <c r="X80" s="28">
        <f t="shared" si="36"/>
        <v>0</v>
      </c>
      <c r="Y80" s="40">
        <v>0</v>
      </c>
      <c r="AA80" s="30" t="s">
        <v>86</v>
      </c>
      <c r="AB80" s="44">
        <f>'Finals 1'!$S16+'Finals 2'!$S16</f>
        <v>0</v>
      </c>
      <c r="AC80" s="29">
        <f t="shared" si="37"/>
        <v>0</v>
      </c>
      <c r="AD80" s="27">
        <f>'Finals 1'!$T16+'Finals 2'!$T16</f>
        <v>0</v>
      </c>
      <c r="AE80" s="28">
        <f t="shared" si="38"/>
        <v>0</v>
      </c>
      <c r="AF80" s="27">
        <f>'Finals 1'!$U16+'Finals 2'!$U16</f>
        <v>0</v>
      </c>
      <c r="AG80" s="28">
        <f t="shared" si="39"/>
        <v>0</v>
      </c>
      <c r="AH80" s="27">
        <f>'Finals 1'!$V16+'Finals 2'!$V16</f>
        <v>0</v>
      </c>
      <c r="AI80" s="28">
        <f t="shared" si="40"/>
        <v>0</v>
      </c>
      <c r="AJ80" s="40">
        <v>0</v>
      </c>
    </row>
    <row r="81" spans="7:36" ht="14.25" customHeight="1" x14ac:dyDescent="0.45">
      <c r="H81" s="40">
        <v>6</v>
      </c>
      <c r="I81" s="132">
        <f>'Statistics LG'!A9</f>
        <v>45055</v>
      </c>
      <c r="J81" s="40">
        <f>J80+'Statistics LG'!D9</f>
        <v>11</v>
      </c>
      <c r="K81" s="40">
        <f>K80+'Statistics WW'!D9</f>
        <v>9</v>
      </c>
      <c r="L81" s="40">
        <f>L80+'Statistics 5M'!D9</f>
        <v>16</v>
      </c>
      <c r="P81" s="30" t="s">
        <v>87</v>
      </c>
      <c r="Q81" s="44">
        <f>'0805'!$R17+'0905'!$R17+'1005'!$R17</f>
        <v>3</v>
      </c>
      <c r="R81" s="29">
        <f t="shared" si="33"/>
        <v>1</v>
      </c>
      <c r="S81" s="27">
        <f>'0805'!$S17+'0905'!$S17+'1005'!$S17</f>
        <v>2</v>
      </c>
      <c r="T81" s="28">
        <f t="shared" si="34"/>
        <v>0.66666666666666663</v>
      </c>
      <c r="U81" s="27">
        <f>'0805'!$T17+'0905'!$T17+'1005'!$T17</f>
        <v>1</v>
      </c>
      <c r="V81" s="28">
        <f t="shared" si="35"/>
        <v>0.33333333333333331</v>
      </c>
      <c r="W81" s="27">
        <f>'0805'!$U17+'0905'!$U17+'1005'!$U17</f>
        <v>0</v>
      </c>
      <c r="X81" s="28">
        <f t="shared" si="36"/>
        <v>0</v>
      </c>
      <c r="Y81" s="40">
        <v>0</v>
      </c>
      <c r="AA81" s="30" t="s">
        <v>87</v>
      </c>
      <c r="AB81" s="44">
        <f>'Finals 1'!$S17+'Finals 2'!$S17</f>
        <v>0</v>
      </c>
      <c r="AC81" s="29">
        <f t="shared" si="37"/>
        <v>0</v>
      </c>
      <c r="AD81" s="27">
        <f>'Finals 1'!$T17+'Finals 2'!$T17</f>
        <v>0</v>
      </c>
      <c r="AE81" s="28">
        <f t="shared" si="38"/>
        <v>0</v>
      </c>
      <c r="AF81" s="27">
        <f>'Finals 1'!$U17+'Finals 2'!$U17</f>
        <v>0</v>
      </c>
      <c r="AG81" s="28">
        <f t="shared" si="39"/>
        <v>0</v>
      </c>
      <c r="AH81" s="27">
        <f>'Finals 1'!$V17+'Finals 2'!$V17</f>
        <v>0</v>
      </c>
      <c r="AI81" s="28">
        <f t="shared" si="40"/>
        <v>0</v>
      </c>
      <c r="AJ81" s="40">
        <v>0</v>
      </c>
    </row>
    <row r="82" spans="7:36" ht="14.25" customHeight="1" x14ac:dyDescent="0.45">
      <c r="H82" s="40">
        <v>7</v>
      </c>
      <c r="I82" s="132">
        <f>'Statistics LG'!A10</f>
        <v>45056</v>
      </c>
      <c r="J82" s="40">
        <f>J81+'Statistics LG'!D10</f>
        <v>14</v>
      </c>
      <c r="K82" s="40">
        <f>K81+'Statistics WW'!D10</f>
        <v>11</v>
      </c>
      <c r="L82" s="40">
        <f>L81+'Statistics 5M'!D10</f>
        <v>17</v>
      </c>
      <c r="P82" s="52" t="s">
        <v>107</v>
      </c>
      <c r="Q82" s="44">
        <f>'0805'!$R18+'0905'!$R18+'1005'!$R18</f>
        <v>0</v>
      </c>
      <c r="R82" s="29">
        <f t="shared" si="33"/>
        <v>0</v>
      </c>
      <c r="S82" s="27">
        <f>'0805'!$S18+'0905'!$S18+'1005'!$S18</f>
        <v>0</v>
      </c>
      <c r="T82" s="28">
        <f t="shared" si="34"/>
        <v>0</v>
      </c>
      <c r="U82" s="27">
        <f>'0805'!$T18+'0905'!$T18+'1005'!$T18</f>
        <v>0</v>
      </c>
      <c r="V82" s="28">
        <f t="shared" si="35"/>
        <v>0</v>
      </c>
      <c r="W82" s="27">
        <f>'0805'!$U18+'0905'!$U18+'1005'!$U18</f>
        <v>0</v>
      </c>
      <c r="X82" s="28">
        <f t="shared" si="36"/>
        <v>0</v>
      </c>
      <c r="Y82" s="40">
        <v>0</v>
      </c>
      <c r="AA82" s="52" t="s">
        <v>107</v>
      </c>
      <c r="AB82" s="44">
        <f>'Finals 1'!$S18+'Finals 2'!$S18</f>
        <v>0</v>
      </c>
      <c r="AC82" s="29">
        <f t="shared" si="37"/>
        <v>0</v>
      </c>
      <c r="AD82" s="27">
        <f>'Finals 1'!$T18+'Finals 2'!$T18</f>
        <v>0</v>
      </c>
      <c r="AE82" s="28">
        <f t="shared" si="38"/>
        <v>0</v>
      </c>
      <c r="AF82" s="27">
        <f>'Finals 1'!$U18+'Finals 2'!$U18</f>
        <v>0</v>
      </c>
      <c r="AG82" s="28">
        <f t="shared" si="39"/>
        <v>0</v>
      </c>
      <c r="AH82" s="27">
        <f>'Finals 1'!$V18+'Finals 2'!$V18</f>
        <v>0</v>
      </c>
      <c r="AI82" s="28">
        <f t="shared" si="40"/>
        <v>0</v>
      </c>
      <c r="AJ82" s="40">
        <v>0</v>
      </c>
    </row>
    <row r="83" spans="7:36" ht="14.25" customHeight="1" x14ac:dyDescent="0.45">
      <c r="H83" s="40">
        <v>8</v>
      </c>
      <c r="I83" s="132">
        <f>'Statistics LG'!A11</f>
        <v>45061</v>
      </c>
      <c r="J83" s="40">
        <f>J82+'Statistics LG'!D11</f>
        <v>16</v>
      </c>
      <c r="K83" s="40">
        <f>K82+'Statistics WW'!D11</f>
        <v>14</v>
      </c>
      <c r="L83" s="40">
        <f>L82+'Statistics 5M'!D11</f>
        <v>18</v>
      </c>
    </row>
    <row r="84" spans="7:36" ht="14.25" customHeight="1" x14ac:dyDescent="0.45">
      <c r="H84" s="40">
        <v>9</v>
      </c>
      <c r="I84" s="132">
        <f>'Statistics LG'!A12</f>
        <v>45062</v>
      </c>
      <c r="J84" s="40">
        <f>J83+'Statistics LG'!D12</f>
        <v>17</v>
      </c>
      <c r="K84" s="40">
        <f>K83+'Statistics WW'!D12</f>
        <v>16</v>
      </c>
      <c r="L84" s="40">
        <f>L83+'Statistics 5M'!D12</f>
        <v>21</v>
      </c>
    </row>
    <row r="85" spans="7:36" ht="14.25" customHeight="1" x14ac:dyDescent="0.45">
      <c r="H85" s="40">
        <v>10</v>
      </c>
      <c r="I85" s="132">
        <f>'Statistics LG'!A13</f>
        <v>45063</v>
      </c>
      <c r="J85" s="40">
        <f>J84+'Statistics LG'!D13</f>
        <v>20</v>
      </c>
      <c r="K85" s="40">
        <f>K84+'Statistics WW'!D13</f>
        <v>17</v>
      </c>
      <c r="L85" s="40">
        <f>L84+'Statistics 5M'!D13</f>
        <v>23</v>
      </c>
    </row>
    <row r="86" spans="7:36" ht="14.25" customHeight="1" x14ac:dyDescent="0.45">
      <c r="H86" s="40">
        <v>11</v>
      </c>
      <c r="I86" s="132">
        <f>'Statistics LG'!A14</f>
        <v>45068</v>
      </c>
      <c r="J86" s="40">
        <f>J85+'Statistics LG'!D14</f>
        <v>22</v>
      </c>
      <c r="K86" s="40">
        <f>K85+'Statistics WW'!D14</f>
        <v>18</v>
      </c>
      <c r="L86" s="40">
        <f>L85+'Statistics 5M'!D14</f>
        <v>26</v>
      </c>
    </row>
    <row r="87" spans="7:36" ht="14.25" customHeight="1" x14ac:dyDescent="0.45">
      <c r="H87" s="40">
        <v>12</v>
      </c>
      <c r="I87" s="132">
        <f>'Statistics LG'!A15</f>
        <v>45069</v>
      </c>
      <c r="J87" s="40">
        <f>J86+'Statistics LG'!D15</f>
        <v>25</v>
      </c>
      <c r="K87" s="40">
        <f>K86+'Statistics WW'!D15</f>
        <v>20</v>
      </c>
      <c r="L87" s="40">
        <f>L86+'Statistics 5M'!D15</f>
        <v>27</v>
      </c>
    </row>
    <row r="88" spans="7:36" ht="14.25" customHeight="1" x14ac:dyDescent="0.45">
      <c r="H88" s="40">
        <v>13</v>
      </c>
      <c r="I88" s="132">
        <f>'Statistics LG'!A16</f>
        <v>45070</v>
      </c>
      <c r="J88" s="40">
        <f>J87+'Statistics LG'!D16</f>
        <v>28</v>
      </c>
      <c r="K88" s="40">
        <f>K87+'Statistics WW'!D16</f>
        <v>21</v>
      </c>
      <c r="L88" s="40">
        <f>L87+'Statistics 5M'!D16</f>
        <v>29</v>
      </c>
    </row>
    <row r="89" spans="7:36" ht="14.25" customHeight="1" x14ac:dyDescent="0.45"/>
    <row r="90" spans="7:36" ht="14.25" customHeight="1" x14ac:dyDescent="0.45"/>
    <row r="91" spans="7:36" ht="14.25" customHeight="1" x14ac:dyDescent="0.45"/>
    <row r="92" spans="7:36" ht="14.25" customHeight="1" x14ac:dyDescent="0.45">
      <c r="G92" t="s">
        <v>229</v>
      </c>
    </row>
    <row r="93" spans="7:36" ht="14.25" customHeight="1" x14ac:dyDescent="0.45">
      <c r="H93">
        <v>1</v>
      </c>
      <c r="I93" s="40">
        <v>2</v>
      </c>
      <c r="J93" s="40">
        <v>3</v>
      </c>
      <c r="K93" s="40">
        <v>4</v>
      </c>
      <c r="L93" s="40">
        <v>5</v>
      </c>
      <c r="M93" s="40">
        <v>6</v>
      </c>
      <c r="N93" s="40">
        <v>7</v>
      </c>
      <c r="O93" s="40">
        <v>8</v>
      </c>
      <c r="P93" s="40">
        <v>9</v>
      </c>
      <c r="Q93" s="40">
        <v>10</v>
      </c>
      <c r="R93" s="40">
        <v>11</v>
      </c>
      <c r="S93" s="40">
        <v>12</v>
      </c>
      <c r="T93" s="40">
        <v>13</v>
      </c>
    </row>
    <row r="94" spans="7:36" ht="14.25" customHeight="1" x14ac:dyDescent="0.45">
      <c r="G94" s="133" t="s">
        <v>55</v>
      </c>
      <c r="H94" s="42">
        <f>'2404'!$R3</f>
        <v>0</v>
      </c>
      <c r="I94" s="42">
        <f>'2604'!$R3</f>
        <v>1</v>
      </c>
      <c r="J94" s="42">
        <f>'0205'!$R3</f>
        <v>0</v>
      </c>
      <c r="K94" s="42">
        <f>'0305'!$R3</f>
        <v>0</v>
      </c>
      <c r="L94" s="42">
        <f>'0805'!$R3</f>
        <v>1</v>
      </c>
      <c r="M94" s="42">
        <f>'0905'!$R3</f>
        <v>2</v>
      </c>
      <c r="N94" s="42">
        <f>'1005'!$R3</f>
        <v>1</v>
      </c>
      <c r="O94" s="42">
        <f>'1505'!$R3</f>
        <v>0</v>
      </c>
      <c r="P94" s="42">
        <f>'1605'!$R3</f>
        <v>1</v>
      </c>
      <c r="Q94" s="42">
        <f>'1705'!$R3</f>
        <v>1</v>
      </c>
      <c r="R94" s="42">
        <f>'2205'!$R3</f>
        <v>0</v>
      </c>
      <c r="S94" s="42">
        <f>'2305'!$R3</f>
        <v>0</v>
      </c>
      <c r="T94" s="42">
        <f>'2405'!$R3</f>
        <v>0</v>
      </c>
      <c r="U94" cm="1">
        <f t="array" ref="U94:V94">LINEST(H94:T94)</f>
        <v>-2.1978021978021976E-2</v>
      </c>
      <c r="V94">
        <v>0.69230769230769229</v>
      </c>
    </row>
    <row r="95" spans="7:36" ht="14.25" customHeight="1" x14ac:dyDescent="0.45">
      <c r="G95" s="134" t="s">
        <v>59</v>
      </c>
      <c r="H95" s="42">
        <f>'2404'!$R4</f>
        <v>0</v>
      </c>
      <c r="I95" s="42">
        <f>'2604'!$R4</f>
        <v>0</v>
      </c>
      <c r="J95" s="42">
        <f>'0205'!$R4</f>
        <v>0</v>
      </c>
      <c r="K95" s="42">
        <f>'0305'!$R4</f>
        <v>1</v>
      </c>
      <c r="L95" s="42">
        <f>'0805'!$R4</f>
        <v>1</v>
      </c>
      <c r="M95" s="42">
        <f>'0905'!$R4</f>
        <v>2</v>
      </c>
      <c r="N95" s="42">
        <f>'1005'!$R4</f>
        <v>1</v>
      </c>
      <c r="O95" s="42">
        <f>'1505'!$R4</f>
        <v>2</v>
      </c>
      <c r="P95" s="42">
        <f>'1605'!$R4</f>
        <v>0</v>
      </c>
      <c r="Q95" s="42">
        <f>'1705'!$R4</f>
        <v>1</v>
      </c>
      <c r="R95" s="42">
        <f>'2205'!$R4</f>
        <v>0</v>
      </c>
      <c r="S95" s="42">
        <f>'2305'!$R4</f>
        <v>0</v>
      </c>
      <c r="T95" s="42">
        <f>'2405'!$R4</f>
        <v>0</v>
      </c>
      <c r="U95" s="40" cm="1">
        <f t="array" ref="U95:V95">LINEST(H95:T95)</f>
        <v>-1.0989010989011E-2</v>
      </c>
      <c r="V95">
        <v>0.6923076923076924</v>
      </c>
    </row>
    <row r="96" spans="7:36" ht="14.25" customHeight="1" x14ac:dyDescent="0.45">
      <c r="G96" s="133" t="s">
        <v>62</v>
      </c>
      <c r="H96" s="42">
        <f>'2404'!$R5</f>
        <v>3</v>
      </c>
      <c r="I96" s="42">
        <f>'2604'!$R5</f>
        <v>0</v>
      </c>
      <c r="J96" s="42">
        <f>'0205'!$R5</f>
        <v>2</v>
      </c>
      <c r="K96" s="42">
        <f>'0305'!$R5</f>
        <v>6</v>
      </c>
      <c r="L96" s="42">
        <f>'0805'!$R5</f>
        <v>2</v>
      </c>
      <c r="M96" s="42">
        <f>'0905'!$R5</f>
        <v>0</v>
      </c>
      <c r="N96" s="42">
        <f>'1005'!$R5</f>
        <v>0</v>
      </c>
      <c r="O96" s="42">
        <f>'1505'!$R5</f>
        <v>0</v>
      </c>
      <c r="P96" s="42">
        <f>'1605'!$R5</f>
        <v>4</v>
      </c>
      <c r="Q96" s="42">
        <f>'1705'!$R5</f>
        <v>1</v>
      </c>
      <c r="R96" s="42">
        <f>'2205'!$R5</f>
        <v>4</v>
      </c>
      <c r="S96" s="42">
        <f>'2305'!$R5</f>
        <v>1</v>
      </c>
      <c r="T96" s="42">
        <f>'2405'!$R5</f>
        <v>2</v>
      </c>
      <c r="U96" s="40" cm="1">
        <f t="array" ref="U96:V96">LINEST(H96:T96)</f>
        <v>-2.1978021978021928E-2</v>
      </c>
      <c r="V96">
        <v>2.0769230769230766</v>
      </c>
    </row>
    <row r="97" spans="7:22" ht="14.25" customHeight="1" x14ac:dyDescent="0.45">
      <c r="G97" s="134" t="s">
        <v>65</v>
      </c>
      <c r="H97" s="42">
        <f>'2404'!$R6</f>
        <v>1</v>
      </c>
      <c r="I97" s="42">
        <f>'2604'!$R6</f>
        <v>2</v>
      </c>
      <c r="J97" s="42">
        <f>'0205'!$R6</f>
        <v>2</v>
      </c>
      <c r="K97" s="42">
        <f>'0305'!$R6</f>
        <v>2</v>
      </c>
      <c r="L97" s="42">
        <f>'0805'!$R6</f>
        <v>1</v>
      </c>
      <c r="M97" s="42">
        <f>'0905'!$R6</f>
        <v>12</v>
      </c>
      <c r="N97" s="42">
        <f>'1005'!$R6</f>
        <v>6</v>
      </c>
      <c r="O97" s="42">
        <f>'1505'!$R6</f>
        <v>4</v>
      </c>
      <c r="P97" s="42">
        <f>'1605'!$R6</f>
        <v>5</v>
      </c>
      <c r="Q97" s="42">
        <f>'1705'!$R6</f>
        <v>1</v>
      </c>
      <c r="R97" s="42">
        <f>'2205'!$R6</f>
        <v>0</v>
      </c>
      <c r="S97" s="42">
        <f>'2305'!$R6</f>
        <v>2</v>
      </c>
      <c r="T97" s="42">
        <f>'2405'!$R6</f>
        <v>0</v>
      </c>
      <c r="U97" s="40" cm="1">
        <f t="array" ref="U97:V97">LINEST(H97:T97)</f>
        <v>-9.3406593406593394E-2</v>
      </c>
      <c r="V97">
        <v>3.5769230769230766</v>
      </c>
    </row>
    <row r="98" spans="7:22" ht="14.25" customHeight="1" x14ac:dyDescent="0.45">
      <c r="G98" s="134" t="s">
        <v>68</v>
      </c>
      <c r="H98" s="42">
        <f>'2404'!$R7</f>
        <v>0</v>
      </c>
      <c r="I98" s="42">
        <f>'2604'!$R7</f>
        <v>1</v>
      </c>
      <c r="J98" s="42">
        <f>'0205'!$R7</f>
        <v>2</v>
      </c>
      <c r="K98" s="42">
        <f>'0305'!$R7</f>
        <v>1</v>
      </c>
      <c r="L98" s="42">
        <f>'0805'!$R7</f>
        <v>4</v>
      </c>
      <c r="M98" s="42">
        <f>'0905'!$R7</f>
        <v>4</v>
      </c>
      <c r="N98" s="42">
        <f>'1005'!$R7</f>
        <v>3</v>
      </c>
      <c r="O98" s="42">
        <f>'1505'!$R7</f>
        <v>5</v>
      </c>
      <c r="P98" s="42">
        <f>'1605'!$R7</f>
        <v>4</v>
      </c>
      <c r="Q98" s="42">
        <f>'1705'!$R7</f>
        <v>0</v>
      </c>
      <c r="R98" s="42">
        <f>'2205'!$R7</f>
        <v>1</v>
      </c>
      <c r="S98" s="42">
        <f>'2305'!$R7</f>
        <v>0</v>
      </c>
      <c r="T98" s="42">
        <f>'2405'!$R7</f>
        <v>0</v>
      </c>
      <c r="U98" s="40" cm="1">
        <f t="array" ref="U98:V98">LINEST(H98:T98)</f>
        <v>-6.0439560439560412E-2</v>
      </c>
      <c r="V98">
        <v>2.3461538461538458</v>
      </c>
    </row>
    <row r="99" spans="7:22" ht="14.25" customHeight="1" x14ac:dyDescent="0.45">
      <c r="G99" s="134" t="s">
        <v>71</v>
      </c>
      <c r="H99" s="42">
        <f>'2404'!$R8</f>
        <v>2</v>
      </c>
      <c r="I99" s="42">
        <f>'2604'!$R8</f>
        <v>0</v>
      </c>
      <c r="J99" s="42">
        <f>'0205'!$R8</f>
        <v>1</v>
      </c>
      <c r="K99" s="42">
        <f>'0305'!$R8</f>
        <v>0</v>
      </c>
      <c r="L99" s="42">
        <f>'0805'!$R8</f>
        <v>0</v>
      </c>
      <c r="M99" s="42">
        <f>'0905'!$R8</f>
        <v>0</v>
      </c>
      <c r="N99" s="42">
        <f>'1005'!$R8</f>
        <v>0</v>
      </c>
      <c r="O99" s="42">
        <f>'1505'!$R8</f>
        <v>2</v>
      </c>
      <c r="P99" s="42">
        <f>'1605'!$R8</f>
        <v>0</v>
      </c>
      <c r="Q99" s="42">
        <f>'1705'!$R8</f>
        <v>0</v>
      </c>
      <c r="R99" s="42">
        <f>'2205'!$R8</f>
        <v>0</v>
      </c>
      <c r="S99" s="42">
        <f>'2305'!$R8</f>
        <v>2</v>
      </c>
      <c r="T99" s="42">
        <f>'2405'!$R8</f>
        <v>0</v>
      </c>
      <c r="U99" s="40" cm="1">
        <f t="array" ref="U99:V99">LINEST(H99:T99)</f>
        <v>-2.1978021978021969E-2</v>
      </c>
      <c r="V99">
        <v>0.69230769230769229</v>
      </c>
    </row>
    <row r="100" spans="7:22" ht="14.25" customHeight="1" x14ac:dyDescent="0.45">
      <c r="G100" s="86" t="s">
        <v>75</v>
      </c>
      <c r="H100" s="42">
        <f>'2404'!$R9</f>
        <v>0</v>
      </c>
      <c r="I100" s="42">
        <f>'2604'!$R9</f>
        <v>0</v>
      </c>
      <c r="J100" s="42">
        <f>'0205'!$R9</f>
        <v>3</v>
      </c>
      <c r="K100" s="42">
        <f>'0305'!$R9</f>
        <v>2</v>
      </c>
      <c r="L100" s="42">
        <f>'0805'!$R9</f>
        <v>0</v>
      </c>
      <c r="M100" s="42">
        <f>'0905'!$R9</f>
        <v>0</v>
      </c>
      <c r="N100" s="42">
        <f>'1005'!$R9</f>
        <v>4</v>
      </c>
      <c r="O100" s="42">
        <f>'1505'!$R9</f>
        <v>3</v>
      </c>
      <c r="P100" s="42">
        <f>'1605'!$R9</f>
        <v>2</v>
      </c>
      <c r="Q100" s="42">
        <f>'1705'!$R9</f>
        <v>1</v>
      </c>
      <c r="R100" s="42">
        <f>'2205'!$R9</f>
        <v>0</v>
      </c>
      <c r="S100" s="42">
        <f>'2305'!$R9</f>
        <v>1</v>
      </c>
      <c r="T100" s="42">
        <f>'2405'!$R9</f>
        <v>2</v>
      </c>
      <c r="U100" s="40" cm="1">
        <f t="array" ref="U100:V100">LINEST(H100:T100)</f>
        <v>4.9450549450549497E-2</v>
      </c>
      <c r="V100">
        <v>1.0384615384615381</v>
      </c>
    </row>
    <row r="101" spans="7:22" ht="14.25" customHeight="1" x14ac:dyDescent="0.45">
      <c r="G101" s="86" t="s">
        <v>78</v>
      </c>
      <c r="H101" s="42">
        <f>'2404'!$R10</f>
        <v>0</v>
      </c>
      <c r="I101" s="42">
        <f>'2604'!$R10</f>
        <v>0</v>
      </c>
      <c r="J101" s="42">
        <f>'0205'!$R10</f>
        <v>0</v>
      </c>
      <c r="K101" s="42">
        <f>'0305'!$R10</f>
        <v>3</v>
      </c>
      <c r="L101" s="42">
        <f>'0805'!$R10</f>
        <v>1</v>
      </c>
      <c r="M101" s="42">
        <f>'0905'!$R10</f>
        <v>2</v>
      </c>
      <c r="N101" s="42">
        <f>'1005'!$R10</f>
        <v>7</v>
      </c>
      <c r="O101" s="42">
        <f>'1505'!$R10</f>
        <v>0</v>
      </c>
      <c r="P101" s="42">
        <f>'1605'!$R10</f>
        <v>0</v>
      </c>
      <c r="Q101" s="42">
        <f>'1705'!$R10</f>
        <v>3</v>
      </c>
      <c r="R101" s="42">
        <f>'2205'!$R10</f>
        <v>0</v>
      </c>
      <c r="S101" s="42">
        <f>'2305'!$R10</f>
        <v>2</v>
      </c>
      <c r="T101" s="42">
        <f>'2405'!$R10</f>
        <v>0</v>
      </c>
      <c r="U101" s="40" cm="1">
        <f t="array" ref="U101:V101">LINEST(H101:T101)</f>
        <v>3.296703296703303E-2</v>
      </c>
      <c r="V101">
        <v>1.1538461538461533</v>
      </c>
    </row>
    <row r="102" spans="7:22" ht="14.25" customHeight="1" x14ac:dyDescent="0.45">
      <c r="G102" s="133" t="s">
        <v>80</v>
      </c>
      <c r="H102" s="42">
        <f>'2404'!$R11</f>
        <v>2</v>
      </c>
      <c r="I102" s="42">
        <f>'2604'!$R11</f>
        <v>0</v>
      </c>
      <c r="J102" s="42">
        <f>'0205'!$R11</f>
        <v>3</v>
      </c>
      <c r="K102" s="42">
        <f>'0305'!$R11</f>
        <v>2</v>
      </c>
      <c r="L102" s="42">
        <f>'0805'!$R11</f>
        <v>3</v>
      </c>
      <c r="M102" s="42">
        <f>'0905'!$R11</f>
        <v>4</v>
      </c>
      <c r="N102" s="42">
        <f>'1005'!$R11</f>
        <v>2</v>
      </c>
      <c r="O102" s="42">
        <f>'1505'!$R11</f>
        <v>1</v>
      </c>
      <c r="P102" s="42">
        <f>'1605'!$R11</f>
        <v>5</v>
      </c>
      <c r="Q102" s="42">
        <f>'1705'!$R11</f>
        <v>1</v>
      </c>
      <c r="R102" s="42">
        <f>'2205'!$R11</f>
        <v>5</v>
      </c>
      <c r="S102" s="42">
        <f>'2305'!$R11</f>
        <v>0</v>
      </c>
      <c r="T102" s="42">
        <f>'2405'!$R11</f>
        <v>1</v>
      </c>
      <c r="U102" s="40" cm="1">
        <f t="array" ref="U102:V102">LINEST(H102:T102)</f>
        <v>3.2918082333792727E-17</v>
      </c>
      <c r="V102">
        <v>2.2307692307692304</v>
      </c>
    </row>
    <row r="103" spans="7:22" ht="14.25" customHeight="1" x14ac:dyDescent="0.45">
      <c r="G103" s="133" t="s">
        <v>81</v>
      </c>
      <c r="H103" s="42">
        <f>'2404'!$R12</f>
        <v>0</v>
      </c>
      <c r="I103" s="42">
        <f>'2604'!$R12</f>
        <v>0</v>
      </c>
      <c r="J103" s="42">
        <f>'0205'!$R12</f>
        <v>2</v>
      </c>
      <c r="K103" s="42">
        <f>'0305'!$R12</f>
        <v>2</v>
      </c>
      <c r="L103" s="42">
        <f>'0805'!$R12</f>
        <v>1</v>
      </c>
      <c r="M103" s="42">
        <f>'0905'!$R12</f>
        <v>1</v>
      </c>
      <c r="N103" s="42">
        <f>'1005'!$R12</f>
        <v>0</v>
      </c>
      <c r="O103" s="42">
        <f>'1505'!$R12</f>
        <v>0</v>
      </c>
      <c r="P103" s="42">
        <f>'1605'!$R12</f>
        <v>2</v>
      </c>
      <c r="Q103" s="42">
        <f>'1705'!$R12</f>
        <v>0</v>
      </c>
      <c r="R103" s="42">
        <f>'2205'!$R12</f>
        <v>2</v>
      </c>
      <c r="S103" s="42">
        <f>'2305'!$R12</f>
        <v>0</v>
      </c>
      <c r="T103" s="42">
        <f>'2405'!$R12</f>
        <v>1</v>
      </c>
      <c r="U103" s="40" cm="1">
        <f t="array" ref="U103:V103">LINEST(H103:T103)</f>
        <v>5.4945054945055105E-3</v>
      </c>
      <c r="V103">
        <v>0.8076923076923076</v>
      </c>
    </row>
    <row r="104" spans="7:22" ht="14.25" customHeight="1" x14ac:dyDescent="0.45">
      <c r="G104" s="133" t="s">
        <v>185</v>
      </c>
      <c r="H104" s="42">
        <f>'2404'!$R13</f>
        <v>2</v>
      </c>
      <c r="I104" s="42">
        <f>'2604'!$R13</f>
        <v>2</v>
      </c>
      <c r="J104" s="42">
        <f>'0205'!$R13</f>
        <v>1</v>
      </c>
      <c r="K104" s="42">
        <f>'0305'!$R13</f>
        <v>2</v>
      </c>
      <c r="L104" s="42">
        <f>'0805'!$R13</f>
        <v>0</v>
      </c>
      <c r="M104" s="42">
        <f>'0905'!$R13</f>
        <v>0</v>
      </c>
      <c r="N104" s="42">
        <f>'1005'!$R13</f>
        <v>0</v>
      </c>
      <c r="O104" s="42">
        <f>'1505'!$R13</f>
        <v>0</v>
      </c>
      <c r="P104" s="42">
        <f>'1605'!$R13</f>
        <v>2</v>
      </c>
      <c r="Q104" s="42">
        <f>'1705'!$R13</f>
        <v>2</v>
      </c>
      <c r="R104" s="42">
        <f>'2205'!$R13</f>
        <v>1</v>
      </c>
      <c r="S104" s="42">
        <f>'2305'!$R13</f>
        <v>0</v>
      </c>
      <c r="T104" s="42">
        <f>'2405'!$R13</f>
        <v>0</v>
      </c>
      <c r="U104" s="40" cm="1">
        <f t="array" ref="U104:V104">LINEST(H104:T104)</f>
        <v>-9.8901098901098897E-2</v>
      </c>
      <c r="V104">
        <v>1.6153846153846154</v>
      </c>
    </row>
    <row r="105" spans="7:22" ht="14.25" customHeight="1" x14ac:dyDescent="0.45">
      <c r="G105" s="86" t="s">
        <v>184</v>
      </c>
      <c r="H105" s="42">
        <f>'2404'!$R14</f>
        <v>0</v>
      </c>
      <c r="I105" s="42">
        <f>'2604'!$R14</f>
        <v>0</v>
      </c>
      <c r="J105" s="42">
        <f>'0205'!$R14</f>
        <v>1</v>
      </c>
      <c r="K105" s="42">
        <f>'0305'!$R14</f>
        <v>1</v>
      </c>
      <c r="L105" s="42">
        <f>'0805'!$R14</f>
        <v>0</v>
      </c>
      <c r="M105" s="42">
        <f>'0905'!$R14</f>
        <v>2</v>
      </c>
      <c r="N105" s="42">
        <f>'1005'!$R14</f>
        <v>1</v>
      </c>
      <c r="O105" s="42">
        <f>'1505'!$R14</f>
        <v>1</v>
      </c>
      <c r="P105" s="42">
        <f>'1605'!$R14</f>
        <v>2</v>
      </c>
      <c r="Q105" s="42">
        <f>'1705'!$R14</f>
        <v>1</v>
      </c>
      <c r="R105" s="42">
        <f>'2205'!$R14</f>
        <v>1</v>
      </c>
      <c r="S105" s="42">
        <f>'2305'!$R14</f>
        <v>3</v>
      </c>
      <c r="T105" s="42">
        <f>'2405'!$R14</f>
        <v>1</v>
      </c>
      <c r="U105" s="40" cm="1">
        <f t="array" ref="U105:V105">LINEST(H105:T105)</f>
        <v>0.1318681318681319</v>
      </c>
      <c r="V105">
        <v>0.15384615384615352</v>
      </c>
    </row>
    <row r="106" spans="7:22" ht="14.25" customHeight="1" x14ac:dyDescent="0.45">
      <c r="G106" s="86" t="s">
        <v>85</v>
      </c>
      <c r="H106" s="42">
        <f>'2404'!$R15</f>
        <v>3</v>
      </c>
      <c r="I106" s="42">
        <f>'2604'!$R15</f>
        <v>1</v>
      </c>
      <c r="J106" s="42">
        <f>'0205'!$R15</f>
        <v>6</v>
      </c>
      <c r="K106" s="42">
        <f>'0305'!$R15</f>
        <v>0</v>
      </c>
      <c r="L106" s="42">
        <f>'0805'!$R15</f>
        <v>4</v>
      </c>
      <c r="M106" s="42">
        <f>'0905'!$R15</f>
        <v>0</v>
      </c>
      <c r="N106" s="42">
        <f>'1005'!$R15</f>
        <v>0</v>
      </c>
      <c r="O106" s="42">
        <f>'1505'!$R15</f>
        <v>0</v>
      </c>
      <c r="P106" s="42">
        <f>'1605'!$R15</f>
        <v>2</v>
      </c>
      <c r="Q106" s="42">
        <f>'1705'!$R15</f>
        <v>1</v>
      </c>
      <c r="R106" s="42">
        <f>'2205'!$R15</f>
        <v>2</v>
      </c>
      <c r="S106" s="42">
        <f>'2305'!$R15</f>
        <v>4</v>
      </c>
      <c r="T106" s="42">
        <f>'2405'!$R15</f>
        <v>2</v>
      </c>
      <c r="U106" s="40" cm="1">
        <f t="array" ref="U106:V106">LINEST(H106:T106)</f>
        <v>-4.3956043956043939E-2</v>
      </c>
      <c r="V106">
        <v>2.2307692307692308</v>
      </c>
    </row>
    <row r="107" spans="7:22" ht="14.25" customHeight="1" x14ac:dyDescent="0.45">
      <c r="G107" s="134" t="s">
        <v>86</v>
      </c>
      <c r="H107" s="42">
        <f>'2404'!$R16</f>
        <v>0</v>
      </c>
      <c r="I107" s="42">
        <f>'2604'!$R16</f>
        <v>0</v>
      </c>
      <c r="J107" s="42">
        <f>'0205'!$R16</f>
        <v>0</v>
      </c>
      <c r="K107" s="42">
        <f>'0305'!$R16</f>
        <v>0</v>
      </c>
      <c r="L107" s="42">
        <f>'0805'!$R16</f>
        <v>0</v>
      </c>
      <c r="M107" s="42">
        <f>'0905'!$R16</f>
        <v>1</v>
      </c>
      <c r="N107" s="42">
        <f>'1005'!$R16</f>
        <v>0</v>
      </c>
      <c r="O107" s="42">
        <f>'1505'!$R16</f>
        <v>1</v>
      </c>
      <c r="P107" s="42">
        <f>'1605'!$R16</f>
        <v>0</v>
      </c>
      <c r="Q107" s="42">
        <f>'1705'!$R16</f>
        <v>0</v>
      </c>
      <c r="R107" s="42">
        <f>'2205'!$R16</f>
        <v>0</v>
      </c>
      <c r="S107" s="42">
        <f>'2305'!$R16</f>
        <v>0</v>
      </c>
      <c r="T107" s="42">
        <f>'2405'!$R16</f>
        <v>0</v>
      </c>
      <c r="U107" s="40" cm="1">
        <f t="array" ref="U107:V107">LINEST(H107:T107)</f>
        <v>-3.0860702187930682E-18</v>
      </c>
      <c r="V107">
        <v>0.15384615384615388</v>
      </c>
    </row>
    <row r="108" spans="7:22" ht="14.25" customHeight="1" x14ac:dyDescent="0.45">
      <c r="G108" s="86" t="s">
        <v>87</v>
      </c>
      <c r="H108" s="42">
        <f>'2404'!$R17</f>
        <v>0</v>
      </c>
      <c r="I108" s="42">
        <f>'2604'!$R17</f>
        <v>1</v>
      </c>
      <c r="J108" s="42">
        <f>'0205'!$R17</f>
        <v>0</v>
      </c>
      <c r="K108" s="42">
        <f>'0305'!$R17</f>
        <v>0</v>
      </c>
      <c r="L108" s="42">
        <f>'0805'!$R17</f>
        <v>0</v>
      </c>
      <c r="M108" s="42">
        <f>'0905'!$R17</f>
        <v>1</v>
      </c>
      <c r="N108" s="42">
        <f>'1005'!$R17</f>
        <v>2</v>
      </c>
      <c r="O108" s="42">
        <f>'1505'!$R17</f>
        <v>2</v>
      </c>
      <c r="P108" s="42">
        <f>'1605'!$R17</f>
        <v>0</v>
      </c>
      <c r="Q108" s="42">
        <f>'1705'!$R17</f>
        <v>0</v>
      </c>
      <c r="R108" s="42">
        <f>'2205'!$R17</f>
        <v>0</v>
      </c>
      <c r="S108" s="42">
        <f>'2305'!$R17</f>
        <v>1</v>
      </c>
      <c r="T108" s="42">
        <f>'2405'!$R17</f>
        <v>0</v>
      </c>
      <c r="U108" s="40" cm="1">
        <f t="array" ref="U108:V108">LINEST(H108:T108)</f>
        <v>5.4945054945055027E-3</v>
      </c>
      <c r="V108">
        <v>0.49999999999999989</v>
      </c>
    </row>
    <row r="109" spans="7:22" ht="14.25" customHeight="1" x14ac:dyDescent="0.45">
      <c r="G109" s="86" t="s">
        <v>107</v>
      </c>
      <c r="H109" s="42">
        <f>'2404'!$R18</f>
        <v>0</v>
      </c>
      <c r="I109" s="42">
        <f>'2604'!$R18</f>
        <v>1</v>
      </c>
      <c r="J109" s="42">
        <f>'0205'!$R18</f>
        <v>0</v>
      </c>
      <c r="K109" s="42">
        <f>'0305'!$R18</f>
        <v>2</v>
      </c>
      <c r="L109" s="42">
        <f>'0805'!$R18</f>
        <v>0</v>
      </c>
      <c r="M109" s="42">
        <f>'0905'!$R18</f>
        <v>0</v>
      </c>
      <c r="N109" s="42">
        <f>'1005'!$R18</f>
        <v>0</v>
      </c>
      <c r="O109" s="42">
        <f>'1505'!$R18</f>
        <v>1</v>
      </c>
      <c r="P109" s="42">
        <f>'1605'!$R18</f>
        <v>0</v>
      </c>
      <c r="Q109" s="42">
        <f>'1705'!$R18</f>
        <v>0</v>
      </c>
      <c r="R109" s="42">
        <f>'2205'!$R18</f>
        <v>0</v>
      </c>
      <c r="S109" s="42">
        <f>'2305'!$R18</f>
        <v>0</v>
      </c>
      <c r="T109" s="42">
        <f>'2405'!$R18</f>
        <v>0</v>
      </c>
      <c r="U109" s="40" cm="1">
        <f t="array" ref="U109:V109">LINEST(H109:T109)</f>
        <v>-5.4945054945054944E-2</v>
      </c>
      <c r="V109">
        <v>0.69230769230769229</v>
      </c>
    </row>
    <row r="110" spans="7:22" ht="14.25" customHeight="1" x14ac:dyDescent="0.45"/>
    <row r="111" spans="7:22" ht="14.25" customHeight="1" x14ac:dyDescent="0.45"/>
    <row r="112" spans="7:2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AH5:AJ6"/>
  </mergeCells>
  <phoneticPr fontId="16" type="noConversion"/>
  <conditionalFormatting sqref="AE11:AE23">
    <cfRule type="cellIs" dxfId="39" priority="11" operator="lessThan">
      <formula>$AE$6</formula>
    </cfRule>
    <cfRule type="cellIs" dxfId="38" priority="12" operator="greaterThan">
      <formula>$AE$6</formula>
    </cfRule>
  </conditionalFormatting>
  <conditionalFormatting sqref="AC8:AC23">
    <cfRule type="cellIs" dxfId="37" priority="3" operator="lessThan">
      <formula>0</formula>
    </cfRule>
    <cfRule type="cellIs" dxfId="36" priority="4" operator="greaterThan">
      <formula>0</formula>
    </cfRule>
  </conditionalFormatting>
  <conditionalFormatting sqref="U94:U109">
    <cfRule type="cellIs" dxfId="35" priority="2" operator="greaterThan">
      <formula>0</formula>
    </cfRule>
  </conditionalFormatting>
  <conditionalFormatting sqref="U94:U109">
    <cfRule type="cellIs" dxfId="34" priority="1" operator="lessThan">
      <formula>0</formula>
    </cfRule>
  </conditionalFormatting>
  <pageMargins left="0.7" right="0.7" top="0.75" bottom="0.75" header="0" footer="0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O1000"/>
  <sheetViews>
    <sheetView zoomScale="66" zoomScaleNormal="130" workbookViewId="0">
      <selection activeCell="F18" sqref="A3:F18"/>
    </sheetView>
  </sheetViews>
  <sheetFormatPr defaultColWidth="14.3984375" defaultRowHeight="15" customHeight="1" x14ac:dyDescent="0.45"/>
  <cols>
    <col min="1" max="28" width="8.73046875" customWidth="1"/>
    <col min="29" max="29" width="9.53125" customWidth="1"/>
    <col min="30" max="30" width="9.265625" customWidth="1"/>
    <col min="31" max="31" width="10.265625" customWidth="1"/>
    <col min="32" max="32" width="11.33203125" customWidth="1"/>
    <col min="33" max="33" width="12.46484375" customWidth="1"/>
    <col min="34" max="34" width="11.06640625" customWidth="1"/>
    <col min="35" max="35" width="11.33203125" customWidth="1"/>
    <col min="36" max="39" width="14.3984375" customWidth="1"/>
  </cols>
  <sheetData>
    <row r="1" spans="1:41" ht="14.35" customHeight="1" x14ac:dyDescent="0.45"/>
    <row r="2" spans="1:41" ht="14.35" customHeight="1" x14ac:dyDescent="0.45">
      <c r="B2" s="5" t="s">
        <v>136</v>
      </c>
      <c r="L2" s="126"/>
      <c r="M2" s="126"/>
      <c r="N2" s="127" t="s">
        <v>99</v>
      </c>
      <c r="O2" s="126"/>
      <c r="P2" s="126"/>
      <c r="Q2" s="126"/>
      <c r="S2" s="1" t="s">
        <v>100</v>
      </c>
      <c r="U2" s="126"/>
      <c r="V2" s="126"/>
      <c r="X2" s="1" t="s">
        <v>101</v>
      </c>
      <c r="Z2" s="126"/>
      <c r="AA2" s="126"/>
      <c r="AC2" t="s">
        <v>162</v>
      </c>
      <c r="AE2">
        <f>'Stats Global'!Q5</f>
        <v>15</v>
      </c>
    </row>
    <row r="3" spans="1:41" ht="14.35" customHeight="1" x14ac:dyDescent="0.45">
      <c r="A3" s="1" t="s">
        <v>84</v>
      </c>
      <c r="B3" s="1" t="s">
        <v>102</v>
      </c>
      <c r="C3" s="1" t="s">
        <v>103</v>
      </c>
      <c r="D3" s="1" t="s">
        <v>8</v>
      </c>
      <c r="E3" s="40" t="s">
        <v>201</v>
      </c>
      <c r="F3" s="40" t="s">
        <v>202</v>
      </c>
      <c r="H3" s="1" t="s">
        <v>104</v>
      </c>
      <c r="I3" s="1" t="s">
        <v>105</v>
      </c>
      <c r="J3" s="1" t="s">
        <v>106</v>
      </c>
      <c r="L3" s="127" t="s">
        <v>85</v>
      </c>
      <c r="M3" s="127" t="s">
        <v>78</v>
      </c>
      <c r="N3" s="127" t="s">
        <v>75</v>
      </c>
      <c r="O3" s="127" t="s">
        <v>184</v>
      </c>
      <c r="P3" s="127" t="s">
        <v>87</v>
      </c>
      <c r="Q3" s="127" t="s">
        <v>149</v>
      </c>
      <c r="S3" s="1" t="s">
        <v>102</v>
      </c>
      <c r="T3" s="1" t="s">
        <v>103</v>
      </c>
      <c r="U3" s="127" t="s">
        <v>108</v>
      </c>
      <c r="V3" s="127" t="s">
        <v>109</v>
      </c>
      <c r="X3" s="1" t="s">
        <v>102</v>
      </c>
      <c r="Y3" s="1" t="s">
        <v>103</v>
      </c>
      <c r="Z3" s="127" t="s">
        <v>108</v>
      </c>
      <c r="AA3" s="127" t="s">
        <v>109</v>
      </c>
      <c r="AC3" s="56" t="s">
        <v>97</v>
      </c>
      <c r="AD3" s="56" t="s">
        <v>8</v>
      </c>
      <c r="AE3" s="56" t="s">
        <v>166</v>
      </c>
      <c r="AF3" s="57" t="s">
        <v>9</v>
      </c>
      <c r="AG3" s="58" t="s">
        <v>163</v>
      </c>
      <c r="AH3" s="58" t="s">
        <v>10</v>
      </c>
      <c r="AI3" s="58" t="s">
        <v>164</v>
      </c>
      <c r="AJ3" s="57" t="s">
        <v>11</v>
      </c>
      <c r="AK3" s="58" t="s">
        <v>165</v>
      </c>
      <c r="AL3" s="58" t="s">
        <v>180</v>
      </c>
      <c r="AN3" t="s">
        <v>181</v>
      </c>
      <c r="AO3" t="s">
        <v>96</v>
      </c>
    </row>
    <row r="4" spans="1:41" ht="14.35" customHeight="1" x14ac:dyDescent="0.45">
      <c r="A4" s="4">
        <f>'2404'!$C$2</f>
        <v>45040</v>
      </c>
      <c r="B4" s="16">
        <f>'2404'!$L$3</f>
        <v>3</v>
      </c>
      <c r="C4" s="16">
        <f>'2404'!$M$3</f>
        <v>5</v>
      </c>
      <c r="D4" s="16">
        <f>'2404'!$O$3</f>
        <v>2</v>
      </c>
      <c r="E4" t="s">
        <v>72</v>
      </c>
      <c r="F4" t="s">
        <v>72</v>
      </c>
      <c r="H4" s="1">
        <f>SUM(B4:B30)</f>
        <v>84</v>
      </c>
      <c r="I4" s="1">
        <f>SUM(C4:C30)</f>
        <v>85</v>
      </c>
      <c r="J4" s="1">
        <f>SUM(D4:D30)</f>
        <v>31</v>
      </c>
      <c r="L4" s="128">
        <v>1</v>
      </c>
      <c r="M4" s="129"/>
      <c r="N4" s="129"/>
      <c r="O4" s="128"/>
      <c r="P4" s="128"/>
      <c r="Q4" s="129"/>
      <c r="S4" s="17">
        <f>COUNTIF('2404'!$X$4:$X$26,"LG/WW")</f>
        <v>2</v>
      </c>
      <c r="T4" s="17">
        <f>COUNTIF('2404'!$Y$4:$Y$26,"WW/LG")</f>
        <v>1</v>
      </c>
      <c r="U4" s="141">
        <f>S4/(S4+T4)</f>
        <v>0.66666666666666663</v>
      </c>
      <c r="V4" s="128" t="s">
        <v>65</v>
      </c>
      <c r="X4" s="17">
        <f>COUNTIF('2404'!$X$4:$X$26,"LG/5M")</f>
        <v>1</v>
      </c>
      <c r="Y4" s="17">
        <f>COUNTIF('2404'!$Z$4:$Z$26,"5M/LG")</f>
        <v>4</v>
      </c>
      <c r="Z4" s="141">
        <f>X4/SUM(X4,Y4)</f>
        <v>0.2</v>
      </c>
      <c r="AA4" s="128" t="s">
        <v>62</v>
      </c>
      <c r="AC4" s="3" t="s">
        <v>33</v>
      </c>
      <c r="AD4" s="59">
        <f>Table2[[#This Row],[Finishes]]+Table2[[#This Row],[Midranges]]+Table2[[#This Row],[Threes]]+Table2[[#This Row],[Threes]]</f>
        <v>2</v>
      </c>
      <c r="AE4" s="60">
        <f>Table2[[#This Row],[Points]]/($AE$2-Table2[[#This Row],[DNP]])</f>
        <v>0.13333333333333333</v>
      </c>
      <c r="AF4" s="61">
        <f>'2404'!AC3+'2604'!AC3+'0205'!AC3+'0305'!AC3+'0805'!AC3+'0905'!AC3+'1005'!AC3+'1505'!AC3+'1605'!AC3+'1705'!AC3+'2205'!AC3+'2305'!AC3+'2405'!AC3</f>
        <v>2</v>
      </c>
      <c r="AG4" s="101">
        <f>Table2[[#This Row],[Finishes]]/($AE$2-Table2[[#This Row],[DNP]])</f>
        <v>0.13333333333333333</v>
      </c>
      <c r="AH4" s="61">
        <f>'2404'!AD3+'2604'!AD3+'0205'!AD3+'0305'!AD3+'0805'!AD3+'0905'!AD3+'1005'!AD3+'1505'!AD3+'1605'!AD3+'1705'!AD3+'2205'!AD3+'2305'!AD3+'2405'!AD3</f>
        <v>0</v>
      </c>
      <c r="AI4" s="101">
        <f>Table2[[#This Row],[Midranges]]/($AE$2-Table2[[#This Row],[DNP]])</f>
        <v>0</v>
      </c>
      <c r="AJ4" s="61">
        <f>'2404'!AE3+'2604'!AE3+'0205'!AE3+'0305'!AE3+'0805'!AE3+'0905'!AE3+'1005'!AE3+'1505'!AE3+'1605'!AE3+'1705'!AE3+'2205'!AE3+'2305'!AE3+'2405'!AE3</f>
        <v>0</v>
      </c>
      <c r="AK4" s="62">
        <f>Table2[[#This Row],[Threes]]/($AE$2-Table2[[#This Row],[DNP]])</f>
        <v>0</v>
      </c>
      <c r="AL4" s="89">
        <f>'Stats Global'!Z8</f>
        <v>0</v>
      </c>
      <c r="AN4" s="41">
        <f>'Stats Global'!R8-Table2[[#This Row],[Avg P]]</f>
        <v>0.33333333333333337</v>
      </c>
      <c r="AO4" s="55">
        <f>Table2[[#This Row],[Avg P]]/(Table2[[#This Row],[Avg P]]+AN4)</f>
        <v>0.2857142857142857</v>
      </c>
    </row>
    <row r="5" spans="1:41" ht="14.35" customHeight="1" x14ac:dyDescent="0.45">
      <c r="A5" s="4">
        <f>'2604'!$C$2</f>
        <v>45042</v>
      </c>
      <c r="B5" s="16">
        <f>'2604'!$L$3</f>
        <v>3</v>
      </c>
      <c r="C5" s="16">
        <f>'2604'!$M$3</f>
        <v>3</v>
      </c>
      <c r="D5" s="16">
        <f>'2604'!$O$3</f>
        <v>2</v>
      </c>
      <c r="E5" t="s">
        <v>148</v>
      </c>
      <c r="F5" t="s">
        <v>198</v>
      </c>
      <c r="L5" s="128">
        <v>1</v>
      </c>
      <c r="M5" s="129"/>
      <c r="N5" s="129"/>
      <c r="O5" s="128"/>
      <c r="P5" s="128">
        <v>1</v>
      </c>
      <c r="Q5" s="129">
        <v>1</v>
      </c>
      <c r="S5" s="17">
        <f>COUNTIF('2604'!$X$4:$X$26,"LG/WW")</f>
        <v>1</v>
      </c>
      <c r="T5" s="17">
        <f>COUNTIF('2604'!$Y$4:$Y$26,"WW/LG")</f>
        <v>2</v>
      </c>
      <c r="U5" s="141">
        <f t="shared" ref="U5:U16" si="0">S5/(S5+T5)</f>
        <v>0.33333333333333331</v>
      </c>
      <c r="V5" s="130" t="s">
        <v>170</v>
      </c>
      <c r="X5" s="17">
        <f>COUNTIF('2604'!$X$4:$X$26,"LG/5M")</f>
        <v>2</v>
      </c>
      <c r="Y5" s="17">
        <f>COUNTIF('2604'!$Z$4:$Z$26,"5M/LG")</f>
        <v>1</v>
      </c>
      <c r="Z5" s="141">
        <f t="shared" ref="Z5:Z16" si="1">X5/SUM(X5,Y5)</f>
        <v>0.66666666666666663</v>
      </c>
      <c r="AA5" s="130" t="s">
        <v>185</v>
      </c>
      <c r="AC5" s="3" t="s">
        <v>36</v>
      </c>
      <c r="AD5" s="59">
        <f>Table2[[#This Row],[Finishes]]+Table2[[#This Row],[Midranges]]+Table2[[#This Row],[Threes]]+Table2[[#This Row],[Threes]]</f>
        <v>2</v>
      </c>
      <c r="AE5" s="60">
        <f>Table2[[#This Row],[Points]]/($AE$2-Table2[[#This Row],[DNP]])</f>
        <v>0.15384615384615385</v>
      </c>
      <c r="AF5" s="61">
        <f>'2404'!AC4+'2604'!AC4+'0205'!AC4+'0305'!AC4+'0805'!AC4+'0905'!AC4+'1005'!AC4+'1505'!AC4+'1605'!AC4+'1705'!AC4+'2205'!AC4+'2305'!AC4+'2405'!AC4</f>
        <v>2</v>
      </c>
      <c r="AG5" s="101">
        <f>Table2[[#This Row],[Finishes]]/($AE$2-Table2[[#This Row],[DNP]])</f>
        <v>0.15384615384615385</v>
      </c>
      <c r="AH5" s="61">
        <f>'2404'!AD4+'2604'!AD4+'0205'!AD4+'0305'!AD4+'0805'!AD4+'0905'!AD4+'1005'!AD4+'1505'!AD4+'1605'!AD4+'1705'!AD4+'2205'!AD4+'2305'!AD4+'2405'!AD4</f>
        <v>0</v>
      </c>
      <c r="AI5" s="101">
        <f>Table2[[#This Row],[Midranges]]/($AE$2-Table2[[#This Row],[DNP]])</f>
        <v>0</v>
      </c>
      <c r="AJ5" s="61">
        <f>'2404'!AE4+'2604'!AE4+'0205'!AE4+'0305'!AE4+'0805'!AE4+'0905'!AE4+'1005'!AE4+'1505'!AE4+'1605'!AE4+'1705'!AE4+'2205'!AE4+'2305'!AE4+'2405'!AE4</f>
        <v>0</v>
      </c>
      <c r="AK5" s="62">
        <f>Table2[[#This Row],[Threes]]/($AE$2-Table2[[#This Row],[DNP]])</f>
        <v>0</v>
      </c>
      <c r="AL5" s="89">
        <f>'Stats Global'!Z9</f>
        <v>2</v>
      </c>
      <c r="AN5" s="41">
        <f>'Stats Global'!R9-Table2[[#This Row],[Avg P]]</f>
        <v>0.53846153846153844</v>
      </c>
      <c r="AO5" s="55">
        <f>Table2[[#This Row],[Avg P]]/(Table2[[#This Row],[Avg P]]+AN5)</f>
        <v>0.22222222222222224</v>
      </c>
    </row>
    <row r="6" spans="1:41" ht="14.35" customHeight="1" x14ac:dyDescent="0.45">
      <c r="A6" s="4">
        <f>'0205'!$C$2</f>
        <v>45048</v>
      </c>
      <c r="B6" s="16">
        <f>'0205'!$L$3</f>
        <v>8</v>
      </c>
      <c r="C6" s="16">
        <f>'0205'!$M$3</f>
        <v>6</v>
      </c>
      <c r="D6" s="16">
        <f>'0205'!$O$3</f>
        <v>3</v>
      </c>
      <c r="E6" t="s">
        <v>72</v>
      </c>
      <c r="F6" t="s">
        <v>199</v>
      </c>
      <c r="I6" s="1" t="s">
        <v>110</v>
      </c>
      <c r="J6" s="18">
        <f>SUM(B4:B5)/SUM(B4:C5)</f>
        <v>0.42857142857142855</v>
      </c>
      <c r="L6" s="128">
        <v>3</v>
      </c>
      <c r="M6" s="129"/>
      <c r="N6" s="129">
        <v>1</v>
      </c>
      <c r="O6" s="128">
        <v>1</v>
      </c>
      <c r="P6" s="128"/>
      <c r="Q6" s="129"/>
      <c r="S6" s="17">
        <f>COUNTIF('0205'!$X$4:$X$26,"LG/WW")</f>
        <v>4</v>
      </c>
      <c r="T6" s="17">
        <f>COUNTIF('0205'!$Y$4:$Y$26,"WW/LG")</f>
        <v>2</v>
      </c>
      <c r="U6" s="141">
        <f t="shared" si="0"/>
        <v>0.66666666666666663</v>
      </c>
      <c r="V6" s="128" t="s">
        <v>65</v>
      </c>
      <c r="X6" s="17">
        <f>COUNTIF('0205'!$X$4:$X$26,"LG/5M")</f>
        <v>4</v>
      </c>
      <c r="Y6" s="17">
        <f>COUNTIF('0205'!$Z$4:$Z$26,"5M/LG")</f>
        <v>4</v>
      </c>
      <c r="Z6" s="141">
        <f t="shared" si="1"/>
        <v>0.5</v>
      </c>
      <c r="AA6" s="128" t="s">
        <v>175</v>
      </c>
      <c r="AC6" s="3" t="s">
        <v>38</v>
      </c>
      <c r="AD6" s="59">
        <f>Table2[[#This Row],[Finishes]]+Table2[[#This Row],[Midranges]]+Table2[[#This Row],[Threes]]+Table2[[#This Row],[Threes]]</f>
        <v>20</v>
      </c>
      <c r="AE6" s="60">
        <f>Table2[[#This Row],[Points]]/($AE$2-Table2[[#This Row],[DNP]])</f>
        <v>1.6666666666666667</v>
      </c>
      <c r="AF6" s="61">
        <f>'2404'!AC5+'2604'!AC5+'0205'!AC5+'0305'!AC5+'0805'!AC5+'0905'!AC5+'1005'!AC5+'1505'!AC5+'1605'!AC5+'1705'!AC5+'2205'!AC5+'2305'!AC5+'2405'!AC5</f>
        <v>20</v>
      </c>
      <c r="AG6" s="101">
        <f>Table2[[#This Row],[Finishes]]/($AE$2-Table2[[#This Row],[DNP]])</f>
        <v>1.6666666666666667</v>
      </c>
      <c r="AH6" s="61">
        <f>'2404'!AD5+'2604'!AD5+'0205'!AD5+'0305'!AD5+'0805'!AD5+'0905'!AD5+'1005'!AD5+'1505'!AD5+'1605'!AD5+'1705'!AD5+'2205'!AD5+'2305'!AD5+'2405'!AD5</f>
        <v>0</v>
      </c>
      <c r="AI6" s="101">
        <f>Table2[[#This Row],[Midranges]]/($AE$2-Table2[[#This Row],[DNP]])</f>
        <v>0</v>
      </c>
      <c r="AJ6" s="61">
        <f>'2404'!AE5+'2604'!AE5+'0205'!AE5+'0305'!AE5+'0805'!AE5+'0905'!AE5+'1005'!AE5+'1505'!AE5+'1605'!AE5+'1705'!AE5+'2205'!AE5+'2305'!AE5+'2405'!AE5</f>
        <v>0</v>
      </c>
      <c r="AK6" s="62">
        <f>Table2[[#This Row],[Threes]]/($AE$2-Table2[[#This Row],[DNP]])</f>
        <v>0</v>
      </c>
      <c r="AL6" s="89">
        <f>'Stats Global'!Z10</f>
        <v>3</v>
      </c>
      <c r="AN6" s="41">
        <f>'Stats Global'!R10-Table2[[#This Row],[Avg P]]</f>
        <v>0.99999999999999978</v>
      </c>
      <c r="AO6" s="55">
        <f>Table2[[#This Row],[Avg P]]/(Table2[[#This Row],[Avg P]]+AN6)</f>
        <v>0.62500000000000011</v>
      </c>
    </row>
    <row r="7" spans="1:41" ht="14.35" customHeight="1" x14ac:dyDescent="0.45">
      <c r="A7" s="4">
        <f>'0305'!$C$2</f>
        <v>45049</v>
      </c>
      <c r="B7" s="16">
        <f>'0305'!$L$3</f>
        <v>7</v>
      </c>
      <c r="C7" s="16">
        <f>'0305'!$M$3</f>
        <v>8</v>
      </c>
      <c r="D7" s="16">
        <f>'0305'!$O$3</f>
        <v>2</v>
      </c>
      <c r="E7" t="s">
        <v>148</v>
      </c>
      <c r="F7" t="s">
        <v>56</v>
      </c>
      <c r="I7" s="1" t="s">
        <v>111</v>
      </c>
      <c r="J7" s="18">
        <f>SUM(B6:B8)/SUM(B6:C8)</f>
        <v>0.48717948717948717</v>
      </c>
      <c r="L7" s="128"/>
      <c r="M7" s="128">
        <v>1</v>
      </c>
      <c r="N7" s="128">
        <v>1</v>
      </c>
      <c r="O7" s="128">
        <v>1</v>
      </c>
      <c r="P7" s="128"/>
      <c r="Q7" s="129">
        <v>1</v>
      </c>
      <c r="S7" s="17">
        <f>COUNTIF('0305'!$X$4:$X$26,"LG/WW")</f>
        <v>4</v>
      </c>
      <c r="T7" s="17">
        <f>COUNTIF('0305'!$Y$4:$Y$26,"WW/LG")</f>
        <v>2</v>
      </c>
      <c r="U7" s="141">
        <f t="shared" si="0"/>
        <v>0.66666666666666663</v>
      </c>
      <c r="V7" s="128" t="s">
        <v>178</v>
      </c>
      <c r="X7" s="17">
        <f>COUNTIF('0305'!$X$4:$X$26,"LG/5M")</f>
        <v>3</v>
      </c>
      <c r="Y7" s="17">
        <f>COUNTIF('0305'!$Z$4:$Z$26,"5M/LG")</f>
        <v>6</v>
      </c>
      <c r="Z7" s="141">
        <f t="shared" si="1"/>
        <v>0.33333333333333331</v>
      </c>
      <c r="AA7" s="128" t="s">
        <v>62</v>
      </c>
      <c r="AC7" s="3" t="s">
        <v>44</v>
      </c>
      <c r="AD7" s="59">
        <f>Table2[[#This Row],[Finishes]]+Table2[[#This Row],[Midranges]]+Table2[[#This Row],[Threes]]+Table2[[#This Row],[Threes]]</f>
        <v>23</v>
      </c>
      <c r="AE7" s="60">
        <f>Table2[[#This Row],[Points]]/($AE$2-Table2[[#This Row],[DNP]])</f>
        <v>1.6428571428571428</v>
      </c>
      <c r="AF7" s="61">
        <f>'2404'!AC6+'2604'!AC6+'0205'!AC6+'0305'!AC6+'0805'!AC6+'0905'!AC6+'1005'!AC6+'1505'!AC6+'1605'!AC6+'1705'!AC6+'2205'!AC6+'2305'!AC6+'2405'!AC6</f>
        <v>21</v>
      </c>
      <c r="AG7" s="101">
        <f>Table2[[#This Row],[Finishes]]/($AE$2-Table2[[#This Row],[DNP]])</f>
        <v>1.5</v>
      </c>
      <c r="AH7" s="61">
        <f>'2404'!AD6+'2604'!AD6+'0205'!AD6+'0305'!AD6+'0805'!AD6+'0905'!AD6+'1005'!AD6+'1505'!AD6+'1605'!AD6+'1705'!AD6+'2205'!AD6+'2305'!AD6+'2405'!AD6</f>
        <v>2</v>
      </c>
      <c r="AI7" s="101">
        <f>Table2[[#This Row],[Midranges]]/($AE$2-Table2[[#This Row],[DNP]])</f>
        <v>0.14285714285714285</v>
      </c>
      <c r="AJ7" s="61">
        <f>'2404'!AE6+'2604'!AE6+'0205'!AE6+'0305'!AE6+'0805'!AE6+'0905'!AE6+'1005'!AE6+'1505'!AE6+'1605'!AE6+'1705'!AE6+'2205'!AE6+'2305'!AE6+'2405'!AE6</f>
        <v>0</v>
      </c>
      <c r="AK7" s="62">
        <f>Table2[[#This Row],[Threes]]/($AE$2-Table2[[#This Row],[DNP]])</f>
        <v>0</v>
      </c>
      <c r="AL7" s="89">
        <f>'Stats Global'!Z11</f>
        <v>1</v>
      </c>
      <c r="AN7" s="41">
        <f>'Stats Global'!R11-Table2[[#This Row],[Avg P]]</f>
        <v>1.1428571428571428</v>
      </c>
      <c r="AO7" s="55">
        <f>Table2[[#This Row],[Avg P]]/(Table2[[#This Row],[Avg P]]+AN7)</f>
        <v>0.58974358974358976</v>
      </c>
    </row>
    <row r="8" spans="1:41" ht="14.35" customHeight="1" x14ac:dyDescent="0.45">
      <c r="A8" s="4">
        <f>'0805'!$C$2</f>
        <v>45054</v>
      </c>
      <c r="B8" s="16">
        <f>'0805'!$L$3</f>
        <v>4</v>
      </c>
      <c r="C8" s="16">
        <f>'0805'!$M$3</f>
        <v>6</v>
      </c>
      <c r="D8" s="16">
        <f>'0805'!$O$3</f>
        <v>1</v>
      </c>
      <c r="E8" t="s">
        <v>72</v>
      </c>
      <c r="F8" t="s">
        <v>56</v>
      </c>
      <c r="I8" s="1" t="s">
        <v>112</v>
      </c>
      <c r="J8" s="18"/>
      <c r="L8" s="128">
        <v>1</v>
      </c>
      <c r="M8" s="128">
        <v>1</v>
      </c>
      <c r="N8" s="128"/>
      <c r="O8" s="128"/>
      <c r="P8" s="128"/>
      <c r="Q8" s="129"/>
      <c r="S8" s="17">
        <f>COUNTIF('0805'!$X$4:$X$26,"LG/WW")</f>
        <v>3</v>
      </c>
      <c r="T8" s="17">
        <f>COUNTIF('0805'!$Y$4:$Y$26,"WW/LG")</f>
        <v>2</v>
      </c>
      <c r="U8" s="141">
        <f t="shared" si="0"/>
        <v>0.6</v>
      </c>
      <c r="V8" s="128" t="s">
        <v>187</v>
      </c>
      <c r="X8" s="17">
        <f>COUNTIF('0805'!$X$4:$X$26,"LG/5M")</f>
        <v>1</v>
      </c>
      <c r="Y8" s="17">
        <f>COUNTIF('0805'!$Z$4:$Z$26,"5M/LG")</f>
        <v>4</v>
      </c>
      <c r="Z8" s="141">
        <f t="shared" si="1"/>
        <v>0.2</v>
      </c>
      <c r="AA8" s="128" t="s">
        <v>62</v>
      </c>
      <c r="AC8" s="3" t="s">
        <v>46</v>
      </c>
      <c r="AD8" s="59">
        <f>Table2[[#This Row],[Finishes]]+Table2[[#This Row],[Midranges]]+Table2[[#This Row],[Threes]]+Table2[[#This Row],[Threes]]</f>
        <v>13</v>
      </c>
      <c r="AE8" s="60">
        <f>Table2[[#This Row],[Points]]/($AE$2-Table2[[#This Row],[DNP]])</f>
        <v>0.8666666666666667</v>
      </c>
      <c r="AF8" s="61">
        <f>'2404'!AC7+'2604'!AC7+'0205'!AC7+'0305'!AC7+'0805'!AC7+'0905'!AC7+'1005'!AC7+'1505'!AC7+'1605'!AC7+'1705'!AC7+'2205'!AC7+'2305'!AC7+'2405'!AC7</f>
        <v>6</v>
      </c>
      <c r="AG8" s="101">
        <f>Table2[[#This Row],[Finishes]]/($AE$2-Table2[[#This Row],[DNP]])</f>
        <v>0.4</v>
      </c>
      <c r="AH8" s="61">
        <f>'2404'!AD7+'2604'!AD7+'0205'!AD7+'0305'!AD7+'0805'!AD7+'0905'!AD7+'1005'!AD7+'1505'!AD7+'1605'!AD7+'1705'!AD7+'2205'!AD7+'2305'!AD7+'2405'!AD7</f>
        <v>5</v>
      </c>
      <c r="AI8" s="101">
        <f>Table2[[#This Row],[Midranges]]/($AE$2-Table2[[#This Row],[DNP]])</f>
        <v>0.33333333333333331</v>
      </c>
      <c r="AJ8" s="61">
        <f>'2404'!AE7+'2604'!AE7+'0205'!AE7+'0305'!AE7+'0805'!AE7+'0905'!AE7+'1005'!AE7+'1505'!AE7+'1605'!AE7+'1705'!AE7+'2205'!AE7+'2305'!AE7+'2405'!AE7</f>
        <v>1</v>
      </c>
      <c r="AK8" s="62">
        <f>Table2[[#This Row],[Threes]]/($AE$2-Table2[[#This Row],[DNP]])</f>
        <v>6.6666666666666666E-2</v>
      </c>
      <c r="AL8" s="89">
        <f>'Stats Global'!Z12</f>
        <v>0</v>
      </c>
      <c r="AN8" s="41">
        <f>'Stats Global'!R12-Table2[[#This Row],[Avg P]]</f>
        <v>1.0666666666666667</v>
      </c>
      <c r="AO8" s="55">
        <f>Table2[[#This Row],[Avg P]]/(Table2[[#This Row],[Avg P]]+AN8)</f>
        <v>0.44827586206896552</v>
      </c>
    </row>
    <row r="9" spans="1:41" ht="14.35" customHeight="1" x14ac:dyDescent="0.45">
      <c r="A9" s="4">
        <f>'0905'!$C$2</f>
        <v>45055</v>
      </c>
      <c r="B9" s="16">
        <f>'0905'!$L$3</f>
        <v>5</v>
      </c>
      <c r="C9" s="16">
        <f>'0905'!$M$3</f>
        <v>13</v>
      </c>
      <c r="D9" s="16">
        <f>'0905'!$O$3</f>
        <v>1</v>
      </c>
      <c r="E9" t="s">
        <v>56</v>
      </c>
      <c r="F9" t="s">
        <v>200</v>
      </c>
      <c r="I9" s="1" t="s">
        <v>113</v>
      </c>
      <c r="J9" s="18"/>
      <c r="L9" s="128"/>
      <c r="M9" s="128">
        <v>1</v>
      </c>
      <c r="N9" s="128"/>
      <c r="O9" s="128">
        <v>1</v>
      </c>
      <c r="P9" s="128">
        <v>1</v>
      </c>
      <c r="Q9" s="129"/>
      <c r="S9" s="17">
        <f>COUNTIF('0905'!$X$4:$X$40,"LG/WW")</f>
        <v>1</v>
      </c>
      <c r="T9" s="17">
        <f>COUNTIF('0905'!$Y$4:$Y$40,"WW/LG")</f>
        <v>11</v>
      </c>
      <c r="U9" s="141">
        <f t="shared" si="0"/>
        <v>8.3333333333333329E-2</v>
      </c>
      <c r="V9" s="128" t="s">
        <v>65</v>
      </c>
      <c r="X9" s="17">
        <f>COUNTIF('0905'!$X$4:$X$40,"LG/5M")</f>
        <v>4</v>
      </c>
      <c r="Y9" s="17">
        <f>COUNTIF('0905'!$Z$4:$Z$40,"5M/LG")</f>
        <v>2</v>
      </c>
      <c r="Z9" s="141">
        <f t="shared" si="1"/>
        <v>0.66666666666666663</v>
      </c>
      <c r="AA9" s="128" t="s">
        <v>169</v>
      </c>
      <c r="AC9" s="3" t="s">
        <v>51</v>
      </c>
      <c r="AD9" s="59">
        <f>Table2[[#This Row],[Finishes]]+Table2[[#This Row],[Midranges]]+Table2[[#This Row],[Threes]]+Table2[[#This Row],[Threes]]</f>
        <v>3</v>
      </c>
      <c r="AE9" s="60">
        <f>Table2[[#This Row],[Points]]/($AE$2-Table2[[#This Row],[DNP]])</f>
        <v>0.25</v>
      </c>
      <c r="AF9" s="61">
        <f>'2404'!AC8+'2604'!AC8+'0205'!AC8+'0305'!AC8+'0805'!AC8+'0905'!AC8+'1005'!AC8+'1505'!AC8+'1605'!AC8+'1705'!AC8+'2205'!AC8+'2305'!AC8+'2405'!AC8</f>
        <v>2</v>
      </c>
      <c r="AG9" s="101">
        <f>Table2[[#This Row],[Finishes]]/($AE$2-Table2[[#This Row],[DNP]])</f>
        <v>0.16666666666666666</v>
      </c>
      <c r="AH9" s="61">
        <f>'2404'!AD8+'2604'!AD8+'0205'!AD8+'0305'!AD8+'0805'!AD8+'0905'!AD8+'1005'!AD8+'1505'!AD8+'1605'!AD8+'1705'!AD8+'2205'!AD8+'2305'!AD8+'2405'!AD8</f>
        <v>1</v>
      </c>
      <c r="AI9" s="101">
        <f>Table2[[#This Row],[Midranges]]/($AE$2-Table2[[#This Row],[DNP]])</f>
        <v>8.3333333333333329E-2</v>
      </c>
      <c r="AJ9" s="61">
        <f>'2404'!AE8+'2604'!AE8+'0205'!AE8+'0305'!AE8+'0805'!AE8+'0905'!AE8+'1005'!AE8+'1505'!AE8+'1605'!AE8+'1705'!AE8+'2205'!AE8+'2305'!AE8+'2405'!AE8</f>
        <v>0</v>
      </c>
      <c r="AK9" s="62">
        <f>Table2[[#This Row],[Threes]]/($AE$2-Table2[[#This Row],[DNP]])</f>
        <v>0</v>
      </c>
      <c r="AL9" s="89">
        <f>'Stats Global'!Z13</f>
        <v>3</v>
      </c>
      <c r="AN9" s="41">
        <f>'Stats Global'!R13-Table2[[#This Row],[Avg P]]</f>
        <v>0.58333333333333337</v>
      </c>
      <c r="AO9" s="55">
        <f>Table2[[#This Row],[Avg P]]/(Table2[[#This Row],[Avg P]]+AN9)</f>
        <v>0.3</v>
      </c>
    </row>
    <row r="10" spans="1:41" ht="14.35" customHeight="1" x14ac:dyDescent="0.45">
      <c r="A10" s="4">
        <f>'1005'!$C$2</f>
        <v>45056</v>
      </c>
      <c r="B10" s="16">
        <f>'1005'!$L$3</f>
        <v>13</v>
      </c>
      <c r="C10" s="16">
        <f>'1005'!$M$3</f>
        <v>7</v>
      </c>
      <c r="D10" s="16">
        <f>'1005'!$O$3</f>
        <v>3</v>
      </c>
      <c r="E10" t="s">
        <v>56</v>
      </c>
      <c r="F10" t="s">
        <v>56</v>
      </c>
      <c r="I10" s="1" t="s">
        <v>114</v>
      </c>
      <c r="J10" s="18"/>
      <c r="L10" s="128"/>
      <c r="M10" s="128">
        <v>2</v>
      </c>
      <c r="N10" s="128">
        <v>1</v>
      </c>
      <c r="O10" s="128">
        <v>1</v>
      </c>
      <c r="P10" s="128">
        <v>1</v>
      </c>
      <c r="Q10" s="129"/>
      <c r="S10" s="17">
        <f>COUNTIF('1005'!$X$4:$X$40,"LG/WW")</f>
        <v>6</v>
      </c>
      <c r="T10" s="17">
        <f>COUNTIF('1005'!$Y$4:$Y$40,"WW/LG")</f>
        <v>6</v>
      </c>
      <c r="U10" s="141">
        <f t="shared" si="0"/>
        <v>0.5</v>
      </c>
      <c r="V10" s="128" t="s">
        <v>65</v>
      </c>
      <c r="X10" s="17">
        <f>COUNTIF('1005'!$X$4:$X$40,"LG/5M")</f>
        <v>7</v>
      </c>
      <c r="Y10" s="17">
        <f>COUNTIF('1005'!$Z$4:$Z$40,"5M/LG")</f>
        <v>1</v>
      </c>
      <c r="Z10" s="141">
        <f t="shared" si="1"/>
        <v>0.875</v>
      </c>
      <c r="AA10" s="128" t="s">
        <v>55</v>
      </c>
      <c r="AC10" s="114" t="s">
        <v>53</v>
      </c>
      <c r="AD10" s="115">
        <f>Table2[[#This Row],[Finishes]]+Table2[[#This Row],[Midranges]]+Table2[[#This Row],[Threes]]+Table2[[#This Row],[Threes]]</f>
        <v>8</v>
      </c>
      <c r="AE10" s="116">
        <f>Table2[[#This Row],[Points]]/($AE$2-Table2[[#This Row],[DNP]])</f>
        <v>0.53333333333333333</v>
      </c>
      <c r="AF10" s="117">
        <f>'2404'!AC9+'2604'!AC9+'0205'!AC9+'0305'!AC9+'0805'!AC9+'0905'!AC9+'1005'!AC9+'1505'!AC9+'1605'!AC9+'1705'!AC9+'2205'!AC9+'2305'!AC9+'2405'!AC9</f>
        <v>1</v>
      </c>
      <c r="AG10" s="118">
        <f>Table2[[#This Row],[Finishes]]/($AE$2-Table2[[#This Row],[DNP]])</f>
        <v>6.6666666666666666E-2</v>
      </c>
      <c r="AH10" s="117">
        <f>'2404'!AD9+'2604'!AD9+'0205'!AD9+'0305'!AD9+'0805'!AD9+'0905'!AD9+'1005'!AD9+'1505'!AD9+'1605'!AD9+'1705'!AD9+'2205'!AD9+'2305'!AD9+'2405'!AD9</f>
        <v>1</v>
      </c>
      <c r="AI10" s="118">
        <f>Table2[[#This Row],[Midranges]]/($AE$2-Table2[[#This Row],[DNP]])</f>
        <v>6.6666666666666666E-2</v>
      </c>
      <c r="AJ10" s="117">
        <f>'2404'!AE9+'2604'!AE9+'0205'!AE9+'0305'!AE9+'0805'!AE9+'0905'!AE9+'1005'!AE9+'1505'!AE9+'1605'!AE9+'1705'!AE9+'2205'!AE9+'2305'!AE9+'2405'!AE9</f>
        <v>3</v>
      </c>
      <c r="AK10" s="119">
        <f>Table2[[#This Row],[Threes]]/($AE$2-Table2[[#This Row],[DNP]])</f>
        <v>0.2</v>
      </c>
      <c r="AL10" s="120">
        <f>'Stats Global'!Z14</f>
        <v>0</v>
      </c>
      <c r="AN10" s="121">
        <f>'Stats Global'!R14-Table2[[#This Row],[Avg P]]</f>
        <v>1.1333333333333333</v>
      </c>
      <c r="AO10" s="123">
        <f>Table2[[#This Row],[Avg P]]/(Table2[[#This Row],[Avg P]]+AN10)</f>
        <v>0.32</v>
      </c>
    </row>
    <row r="11" spans="1:41" ht="14.35" customHeight="1" x14ac:dyDescent="0.45">
      <c r="A11" s="4">
        <f>'1505'!$C$2</f>
        <v>45061</v>
      </c>
      <c r="B11" s="16">
        <f>'1505'!$L$3</f>
        <v>6</v>
      </c>
      <c r="C11" s="16">
        <f>'1505'!$M$3</f>
        <v>7</v>
      </c>
      <c r="D11" s="16">
        <f>'1505'!$O$3</f>
        <v>2</v>
      </c>
      <c r="E11" t="s">
        <v>217</v>
      </c>
      <c r="F11" t="s">
        <v>53</v>
      </c>
      <c r="I11" s="1" t="s">
        <v>115</v>
      </c>
      <c r="J11" s="18"/>
      <c r="L11" s="128"/>
      <c r="M11" s="128"/>
      <c r="N11" s="128">
        <v>1</v>
      </c>
      <c r="O11" s="128">
        <v>1</v>
      </c>
      <c r="P11" s="128">
        <v>1</v>
      </c>
      <c r="Q11" s="128">
        <v>1</v>
      </c>
      <c r="S11" s="17">
        <f>COUNTIF('1505'!$X$4:$X$40,"LG/WW")</f>
        <v>2</v>
      </c>
      <c r="T11" s="17">
        <f>COUNTIF('1505'!$Y$4:$Y$40,"WW/LG")</f>
        <v>7</v>
      </c>
      <c r="U11" s="141">
        <f t="shared" si="0"/>
        <v>0.22222222222222221</v>
      </c>
      <c r="V11" s="128"/>
      <c r="X11" s="17">
        <f>COUNTIF('1505'!$X$4:$X$40,"LG/5M")</f>
        <v>4</v>
      </c>
      <c r="Y11" s="17">
        <f>COUNTIF('1505'!$Z$4:$Z$40,"5M/LG")</f>
        <v>0</v>
      </c>
      <c r="Z11" s="141">
        <f t="shared" si="1"/>
        <v>1</v>
      </c>
      <c r="AA11" s="128"/>
      <c r="AC11" s="114" t="s">
        <v>56</v>
      </c>
      <c r="AD11" s="115">
        <f>Table2[[#This Row],[Finishes]]+Table2[[#This Row],[Midranges]]+Table2[[#This Row],[Threes]]+Table2[[#This Row],[Threes]]</f>
        <v>8</v>
      </c>
      <c r="AE11" s="116">
        <f>Table2[[#This Row],[Points]]/($AE$2-Table2[[#This Row],[DNP]])</f>
        <v>0.53333333333333333</v>
      </c>
      <c r="AF11" s="117">
        <f>'2404'!AC10+'2604'!AC10+'0205'!AC10+'0305'!AC10+'0805'!AC10+'0905'!AC10+'1005'!AC10+'1505'!AC10+'1605'!AC10+'1705'!AC10+'2205'!AC10+'2305'!AC10+'2405'!AC10</f>
        <v>2</v>
      </c>
      <c r="AG11" s="118">
        <f>Table2[[#This Row],[Finishes]]/($AE$2-Table2[[#This Row],[DNP]])</f>
        <v>0.13333333333333333</v>
      </c>
      <c r="AH11" s="117">
        <f>'2404'!AD10+'2604'!AD10+'0205'!AD10+'0305'!AD10+'0805'!AD10+'0905'!AD10+'1005'!AD10+'1505'!AD10+'1605'!AD10+'1705'!AD10+'2205'!AD10+'2305'!AD10+'2405'!AD10</f>
        <v>6</v>
      </c>
      <c r="AI11" s="118">
        <f>Table2[[#This Row],[Midranges]]/($AE$2-Table2[[#This Row],[DNP]])</f>
        <v>0.4</v>
      </c>
      <c r="AJ11" s="117">
        <f>'2404'!AE10+'2604'!AE10+'0205'!AE10+'0305'!AE10+'0805'!AE10+'0905'!AE10+'1005'!AE10+'1505'!AE10+'1605'!AE10+'1705'!AE10+'2205'!AE10+'2305'!AE10+'2405'!AE10</f>
        <v>0</v>
      </c>
      <c r="AK11" s="119">
        <f>Table2[[#This Row],[Threes]]/($AE$2-Table2[[#This Row],[DNP]])</f>
        <v>0</v>
      </c>
      <c r="AL11" s="120">
        <f>'Stats Global'!Z15</f>
        <v>0</v>
      </c>
      <c r="AN11" s="121">
        <f>'Stats Global'!R15-Table2[[#This Row],[Avg P]]</f>
        <v>1</v>
      </c>
      <c r="AO11" s="123">
        <f>Table2[[#This Row],[Avg P]]/(Table2[[#This Row],[Avg P]]+AN11)</f>
        <v>0.34782608695652178</v>
      </c>
    </row>
    <row r="12" spans="1:41" ht="14.35" customHeight="1" x14ac:dyDescent="0.45">
      <c r="A12" s="4">
        <f>'1605'!$C$2</f>
        <v>45062</v>
      </c>
      <c r="B12" s="16">
        <f>'1605'!$L$3</f>
        <v>5</v>
      </c>
      <c r="C12" s="16">
        <f>'1605'!$M$3</f>
        <v>10</v>
      </c>
      <c r="D12" s="16">
        <f>'1605'!$O$3</f>
        <v>1</v>
      </c>
      <c r="E12" t="s">
        <v>218</v>
      </c>
      <c r="F12" t="s">
        <v>72</v>
      </c>
      <c r="I12" s="1" t="s">
        <v>116</v>
      </c>
      <c r="J12" s="18"/>
      <c r="L12" s="128"/>
      <c r="M12" s="128"/>
      <c r="N12" s="128"/>
      <c r="O12" s="128"/>
      <c r="P12" s="128"/>
      <c r="Q12" s="128"/>
      <c r="S12" s="17">
        <f>COUNTIF('1605'!$X$4:$X$40,"LG/WW")</f>
        <v>2</v>
      </c>
      <c r="T12" s="17">
        <f>COUNTIF('1605'!$Y$4:$Y$40,"WW/LG")</f>
        <v>4</v>
      </c>
      <c r="U12" s="141">
        <f t="shared" si="0"/>
        <v>0.33333333333333331</v>
      </c>
      <c r="V12" s="128"/>
      <c r="X12" s="17">
        <f>COUNTIF('1605'!$X$4:$X$40,"LG/5M")</f>
        <v>3</v>
      </c>
      <c r="Y12" s="17">
        <f>COUNTIF('1605'!$Z$4:$Z$40,"5M/LG")</f>
        <v>6</v>
      </c>
      <c r="Z12" s="141">
        <f t="shared" si="1"/>
        <v>0.33333333333333331</v>
      </c>
      <c r="AA12" s="128"/>
      <c r="AC12" s="3" t="s">
        <v>60</v>
      </c>
      <c r="AD12" s="59">
        <f>Table2[[#This Row],[Finishes]]+Table2[[#This Row],[Midranges]]+Table2[[#This Row],[Threes]]+Table2[[#This Row],[Threes]]</f>
        <v>10</v>
      </c>
      <c r="AE12" s="60">
        <f>Table2[[#This Row],[Points]]/($AE$2-Table2[[#This Row],[DNP]])</f>
        <v>0.76923076923076927</v>
      </c>
      <c r="AF12" s="61">
        <f>'2404'!AC11+'2604'!AC11+'0205'!AC11+'0305'!AC11+'0805'!AC11+'0905'!AC11+'1005'!AC11+'1505'!AC11+'1605'!AC11+'1705'!AC11+'2205'!AC11+'2305'!AC11+'2405'!AC11</f>
        <v>2</v>
      </c>
      <c r="AG12" s="101">
        <f>Table2[[#This Row],[Finishes]]/($AE$2-Table2[[#This Row],[DNP]])</f>
        <v>0.15384615384615385</v>
      </c>
      <c r="AH12" s="61">
        <f>'2404'!AD11+'2604'!AD11+'0205'!AD11+'0305'!AD11+'0805'!AD11+'0905'!AD11+'1005'!AD11+'1505'!AD11+'1605'!AD11+'1705'!AD11+'2205'!AD11+'2305'!AD11+'2405'!AD11</f>
        <v>8</v>
      </c>
      <c r="AI12" s="101">
        <f>Table2[[#This Row],[Midranges]]/($AE$2-Table2[[#This Row],[DNP]])</f>
        <v>0.61538461538461542</v>
      </c>
      <c r="AJ12" s="61">
        <f>'2404'!AE11+'2604'!AE11+'0205'!AE11+'0305'!AE11+'0805'!AE11+'0905'!AE11+'1005'!AE11+'1505'!AE11+'1605'!AE11+'1705'!AE11+'2205'!AE11+'2305'!AE11+'2405'!AE11</f>
        <v>0</v>
      </c>
      <c r="AK12" s="62">
        <f>Table2[[#This Row],[Threes]]/($AE$2-Table2[[#This Row],[DNP]])</f>
        <v>0</v>
      </c>
      <c r="AL12" s="89">
        <f>'Stats Global'!Z16</f>
        <v>2</v>
      </c>
      <c r="AN12" s="41">
        <f>'Stats Global'!R16-Table2[[#This Row],[Avg P]]</f>
        <v>1.5384615384615383</v>
      </c>
      <c r="AO12" s="55">
        <f>Table2[[#This Row],[Avg P]]/(Table2[[#This Row],[Avg P]]+AN12)</f>
        <v>0.33333333333333337</v>
      </c>
    </row>
    <row r="13" spans="1:41" ht="14.35" customHeight="1" x14ac:dyDescent="0.45">
      <c r="A13" s="4">
        <f>'1705'!$C$2</f>
        <v>45063</v>
      </c>
      <c r="B13" s="16">
        <f>'1705'!$L$3</f>
        <v>6</v>
      </c>
      <c r="C13" s="16">
        <f>'1705'!$M$3</f>
        <v>4</v>
      </c>
      <c r="D13" s="16">
        <f>'1705'!$O$3</f>
        <v>3</v>
      </c>
      <c r="E13" t="s">
        <v>219</v>
      </c>
      <c r="F13" t="s">
        <v>56</v>
      </c>
      <c r="I13" s="1" t="s">
        <v>117</v>
      </c>
      <c r="J13" s="18" cm="1">
        <f t="array" ref="J13">SUM(B4:B16/SUM(B4:C16))</f>
        <v>0.49044585987261141</v>
      </c>
      <c r="L13" s="128"/>
      <c r="M13" s="128"/>
      <c r="N13" s="128"/>
      <c r="O13" s="128"/>
      <c r="P13" s="128"/>
      <c r="Q13" s="128"/>
      <c r="S13" s="17">
        <f>COUNTIF('1705'!$X$4:$X$40,"LG/WW")</f>
        <v>3</v>
      </c>
      <c r="T13" s="17">
        <f>COUNTIF('1705'!$Y$4:$Y$40,"WW/LG")</f>
        <v>1</v>
      </c>
      <c r="U13" s="141">
        <f t="shared" si="0"/>
        <v>0.75</v>
      </c>
      <c r="V13" s="128"/>
      <c r="X13" s="17">
        <f>COUNTIF('1705'!$X$4:$X$40,"LG/5M")</f>
        <v>3</v>
      </c>
      <c r="Y13" s="17">
        <f>COUNTIF('1705'!$Z$4:$Z$40,"5M/LG")</f>
        <v>3</v>
      </c>
      <c r="Z13" s="141">
        <f t="shared" si="1"/>
        <v>0.5</v>
      </c>
      <c r="AA13" s="128"/>
      <c r="AC13" s="3" t="s">
        <v>63</v>
      </c>
      <c r="AD13" s="59">
        <f>Table2[[#This Row],[Finishes]]+Table2[[#This Row],[Midranges]]+Table2[[#This Row],[Threes]]+Table2[[#This Row],[Threes]]</f>
        <v>3</v>
      </c>
      <c r="AE13" s="60">
        <f>Table2[[#This Row],[Points]]/($AE$2-Table2[[#This Row],[DNP]])</f>
        <v>0.21428571428571427</v>
      </c>
      <c r="AF13" s="61">
        <f>'2404'!AC12+'2604'!AC12+'0205'!AC12+'0305'!AC12+'0805'!AC12+'0905'!AC12+'1005'!AC12+'1505'!AC12+'1605'!AC12+'1705'!AC12+'2205'!AC12+'2305'!AC12+'2405'!AC12</f>
        <v>1</v>
      </c>
      <c r="AG13" s="101">
        <f>Table2[[#This Row],[Finishes]]/($AE$2-Table2[[#This Row],[DNP]])</f>
        <v>7.1428571428571425E-2</v>
      </c>
      <c r="AH13" s="61">
        <f>'2404'!AD12+'2604'!AD12+'0205'!AD12+'0305'!AD12+'0805'!AD12+'0905'!AD12+'1005'!AD12+'1505'!AD12+'1605'!AD12+'1705'!AD12+'2205'!AD12+'2305'!AD12+'2405'!AD12</f>
        <v>2</v>
      </c>
      <c r="AI13" s="101">
        <f>Table2[[#This Row],[Midranges]]/($AE$2-Table2[[#This Row],[DNP]])</f>
        <v>0.14285714285714285</v>
      </c>
      <c r="AJ13" s="61">
        <f>'2404'!AE12+'2604'!AE12+'0205'!AE12+'0305'!AE12+'0805'!AE12+'0905'!AE12+'1005'!AE12+'1505'!AE12+'1605'!AE12+'1705'!AE12+'2205'!AE12+'2305'!AE12+'2405'!AE12</f>
        <v>0</v>
      </c>
      <c r="AK13" s="62">
        <f>Table2[[#This Row],[Threes]]/($AE$2-Table2[[#This Row],[DNP]])</f>
        <v>0</v>
      </c>
      <c r="AL13" s="89">
        <f>'Stats Global'!Z17</f>
        <v>1</v>
      </c>
      <c r="AN13" s="41">
        <f>'Stats Global'!R17-Table2[[#This Row],[Avg P]]</f>
        <v>0.64285714285714279</v>
      </c>
      <c r="AO13" s="55">
        <f>Table2[[#This Row],[Avg P]]/(Table2[[#This Row],[Avg P]]+AN13)</f>
        <v>0.25</v>
      </c>
    </row>
    <row r="14" spans="1:41" ht="14.35" customHeight="1" x14ac:dyDescent="0.45">
      <c r="A14" s="4">
        <f>'2205'!$C$2</f>
        <v>45068</v>
      </c>
      <c r="B14" s="16">
        <f>'2205'!$L$3</f>
        <v>2</v>
      </c>
      <c r="C14" s="16">
        <f>'2205'!$M$3</f>
        <v>7</v>
      </c>
      <c r="D14" s="16">
        <f>'2205'!$O$3</f>
        <v>2</v>
      </c>
      <c r="E14" t="s">
        <v>203</v>
      </c>
      <c r="F14" t="s">
        <v>223</v>
      </c>
      <c r="L14" s="128"/>
      <c r="M14" s="128"/>
      <c r="N14" s="128"/>
      <c r="O14" s="128"/>
      <c r="P14" s="128"/>
      <c r="Q14" s="128"/>
      <c r="S14" s="17">
        <f>COUNTIF('2205'!$X$4:$X$40,"LG/WW")</f>
        <v>1</v>
      </c>
      <c r="T14" s="17">
        <f>COUNTIF('2205'!$Y$4:$Y$40,"WW/LG")</f>
        <v>1</v>
      </c>
      <c r="U14" s="141">
        <f t="shared" si="0"/>
        <v>0.5</v>
      </c>
      <c r="V14" s="128"/>
      <c r="X14" s="17">
        <f>COUNTIF('2205'!$X$4:$X$40,"LG/5M")</f>
        <v>1</v>
      </c>
      <c r="Y14" s="17">
        <f>COUNTIF('2205'!$Z$4:$Z$40,"5M/LG")</f>
        <v>6</v>
      </c>
      <c r="Z14" s="141">
        <f t="shared" si="1"/>
        <v>0.14285714285714285</v>
      </c>
      <c r="AA14" s="128"/>
      <c r="AC14" s="3" t="s">
        <v>66</v>
      </c>
      <c r="AD14" s="89">
        <f>Table2[[#This Row],[Finishes]]+Table2[[#This Row],[Midranges]]+Table2[[#This Row],[Threes]]+Table2[[#This Row],[Threes]]</f>
        <v>4</v>
      </c>
      <c r="AE14" s="60">
        <f>Table2[[#This Row],[Points]]/($AE$2-Table2[[#This Row],[DNP]])</f>
        <v>0.30769230769230771</v>
      </c>
      <c r="AF14" s="89">
        <f>'2404'!AC13+'2604'!AC13+'0205'!AC13+'0305'!AC13+'0805'!AC13+'0905'!AC13+'1005'!AC13+'1505'!AC13+'1605'!AC13+'1705'!AC13+'2205'!AC13+'2305'!AC13+'2405'!AC13</f>
        <v>3</v>
      </c>
      <c r="AG14" s="102">
        <f>Table2[[#This Row],[Finishes]]/($AE$2-Table2[[#This Row],[DNP]])</f>
        <v>0.23076923076923078</v>
      </c>
      <c r="AH14" s="89">
        <f>'2404'!AD13+'2604'!AD13+'0205'!AD13+'0305'!AD13+'0805'!AD13+'0905'!AD13+'1005'!AD13+'1505'!AD13+'1605'!AD13+'1705'!AD13+'2205'!AD13+'2305'!AD13+'2405'!AD13</f>
        <v>1</v>
      </c>
      <c r="AI14" s="102">
        <f>Table2[[#This Row],[Midranges]]/($AE$2-Table2[[#This Row],[DNP]])</f>
        <v>7.6923076923076927E-2</v>
      </c>
      <c r="AJ14" s="89">
        <f>'2404'!AE13+'2604'!AE13+'0205'!AE13+'0305'!AE13+'0805'!AE13+'0905'!AE13+'1005'!AE13+'1505'!AE13+'1605'!AE13+'1705'!AE13+'2205'!AE13+'2305'!AE13+'2405'!AE13</f>
        <v>0</v>
      </c>
      <c r="AK14" s="88">
        <f>Table2[[#This Row],[Threes]]/($AE$2-Table2[[#This Row],[DNP]])</f>
        <v>0</v>
      </c>
      <c r="AL14" s="89">
        <f>'Stats Global'!Z18</f>
        <v>2</v>
      </c>
      <c r="AN14" s="41">
        <f>'Stats Global'!R18-Table2[[#This Row],[Avg P]]</f>
        <v>0.92307692307692313</v>
      </c>
      <c r="AO14" s="55">
        <f>Table2[[#This Row],[Avg P]]/(Table2[[#This Row],[Avg P]]+AN14)</f>
        <v>0.25</v>
      </c>
    </row>
    <row r="15" spans="1:41" ht="14.35" customHeight="1" x14ac:dyDescent="0.45">
      <c r="A15" s="4">
        <f>'2305'!$C$2</f>
        <v>45069</v>
      </c>
      <c r="B15" s="16">
        <f>'2305'!$L$3</f>
        <v>11</v>
      </c>
      <c r="C15" s="16">
        <f>'2305'!$M$3</f>
        <v>2</v>
      </c>
      <c r="D15" s="16">
        <f>'2305'!$O$3</f>
        <v>3</v>
      </c>
      <c r="E15" t="s">
        <v>72</v>
      </c>
      <c r="F15" t="s">
        <v>69</v>
      </c>
      <c r="L15" s="128"/>
      <c r="M15" s="128"/>
      <c r="N15" s="128"/>
      <c r="O15" s="128"/>
      <c r="P15" s="128"/>
      <c r="Q15" s="128"/>
      <c r="S15" s="17">
        <f>COUNTIF('2305'!$X$4:$X$40,"LG/WW")</f>
        <v>5</v>
      </c>
      <c r="T15" s="17">
        <f>COUNTIF('2305'!$Y$4:$Y$40,"WW/LG")</f>
        <v>2</v>
      </c>
      <c r="U15" s="141">
        <f t="shared" si="0"/>
        <v>0.7142857142857143</v>
      </c>
      <c r="V15" s="128"/>
      <c r="X15" s="17">
        <f>COUNTIF('2305'!$X$4:$X$40,"LG/5M")</f>
        <v>6</v>
      </c>
      <c r="Y15" s="17">
        <f>COUNTIF('2305'!$Z$4:$Z$40,"5M/LG")</f>
        <v>0</v>
      </c>
      <c r="Z15" s="141">
        <f t="shared" si="1"/>
        <v>1</v>
      </c>
      <c r="AA15" s="128"/>
      <c r="AC15" s="114" t="s">
        <v>69</v>
      </c>
      <c r="AD15" s="120">
        <f>Table2[[#This Row],[Finishes]]+Table2[[#This Row],[Midranges]]+Table2[[#This Row],[Threes]]+Table2[[#This Row],[Threes]]</f>
        <v>6</v>
      </c>
      <c r="AE15" s="116">
        <f>Table2[[#This Row],[Points]]/($AE$2-Table2[[#This Row],[DNP]])</f>
        <v>0.4</v>
      </c>
      <c r="AF15" s="120">
        <f>'2404'!AC14+'2604'!AC14+'0205'!AC14+'0305'!AC14+'0805'!AC14+'0905'!AC14+'1005'!AC14+'1505'!AC14+'1605'!AC14+'1705'!AC14+'2205'!AC14+'2305'!AC14+'2405'!AC14</f>
        <v>4</v>
      </c>
      <c r="AG15" s="121">
        <f>Table2[[#This Row],[Finishes]]/($AE$2-Table2[[#This Row],[DNP]])</f>
        <v>0.26666666666666666</v>
      </c>
      <c r="AH15" s="120">
        <f>'2404'!AD14+'2604'!AD14+'0205'!AD14+'0305'!AD14+'0805'!AD14+'0905'!AD14+'1005'!AD14+'1505'!AD14+'1605'!AD14+'1705'!AD14+'2205'!AD14+'2305'!AD14+'2405'!AD14</f>
        <v>2</v>
      </c>
      <c r="AI15" s="121">
        <f>Table2[[#This Row],[Midranges]]/($AE$2-Table2[[#This Row],[DNP]])</f>
        <v>0.13333333333333333</v>
      </c>
      <c r="AJ15" s="120">
        <f>'2404'!AE14+'2604'!AE14+'0205'!AE14+'0305'!AE14+'0805'!AE14+'0905'!AE14+'1005'!AE14+'1505'!AE14+'1605'!AE14+'1705'!AE14+'2205'!AE14+'2305'!AE14+'2405'!AE14</f>
        <v>0</v>
      </c>
      <c r="AK15" s="122">
        <f>Table2[[#This Row],[Threes]]/($AE$2-Table2[[#This Row],[DNP]])</f>
        <v>0</v>
      </c>
      <c r="AL15" s="120">
        <f>'Stats Global'!Z19</f>
        <v>0</v>
      </c>
      <c r="AN15" s="121">
        <f>'Stats Global'!R19-Table2[[#This Row],[Avg P]]</f>
        <v>0.53333333333333333</v>
      </c>
      <c r="AO15" s="123">
        <f>Table2[[#This Row],[Avg P]]/(Table2[[#This Row],[Avg P]]+AN15)</f>
        <v>0.4285714285714286</v>
      </c>
    </row>
    <row r="16" spans="1:41" ht="14.35" customHeight="1" x14ac:dyDescent="0.45">
      <c r="A16" s="4">
        <f>'2405'!$C$2</f>
        <v>45070</v>
      </c>
      <c r="B16" s="16">
        <f>'2405'!$L$3</f>
        <v>4</v>
      </c>
      <c r="C16" s="16">
        <f>'2405'!$M$3</f>
        <v>2</v>
      </c>
      <c r="D16" s="16">
        <f>'2405'!$O$3</f>
        <v>3</v>
      </c>
      <c r="E16" t="s">
        <v>199</v>
      </c>
      <c r="F16" t="s">
        <v>227</v>
      </c>
      <c r="L16" s="128"/>
      <c r="M16" s="128"/>
      <c r="N16" s="128"/>
      <c r="O16" s="128"/>
      <c r="P16" s="128"/>
      <c r="Q16" s="128"/>
      <c r="S16" s="17">
        <f>COUNTIF('2405'!$X$4:$X$40,"LG/WW")</f>
        <v>2</v>
      </c>
      <c r="T16" s="17">
        <f>COUNTIF('2405'!$Y$4:$Y$40,"WW/LG")</f>
        <v>0</v>
      </c>
      <c r="U16" s="141">
        <f t="shared" si="0"/>
        <v>1</v>
      </c>
      <c r="V16" s="128"/>
      <c r="X16" s="17">
        <f>COUNTIF('2405'!$X$4:$X$40,"LG/5M")</f>
        <v>2</v>
      </c>
      <c r="Y16" s="17">
        <f>COUNTIF('2405'!$Z$4:$Z$40,"5M/LG")</f>
        <v>2</v>
      </c>
      <c r="Z16" s="141">
        <f t="shared" si="1"/>
        <v>0.5</v>
      </c>
      <c r="AA16" s="128"/>
      <c r="AC16" s="114" t="s">
        <v>72</v>
      </c>
      <c r="AD16" s="120">
        <f>Table2[[#This Row],[Finishes]]+Table2[[#This Row],[Midranges]]+Table2[[#This Row],[Threes]]+Table2[[#This Row],[Threes]]</f>
        <v>12</v>
      </c>
      <c r="AE16" s="116">
        <f>Table2[[#This Row],[Points]]/($AE$2-Table2[[#This Row],[DNP]])</f>
        <v>1</v>
      </c>
      <c r="AF16" s="120">
        <f>'2404'!AC15+'2604'!AC15+'0205'!AC15+'0305'!AC15+'0805'!AC15+'0905'!AC15+'1005'!AC15+'1505'!AC15+'1605'!AC15+'1705'!AC15+'2205'!AC15+'2305'!AC15+'2405'!AC15</f>
        <v>8</v>
      </c>
      <c r="AG16" s="121">
        <f>Table2[[#This Row],[Finishes]]/($AE$2-Table2[[#This Row],[DNP]])</f>
        <v>0.66666666666666663</v>
      </c>
      <c r="AH16" s="120">
        <f>'2404'!AD15+'2604'!AD15+'0205'!AD15+'0305'!AD15+'0805'!AD15+'0905'!AD15+'1005'!AD15+'1505'!AD15+'1605'!AD15+'1705'!AD15+'2205'!AD15+'2305'!AD15+'2405'!AD15</f>
        <v>2</v>
      </c>
      <c r="AI16" s="121">
        <f>Table2[[#This Row],[Midranges]]/($AE$2-Table2[[#This Row],[DNP]])</f>
        <v>0.16666666666666666</v>
      </c>
      <c r="AJ16" s="120">
        <f>'2404'!AE15+'2604'!AE15+'0205'!AE15+'0305'!AE15+'0805'!AE15+'0905'!AE15+'1005'!AE15+'1505'!AE15+'1605'!AE15+'1705'!AE15+'2205'!AE15+'2305'!AE15+'2405'!AE15</f>
        <v>1</v>
      </c>
      <c r="AK16" s="122">
        <f>Table2[[#This Row],[Threes]]/($AE$2-Table2[[#This Row],[DNP]])</f>
        <v>8.3333333333333329E-2</v>
      </c>
      <c r="AL16" s="120">
        <f>'Stats Global'!Z20</f>
        <v>3</v>
      </c>
      <c r="AN16" s="121">
        <f>'Stats Global'!R20-Table2[[#This Row],[Avg P]]</f>
        <v>1.4166666666666665</v>
      </c>
      <c r="AO16" s="123">
        <f>Table2[[#This Row],[Avg P]]/(Table2[[#This Row],[Avg P]]+AN16)</f>
        <v>0.41379310344827591</v>
      </c>
    </row>
    <row r="17" spans="1:41" ht="14.35" customHeight="1" x14ac:dyDescent="0.45">
      <c r="A17" s="4">
        <f>'Finals 1'!$C$2</f>
        <v>45075</v>
      </c>
      <c r="B17" s="16">
        <f>'Finals 1'!$M$3</f>
        <v>4</v>
      </c>
      <c r="C17" s="16">
        <f>'Finals 1'!$N$3</f>
        <v>1</v>
      </c>
      <c r="D17" s="144">
        <f>'Finals 1'!$P$3</f>
        <v>2</v>
      </c>
      <c r="E17" s="145" t="s">
        <v>239</v>
      </c>
      <c r="F17" s="145" t="s">
        <v>199</v>
      </c>
      <c r="L17" s="128"/>
      <c r="M17" s="128"/>
      <c r="N17" s="128"/>
      <c r="O17" s="128"/>
      <c r="P17" s="128"/>
      <c r="Q17" s="128"/>
      <c r="S17" s="17">
        <v>3</v>
      </c>
      <c r="T17" s="17">
        <f>COUNTIF('Finals 1'!$Y$4:$Y$40,"WW/LG")</f>
        <v>0</v>
      </c>
      <c r="U17" s="128"/>
      <c r="V17" s="128"/>
      <c r="X17" s="17">
        <v>1</v>
      </c>
      <c r="Y17" s="17">
        <v>1</v>
      </c>
      <c r="Z17" s="128"/>
      <c r="AA17" s="128"/>
      <c r="AC17" s="3" t="s">
        <v>76</v>
      </c>
      <c r="AD17" s="89">
        <f>Table2[[#This Row],[Finishes]]+Table2[[#This Row],[Midranges]]+Table2[[#This Row],[Threes]]+Table2[[#This Row],[Threes]]</f>
        <v>1</v>
      </c>
      <c r="AE17" s="60">
        <f>Table2[[#This Row],[Points]]/($AE$2-Table2[[#This Row],[DNP]])</f>
        <v>6.6666666666666666E-2</v>
      </c>
      <c r="AF17" s="89">
        <f>'2404'!AC16+'2604'!AC16+'0205'!AC16+'0305'!AC16+'0805'!AC16+'0905'!AC16+'1005'!AC16+'1505'!AC16+'1605'!AC16+'1705'!AC16+'2205'!AC16+'2305'!AC16+'2405'!AC16</f>
        <v>1</v>
      </c>
      <c r="AG17" s="102">
        <f>Table2[[#This Row],[Finishes]]/($AE$2-Table2[[#This Row],[DNP]])</f>
        <v>6.6666666666666666E-2</v>
      </c>
      <c r="AH17" s="89">
        <f>'2404'!AD16+'2604'!AD16+'0205'!AD16+'0305'!AD16+'0805'!AD16+'0905'!AD16+'1005'!AD16+'1505'!AD16+'1605'!AD16+'1705'!AD16+'2205'!AD16+'2305'!AD16+'2405'!AD16</f>
        <v>0</v>
      </c>
      <c r="AI17" s="102">
        <f>Table2[[#This Row],[Midranges]]/($AE$2-Table2[[#This Row],[DNP]])</f>
        <v>0</v>
      </c>
      <c r="AJ17" s="89">
        <f>'2404'!AE16+'2604'!AE16+'0205'!AE16+'0305'!AE16+'0805'!AE16+'0905'!AE16+'1005'!AE16+'1505'!AE16+'1605'!AE16+'1705'!AE16+'2205'!AE16+'2305'!AE16+'2405'!AE16</f>
        <v>0</v>
      </c>
      <c r="AK17" s="88">
        <f>Table2[[#This Row],[Threes]]/($AE$2-Table2[[#This Row],[DNP]])</f>
        <v>0</v>
      </c>
      <c r="AL17" s="89">
        <f>'Stats Global'!Z21</f>
        <v>0</v>
      </c>
      <c r="AN17" s="41">
        <f>'Stats Global'!R21-Table2[[#This Row],[Avg P]]</f>
        <v>6.6666666666666666E-2</v>
      </c>
      <c r="AO17" s="55">
        <f>Table2[[#This Row],[Avg P]]/(Table2[[#This Row],[Avg P]]+AN17)</f>
        <v>0.5</v>
      </c>
    </row>
    <row r="18" spans="1:41" ht="14.35" customHeight="1" x14ac:dyDescent="0.45">
      <c r="A18" s="4">
        <f>'Finals 2'!$C$2</f>
        <v>45076</v>
      </c>
      <c r="B18" s="16">
        <f>'Finals 2'!$M$3</f>
        <v>3</v>
      </c>
      <c r="C18" s="16">
        <f>'Finals 2'!$N$3</f>
        <v>4</v>
      </c>
      <c r="D18" s="144">
        <f>'Finals 2'!$P$3</f>
        <v>1</v>
      </c>
      <c r="E18" s="150" t="s">
        <v>242</v>
      </c>
      <c r="F18" s="150" t="s">
        <v>56</v>
      </c>
      <c r="L18" s="128"/>
      <c r="M18" s="128"/>
      <c r="N18" s="128"/>
      <c r="O18" s="128"/>
      <c r="P18" s="128"/>
      <c r="Q18" s="128"/>
      <c r="S18" s="17">
        <v>2</v>
      </c>
      <c r="T18" s="17">
        <v>1</v>
      </c>
      <c r="U18" s="128"/>
      <c r="V18" s="128"/>
      <c r="X18" s="17">
        <v>1</v>
      </c>
      <c r="Y18" s="17">
        <v>3</v>
      </c>
      <c r="Z18" s="128"/>
      <c r="AA18" s="128"/>
      <c r="AC18" s="114" t="s">
        <v>79</v>
      </c>
      <c r="AD18" s="120">
        <f>Table2[[#This Row],[Finishes]]+Table2[[#This Row],[Midranges]]+Table2[[#This Row],[Threes]]+Table2[[#This Row],[Threes]]</f>
        <v>3</v>
      </c>
      <c r="AE18" s="116">
        <f>Table2[[#This Row],[Points]]/($AE$2-Table2[[#This Row],[DNP]])</f>
        <v>0.2</v>
      </c>
      <c r="AF18" s="120">
        <f>'2404'!AC17+'2604'!AC17+'0205'!AC17+'0305'!AC17+'0805'!AC17+'0905'!AC17+'1005'!AC17+'1505'!AC17+'1605'!AC17+'1705'!AC17+'2205'!AC17+'2305'!AC17+'2405'!AC17</f>
        <v>2</v>
      </c>
      <c r="AG18" s="121">
        <f>Table2[[#This Row],[Finishes]]/($AE$2-Table2[[#This Row],[DNP]])</f>
        <v>0.13333333333333333</v>
      </c>
      <c r="AH18" s="120">
        <f>'2404'!AD17+'2604'!AD17+'0205'!AD17+'0305'!AD17+'0805'!AD17+'0905'!AD17+'1005'!AD17+'1505'!AD17+'1605'!AD17+'1705'!AD17+'2205'!AD17+'2305'!AD17+'2405'!AD17</f>
        <v>1</v>
      </c>
      <c r="AI18" s="121">
        <f>Table2[[#This Row],[Midranges]]/($AE$2-Table2[[#This Row],[DNP]])</f>
        <v>6.6666666666666666E-2</v>
      </c>
      <c r="AJ18" s="120">
        <f>'2404'!AE17+'2604'!AE17+'0205'!AE17+'0305'!AE17+'0805'!AE17+'0905'!AE17+'1005'!AE17+'1505'!AE17+'1605'!AE17+'1705'!AE17+'2205'!AE17+'2305'!AE17+'2405'!AE17</f>
        <v>0</v>
      </c>
      <c r="AK18" s="122">
        <f>Table2[[#This Row],[Threes]]/($AE$2-Table2[[#This Row],[DNP]])</f>
        <v>0</v>
      </c>
      <c r="AL18" s="120">
        <f>'Stats Global'!Z22</f>
        <v>0</v>
      </c>
      <c r="AN18" s="121">
        <f>'Stats Global'!R22-Table2[[#This Row],[Avg P]]</f>
        <v>0.26666666666666666</v>
      </c>
      <c r="AO18" s="123">
        <f>Table2[[#This Row],[Avg P]]/(Table2[[#This Row],[Avg P]]+AN18)</f>
        <v>0.4285714285714286</v>
      </c>
    </row>
    <row r="19" spans="1:41" ht="14.35" customHeight="1" x14ac:dyDescent="0.45">
      <c r="A19" s="4"/>
      <c r="B19" s="16"/>
      <c r="C19" s="16"/>
      <c r="D19" s="16"/>
      <c r="L19" s="128"/>
      <c r="M19" s="128"/>
      <c r="N19" s="128"/>
      <c r="O19" s="128"/>
      <c r="P19" s="128"/>
      <c r="Q19" s="128"/>
      <c r="S19" s="17"/>
      <c r="T19" s="17"/>
      <c r="U19" s="128"/>
      <c r="V19" s="128"/>
      <c r="X19" s="17"/>
      <c r="Y19" s="17"/>
      <c r="Z19" s="128"/>
      <c r="AA19" s="128"/>
      <c r="AC19" s="124" t="s">
        <v>148</v>
      </c>
      <c r="AD19" s="120">
        <f>Table2[[#This Row],[Finishes]]+Table2[[#This Row],[Midranges]]+Table2[[#This Row],[Threes]]+Table2[[#This Row],[Threes]]</f>
        <v>3</v>
      </c>
      <c r="AE19" s="125">
        <f>Table2[[#This Row],[Points]]/($AE$2-Table2[[#This Row],[DNP]])</f>
        <v>0.21428571428571427</v>
      </c>
      <c r="AF19" s="120">
        <f>'2404'!AC18+'2604'!AC18+'0205'!AC18+'0305'!AC18+'0805'!AC18+'0905'!AC18+'1005'!AC18+'1505'!AC18+'1605'!AC18+'1705'!AC18+'2205'!AC18+'2305'!AC18+'2405'!AC18</f>
        <v>3</v>
      </c>
      <c r="AG19" s="121">
        <f>Table2[[#This Row],[Finishes]]/($AE$2-Table2[[#This Row],[DNP]])</f>
        <v>0.21428571428571427</v>
      </c>
      <c r="AH19" s="120">
        <f>'2404'!AD18+'2604'!AD18+'0205'!AD18+'0305'!AD18+'0805'!AD18+'0905'!AD18+'1005'!AD18+'1505'!AD18+'1605'!AD18+'1705'!AD18+'2205'!AD18+'2305'!AD18+'2405'!AD18</f>
        <v>0</v>
      </c>
      <c r="AI19" s="121">
        <f>Table2[[#This Row],[Midranges]]/($AE$2-Table2[[#This Row],[DNP]])</f>
        <v>0</v>
      </c>
      <c r="AJ19" s="120">
        <f>'2404'!AE18+'2604'!AE18+'0205'!AE18+'0305'!AE18+'0805'!AE18+'0905'!AE18+'1005'!AE18+'1505'!AE18+'1605'!AE18+'1705'!AE18+'2205'!AE18+'2305'!AE18+'2405'!AE18</f>
        <v>0</v>
      </c>
      <c r="AK19" s="122">
        <f>Table2[[#This Row],[Threes]]/($AE$2-Table2[[#This Row],[DNP]])</f>
        <v>0</v>
      </c>
      <c r="AL19" s="120">
        <f>'Stats Global'!Z23</f>
        <v>1</v>
      </c>
      <c r="AN19" s="121">
        <f>'Stats Global'!R23-Table2[[#This Row],[Avg P]]</f>
        <v>7.1428571428571425E-2</v>
      </c>
      <c r="AO19" s="123">
        <f>Table2[[#This Row],[Avg P]]/(Table2[[#This Row],[Avg P]]+AN19)</f>
        <v>0.75</v>
      </c>
    </row>
    <row r="20" spans="1:41" ht="14.35" customHeight="1" x14ac:dyDescent="0.45">
      <c r="A20" s="4"/>
      <c r="B20" s="16"/>
      <c r="C20" s="16"/>
      <c r="D20" s="16"/>
      <c r="L20" s="128"/>
      <c r="M20" s="128"/>
      <c r="N20" s="128"/>
      <c r="O20" s="128"/>
      <c r="P20" s="128"/>
      <c r="Q20" s="128"/>
      <c r="S20" s="17"/>
      <c r="T20" s="17"/>
      <c r="U20" s="128"/>
      <c r="V20" s="128"/>
      <c r="X20" s="17"/>
      <c r="Y20" s="17"/>
      <c r="Z20" s="128"/>
      <c r="AA20" s="128"/>
    </row>
    <row r="21" spans="1:41" ht="14.35" customHeight="1" x14ac:dyDescent="0.45">
      <c r="A21" s="4"/>
      <c r="B21" s="16"/>
      <c r="C21" s="16"/>
      <c r="D21" s="16"/>
      <c r="L21" s="128"/>
      <c r="M21" s="128"/>
      <c r="N21" s="128"/>
      <c r="O21" s="128"/>
      <c r="P21" s="128"/>
      <c r="Q21" s="128"/>
      <c r="S21" s="17"/>
      <c r="T21" s="17"/>
      <c r="U21" s="128"/>
      <c r="V21" s="128"/>
      <c r="X21" s="17"/>
      <c r="Y21" s="17"/>
      <c r="Z21" s="128"/>
      <c r="AA21" s="128"/>
      <c r="AC21" t="s">
        <v>182</v>
      </c>
      <c r="AO21" s="66"/>
    </row>
    <row r="22" spans="1:41" ht="14.35" customHeight="1" x14ac:dyDescent="0.45">
      <c r="L22" s="128"/>
      <c r="M22" s="128"/>
      <c r="N22" s="128"/>
      <c r="O22" s="128"/>
      <c r="P22" s="128"/>
      <c r="Q22" s="128"/>
      <c r="S22" s="17"/>
      <c r="T22" s="17"/>
      <c r="U22" s="128"/>
      <c r="V22" s="128"/>
      <c r="X22" s="17"/>
      <c r="Y22" s="17"/>
      <c r="Z22" s="128"/>
      <c r="AA22" s="128"/>
      <c r="AD22" s="40"/>
      <c r="AE22" s="40"/>
      <c r="AF22" s="40"/>
    </row>
    <row r="23" spans="1:41" ht="14.35" customHeight="1" x14ac:dyDescent="1.1000000000000001">
      <c r="A23" s="21"/>
      <c r="B23" s="21"/>
      <c r="C23" s="21"/>
      <c r="D23" s="21"/>
      <c r="E23" s="21"/>
      <c r="H23" s="21"/>
      <c r="L23" s="128"/>
      <c r="M23" s="128"/>
      <c r="N23" s="128"/>
      <c r="O23" s="128"/>
      <c r="P23" s="128"/>
      <c r="Q23" s="128"/>
      <c r="S23" s="17"/>
      <c r="T23" s="17"/>
      <c r="U23" s="128"/>
      <c r="V23" s="128"/>
      <c r="X23" s="17"/>
      <c r="Y23" s="17"/>
      <c r="Z23" s="128"/>
      <c r="AA23" s="128"/>
      <c r="AC23" s="95" t="s">
        <v>183</v>
      </c>
      <c r="AD23" s="96" t="s">
        <v>169</v>
      </c>
      <c r="AE23" s="97" t="s">
        <v>78</v>
      </c>
      <c r="AF23" s="96" t="s">
        <v>184</v>
      </c>
      <c r="AG23" s="97" t="s">
        <v>75</v>
      </c>
      <c r="AH23" s="96" t="s">
        <v>87</v>
      </c>
    </row>
    <row r="24" spans="1:41" ht="14.35" customHeight="1" x14ac:dyDescent="1.1000000000000001">
      <c r="A24" s="21"/>
      <c r="B24" s="21"/>
      <c r="C24" s="21"/>
      <c r="D24" s="21"/>
      <c r="E24" s="21"/>
      <c r="H24" s="21"/>
      <c r="L24" s="128"/>
      <c r="M24" s="128"/>
      <c r="N24" s="128"/>
      <c r="O24" s="128"/>
      <c r="P24" s="128"/>
      <c r="Q24" s="128"/>
      <c r="S24" s="17"/>
      <c r="T24" s="17"/>
      <c r="U24" s="128"/>
      <c r="V24" s="128"/>
      <c r="X24" s="17"/>
      <c r="Y24" s="17"/>
      <c r="Z24" s="128"/>
      <c r="AA24" s="128"/>
      <c r="AC24" s="90" t="s">
        <v>65</v>
      </c>
      <c r="AD24" s="91" t="s">
        <v>85</v>
      </c>
      <c r="AE24" s="92" t="s">
        <v>85</v>
      </c>
      <c r="AF24" s="91" t="s">
        <v>85</v>
      </c>
      <c r="AG24" s="92" t="s">
        <v>85</v>
      </c>
      <c r="AH24" s="91" t="s">
        <v>85</v>
      </c>
    </row>
    <row r="25" spans="1:41" ht="14.35" customHeight="1" x14ac:dyDescent="1.1000000000000001">
      <c r="A25" s="21"/>
      <c r="B25" s="21"/>
      <c r="C25" s="21"/>
      <c r="D25" s="21"/>
      <c r="E25" s="21"/>
      <c r="H25" s="21"/>
      <c r="L25" s="128"/>
      <c r="M25" s="128"/>
      <c r="N25" s="128"/>
      <c r="O25" s="128"/>
      <c r="P25" s="128"/>
      <c r="Q25" s="128"/>
      <c r="S25" s="17"/>
      <c r="T25" s="17"/>
      <c r="U25" s="128"/>
      <c r="V25" s="128"/>
      <c r="X25" s="17"/>
      <c r="Y25" s="17"/>
      <c r="Z25" s="128"/>
      <c r="AA25" s="128"/>
      <c r="AC25" s="90" t="s">
        <v>71</v>
      </c>
      <c r="AD25" s="91" t="s">
        <v>78</v>
      </c>
      <c r="AE25" s="92" t="s">
        <v>184</v>
      </c>
      <c r="AF25" s="91" t="s">
        <v>78</v>
      </c>
      <c r="AG25" s="92" t="s">
        <v>78</v>
      </c>
      <c r="AH25" s="91" t="s">
        <v>78</v>
      </c>
    </row>
    <row r="26" spans="1:41" ht="14.35" customHeight="1" x14ac:dyDescent="0.45">
      <c r="L26" s="128"/>
      <c r="M26" s="128"/>
      <c r="N26" s="128"/>
      <c r="O26" s="128"/>
      <c r="P26" s="128"/>
      <c r="Q26" s="128"/>
      <c r="S26" s="17"/>
      <c r="T26" s="17"/>
      <c r="U26" s="128"/>
      <c r="V26" s="128"/>
      <c r="X26" s="17"/>
      <c r="Y26" s="17"/>
      <c r="Z26" s="128"/>
      <c r="AA26" s="128"/>
      <c r="AC26" s="90" t="s">
        <v>68</v>
      </c>
      <c r="AD26" s="93" t="s">
        <v>184</v>
      </c>
      <c r="AE26" s="94" t="s">
        <v>75</v>
      </c>
      <c r="AF26" s="93" t="s">
        <v>75</v>
      </c>
      <c r="AG26" s="94" t="s">
        <v>184</v>
      </c>
      <c r="AH26" s="93" t="s">
        <v>184</v>
      </c>
    </row>
    <row r="27" spans="1:41" ht="14.35" customHeight="1" x14ac:dyDescent="0.45">
      <c r="L27" s="128"/>
      <c r="M27" s="128"/>
      <c r="N27" s="128"/>
      <c r="O27" s="128"/>
      <c r="P27" s="128"/>
      <c r="Q27" s="128"/>
      <c r="S27" s="17"/>
      <c r="T27" s="17"/>
      <c r="U27" s="128"/>
      <c r="V27" s="128"/>
      <c r="X27" s="17"/>
      <c r="Y27" s="17"/>
      <c r="Z27" s="128"/>
      <c r="AA27" s="128"/>
      <c r="AC27" s="90" t="s">
        <v>59</v>
      </c>
      <c r="AD27" s="93" t="s">
        <v>75</v>
      </c>
      <c r="AE27" s="94" t="s">
        <v>87</v>
      </c>
      <c r="AF27" s="93" t="s">
        <v>87</v>
      </c>
      <c r="AG27" s="94" t="s">
        <v>87</v>
      </c>
      <c r="AH27" s="93" t="s">
        <v>75</v>
      </c>
    </row>
    <row r="28" spans="1:41" ht="14.35" customHeight="1" x14ac:dyDescent="0.45">
      <c r="L28" s="128"/>
      <c r="M28" s="128"/>
      <c r="N28" s="128"/>
      <c r="O28" s="128"/>
      <c r="P28" s="128"/>
      <c r="Q28" s="128"/>
      <c r="S28" s="17"/>
      <c r="T28" s="17"/>
      <c r="U28" s="128"/>
      <c r="V28" s="128"/>
      <c r="X28" s="17"/>
      <c r="Y28" s="17"/>
      <c r="Z28" s="128"/>
      <c r="AA28" s="128"/>
      <c r="AC28" s="90" t="s">
        <v>86</v>
      </c>
      <c r="AD28" s="93" t="s">
        <v>87</v>
      </c>
      <c r="AE28" s="94" t="s">
        <v>169</v>
      </c>
      <c r="AF28" s="93" t="s">
        <v>169</v>
      </c>
      <c r="AG28" s="94" t="s">
        <v>169</v>
      </c>
      <c r="AH28" s="93" t="s">
        <v>169</v>
      </c>
    </row>
    <row r="29" spans="1:41" ht="14.35" customHeight="1" x14ac:dyDescent="0.45">
      <c r="L29" s="128"/>
      <c r="M29" s="128"/>
      <c r="N29" s="128"/>
      <c r="O29" s="128"/>
      <c r="P29" s="128"/>
      <c r="Q29" s="128"/>
      <c r="S29" s="17"/>
      <c r="T29" s="17"/>
      <c r="U29" s="128"/>
      <c r="V29" s="128"/>
      <c r="X29" s="17"/>
      <c r="Y29" s="17"/>
      <c r="Z29" s="128"/>
      <c r="AA29" s="128"/>
      <c r="AC29" s="92"/>
      <c r="AD29" s="91"/>
      <c r="AE29" s="92"/>
      <c r="AF29" s="91"/>
      <c r="AG29" s="92"/>
      <c r="AH29" s="91"/>
    </row>
    <row r="30" spans="1:41" ht="14.35" customHeight="1" x14ac:dyDescent="0.45">
      <c r="L30" s="128"/>
      <c r="M30" s="128"/>
      <c r="N30" s="128"/>
      <c r="O30" s="128"/>
      <c r="P30" s="128"/>
      <c r="Q30" s="128"/>
      <c r="R30" s="1" t="s">
        <v>118</v>
      </c>
      <c r="S30" s="17">
        <f t="shared" ref="S30:T30" si="2">SUM(S4:S29)</f>
        <v>41</v>
      </c>
      <c r="T30" s="17">
        <f t="shared" si="2"/>
        <v>42</v>
      </c>
      <c r="U30" s="128"/>
      <c r="V30" s="128"/>
      <c r="X30" s="17">
        <f t="shared" ref="X30:Y30" si="3">SUM(X4:X29)</f>
        <v>43</v>
      </c>
      <c r="Y30" s="17">
        <f t="shared" si="3"/>
        <v>43</v>
      </c>
      <c r="Z30" s="128"/>
      <c r="AA30" s="128"/>
      <c r="AC30" s="95" t="s">
        <v>183</v>
      </c>
      <c r="AD30" s="96" t="s">
        <v>169</v>
      </c>
      <c r="AE30" s="97" t="s">
        <v>78</v>
      </c>
      <c r="AF30" s="96" t="s">
        <v>184</v>
      </c>
      <c r="AG30" s="97" t="s">
        <v>75</v>
      </c>
      <c r="AH30" s="96" t="s">
        <v>87</v>
      </c>
    </row>
    <row r="31" spans="1:41" ht="14.35" customHeight="1" x14ac:dyDescent="0.45">
      <c r="K31" s="1"/>
      <c r="S31" s="22">
        <f>S30/(T30+S30)</f>
        <v>0.49397590361445781</v>
      </c>
      <c r="X31" s="22">
        <f>X30/(Y30+X30)</f>
        <v>0.5</v>
      </c>
      <c r="AC31" s="92" t="s">
        <v>169</v>
      </c>
      <c r="AD31" s="91" t="s">
        <v>85</v>
      </c>
      <c r="AE31" s="92" t="s">
        <v>85</v>
      </c>
      <c r="AF31" s="91" t="s">
        <v>85</v>
      </c>
      <c r="AG31" s="92" t="s">
        <v>85</v>
      </c>
      <c r="AH31" s="91" t="s">
        <v>85</v>
      </c>
    </row>
    <row r="32" spans="1:41" ht="14.35" customHeight="1" x14ac:dyDescent="0.45">
      <c r="K32" s="1"/>
      <c r="L32" s="103" t="str">
        <f>R32&amp;H4&amp;","&amp;I4&amp;"],"</f>
        <v>"PartA":[84,85],</v>
      </c>
      <c r="M32" s="1"/>
      <c r="N32" s="1"/>
      <c r="O32" s="1"/>
      <c r="P32" s="1"/>
      <c r="Q32" s="1"/>
      <c r="R32" t="s">
        <v>193</v>
      </c>
      <c r="T32" t="s">
        <v>197</v>
      </c>
      <c r="V32" s="64">
        <f>ROUND(SUM('Stats Global'!Q14:Q15,'Stats Global'!Q19:Q20,'Stats Global'!Q22:Q23)/COUNT(B4:B40),1)</f>
        <v>6.8</v>
      </c>
      <c r="X32" s="22"/>
      <c r="AC32" s="92" t="s">
        <v>62</v>
      </c>
      <c r="AD32" s="91" t="s">
        <v>78</v>
      </c>
      <c r="AE32" s="92" t="s">
        <v>184</v>
      </c>
      <c r="AF32" s="91" t="s">
        <v>78</v>
      </c>
      <c r="AG32" s="92" t="s">
        <v>78</v>
      </c>
      <c r="AH32" s="91" t="s">
        <v>78</v>
      </c>
    </row>
    <row r="33" spans="12:34" ht="14.35" customHeight="1" x14ac:dyDescent="0.45">
      <c r="L33" t="str">
        <f>R33&amp;T33&amp;","&amp;CHAR(34)&amp;U33&amp;CHAR(34)&amp;","&amp;T34&amp;","&amp;CHAR(34)&amp;U34&amp;CHAR(34)&amp;","&amp;T35&amp;","&amp;CHAR(34)&amp;U35&amp;CHAR(34)&amp;","&amp;T36&amp;","&amp;CHAR(34)&amp;U36&amp;CHAR(34)&amp;"],"</f>
        <v>"PartB":[29,"Angus Walker",19,"Angus Walker",17,"William Kim",9,"Clarrie Jones"],</v>
      </c>
      <c r="R33" t="s">
        <v>194</v>
      </c>
      <c r="T33" s="42">
        <f>MAX('Stats Global'!Q14:Q15,'Stats Global'!Q19:Q20,'Stats Global'!Q22:Q23)</f>
        <v>29</v>
      </c>
      <c r="U33" t="str">
        <f>IF('Statistics LG'!T33='Stats Global'!Q14,"Clarrie Jones", IF('Statistics LG'!T33='Stats Global'!Q15, "William Kim", IF('Statistics LG'!T33='Stats Global'!Q19, "Christopher Tomkinson", IF('Statistics LG'!T33='Stats Global'!Q20, "Angus Walker", IF('Statistics LG'!T33='Stats Global'!Q22, "Mitch Yue", "Sam James")))))</f>
        <v>Angus Walker</v>
      </c>
      <c r="V33" s="64">
        <f>ROUND(SUM('Stats Global'!S14:S15,'Stats Global'!S19:S20,'Stats Global'!S22:S23)/COUNT(B4:B40),1)</f>
        <v>2.9</v>
      </c>
      <c r="AC33" s="92" t="s">
        <v>185</v>
      </c>
      <c r="AD33" s="91" t="s">
        <v>184</v>
      </c>
      <c r="AE33" s="92" t="s">
        <v>75</v>
      </c>
      <c r="AF33" s="91" t="s">
        <v>75</v>
      </c>
      <c r="AG33" s="92" t="s">
        <v>184</v>
      </c>
      <c r="AH33" s="91" t="s">
        <v>184</v>
      </c>
    </row>
    <row r="34" spans="12:34" ht="14.25" customHeight="1" x14ac:dyDescent="0.45">
      <c r="L34" t="str">
        <f>R34&amp;V32&amp;","&amp;V33&amp;","&amp;V34&amp;","&amp;V35&amp;","&amp;V36&amp;","&amp;V37&amp;"],"</f>
        <v>"PartC":[6.8,2.9,2.3,0.8,5.6,5.7],</v>
      </c>
      <c r="R34" t="s">
        <v>195</v>
      </c>
      <c r="T34" s="42">
        <f>MAX('Stats Global'!S14:S15,'Stats Global'!S19:S20,'Stats Global'!S22:S23)</f>
        <v>19</v>
      </c>
      <c r="U34" t="str">
        <f>IF('Statistics LG'!T34='Stats Global'!S14,"Clarrie Jones", IF('Statistics LG'!T34='Stats Global'!S15, "William Kim", IF('Statistics LG'!T34='Stats Global'!S19, "Christopher Tomkinson", IF('Statistics LG'!T34='Stats Global'!S20, "Angus Walker", IF('Statistics LG'!T34='Stats Global'!S22, "Mitch Yue", "Sam James")))))</f>
        <v>Angus Walker</v>
      </c>
      <c r="V34" s="64">
        <f>ROUND(SUM('Stats Global'!U14:U15,'Stats Global'!U19:U20,'Stats Global'!U22:U23)/COUNT(B4:B40),1)</f>
        <v>2.2999999999999998</v>
      </c>
      <c r="AC34" s="92" t="s">
        <v>55</v>
      </c>
      <c r="AD34" s="91" t="s">
        <v>87</v>
      </c>
      <c r="AE34" s="92" t="s">
        <v>169</v>
      </c>
      <c r="AF34" s="91" t="s">
        <v>169</v>
      </c>
      <c r="AG34" s="92" t="s">
        <v>169</v>
      </c>
      <c r="AH34" s="91" t="s">
        <v>169</v>
      </c>
    </row>
    <row r="35" spans="12:34" ht="14.25" customHeight="1" x14ac:dyDescent="0.45">
      <c r="L35" t="str">
        <f>R35&amp;S30&amp;","&amp;T30&amp;","&amp;ROUND(S31*100,1)&amp;","&amp;X30&amp;","&amp;Y30&amp;","&amp;ROUND(X31*100,1)&amp;"],"</f>
        <v>"PartD":[41,42,49.4,43,43,50],</v>
      </c>
      <c r="R35" t="s">
        <v>196</v>
      </c>
      <c r="T35" s="42">
        <f>MAX('Stats Global'!U14:U15,'Stats Global'!U19:U20,'Stats Global'!U22:U23)</f>
        <v>17</v>
      </c>
      <c r="U35" t="str">
        <f>IF('Statistics LG'!T35='Stats Global'!U14,"Clarrie Jones", IF('Statistics LG'!T35='Stats Global'!U15, "William Kim", IF('Statistics LG'!T35='Stats Global'!U19, "Christopher Tomkinson", IF('Statistics LG'!T35='Stats Global'!U20, "Angus Walker", IF('Statistics LG'!T35='Stats Global'!U22, "Mitch Yue", "Sam James")))))</f>
        <v>William Kim</v>
      </c>
      <c r="V35" s="64">
        <f>ROUND(SUM('Stats Global'!W14:W15,'Stats Global'!W19:W20,'Stats Global'!W22:W23)/COUNT(B4:B40),1)</f>
        <v>0.8</v>
      </c>
      <c r="AC35" s="92" t="s">
        <v>81</v>
      </c>
      <c r="AD35" s="91" t="s">
        <v>75</v>
      </c>
      <c r="AE35" s="92" t="s">
        <v>87</v>
      </c>
      <c r="AF35" s="91" t="s">
        <v>87</v>
      </c>
      <c r="AG35" s="92" t="s">
        <v>87</v>
      </c>
      <c r="AH35" s="91" t="s">
        <v>75</v>
      </c>
    </row>
    <row r="36" spans="12:34" ht="14.25" customHeight="1" x14ac:dyDescent="0.45">
      <c r="T36" s="42">
        <f>MAX('Stats Global'!W14:W15,'Stats Global'!W19:W20,'Stats Global'!W22:W23)</f>
        <v>9</v>
      </c>
      <c r="U36" t="str">
        <f>IF('Statistics LG'!T36='Stats Global'!W14,"Clarrie Jones", IF('Statistics LG'!T36='Stats Global'!W15, "William Kim", IF('Statistics LG'!T36='Stats Global'!W19, "Christopher Tomkinson", IF('Statistics LG'!T36='Stats Global'!W20, "Angus Walker", IF('Statistics LG'!T36='Stats Global'!W22, "Mitch Yue", "Sam James")))))</f>
        <v>Clarrie Jones</v>
      </c>
      <c r="V36">
        <f>ROUND(H4/COUNT(B4:B40),1)</f>
        <v>5.6</v>
      </c>
    </row>
    <row r="37" spans="12:34" ht="14.25" customHeight="1" x14ac:dyDescent="0.45">
      <c r="V37">
        <f>ROUND(I4/COUNT(B4:B40),1)</f>
        <v>5.7</v>
      </c>
    </row>
    <row r="38" spans="12:34" ht="14.25" customHeight="1" x14ac:dyDescent="0.45"/>
    <row r="39" spans="12:34" ht="14.25" customHeight="1" x14ac:dyDescent="0.45"/>
    <row r="40" spans="12:34" ht="14.25" customHeight="1" x14ac:dyDescent="0.45"/>
    <row r="41" spans="12:34" ht="14.25" customHeight="1" x14ac:dyDescent="0.45"/>
    <row r="42" spans="12:34" ht="14.25" customHeight="1" x14ac:dyDescent="0.45"/>
    <row r="43" spans="12:34" ht="14.25" customHeight="1" x14ac:dyDescent="0.45"/>
    <row r="44" spans="12:34" ht="14.25" customHeight="1" x14ac:dyDescent="0.45"/>
    <row r="45" spans="12:34" ht="14.25" customHeight="1" x14ac:dyDescent="0.45"/>
    <row r="46" spans="12:34" ht="14.25" customHeight="1" x14ac:dyDescent="0.45"/>
    <row r="47" spans="12:34" ht="14.25" customHeight="1" x14ac:dyDescent="0.45"/>
    <row r="48" spans="12:34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conditionalFormatting sqref="AO4:AO19">
    <cfRule type="cellIs" dxfId="15" priority="1" operator="lessThan">
      <formula>0.3333</formula>
    </cfRule>
    <cfRule type="cellIs" dxfId="14" priority="2" operator="greaterThan">
      <formula>0.5</formula>
    </cfRule>
  </conditionalFormatting>
  <pageMargins left="0.7" right="0.7" top="0.75" bottom="0.75" header="0" footer="0"/>
  <pageSetup paperSize="9" orientation="portrait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" operator="greaterThan" id="{0249BF20-5802-410E-821B-7033A85FA680}">
            <xm:f>'Stats Global'!$R8/2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AE4:AE9 AE12:AE14 AE17</xm:sqref>
        </x14:conditionalFormatting>
        <x14:conditionalFormatting xmlns:xm="http://schemas.microsoft.com/office/excel/2006/main">
          <x14:cfRule type="cellIs" priority="3" operator="lessThan" id="{FF15E84E-9103-4CE5-9A7D-00F1234A2234}">
            <xm:f>('Stats Global'!$R8*0.33)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AE4:AE9 AE12:AE14 AE17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X1000"/>
  <sheetViews>
    <sheetView zoomScale="85" zoomScaleNormal="85" workbookViewId="0">
      <selection activeCell="A3" sqref="A3:F18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119</v>
      </c>
      <c r="L2" s="126"/>
      <c r="M2" s="126"/>
      <c r="N2" s="127" t="s">
        <v>99</v>
      </c>
      <c r="O2" s="126"/>
      <c r="P2" s="126"/>
      <c r="R2" s="24" t="s">
        <v>101</v>
      </c>
      <c r="T2" s="126"/>
      <c r="U2" s="126"/>
      <c r="V2" s="63"/>
      <c r="W2" s="63"/>
      <c r="X2" s="63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E3" s="40" t="s">
        <v>201</v>
      </c>
      <c r="F3" s="40" t="s">
        <v>202</v>
      </c>
      <c r="H3" s="24" t="s">
        <v>104</v>
      </c>
      <c r="I3" s="24" t="s">
        <v>105</v>
      </c>
      <c r="J3" s="24" t="s">
        <v>106</v>
      </c>
      <c r="L3" s="127" t="s">
        <v>68</v>
      </c>
      <c r="M3" s="127" t="s">
        <v>65</v>
      </c>
      <c r="N3" s="127" t="s">
        <v>71</v>
      </c>
      <c r="O3" s="127" t="s">
        <v>59</v>
      </c>
      <c r="P3" s="127" t="s">
        <v>86</v>
      </c>
      <c r="R3" s="24" t="s">
        <v>102</v>
      </c>
      <c r="S3" s="24" t="s">
        <v>103</v>
      </c>
      <c r="T3" s="127" t="s">
        <v>108</v>
      </c>
      <c r="U3" s="127" t="s">
        <v>109</v>
      </c>
      <c r="V3" s="63"/>
      <c r="W3" s="62"/>
      <c r="X3" s="62"/>
    </row>
    <row r="4" spans="1:24" ht="14.25" customHeight="1" x14ac:dyDescent="0.45">
      <c r="A4" s="4">
        <f>'2404'!C$2</f>
        <v>45040</v>
      </c>
      <c r="B4" s="16">
        <f>'2404'!L$5</f>
        <v>3</v>
      </c>
      <c r="C4" s="16">
        <f>'2404'!M$5</f>
        <v>5</v>
      </c>
      <c r="D4" s="16">
        <f>'2404'!O$5</f>
        <v>1</v>
      </c>
      <c r="E4" s="40" t="s">
        <v>44</v>
      </c>
      <c r="F4" s="40" t="s">
        <v>51</v>
      </c>
      <c r="H4" s="24">
        <f>SUM(B4:B30)</f>
        <v>81</v>
      </c>
      <c r="I4" s="24">
        <f>SUM(C4:C30)</f>
        <v>87</v>
      </c>
      <c r="J4" s="24">
        <f>SUM(D4:D30)</f>
        <v>22</v>
      </c>
      <c r="L4" s="128"/>
      <c r="M4" s="129">
        <v>1</v>
      </c>
      <c r="N4" s="129">
        <v>2</v>
      </c>
      <c r="O4" s="128"/>
      <c r="P4" s="128"/>
      <c r="R4" s="17">
        <f>COUNTIF('2404'!$Y$4:$Y$26,"WW/5M")</f>
        <v>2</v>
      </c>
      <c r="S4" s="17">
        <f>COUNTIF('2404'!$Z$4:$Z$26,"5M/WW")</f>
        <v>3</v>
      </c>
      <c r="T4" s="141">
        <f>R4/SUM(S4,R4)</f>
        <v>0.4</v>
      </c>
      <c r="U4" s="128"/>
      <c r="V4" s="63"/>
      <c r="W4" s="87"/>
      <c r="X4" s="87"/>
    </row>
    <row r="5" spans="1:24" ht="14.25" customHeight="1" x14ac:dyDescent="0.45">
      <c r="A5" s="4">
        <f>'2604'!C$2</f>
        <v>45042</v>
      </c>
      <c r="B5" s="16">
        <f>'2604'!L$5</f>
        <v>3</v>
      </c>
      <c r="C5" s="16">
        <f>'2604'!M$5</f>
        <v>4</v>
      </c>
      <c r="D5" s="16">
        <f>'2604'!O$5</f>
        <v>1</v>
      </c>
      <c r="E5" s="40" t="s">
        <v>204</v>
      </c>
      <c r="F5" s="40" t="s">
        <v>44</v>
      </c>
      <c r="L5" s="128">
        <v>1</v>
      </c>
      <c r="M5" s="129">
        <v>1</v>
      </c>
      <c r="N5" s="129"/>
      <c r="O5" s="128"/>
      <c r="P5" s="128"/>
      <c r="R5" s="17">
        <f>COUNTIF('2604'!$Y$4:$Y$26,"WW/5M")</f>
        <v>1</v>
      </c>
      <c r="S5" s="17">
        <f>COUNTIF('2604'!$Z$4:$Z$26,"5M/WW")</f>
        <v>3</v>
      </c>
      <c r="T5" s="141">
        <f t="shared" ref="T5:T16" si="0">R5/SUM(S5,R5)</f>
        <v>0.25</v>
      </c>
      <c r="U5" s="128"/>
      <c r="V5" s="63"/>
      <c r="W5" s="87"/>
      <c r="X5" s="87"/>
    </row>
    <row r="6" spans="1:24" ht="14.25" customHeight="1" x14ac:dyDescent="0.45">
      <c r="A6" s="4">
        <f>'0205'!C$2</f>
        <v>45048</v>
      </c>
      <c r="B6" s="16">
        <f>'0205'!L$5</f>
        <v>5</v>
      </c>
      <c r="C6" s="16">
        <f>'0205'!M$5</f>
        <v>8</v>
      </c>
      <c r="D6" s="16">
        <f>'0205'!O$5</f>
        <v>1</v>
      </c>
      <c r="E6" s="40" t="s">
        <v>44</v>
      </c>
      <c r="F6" s="40" t="s">
        <v>46</v>
      </c>
      <c r="I6" s="24" t="s">
        <v>110</v>
      </c>
      <c r="J6" s="18">
        <f>SUM(B4:B6)/SUM(B4:C6)</f>
        <v>0.39285714285714285</v>
      </c>
      <c r="L6" s="128">
        <v>1</v>
      </c>
      <c r="M6" s="129">
        <v>1</v>
      </c>
      <c r="N6" s="129">
        <v>1</v>
      </c>
      <c r="O6" s="128"/>
      <c r="P6" s="128"/>
      <c r="R6" s="17">
        <f>COUNTIF('0205'!$Y$4:$Y$26,"WW/5M")</f>
        <v>3</v>
      </c>
      <c r="S6" s="17">
        <f>COUNTIF('0205'!$Z$4:$Z$26,"5M/WW")</f>
        <v>4</v>
      </c>
      <c r="T6" s="141">
        <f t="shared" si="0"/>
        <v>0.42857142857142855</v>
      </c>
      <c r="U6" s="128"/>
      <c r="V6" s="63"/>
      <c r="W6" s="87"/>
      <c r="X6" s="87"/>
    </row>
    <row r="7" spans="1:24" ht="14.25" customHeight="1" x14ac:dyDescent="0.45">
      <c r="A7" s="4">
        <f>'0305'!C$2</f>
        <v>45049</v>
      </c>
      <c r="B7" s="16">
        <f>'0305'!L$5</f>
        <v>4</v>
      </c>
      <c r="C7" s="16">
        <f>'0305'!M$5</f>
        <v>10</v>
      </c>
      <c r="D7" s="16">
        <f>'0305'!O$5</f>
        <v>1</v>
      </c>
      <c r="E7" s="40" t="s">
        <v>205</v>
      </c>
      <c r="F7" s="40" t="s">
        <v>207</v>
      </c>
      <c r="I7" s="24" t="s">
        <v>111</v>
      </c>
      <c r="J7" s="18"/>
      <c r="L7" s="128">
        <v>1</v>
      </c>
      <c r="M7" s="128">
        <v>2</v>
      </c>
      <c r="N7" s="128"/>
      <c r="O7" s="128">
        <v>1</v>
      </c>
      <c r="P7" s="128"/>
      <c r="R7" s="17">
        <f>COUNTIF('0305'!$Y$4:$Y$26,"WW/5M")</f>
        <v>2</v>
      </c>
      <c r="S7" s="17">
        <f>COUNTIF('0305'!$Z$4:$Z$26,"5M/WW")</f>
        <v>6</v>
      </c>
      <c r="T7" s="141">
        <f t="shared" si="0"/>
        <v>0.25</v>
      </c>
      <c r="U7" s="128"/>
      <c r="V7" s="63"/>
      <c r="W7" s="87"/>
      <c r="X7" s="87"/>
    </row>
    <row r="8" spans="1:24" ht="14.25" customHeight="1" x14ac:dyDescent="0.45">
      <c r="A8" s="4">
        <f>'0805'!C$2</f>
        <v>45054</v>
      </c>
      <c r="B8" s="16">
        <f>'0805'!L$5</f>
        <v>6</v>
      </c>
      <c r="C8" s="16">
        <f>'0805'!M$5</f>
        <v>6</v>
      </c>
      <c r="D8" s="16">
        <f>'0805'!O$5</f>
        <v>2</v>
      </c>
      <c r="E8" s="40" t="s">
        <v>206</v>
      </c>
      <c r="F8" s="40" t="s">
        <v>46</v>
      </c>
      <c r="I8" s="24" t="s">
        <v>112</v>
      </c>
      <c r="J8" s="18"/>
      <c r="L8" s="128">
        <v>2</v>
      </c>
      <c r="M8" s="128">
        <v>1</v>
      </c>
      <c r="N8" s="128"/>
      <c r="O8" s="128">
        <v>1</v>
      </c>
      <c r="P8" s="128"/>
      <c r="R8" s="17">
        <f>COUNTIF('0805'!$Y$4:$Y$26,"WW/5M")</f>
        <v>4</v>
      </c>
      <c r="S8" s="17">
        <f>COUNTIF('0805'!$Z$4:$Z$26,"5M/WW")</f>
        <v>3</v>
      </c>
      <c r="T8" s="141">
        <f t="shared" si="0"/>
        <v>0.5714285714285714</v>
      </c>
      <c r="U8" s="128"/>
      <c r="V8" s="63"/>
      <c r="W8" s="87"/>
      <c r="X8" s="87"/>
    </row>
    <row r="9" spans="1:24" ht="14.25" customHeight="1" x14ac:dyDescent="0.45">
      <c r="A9" s="4">
        <f>'0905'!C$2</f>
        <v>45055</v>
      </c>
      <c r="B9" s="16">
        <f>'0905'!L$5</f>
        <v>19</v>
      </c>
      <c r="C9" s="16">
        <f>'0905'!M$5</f>
        <v>6</v>
      </c>
      <c r="D9" s="16">
        <f>'0905'!O$5</f>
        <v>3</v>
      </c>
      <c r="E9" s="40" t="s">
        <v>44</v>
      </c>
      <c r="F9" s="40" t="s">
        <v>44</v>
      </c>
      <c r="I9" s="24" t="s">
        <v>113</v>
      </c>
      <c r="J9" s="18"/>
      <c r="L9" s="128">
        <v>1</v>
      </c>
      <c r="M9" s="128">
        <v>3</v>
      </c>
      <c r="N9" s="128"/>
      <c r="O9" s="128">
        <v>1</v>
      </c>
      <c r="P9" s="128">
        <v>1</v>
      </c>
      <c r="R9" s="17">
        <f>COUNTIF('0905'!$Y$4:$Y$40,"WW/5M")</f>
        <v>8</v>
      </c>
      <c r="S9" s="17">
        <f>COUNTIF('0905'!$Z$4:$Z$40,"5M/WW")</f>
        <v>5</v>
      </c>
      <c r="T9" s="141">
        <f t="shared" si="0"/>
        <v>0.61538461538461542</v>
      </c>
      <c r="U9" s="128"/>
      <c r="V9" s="63"/>
      <c r="W9" s="87"/>
      <c r="X9" s="87"/>
    </row>
    <row r="10" spans="1:24" ht="14.25" customHeight="1" x14ac:dyDescent="0.45">
      <c r="A10" s="4">
        <f>'1005'!C$2</f>
        <v>45056</v>
      </c>
      <c r="B10" s="16">
        <f>'1005'!L$5</f>
        <v>10</v>
      </c>
      <c r="C10" s="16">
        <f>'1005'!M$5</f>
        <v>8</v>
      </c>
      <c r="D10" s="16">
        <f>'1005'!O$5</f>
        <v>2</v>
      </c>
      <c r="E10" s="40" t="s">
        <v>44</v>
      </c>
      <c r="F10" s="40" t="s">
        <v>44</v>
      </c>
      <c r="I10" s="24" t="s">
        <v>114</v>
      </c>
      <c r="J10" s="18"/>
      <c r="L10" s="128">
        <v>2</v>
      </c>
      <c r="M10" s="128">
        <v>1</v>
      </c>
      <c r="N10" s="128"/>
      <c r="O10" s="128">
        <v>1</v>
      </c>
      <c r="P10" s="128"/>
      <c r="R10" s="17">
        <f>COUNTIF('1005'!$Y$4:$Y$40,"WW/5M")</f>
        <v>4</v>
      </c>
      <c r="S10" s="17">
        <f>COUNTIF('1005'!$Z$4:$Z$40,"5M/WW")</f>
        <v>2</v>
      </c>
      <c r="T10" s="141">
        <f t="shared" si="0"/>
        <v>0.66666666666666663</v>
      </c>
      <c r="U10" s="128"/>
      <c r="V10" s="63"/>
      <c r="W10" s="87"/>
      <c r="X10" s="87"/>
    </row>
    <row r="11" spans="1:24" ht="14.25" customHeight="1" x14ac:dyDescent="0.45">
      <c r="A11" s="4">
        <f>'1505'!C$2</f>
        <v>45061</v>
      </c>
      <c r="B11" s="16">
        <f>'1505'!L$5</f>
        <v>13</v>
      </c>
      <c r="C11" s="16">
        <f>'1505'!M$5</f>
        <v>3</v>
      </c>
      <c r="D11" s="16">
        <f>'1505'!O$5</f>
        <v>3</v>
      </c>
      <c r="E11" s="40" t="s">
        <v>46</v>
      </c>
      <c r="F11" s="40" t="s">
        <v>44</v>
      </c>
      <c r="I11" s="24" t="s">
        <v>115</v>
      </c>
      <c r="J11" s="18"/>
      <c r="L11" s="128"/>
      <c r="M11" s="128"/>
      <c r="N11" s="128"/>
      <c r="O11" s="128"/>
      <c r="P11" s="128"/>
      <c r="R11" s="17">
        <f>COUNTIF('1505'!$Y$4:$Y$40,"WW/5M")</f>
        <v>6</v>
      </c>
      <c r="S11" s="17">
        <f>COUNTIF('1505'!$Z$4:$Z$40,"5M/WW")</f>
        <v>1</v>
      </c>
      <c r="T11" s="141">
        <f t="shared" si="0"/>
        <v>0.8571428571428571</v>
      </c>
      <c r="U11" s="128"/>
      <c r="V11" s="63"/>
      <c r="W11" s="87"/>
      <c r="X11" s="87"/>
    </row>
    <row r="12" spans="1:24" ht="14.25" customHeight="1" x14ac:dyDescent="0.45">
      <c r="A12" s="4">
        <f>'1605'!C$2</f>
        <v>45062</v>
      </c>
      <c r="B12" s="16">
        <f>'1605'!L$5</f>
        <v>7</v>
      </c>
      <c r="C12" s="16">
        <f>'1605'!M$5</f>
        <v>9</v>
      </c>
      <c r="D12" s="16">
        <f>'1605'!O$5</f>
        <v>2</v>
      </c>
      <c r="E12" s="40" t="s">
        <v>44</v>
      </c>
      <c r="F12" s="40" t="s">
        <v>44</v>
      </c>
      <c r="I12" s="24" t="s">
        <v>116</v>
      </c>
      <c r="J12" s="18"/>
      <c r="L12" s="128"/>
      <c r="M12" s="128"/>
      <c r="N12" s="128"/>
      <c r="O12" s="128"/>
      <c r="P12" s="128"/>
      <c r="R12" s="17">
        <f>COUNTIF('1605'!$Y$4:$Y$40,"WW/5M")</f>
        <v>3</v>
      </c>
      <c r="S12" s="17">
        <f>COUNTIF('1605'!$Z$4:$Z$40,"5M/WW")</f>
        <v>7</v>
      </c>
      <c r="T12" s="141">
        <f t="shared" si="0"/>
        <v>0.3</v>
      </c>
      <c r="U12" s="128"/>
      <c r="V12" s="63"/>
      <c r="W12" s="87"/>
      <c r="X12" s="87"/>
    </row>
    <row r="13" spans="1:24" ht="14.25" customHeight="1" x14ac:dyDescent="0.45">
      <c r="A13" s="4">
        <f>'1705'!C$2</f>
        <v>45063</v>
      </c>
      <c r="B13" s="16">
        <f>'1705'!L$5</f>
        <v>2</v>
      </c>
      <c r="C13" s="16">
        <f>'1705'!M$5</f>
        <v>5</v>
      </c>
      <c r="D13" s="16">
        <f>'1705'!O$5</f>
        <v>1</v>
      </c>
      <c r="E13" s="40" t="s">
        <v>44</v>
      </c>
      <c r="F13" s="40" t="s">
        <v>36</v>
      </c>
      <c r="I13" s="24" t="s">
        <v>117</v>
      </c>
      <c r="J13" s="18" cm="1">
        <f t="array" ref="J13">SUM(B4:B7/SUM(B4:C7))</f>
        <v>0.3571428571428571</v>
      </c>
      <c r="L13" s="128"/>
      <c r="M13" s="128"/>
      <c r="N13" s="128"/>
      <c r="O13" s="128"/>
      <c r="P13" s="128"/>
      <c r="R13" s="17">
        <f>COUNTIF('1705'!$Y$4:$Y$40,"WW/5M")</f>
        <v>1</v>
      </c>
      <c r="S13" s="17">
        <f>COUNTIF('1705'!$Z$4:$Z$40,"5M/WW")</f>
        <v>2</v>
      </c>
      <c r="T13" s="141">
        <f t="shared" si="0"/>
        <v>0.33333333333333331</v>
      </c>
      <c r="U13" s="128"/>
      <c r="V13" s="63"/>
      <c r="W13" s="87"/>
      <c r="X13" s="87"/>
    </row>
    <row r="14" spans="1:24" ht="14.25" customHeight="1" x14ac:dyDescent="0.45">
      <c r="A14" s="4">
        <f>'2205'!C$2</f>
        <v>45068</v>
      </c>
      <c r="B14" s="16">
        <f>'2205'!L$5</f>
        <v>1</v>
      </c>
      <c r="C14" s="16">
        <f>'2205'!M$5</f>
        <v>7</v>
      </c>
      <c r="D14" s="16">
        <f>'2205'!O$5</f>
        <v>1</v>
      </c>
      <c r="E14" s="40" t="s">
        <v>46</v>
      </c>
      <c r="F14" s="40" t="s">
        <v>203</v>
      </c>
      <c r="L14" s="128"/>
      <c r="M14" s="128"/>
      <c r="N14" s="128"/>
      <c r="O14" s="128"/>
      <c r="P14" s="128"/>
      <c r="R14" s="17">
        <f>COUNTIF('2205'!$Y$4:$Y$40,"WW/5M")</f>
        <v>0</v>
      </c>
      <c r="S14" s="17">
        <f>COUNTIF('2205'!$Z$4:$Z$40,"5M/WW")</f>
        <v>6</v>
      </c>
      <c r="T14" s="141">
        <f t="shared" si="0"/>
        <v>0</v>
      </c>
      <c r="U14" s="128"/>
      <c r="V14" s="63"/>
      <c r="W14" s="87"/>
      <c r="X14" s="87"/>
    </row>
    <row r="15" spans="1:24" ht="14.25" customHeight="1" x14ac:dyDescent="0.45">
      <c r="A15" s="4">
        <f>'2305'!C$2</f>
        <v>45069</v>
      </c>
      <c r="B15" s="16">
        <f>'2305'!L$5</f>
        <v>4</v>
      </c>
      <c r="C15" s="16">
        <f>'2305'!M$5</f>
        <v>6</v>
      </c>
      <c r="D15" s="16">
        <f>'2305'!O$5</f>
        <v>2</v>
      </c>
      <c r="E15" s="40" t="s">
        <v>225</v>
      </c>
      <c r="F15" s="40" t="s">
        <v>225</v>
      </c>
      <c r="L15" s="128"/>
      <c r="M15" s="128"/>
      <c r="N15" s="128"/>
      <c r="O15" s="128"/>
      <c r="P15" s="128"/>
      <c r="R15" s="17">
        <f>COUNTIF('2305'!$Y$4:$Y$40,"WW/5M")</f>
        <v>2</v>
      </c>
      <c r="S15" s="17">
        <f>COUNTIF('2305'!$Z$4:$Z$40,"5M/WW")</f>
        <v>1</v>
      </c>
      <c r="T15" s="141">
        <f t="shared" si="0"/>
        <v>0.66666666666666663</v>
      </c>
      <c r="U15" s="128"/>
      <c r="V15" s="63"/>
      <c r="W15" s="87"/>
      <c r="X15" s="87"/>
    </row>
    <row r="16" spans="1:24" ht="14.25" customHeight="1" x14ac:dyDescent="0.45">
      <c r="A16" s="4">
        <f>'2405'!C$2</f>
        <v>45070</v>
      </c>
      <c r="B16" s="16">
        <f>'2405'!L$5</f>
        <v>0</v>
      </c>
      <c r="C16" s="16">
        <f>'2405'!M$5</f>
        <v>4</v>
      </c>
      <c r="D16" s="16">
        <f>'2405'!O$5</f>
        <v>1</v>
      </c>
      <c r="E16" s="40" t="s">
        <v>203</v>
      </c>
      <c r="F16" s="40" t="s">
        <v>203</v>
      </c>
      <c r="L16" s="128"/>
      <c r="M16" s="128"/>
      <c r="N16" s="128"/>
      <c r="O16" s="128"/>
      <c r="P16" s="128"/>
      <c r="R16" s="17">
        <f>COUNTIF('2405'!$Y$4:$Y$40,"WW/5M")</f>
        <v>0</v>
      </c>
      <c r="S16" s="17">
        <f>COUNTIF('2405'!$Z$4:$Z$40,"5M/WW")</f>
        <v>2</v>
      </c>
      <c r="T16" s="141">
        <f t="shared" si="0"/>
        <v>0</v>
      </c>
      <c r="U16" s="128"/>
      <c r="V16" s="63"/>
      <c r="W16" s="87"/>
      <c r="X16" s="87"/>
    </row>
    <row r="17" spans="1:24" ht="14.25" customHeight="1" x14ac:dyDescent="0.45">
      <c r="A17" s="4">
        <f>'Finals 1'!C$2</f>
        <v>45075</v>
      </c>
      <c r="B17" s="16">
        <f>'Finals 1'!M$5</f>
        <v>1</v>
      </c>
      <c r="C17" s="16">
        <f>'Finals 1'!N$5</f>
        <v>3</v>
      </c>
      <c r="D17" s="20">
        <f>'Finals 1'!Q$5</f>
        <v>0</v>
      </c>
      <c r="E17" s="40" t="s">
        <v>36</v>
      </c>
      <c r="F17" s="40" t="s">
        <v>240</v>
      </c>
      <c r="L17" s="128"/>
      <c r="M17" s="128"/>
      <c r="N17" s="128"/>
      <c r="O17" s="128"/>
      <c r="P17" s="128"/>
      <c r="R17" s="17">
        <f>1</f>
        <v>1</v>
      </c>
      <c r="S17" s="17">
        <v>0</v>
      </c>
      <c r="T17" s="128"/>
      <c r="U17" s="128"/>
      <c r="V17" s="63"/>
      <c r="W17" s="87"/>
      <c r="X17" s="87"/>
    </row>
    <row r="18" spans="1:24" ht="14.25" customHeight="1" x14ac:dyDescent="0.45">
      <c r="A18" s="4">
        <f>'Finals 2'!C$2</f>
        <v>45076</v>
      </c>
      <c r="B18" s="16">
        <f>'Finals 2'!M$5</f>
        <v>3</v>
      </c>
      <c r="C18" s="16">
        <f>'Finals 2'!N$5</f>
        <v>3</v>
      </c>
      <c r="D18" s="20">
        <f>'Finals 2'!P$5</f>
        <v>1</v>
      </c>
      <c r="E18" s="40" t="s">
        <v>51</v>
      </c>
      <c r="F18" s="40" t="s">
        <v>46</v>
      </c>
      <c r="L18" s="128"/>
      <c r="M18" s="128"/>
      <c r="N18" s="128"/>
      <c r="O18" s="128"/>
      <c r="P18" s="128"/>
      <c r="R18" s="17">
        <v>2</v>
      </c>
      <c r="S18" s="17">
        <v>1</v>
      </c>
      <c r="T18" s="128"/>
      <c r="U18" s="128"/>
      <c r="V18" s="63"/>
      <c r="W18" s="87"/>
      <c r="X18" s="87"/>
    </row>
    <row r="19" spans="1:24" ht="14.25" customHeight="1" x14ac:dyDescent="0.45">
      <c r="A19" s="4"/>
      <c r="B19" s="16"/>
      <c r="C19" s="16"/>
      <c r="D19" s="16"/>
      <c r="L19" s="128"/>
      <c r="M19" s="128"/>
      <c r="N19" s="128"/>
      <c r="O19" s="128"/>
      <c r="P19" s="128"/>
      <c r="R19" s="17"/>
      <c r="S19" s="17"/>
      <c r="T19" s="128"/>
      <c r="U19" s="128"/>
      <c r="V19" s="63"/>
      <c r="W19" s="87"/>
      <c r="X19" s="87"/>
    </row>
    <row r="20" spans="1:24" ht="14.25" customHeight="1" x14ac:dyDescent="0.45">
      <c r="A20" s="4"/>
      <c r="B20" s="16"/>
      <c r="C20" s="16"/>
      <c r="D20" s="16"/>
      <c r="L20" s="128"/>
      <c r="M20" s="128"/>
      <c r="N20" s="128"/>
      <c r="O20" s="128"/>
      <c r="P20" s="128"/>
      <c r="R20" s="17"/>
      <c r="S20" s="17"/>
      <c r="T20" s="128"/>
      <c r="U20" s="128"/>
      <c r="V20" s="63"/>
      <c r="W20" s="87"/>
      <c r="X20" s="87"/>
    </row>
    <row r="21" spans="1:24" ht="14.25" customHeight="1" x14ac:dyDescent="0.45">
      <c r="A21" s="4"/>
      <c r="B21" s="16"/>
      <c r="C21" s="16"/>
      <c r="D21" s="16"/>
      <c r="L21" s="128"/>
      <c r="M21" s="128"/>
      <c r="N21" s="128"/>
      <c r="O21" s="128"/>
      <c r="P21" s="128"/>
      <c r="R21" s="17"/>
      <c r="S21" s="17"/>
      <c r="T21" s="128"/>
      <c r="U21" s="128"/>
      <c r="V21" s="63"/>
      <c r="W21" s="87"/>
      <c r="X21" s="87"/>
    </row>
    <row r="22" spans="1:24" ht="14.25" customHeight="1" x14ac:dyDescent="0.45">
      <c r="L22" s="128"/>
      <c r="M22" s="128"/>
      <c r="N22" s="128"/>
      <c r="O22" s="128"/>
      <c r="P22" s="128"/>
      <c r="R22" s="17"/>
      <c r="S22" s="17"/>
      <c r="T22" s="128"/>
      <c r="U22" s="128"/>
      <c r="V22" s="63"/>
      <c r="W22" s="87"/>
      <c r="X22" s="87"/>
    </row>
    <row r="23" spans="1:24" ht="14.25" customHeight="1" x14ac:dyDescent="1.1000000000000001">
      <c r="A23" s="39"/>
      <c r="B23" s="39"/>
      <c r="C23" s="39"/>
      <c r="D23" s="39"/>
      <c r="E23" s="39"/>
      <c r="H23" s="39"/>
      <c r="L23" s="128"/>
      <c r="M23" s="128"/>
      <c r="N23" s="128"/>
      <c r="O23" s="128"/>
      <c r="P23" s="128"/>
      <c r="R23" s="17"/>
      <c r="S23" s="17"/>
      <c r="T23" s="128"/>
      <c r="U23" s="128"/>
      <c r="V23" s="63"/>
      <c r="W23" s="87"/>
      <c r="X23" s="87"/>
    </row>
    <row r="24" spans="1:24" ht="14.25" customHeight="1" x14ac:dyDescent="1.1000000000000001">
      <c r="A24" s="39"/>
      <c r="B24" s="39"/>
      <c r="C24" s="39"/>
      <c r="D24" s="39"/>
      <c r="E24" s="39"/>
      <c r="H24" s="39"/>
      <c r="L24" s="128"/>
      <c r="M24" s="128"/>
      <c r="N24" s="128"/>
      <c r="O24" s="128"/>
      <c r="P24" s="128"/>
      <c r="R24" s="17"/>
      <c r="S24" s="17"/>
      <c r="T24" s="128"/>
      <c r="U24" s="128"/>
      <c r="V24" s="63"/>
      <c r="W24" s="87"/>
      <c r="X24" s="87"/>
    </row>
    <row r="25" spans="1:24" ht="14.25" customHeight="1" x14ac:dyDescent="1.1000000000000001">
      <c r="A25" s="39"/>
      <c r="B25" s="39"/>
      <c r="C25" s="39"/>
      <c r="D25" s="39"/>
      <c r="E25" s="39"/>
      <c r="H25" s="39"/>
      <c r="L25" s="128"/>
      <c r="M25" s="128"/>
      <c r="N25" s="128"/>
      <c r="O25" s="128"/>
      <c r="P25" s="128"/>
      <c r="R25" s="17"/>
      <c r="S25" s="17"/>
      <c r="T25" s="128"/>
      <c r="U25" s="128"/>
      <c r="V25" s="63"/>
      <c r="W25" s="87"/>
      <c r="X25" s="87"/>
    </row>
    <row r="26" spans="1:24" ht="14.25" customHeight="1" x14ac:dyDescent="0.45">
      <c r="L26" s="128"/>
      <c r="M26" s="128"/>
      <c r="N26" s="128"/>
      <c r="O26" s="128"/>
      <c r="P26" s="128"/>
      <c r="R26" s="17"/>
      <c r="S26" s="17"/>
      <c r="T26" s="128"/>
      <c r="U26" s="128"/>
      <c r="V26" s="63"/>
      <c r="W26" s="87"/>
      <c r="X26" s="87"/>
    </row>
    <row r="27" spans="1:24" ht="14.25" customHeight="1" x14ac:dyDescent="0.45">
      <c r="L27" s="128"/>
      <c r="M27" s="128"/>
      <c r="N27" s="128"/>
      <c r="O27" s="128"/>
      <c r="P27" s="128"/>
      <c r="R27" s="17"/>
      <c r="S27" s="17"/>
      <c r="T27" s="128"/>
      <c r="U27" s="128"/>
      <c r="V27" s="63"/>
      <c r="W27" s="87"/>
      <c r="X27" s="87"/>
    </row>
    <row r="28" spans="1:24" ht="14.25" customHeight="1" x14ac:dyDescent="0.45">
      <c r="L28" s="128"/>
      <c r="M28" s="128"/>
      <c r="N28" s="128"/>
      <c r="O28" s="128"/>
      <c r="P28" s="128"/>
      <c r="R28" s="17"/>
      <c r="S28" s="17"/>
      <c r="T28" s="128"/>
      <c r="U28" s="128"/>
      <c r="V28" s="63"/>
      <c r="W28" s="87"/>
      <c r="X28" s="87"/>
    </row>
    <row r="29" spans="1:24" ht="14.25" customHeight="1" x14ac:dyDescent="0.45">
      <c r="L29" s="128"/>
      <c r="M29" s="128"/>
      <c r="N29" s="128"/>
      <c r="O29" s="128"/>
      <c r="P29" s="128"/>
      <c r="R29" s="17"/>
      <c r="S29" s="17"/>
      <c r="T29" s="128"/>
      <c r="U29" s="128"/>
      <c r="V29" s="63"/>
      <c r="W29" s="87"/>
      <c r="X29" s="87"/>
    </row>
    <row r="30" spans="1:24" ht="14.25" customHeight="1" x14ac:dyDescent="0.45">
      <c r="L30" s="128"/>
      <c r="M30" s="128"/>
      <c r="N30" s="128"/>
      <c r="O30" s="128"/>
      <c r="P30" s="128"/>
      <c r="Q30" s="40" t="s">
        <v>118</v>
      </c>
      <c r="R30" s="17">
        <f t="shared" ref="R30:S30" si="1">SUM(R4:R29)</f>
        <v>39</v>
      </c>
      <c r="S30" s="17">
        <f t="shared" si="1"/>
        <v>46</v>
      </c>
      <c r="T30" s="128"/>
      <c r="U30" s="128"/>
      <c r="V30" s="63"/>
      <c r="W30" s="87"/>
      <c r="X30" s="87"/>
    </row>
    <row r="31" spans="1:24" ht="14.25" customHeight="1" x14ac:dyDescent="0.45">
      <c r="K31" s="24"/>
      <c r="R31" s="22">
        <f>R30/(S30+R30)</f>
        <v>0.45882352941176469</v>
      </c>
      <c r="V31" s="63"/>
      <c r="W31" s="63"/>
      <c r="X31" s="63"/>
    </row>
    <row r="32" spans="1:24" ht="14.25" customHeight="1" x14ac:dyDescent="0.45">
      <c r="K32" s="24"/>
      <c r="L32" s="103" t="str">
        <f>R32&amp;H4&amp;","&amp;I4&amp;"],"</f>
        <v>"PartA":[81,87],</v>
      </c>
      <c r="M32" s="24"/>
      <c r="N32" s="24"/>
      <c r="O32" s="24"/>
      <c r="P32" s="24"/>
      <c r="Q32" s="24"/>
      <c r="R32" s="40" t="s">
        <v>193</v>
      </c>
      <c r="T32" s="40" t="s">
        <v>197</v>
      </c>
      <c r="V32" s="64">
        <f>ROUND(SUM('Stats Global'!Q9,'Stats Global'!Q11:Q13,'Stats Global'!Q21)/COUNT(B4:B40),1)</f>
        <v>5.9</v>
      </c>
      <c r="W32" s="63"/>
      <c r="X32" s="63"/>
    </row>
    <row r="33" spans="12:22" ht="14.25" customHeight="1" x14ac:dyDescent="0.45">
      <c r="L33" s="40" t="str">
        <f>R33&amp;T33&amp;","&amp;CHAR(34)&amp;U33&amp;CHAR(34)&amp;","&amp;T34&amp;","&amp;CHAR(34)&amp;U34&amp;CHAR(34)&amp;","&amp;T35&amp;","&amp;CHAR(34)&amp;U35&amp;CHAR(34)&amp;","&amp;T36&amp;","&amp;CHAR(34)&amp;U36&amp;CHAR(34)&amp;"],"</f>
        <v>"PartB":[39,"Rudy Hoschke",36,"Rudy Hoschke",12,"Michael Iffland",1,"Michael Iffland"],</v>
      </c>
      <c r="R33" s="40" t="s">
        <v>194</v>
      </c>
      <c r="T33" s="42">
        <f>MAX('Stats Global'!Q9,'Stats Global'!Q11:Q13,'Stats Global'!Q21)</f>
        <v>39</v>
      </c>
      <c r="U33" s="40" t="s">
        <v>44</v>
      </c>
      <c r="V33" s="64">
        <f>ROUND(SUM('Stats Global'!S9,'Stats Global'!S11:S13,'Stats Global'!S21)/COUNT(B4:B40),1)</f>
        <v>3.8</v>
      </c>
    </row>
    <row r="34" spans="12:22" ht="14.25" customHeight="1" x14ac:dyDescent="0.45">
      <c r="L34" s="40" t="str">
        <f>R34&amp;V32&amp;","&amp;V33&amp;","&amp;V34&amp;","&amp;V35&amp;","&amp;V36&amp;","&amp;V37&amp;"],"</f>
        <v>"PartC":[5.9,3.8,1.6,0.27,5.4,5.8],</v>
      </c>
      <c r="R34" s="40" t="s">
        <v>195</v>
      </c>
      <c r="T34" s="42">
        <f>MAX('Stats Global'!S9,'Stats Global'!S11:S13,'Stats Global'!S21)</f>
        <v>36</v>
      </c>
      <c r="U34" s="40" t="s">
        <v>44</v>
      </c>
      <c r="V34" s="64">
        <f>ROUND(SUM('Stats Global'!U9,'Stats Global'!U11:U13,'Stats Global'!U21)/COUNT(B4:B40),1)</f>
        <v>1.6</v>
      </c>
    </row>
    <row r="35" spans="12:22" ht="14.25" customHeight="1" x14ac:dyDescent="0.45">
      <c r="L35" s="40" t="str">
        <f>R35&amp;'Statistics LG'!T30&amp;","&amp;'Statistics LG'!S30&amp;","&amp;ROUND((1-'Statistics LG'!S31)*100,1)&amp;","&amp;R30&amp;","&amp;S30&amp;","&amp;ROUND(R31*100,1)&amp;"],"</f>
        <v>"PartD":[42,41,50.6,39,46,45.9],</v>
      </c>
      <c r="R35" s="40" t="s">
        <v>196</v>
      </c>
      <c r="T35" s="42">
        <f>MAX('Stats Global'!U9,'Stats Global'!U11:U13,'Stats Global'!U21)</f>
        <v>12</v>
      </c>
      <c r="U35" s="40" t="s">
        <v>46</v>
      </c>
      <c r="V35" s="64">
        <f>ROUND(SUM('Stats Global'!W9,'Stats Global'!W11:W13,'Stats Global'!W21)/COUNT(B4:B40),2)</f>
        <v>0.27</v>
      </c>
    </row>
    <row r="36" spans="12:22" ht="14.25" customHeight="1" x14ac:dyDescent="0.45">
      <c r="T36" s="42">
        <v>1</v>
      </c>
      <c r="U36" s="40" t="s">
        <v>46</v>
      </c>
      <c r="V36" s="40">
        <f>ROUND(H4/COUNT(B4:B40),1)</f>
        <v>5.4</v>
      </c>
    </row>
    <row r="37" spans="12:22" ht="14.25" customHeight="1" x14ac:dyDescent="0.45">
      <c r="V37" s="40">
        <f>ROUND(I4/COUNT(B4:B40),1)</f>
        <v>5.8</v>
      </c>
    </row>
    <row r="38" spans="12:22" ht="14.25" customHeight="1" x14ac:dyDescent="0.45"/>
    <row r="39" spans="12:22" ht="14.25" customHeight="1" x14ac:dyDescent="0.45"/>
    <row r="40" spans="12:22" ht="14.25" customHeight="1" x14ac:dyDescent="0.45"/>
    <row r="41" spans="12:22" ht="14.25" customHeight="1" x14ac:dyDescent="0.45"/>
    <row r="42" spans="12:22" ht="14.25" customHeight="1" x14ac:dyDescent="0.45"/>
    <row r="43" spans="12:22" ht="14.25" customHeight="1" x14ac:dyDescent="0.45"/>
    <row r="44" spans="12:22" ht="14.25" customHeight="1" x14ac:dyDescent="0.45"/>
    <row r="45" spans="12:22" ht="14.25" customHeight="1" x14ac:dyDescent="0.45"/>
    <row r="46" spans="12:22" ht="14.25" customHeight="1" x14ac:dyDescent="0.45"/>
    <row r="47" spans="12:22" ht="14.25" customHeight="1" x14ac:dyDescent="0.45"/>
    <row r="48" spans="12:22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X1000"/>
  <sheetViews>
    <sheetView tabSelected="1" zoomScale="85" zoomScaleNormal="85" workbookViewId="0">
      <selection activeCell="K32" sqref="K32:K35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120</v>
      </c>
      <c r="K2" s="126"/>
      <c r="L2" s="126"/>
      <c r="M2" s="127" t="s">
        <v>99</v>
      </c>
      <c r="N2" s="126"/>
      <c r="O2" s="126"/>
      <c r="Q2" s="62"/>
      <c r="R2" s="63"/>
      <c r="S2" s="63"/>
      <c r="T2" s="63"/>
      <c r="U2" s="63"/>
      <c r="V2" s="63"/>
      <c r="W2" s="63"/>
      <c r="X2" s="63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E3" s="40" t="s">
        <v>201</v>
      </c>
      <c r="F3" s="40" t="s">
        <v>202</v>
      </c>
      <c r="G3" s="24" t="s">
        <v>104</v>
      </c>
      <c r="H3" s="24" t="s">
        <v>105</v>
      </c>
      <c r="I3" s="24" t="s">
        <v>106</v>
      </c>
      <c r="K3" s="127" t="s">
        <v>153</v>
      </c>
      <c r="L3" s="127" t="s">
        <v>62</v>
      </c>
      <c r="M3" s="127" t="s">
        <v>185</v>
      </c>
      <c r="N3" s="127" t="s">
        <v>55</v>
      </c>
      <c r="O3" s="127" t="s">
        <v>81</v>
      </c>
      <c r="Q3" s="62"/>
      <c r="R3" s="62"/>
      <c r="S3" s="62"/>
      <c r="T3" s="62"/>
      <c r="U3" s="63"/>
      <c r="V3" s="62"/>
      <c r="W3" s="62"/>
      <c r="X3" s="62"/>
    </row>
    <row r="4" spans="1:24" ht="14.25" customHeight="1" x14ac:dyDescent="0.45">
      <c r="A4" s="4">
        <f>'2404'!C$2</f>
        <v>45040</v>
      </c>
      <c r="B4" s="16">
        <f>'2404'!L$4</f>
        <v>7</v>
      </c>
      <c r="C4" s="16">
        <f>'2404'!M$4</f>
        <v>3</v>
      </c>
      <c r="D4" s="16">
        <f>'2404'!O$4</f>
        <v>3</v>
      </c>
      <c r="E4" s="87" t="s">
        <v>38</v>
      </c>
      <c r="F4" s="40" t="s">
        <v>60</v>
      </c>
      <c r="G4" s="24">
        <f>SUM(B4:B30)</f>
        <v>89</v>
      </c>
      <c r="H4" s="24">
        <f>SUM(C4:C30)</f>
        <v>82</v>
      </c>
      <c r="I4" s="24">
        <f>SUM(D4:D30)</f>
        <v>31</v>
      </c>
      <c r="K4" s="128">
        <v>1</v>
      </c>
      <c r="L4" s="129">
        <v>1</v>
      </c>
      <c r="M4" s="129">
        <v>2</v>
      </c>
      <c r="N4" s="128"/>
      <c r="O4" s="128"/>
      <c r="Q4" s="87"/>
      <c r="R4" s="87"/>
      <c r="S4" s="87"/>
      <c r="T4" s="87"/>
      <c r="U4" s="63"/>
      <c r="V4" s="87"/>
      <c r="W4" s="87"/>
      <c r="X4" s="87"/>
    </row>
    <row r="5" spans="1:24" ht="14.25" customHeight="1" x14ac:dyDescent="0.45">
      <c r="A5" s="4">
        <f>'2604'!C$2</f>
        <v>45042</v>
      </c>
      <c r="B5" s="16">
        <f>'2604'!L$4</f>
        <v>4</v>
      </c>
      <c r="C5" s="16">
        <f>'2604'!M$4</f>
        <v>3</v>
      </c>
      <c r="D5" s="16">
        <f>'2604'!O$4</f>
        <v>3</v>
      </c>
      <c r="E5" s="104" t="s">
        <v>66</v>
      </c>
      <c r="F5" s="40" t="s">
        <v>209</v>
      </c>
      <c r="K5" s="128"/>
      <c r="L5" s="129"/>
      <c r="M5" s="129">
        <v>1</v>
      </c>
      <c r="N5" s="128">
        <v>1</v>
      </c>
      <c r="O5" s="128"/>
      <c r="Q5" s="87"/>
      <c r="R5" s="87"/>
      <c r="S5" s="87"/>
      <c r="T5" s="87"/>
      <c r="U5" s="63"/>
      <c r="V5" s="87"/>
      <c r="W5" s="87"/>
      <c r="X5" s="87"/>
    </row>
    <row r="6" spans="1:24" ht="14.25" customHeight="1" x14ac:dyDescent="0.45">
      <c r="A6" s="4">
        <f>'0205'!C$2</f>
        <v>45048</v>
      </c>
      <c r="B6" s="16">
        <f>'0205'!L$4</f>
        <v>8</v>
      </c>
      <c r="C6" s="16">
        <f>'0205'!M$4</f>
        <v>7</v>
      </c>
      <c r="D6" s="16">
        <f>'0205'!O$4</f>
        <v>2</v>
      </c>
      <c r="E6" s="87" t="s">
        <v>208</v>
      </c>
      <c r="F6" s="40" t="s">
        <v>60</v>
      </c>
      <c r="H6" s="24" t="s">
        <v>110</v>
      </c>
      <c r="I6" s="18">
        <f>SUM(B4:B6)/SUM(B4:C6)</f>
        <v>0.59375</v>
      </c>
      <c r="K6" s="128"/>
      <c r="L6" s="129"/>
      <c r="M6" s="129"/>
      <c r="N6" s="128"/>
      <c r="O6" s="128"/>
      <c r="Q6" s="87"/>
      <c r="R6" s="87"/>
      <c r="S6" s="87"/>
      <c r="T6" s="87"/>
      <c r="U6" s="63"/>
      <c r="V6" s="87"/>
      <c r="W6" s="87"/>
      <c r="X6" s="87"/>
    </row>
    <row r="7" spans="1:24" ht="14.25" customHeight="1" x14ac:dyDescent="0.45">
      <c r="A7" s="4">
        <f>'0305'!C$2</f>
        <v>45049</v>
      </c>
      <c r="B7" s="16">
        <f>'0305'!L$4</f>
        <v>12</v>
      </c>
      <c r="C7" s="16">
        <f>'0305'!M$4</f>
        <v>5</v>
      </c>
      <c r="D7" s="16">
        <f>'0305'!O$4</f>
        <v>3</v>
      </c>
      <c r="E7" s="87" t="s">
        <v>38</v>
      </c>
      <c r="F7" s="40" t="s">
        <v>210</v>
      </c>
      <c r="H7" s="24" t="s">
        <v>111</v>
      </c>
      <c r="I7" s="18"/>
      <c r="K7" s="128">
        <v>2</v>
      </c>
      <c r="L7" s="128">
        <v>1</v>
      </c>
      <c r="M7" s="128">
        <v>1</v>
      </c>
      <c r="N7" s="128"/>
      <c r="O7" s="128">
        <v>1</v>
      </c>
      <c r="Q7" s="87"/>
      <c r="R7" s="87"/>
      <c r="S7" s="87"/>
      <c r="T7" s="87"/>
      <c r="U7" s="63"/>
      <c r="V7" s="87"/>
      <c r="W7" s="87"/>
      <c r="X7" s="87"/>
    </row>
    <row r="8" spans="1:24" ht="14.25" customHeight="1" x14ac:dyDescent="0.45">
      <c r="A8" s="4">
        <f>'0805'!C$2</f>
        <v>45054</v>
      </c>
      <c r="B8" s="16">
        <f>'0805'!L$4</f>
        <v>7</v>
      </c>
      <c r="C8" s="16">
        <f>'0805'!M$4</f>
        <v>5</v>
      </c>
      <c r="D8" s="16">
        <f>'0805'!O$4</f>
        <v>3</v>
      </c>
      <c r="E8" s="87" t="s">
        <v>38</v>
      </c>
      <c r="F8" s="40" t="s">
        <v>60</v>
      </c>
      <c r="H8" s="24" t="s">
        <v>112</v>
      </c>
      <c r="I8" s="18"/>
      <c r="K8" s="128">
        <v>2</v>
      </c>
      <c r="L8" s="128">
        <v>1</v>
      </c>
      <c r="M8" s="128"/>
      <c r="N8" s="128">
        <v>1</v>
      </c>
      <c r="O8" s="128">
        <v>1</v>
      </c>
      <c r="Q8" s="87"/>
      <c r="R8" s="87"/>
      <c r="S8" s="87"/>
      <c r="T8" s="87"/>
      <c r="U8" s="63"/>
      <c r="V8" s="87"/>
      <c r="W8" s="87"/>
      <c r="X8" s="87"/>
    </row>
    <row r="9" spans="1:24" ht="14.25" customHeight="1" x14ac:dyDescent="0.45">
      <c r="A9" s="4">
        <f>'0905'!C$2</f>
        <v>45055</v>
      </c>
      <c r="B9" s="16">
        <f>'0905'!L$4</f>
        <v>7</v>
      </c>
      <c r="C9" s="16">
        <f>'0905'!M$4</f>
        <v>12</v>
      </c>
      <c r="D9" s="16">
        <f>'0905'!O$4</f>
        <v>2</v>
      </c>
      <c r="E9" s="87" t="s">
        <v>60</v>
      </c>
      <c r="F9" s="40" t="s">
        <v>60</v>
      </c>
      <c r="H9" s="24" t="s">
        <v>113</v>
      </c>
      <c r="I9" s="18"/>
      <c r="K9" s="128">
        <v>1</v>
      </c>
      <c r="L9" s="128"/>
      <c r="M9" s="128"/>
      <c r="N9" s="128">
        <v>1</v>
      </c>
      <c r="O9" s="128">
        <v>1</v>
      </c>
      <c r="Q9" s="87"/>
      <c r="R9" s="87"/>
      <c r="S9" s="87"/>
      <c r="T9" s="87"/>
      <c r="U9" s="63"/>
      <c r="V9" s="87"/>
      <c r="W9" s="87"/>
      <c r="X9" s="87"/>
    </row>
    <row r="10" spans="1:24" ht="14.25" customHeight="1" x14ac:dyDescent="0.45">
      <c r="A10" s="4">
        <f>'1005'!C$2</f>
        <v>45056</v>
      </c>
      <c r="B10" s="16">
        <f>'1005'!L$4</f>
        <v>3</v>
      </c>
      <c r="C10" s="16">
        <f>'1005'!M$4</f>
        <v>11</v>
      </c>
      <c r="D10" s="16">
        <f>'1005'!O$4</f>
        <v>1</v>
      </c>
      <c r="E10" s="87" t="s">
        <v>33</v>
      </c>
      <c r="F10" s="40" t="s">
        <v>60</v>
      </c>
      <c r="H10" s="24" t="s">
        <v>114</v>
      </c>
      <c r="I10" s="18"/>
      <c r="K10" s="126">
        <v>1</v>
      </c>
      <c r="L10" s="126"/>
      <c r="M10" s="126"/>
      <c r="N10" s="126">
        <v>1</v>
      </c>
      <c r="O10" s="126"/>
      <c r="Q10" s="87"/>
      <c r="R10" s="87"/>
      <c r="S10" s="87"/>
      <c r="T10" s="87"/>
      <c r="U10" s="63"/>
      <c r="V10" s="87"/>
      <c r="W10" s="87"/>
      <c r="X10" s="87"/>
    </row>
    <row r="11" spans="1:24" ht="14.25" customHeight="1" x14ac:dyDescent="0.45">
      <c r="A11" s="4">
        <f>'1505'!C$2</f>
        <v>45061</v>
      </c>
      <c r="B11" s="16">
        <f>'1505'!L$4</f>
        <v>1</v>
      </c>
      <c r="C11" s="16">
        <f>'1505'!M$4</f>
        <v>10</v>
      </c>
      <c r="D11" s="16">
        <f>'1505'!O$4</f>
        <v>1</v>
      </c>
      <c r="E11" s="113" t="s">
        <v>203</v>
      </c>
      <c r="F11" s="40" t="s">
        <v>60</v>
      </c>
      <c r="H11" s="24" t="s">
        <v>115</v>
      </c>
      <c r="I11" s="18"/>
      <c r="K11" s="128"/>
      <c r="L11" s="128"/>
      <c r="M11" s="128"/>
      <c r="N11" s="128"/>
      <c r="O11" s="128"/>
      <c r="Q11" s="87"/>
      <c r="R11" s="87"/>
      <c r="S11" s="87"/>
      <c r="T11" s="87"/>
      <c r="U11" s="63"/>
      <c r="V11" s="87"/>
      <c r="W11" s="87"/>
      <c r="X11" s="87"/>
    </row>
    <row r="12" spans="1:24" ht="14.25" customHeight="1" x14ac:dyDescent="0.45">
      <c r="A12" s="4">
        <f>'1605'!C$2</f>
        <v>45062</v>
      </c>
      <c r="B12" s="16">
        <f>'1605'!L$4</f>
        <v>13</v>
      </c>
      <c r="C12" s="16">
        <f>'1605'!M$4</f>
        <v>6</v>
      </c>
      <c r="D12" s="16">
        <f>'1605'!O$4</f>
        <v>3</v>
      </c>
      <c r="E12" s="113" t="s">
        <v>38</v>
      </c>
      <c r="F12" s="40" t="s">
        <v>60</v>
      </c>
      <c r="H12" s="24" t="s">
        <v>116</v>
      </c>
      <c r="I12" s="18"/>
      <c r="K12" s="128"/>
      <c r="L12" s="128"/>
      <c r="M12" s="128"/>
      <c r="N12" s="128"/>
      <c r="O12" s="128"/>
      <c r="Q12" s="87"/>
      <c r="R12" s="87"/>
      <c r="S12" s="87"/>
      <c r="T12" s="87"/>
      <c r="U12" s="63"/>
      <c r="V12" s="87"/>
      <c r="W12" s="87"/>
      <c r="X12" s="87"/>
    </row>
    <row r="13" spans="1:24" ht="14.25" customHeight="1" x14ac:dyDescent="0.45">
      <c r="A13" s="4">
        <f>'1705'!C$2</f>
        <v>45063</v>
      </c>
      <c r="B13" s="16">
        <f>'1705'!L$4</f>
        <v>5</v>
      </c>
      <c r="C13" s="16">
        <f>'1705'!M$4</f>
        <v>4</v>
      </c>
      <c r="D13" s="16">
        <f>'1705'!O$4</f>
        <v>2</v>
      </c>
      <c r="E13" s="113" t="s">
        <v>220</v>
      </c>
      <c r="F13" s="40" t="s">
        <v>209</v>
      </c>
      <c r="H13" s="24" t="s">
        <v>117</v>
      </c>
      <c r="I13" s="18" cm="1">
        <f t="array" ref="I13">SUM(B4:B7/SUM(B4:C7))</f>
        <v>0.63265306122448983</v>
      </c>
      <c r="K13" s="128"/>
      <c r="L13" s="128"/>
      <c r="M13" s="128"/>
      <c r="N13" s="128"/>
      <c r="O13" s="128"/>
      <c r="Q13" s="87"/>
      <c r="R13" s="87"/>
      <c r="S13" s="87"/>
      <c r="T13" s="87"/>
      <c r="U13" s="63"/>
      <c r="V13" s="87"/>
      <c r="W13" s="87"/>
      <c r="X13" s="87"/>
    </row>
    <row r="14" spans="1:24" ht="14.25" customHeight="1" x14ac:dyDescent="0.45">
      <c r="A14" s="4">
        <f>'2205'!C$2</f>
        <v>45068</v>
      </c>
      <c r="B14" s="16">
        <f>'2205'!L$4</f>
        <v>12</v>
      </c>
      <c r="C14" s="16">
        <f>'2205'!M$4</f>
        <v>1</v>
      </c>
      <c r="D14" s="16">
        <f>'2205'!O$4</f>
        <v>3</v>
      </c>
      <c r="E14" s="113" t="s">
        <v>224</v>
      </c>
      <c r="F14" s="40" t="s">
        <v>60</v>
      </c>
      <c r="K14" s="128"/>
      <c r="L14" s="128"/>
      <c r="M14" s="128"/>
      <c r="N14" s="128"/>
      <c r="O14" s="128"/>
      <c r="Q14" s="87"/>
      <c r="R14" s="87"/>
      <c r="S14" s="87"/>
      <c r="T14" s="87"/>
      <c r="U14" s="63"/>
      <c r="V14" s="87"/>
      <c r="W14" s="87"/>
      <c r="X14" s="87"/>
    </row>
    <row r="15" spans="1:24" ht="14.25" customHeight="1" x14ac:dyDescent="0.45">
      <c r="A15" s="4">
        <f>'2305'!C$2</f>
        <v>45069</v>
      </c>
      <c r="B15" s="16">
        <f>'2305'!L$4</f>
        <v>1</v>
      </c>
      <c r="C15" s="16">
        <f>'2305'!M$4</f>
        <v>8</v>
      </c>
      <c r="D15" s="16">
        <f>'2305'!O$4</f>
        <v>1</v>
      </c>
      <c r="E15" s="113" t="s">
        <v>203</v>
      </c>
      <c r="F15" s="40" t="s">
        <v>38</v>
      </c>
      <c r="K15" s="128"/>
      <c r="L15" s="128"/>
      <c r="M15" s="128"/>
      <c r="N15" s="128"/>
      <c r="O15" s="128"/>
      <c r="Q15" s="87"/>
      <c r="R15" s="87"/>
      <c r="S15" s="87"/>
      <c r="T15" s="87"/>
      <c r="U15" s="63"/>
      <c r="V15" s="87"/>
      <c r="W15" s="87"/>
      <c r="X15" s="87"/>
    </row>
    <row r="16" spans="1:24" ht="14.25" customHeight="1" x14ac:dyDescent="0.45">
      <c r="A16" s="4">
        <f>'2405'!C$2</f>
        <v>45070</v>
      </c>
      <c r="B16" s="16">
        <f>'2405'!L$4</f>
        <v>4</v>
      </c>
      <c r="C16" s="16">
        <f>'2405'!M$4</f>
        <v>2</v>
      </c>
      <c r="D16" s="16">
        <f>'2405'!O$4</f>
        <v>2</v>
      </c>
      <c r="E16" s="113" t="s">
        <v>38</v>
      </c>
      <c r="F16" s="40" t="s">
        <v>228</v>
      </c>
      <c r="K16" s="128"/>
      <c r="L16" s="128"/>
      <c r="M16" s="128"/>
      <c r="N16" s="128"/>
      <c r="O16" s="128"/>
      <c r="Q16" s="87"/>
      <c r="R16" s="87"/>
      <c r="S16" s="87"/>
      <c r="T16" s="87"/>
      <c r="U16" s="63"/>
      <c r="V16" s="87"/>
      <c r="W16" s="87"/>
      <c r="X16" s="87"/>
    </row>
    <row r="17" spans="1:24" ht="14.25" customHeight="1" x14ac:dyDescent="0.45">
      <c r="A17" s="4">
        <f>'Finals 1'!C$2</f>
        <v>45075</v>
      </c>
      <c r="B17" s="16">
        <f>'Finals 1'!M$4</f>
        <v>1</v>
      </c>
      <c r="C17" s="16">
        <f>'Finals 1'!N$4</f>
        <v>2</v>
      </c>
      <c r="D17" s="20">
        <f>'Finals 1'!Q$4</f>
        <v>0</v>
      </c>
      <c r="E17" s="146" t="s">
        <v>210</v>
      </c>
      <c r="F17" s="40" t="s">
        <v>203</v>
      </c>
      <c r="K17" s="128"/>
      <c r="L17" s="128"/>
      <c r="M17" s="128"/>
      <c r="N17" s="128"/>
      <c r="O17" s="128"/>
      <c r="Q17" s="87"/>
      <c r="R17" s="87"/>
      <c r="S17" s="87"/>
      <c r="T17" s="87"/>
      <c r="U17" s="63"/>
      <c r="V17" s="87"/>
      <c r="W17" s="87"/>
      <c r="X17" s="87"/>
    </row>
    <row r="18" spans="1:24" ht="14.25" customHeight="1" x14ac:dyDescent="0.45">
      <c r="A18" s="4">
        <f>'Finals 2'!C$2</f>
        <v>45076</v>
      </c>
      <c r="B18" s="16">
        <f>'Finals 2'!M$4</f>
        <v>4</v>
      </c>
      <c r="C18" s="16">
        <f>'Finals 2'!N$4</f>
        <v>3</v>
      </c>
      <c r="D18" s="20">
        <f>'Finals 2'!P$4</f>
        <v>2</v>
      </c>
      <c r="E18" s="146" t="s">
        <v>38</v>
      </c>
      <c r="F18" s="40" t="s">
        <v>66</v>
      </c>
      <c r="K18" s="128"/>
      <c r="L18" s="128"/>
      <c r="M18" s="128"/>
      <c r="N18" s="128"/>
      <c r="O18" s="128"/>
      <c r="Q18" s="87"/>
      <c r="R18" s="87"/>
      <c r="S18" s="87"/>
      <c r="T18" s="87"/>
      <c r="U18" s="63"/>
      <c r="V18" s="87"/>
      <c r="W18" s="87"/>
      <c r="X18" s="87"/>
    </row>
    <row r="19" spans="1:24" ht="14.25" customHeight="1" x14ac:dyDescent="0.45">
      <c r="A19" s="4"/>
      <c r="B19" s="16"/>
      <c r="C19" s="16"/>
      <c r="D19" s="16"/>
      <c r="K19" s="128"/>
      <c r="L19" s="128"/>
      <c r="M19" s="128"/>
      <c r="N19" s="128"/>
      <c r="O19" s="128"/>
      <c r="Q19" s="87"/>
      <c r="R19" s="87"/>
      <c r="S19" s="87"/>
      <c r="T19" s="87"/>
      <c r="U19" s="63"/>
      <c r="V19" s="87"/>
      <c r="W19" s="87"/>
      <c r="X19" s="87"/>
    </row>
    <row r="20" spans="1:24" ht="14.25" customHeight="1" x14ac:dyDescent="0.45">
      <c r="A20" s="4"/>
      <c r="B20" s="16"/>
      <c r="C20" s="16"/>
      <c r="D20" s="16"/>
      <c r="K20" s="128"/>
      <c r="L20" s="128"/>
      <c r="M20" s="128"/>
      <c r="N20" s="128"/>
      <c r="O20" s="128"/>
      <c r="Q20" s="87"/>
      <c r="R20" s="87"/>
      <c r="S20" s="87"/>
      <c r="T20" s="87"/>
      <c r="U20" s="63"/>
      <c r="V20" s="87"/>
      <c r="W20" s="87"/>
      <c r="X20" s="87"/>
    </row>
    <row r="21" spans="1:24" ht="14.25" customHeight="1" x14ac:dyDescent="0.45">
      <c r="A21" s="4"/>
      <c r="B21" s="16"/>
      <c r="C21" s="16"/>
      <c r="D21" s="16"/>
      <c r="K21" s="128"/>
      <c r="L21" s="128"/>
      <c r="M21" s="128"/>
      <c r="N21" s="128"/>
      <c r="O21" s="128"/>
      <c r="Q21" s="87"/>
      <c r="R21" s="87"/>
      <c r="S21" s="87"/>
      <c r="T21" s="87"/>
      <c r="U21" s="63"/>
      <c r="V21" s="87"/>
      <c r="W21" s="87"/>
      <c r="X21" s="87"/>
    </row>
    <row r="22" spans="1:24" ht="14.25" customHeight="1" x14ac:dyDescent="0.45">
      <c r="K22" s="128"/>
      <c r="L22" s="128"/>
      <c r="M22" s="128"/>
      <c r="N22" s="128"/>
      <c r="O22" s="128"/>
      <c r="Q22" s="87"/>
      <c r="R22" s="87"/>
      <c r="S22" s="87"/>
      <c r="T22" s="87"/>
      <c r="U22" s="63"/>
      <c r="V22" s="87"/>
      <c r="W22" s="87"/>
      <c r="X22" s="87"/>
    </row>
    <row r="23" spans="1:24" ht="14.25" customHeight="1" x14ac:dyDescent="1.1000000000000001">
      <c r="A23" s="39"/>
      <c r="B23" s="39"/>
      <c r="C23" s="39"/>
      <c r="D23" s="39"/>
      <c r="E23" s="39"/>
      <c r="G23" s="39"/>
      <c r="K23" s="128"/>
      <c r="L23" s="128"/>
      <c r="M23" s="128"/>
      <c r="N23" s="128"/>
      <c r="O23" s="128"/>
      <c r="Q23" s="87"/>
      <c r="R23" s="87"/>
      <c r="S23" s="87"/>
      <c r="T23" s="87"/>
      <c r="U23" s="63"/>
      <c r="V23" s="87"/>
      <c r="W23" s="87"/>
      <c r="X23" s="87"/>
    </row>
    <row r="24" spans="1:24" ht="14.25" customHeight="1" x14ac:dyDescent="1.1000000000000001">
      <c r="A24" s="39"/>
      <c r="B24" s="39"/>
      <c r="C24" s="39"/>
      <c r="D24" s="39"/>
      <c r="E24" s="39"/>
      <c r="G24" s="39"/>
      <c r="K24" s="128"/>
      <c r="L24" s="128"/>
      <c r="M24" s="128"/>
      <c r="N24" s="128"/>
      <c r="O24" s="128"/>
      <c r="Q24" s="87"/>
      <c r="R24" s="87"/>
      <c r="S24" s="87"/>
      <c r="T24" s="87"/>
      <c r="U24" s="63"/>
      <c r="V24" s="87"/>
      <c r="W24" s="87"/>
      <c r="X24" s="87"/>
    </row>
    <row r="25" spans="1:24" ht="14.25" customHeight="1" x14ac:dyDescent="1.1000000000000001">
      <c r="A25" s="39"/>
      <c r="B25" s="39"/>
      <c r="C25" s="39"/>
      <c r="D25" s="39"/>
      <c r="E25" s="39"/>
      <c r="G25" s="39"/>
      <c r="K25" s="128"/>
      <c r="L25" s="128"/>
      <c r="M25" s="128"/>
      <c r="N25" s="128"/>
      <c r="O25" s="128"/>
      <c r="Q25" s="87"/>
      <c r="R25" s="87"/>
      <c r="S25" s="87"/>
      <c r="T25" s="87"/>
      <c r="U25" s="63"/>
      <c r="V25" s="87"/>
      <c r="W25" s="87"/>
      <c r="X25" s="87"/>
    </row>
    <row r="26" spans="1:24" ht="14.25" customHeight="1" x14ac:dyDescent="0.45">
      <c r="K26" s="128"/>
      <c r="L26" s="128"/>
      <c r="M26" s="128"/>
      <c r="N26" s="128"/>
      <c r="O26" s="128"/>
      <c r="Q26" s="87"/>
      <c r="R26" s="87"/>
      <c r="S26" s="87"/>
      <c r="T26" s="87"/>
      <c r="U26" s="63"/>
      <c r="V26" s="87"/>
      <c r="W26" s="87"/>
      <c r="X26" s="87"/>
    </row>
    <row r="27" spans="1:24" ht="14.25" customHeight="1" x14ac:dyDescent="0.45">
      <c r="K27" s="128"/>
      <c r="L27" s="128"/>
      <c r="M27" s="128"/>
      <c r="N27" s="128"/>
      <c r="O27" s="128"/>
      <c r="Q27" s="87"/>
      <c r="R27" s="87"/>
      <c r="S27" s="87"/>
      <c r="T27" s="87"/>
      <c r="U27" s="63"/>
      <c r="V27" s="87"/>
      <c r="W27" s="87"/>
      <c r="X27" s="87"/>
    </row>
    <row r="28" spans="1:24" ht="14.25" customHeight="1" x14ac:dyDescent="0.45">
      <c r="K28" s="128"/>
      <c r="L28" s="128"/>
      <c r="M28" s="128"/>
      <c r="N28" s="128"/>
      <c r="O28" s="128"/>
      <c r="Q28" s="87"/>
      <c r="R28" s="87"/>
      <c r="S28" s="87"/>
      <c r="T28" s="87"/>
      <c r="U28" s="63"/>
      <c r="V28" s="87"/>
      <c r="W28" s="87"/>
      <c r="X28" s="87"/>
    </row>
    <row r="29" spans="1:24" ht="14.25" customHeight="1" x14ac:dyDescent="0.45">
      <c r="K29" s="128"/>
      <c r="L29" s="128"/>
      <c r="M29" s="128"/>
      <c r="N29" s="128"/>
      <c r="O29" s="128"/>
      <c r="Q29" s="87"/>
      <c r="R29" s="87"/>
      <c r="S29" s="87"/>
      <c r="T29" s="87"/>
      <c r="U29" s="63"/>
      <c r="V29" s="112"/>
      <c r="W29" s="87"/>
      <c r="X29" s="87"/>
    </row>
    <row r="30" spans="1:24" ht="14.25" customHeight="1" x14ac:dyDescent="0.45">
      <c r="K30" s="128"/>
      <c r="L30" s="128"/>
      <c r="M30" s="128"/>
      <c r="N30" s="128"/>
      <c r="O30" s="128"/>
      <c r="P30" s="24"/>
      <c r="Q30" s="87"/>
      <c r="R30" s="87"/>
      <c r="S30" s="87"/>
      <c r="T30" s="87"/>
      <c r="U30" s="63"/>
      <c r="V30" s="87"/>
      <c r="W30" s="87"/>
      <c r="X30" s="87"/>
    </row>
    <row r="31" spans="1:24" ht="14.25" customHeight="1" x14ac:dyDescent="0.45">
      <c r="J31" s="24"/>
      <c r="Q31" s="22"/>
      <c r="U31" s="63"/>
      <c r="V31" s="63"/>
      <c r="W31" s="63"/>
      <c r="X31" s="63"/>
    </row>
    <row r="32" spans="1:24" ht="14.25" customHeight="1" x14ac:dyDescent="0.45">
      <c r="J32" s="24"/>
      <c r="K32" s="103" t="str">
        <f>Q32&amp;G4&amp;","&amp;H4&amp;"],"</f>
        <v>"PartA":[89,82],</v>
      </c>
      <c r="L32" s="24"/>
      <c r="M32" s="24"/>
      <c r="N32" s="24"/>
      <c r="O32" s="24"/>
      <c r="P32" s="24"/>
      <c r="Q32" s="40" t="s">
        <v>193</v>
      </c>
      <c r="S32" s="40" t="s">
        <v>197</v>
      </c>
      <c r="U32" s="64">
        <f>ROUND(SUM('Stats Global'!Q8,'Stats Global'!Q10,'Stats Global'!Q16:Q18,1)/COUNT(B4:B40),1)</f>
        <v>6.5</v>
      </c>
    </row>
    <row r="33" spans="11:21" ht="14.25" customHeight="1" x14ac:dyDescent="0.45">
      <c r="K33" s="40" t="str">
        <f>Q33&amp;S33&amp;","&amp;CHAR(34)&amp;T33&amp;CHAR(34)&amp;","&amp;S34&amp;","&amp;CHAR(34)&amp;T34&amp;CHAR(34)&amp;","&amp;S35&amp;","&amp;CHAR(34)&amp;T35&amp;CHAR(34)&amp;","&amp;S36&amp;","&amp;CHAR(34)&amp;T36&amp;CHAR(34)&amp;"],"</f>
        <v>"PartB":[32,"Samuel McConaghy",32,"Alexander Galt",23,"Samuel McConaghy",3,"N/A"],</v>
      </c>
      <c r="Q33" s="40" t="s">
        <v>194</v>
      </c>
      <c r="S33" s="42">
        <f>MAX('Stats Global'!Q8,'Stats Global'!Q10,'Stats Global'!Q16:Q18)</f>
        <v>32</v>
      </c>
      <c r="T33" s="40" t="s">
        <v>60</v>
      </c>
      <c r="U33" s="64">
        <f>ROUND(SUM('Stats Global'!S8,'Stats Global'!S10,'Stats Global'!S16:S18)/COUNT(B4:B40),1)</f>
        <v>3.4</v>
      </c>
    </row>
    <row r="34" spans="11:21" ht="14.25" customHeight="1" x14ac:dyDescent="0.45">
      <c r="K34" s="40" t="str">
        <f>Q34&amp;U32&amp;","&amp;U33&amp;","&amp;U34&amp;","&amp;U35&amp;","&amp;U36&amp;","&amp;U37&amp;"],"</f>
        <v>"PartC":[6.5,3.4,2.7,0.2,5.9,5.5],</v>
      </c>
      <c r="Q34" s="40" t="s">
        <v>195</v>
      </c>
      <c r="S34" s="42">
        <f>MAX('Stats Global'!S8,'Stats Global'!S10,'Stats Global'!S16:S18)</f>
        <v>32</v>
      </c>
      <c r="T34" s="40" t="s">
        <v>38</v>
      </c>
      <c r="U34" s="64">
        <f>ROUND(SUM('Stats Global'!U8,'Stats Global'!U10,'Stats Global'!U16:U18)/COUNT(B4:B40),1)</f>
        <v>2.7</v>
      </c>
    </row>
    <row r="35" spans="11:21" ht="14.25" customHeight="1" x14ac:dyDescent="0.45">
      <c r="K35" s="40" t="str">
        <f>Q35&amp;'Statistics LG'!Y30&amp;","&amp;'Statistics LG'!X30&amp;","&amp;ROUND((1-'Statistics LG'!X31)*100,1)&amp;","&amp;'Statistics WW'!S30&amp;","&amp;'Statistics WW'!R30&amp;","&amp;ROUND((1-'Statistics WW'!R31)*100,1)&amp;"],"</f>
        <v>"PartD":[43,43,50,46,39,54.1],</v>
      </c>
      <c r="Q35" s="40" t="s">
        <v>196</v>
      </c>
      <c r="S35" s="42">
        <f>MAX('Stats Global'!U8,'Stats Global'!U10,'Stats Global'!U16:U18)</f>
        <v>23</v>
      </c>
      <c r="T35" s="40" t="s">
        <v>60</v>
      </c>
      <c r="U35" s="64">
        <f>ROUND(SUM('Stats Global'!W8,'Stats Global'!W10,'Stats Global'!W16:W18)/COUNT(B4:B40),1)</f>
        <v>0.2</v>
      </c>
    </row>
    <row r="36" spans="11:21" ht="14.25" customHeight="1" x14ac:dyDescent="0.45">
      <c r="S36" s="42">
        <f>MAX('Stats Global'!W8,'Stats Global'!W10,'Stats Global'!W16:W18)</f>
        <v>3</v>
      </c>
      <c r="T36" s="40" t="s">
        <v>203</v>
      </c>
      <c r="U36" s="40">
        <f>ROUND(G4/COUNT(B4:B40),1)</f>
        <v>5.9</v>
      </c>
    </row>
    <row r="37" spans="11:21" ht="14.25" customHeight="1" x14ac:dyDescent="0.45">
      <c r="U37" s="40">
        <f>ROUND(H4/COUNT(B4:B40),1)</f>
        <v>5.5</v>
      </c>
    </row>
    <row r="38" spans="11:21" ht="14.25" customHeight="1" x14ac:dyDescent="0.45"/>
    <row r="39" spans="11:21" ht="14.25" customHeight="1" x14ac:dyDescent="0.45"/>
    <row r="40" spans="11:21" ht="14.25" customHeight="1" x14ac:dyDescent="0.45"/>
    <row r="41" spans="11:21" ht="14.25" customHeight="1" x14ac:dyDescent="0.45"/>
    <row r="42" spans="11:21" ht="14.25" customHeight="1" x14ac:dyDescent="0.45"/>
    <row r="43" spans="11:21" ht="14.25" customHeight="1" x14ac:dyDescent="0.45"/>
    <row r="44" spans="11:21" ht="14.25" customHeight="1" x14ac:dyDescent="0.45"/>
    <row r="45" spans="11:21" ht="14.25" customHeight="1" x14ac:dyDescent="0.45"/>
    <row r="46" spans="11:21" ht="14.25" customHeight="1" x14ac:dyDescent="0.45"/>
    <row r="47" spans="11:21" ht="14.25" customHeight="1" x14ac:dyDescent="0.45"/>
    <row r="48" spans="11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Z1000"/>
  <sheetViews>
    <sheetView workbookViewId="0"/>
  </sheetViews>
  <sheetFormatPr defaultColWidth="14.3984375" defaultRowHeight="15" customHeight="1" x14ac:dyDescent="0.45"/>
  <cols>
    <col min="1" max="1" width="8.73046875" customWidth="1"/>
    <col min="2" max="2" width="13.1328125" customWidth="1"/>
    <col min="3" max="3" width="11.73046875" customWidth="1"/>
    <col min="4" max="4" width="14" customWidth="1"/>
    <col min="5" max="17" width="8.73046875" customWidth="1"/>
    <col min="18" max="18" width="10.73046875" customWidth="1"/>
    <col min="19" max="26" width="8.73046875" customWidth="1"/>
  </cols>
  <sheetData>
    <row r="1" spans="2:26" ht="14.25" customHeight="1" x14ac:dyDescent="0.45"/>
    <row r="2" spans="2:26" ht="14.25" customHeight="1" x14ac:dyDescent="0.45">
      <c r="B2" s="1" t="s">
        <v>121</v>
      </c>
      <c r="C2" s="4" t="s">
        <v>158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W2" s="40"/>
      <c r="X2" s="40"/>
      <c r="Y2" s="40"/>
      <c r="Z2" s="40"/>
    </row>
    <row r="3" spans="2:26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1" t="s">
        <v>132</v>
      </c>
      <c r="L3" s="1">
        <f>COUNTIF(C3:C30, "Loose Gooses")</f>
        <v>0</v>
      </c>
      <c r="M3" s="1">
        <f>COUNTIF(D3:D30, "Loose Gooses")</f>
        <v>0</v>
      </c>
      <c r="N3" s="23" t="e">
        <f t="shared" ref="N3:N5" si="0">L3/(L3+M3)</f>
        <v>#DIV/0!</v>
      </c>
      <c r="O3" s="1" t="e">
        <f>IF(AND(N3&gt;N4, N3&gt;N5), 3, IF(OR(N3&gt;N4, N3&gt;N5), 2, 1))</f>
        <v>#DIV/0!</v>
      </c>
      <c r="Q3" s="3" t="s">
        <v>33</v>
      </c>
      <c r="R3" s="19">
        <f t="shared" ref="R3:R18" si="1">COUNTIF($E$3:$E$27, Q3)+U3</f>
        <v>0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0</v>
      </c>
      <c r="U3" s="20">
        <f t="shared" ref="U3:U18" si="4">COUNTIFS($E$3:$E$27, $Q3,$F$3:$F$27,"Three Pointer")</f>
        <v>0</v>
      </c>
      <c r="V3" s="54" t="b">
        <v>0</v>
      </c>
      <c r="W3" s="40"/>
      <c r="X3" s="5" t="s">
        <v>132</v>
      </c>
      <c r="Y3" s="5" t="s">
        <v>133</v>
      </c>
      <c r="Z3" s="5" t="s">
        <v>134</v>
      </c>
    </row>
    <row r="4" spans="2:26" ht="14.25" customHeight="1" x14ac:dyDescent="0.5">
      <c r="B4" s="50"/>
      <c r="C4" s="50"/>
      <c r="D4" s="50"/>
      <c r="E4" s="50"/>
      <c r="F4" s="50"/>
      <c r="G4" s="50"/>
      <c r="H4" s="50"/>
      <c r="K4" s="1" t="s">
        <v>134</v>
      </c>
      <c r="L4" s="1">
        <f>COUNTIF(C3:C30, "5 Musketeers")</f>
        <v>0</v>
      </c>
      <c r="M4" s="1">
        <f>COUNTIF(D3:D30, "5 Musketeers")</f>
        <v>0</v>
      </c>
      <c r="N4" s="23" t="e">
        <f t="shared" si="0"/>
        <v>#DIV/0!</v>
      </c>
      <c r="O4" s="1" t="e">
        <f>IF(AND(N4&gt;N3, N4&gt;N5), 3, IF(OR(N4&gt;N3, N4&gt;N5), 2, 1))</f>
        <v>#DIV/0!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4" t="b">
        <v>0</v>
      </c>
      <c r="W4" s="40"/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</row>
    <row r="5" spans="2:26" ht="14.25" customHeight="1" x14ac:dyDescent="0.5">
      <c r="B5" s="50"/>
      <c r="C5" s="50"/>
      <c r="D5" s="50"/>
      <c r="E5" s="50"/>
      <c r="F5" s="50"/>
      <c r="G5" s="50"/>
      <c r="H5" s="50"/>
      <c r="K5" s="1" t="s">
        <v>133</v>
      </c>
      <c r="L5" s="1">
        <f>COUNTIF(C3:C30, "Wet Willies")</f>
        <v>0</v>
      </c>
      <c r="M5" s="1">
        <f>COUNTIF(D3:D30, "Wet Willies")</f>
        <v>0</v>
      </c>
      <c r="N5" s="23" t="e">
        <f t="shared" si="0"/>
        <v>#DIV/0!</v>
      </c>
      <c r="O5" s="1" t="e">
        <f>IF(AND(N5&gt;N4, N5&gt;N3), 3, IF(OR(N5&gt;N4, N5&gt;N3), 2, 1))</f>
        <v>#DIV/0!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4" t="b">
        <v>0</v>
      </c>
      <c r="W5" s="40"/>
      <c r="X5" s="24" t="str">
        <f t="shared" si="5"/>
        <v/>
      </c>
      <c r="Y5" s="24" t="str">
        <f t="shared" si="6"/>
        <v/>
      </c>
      <c r="Z5" s="24" t="str">
        <f t="shared" si="7"/>
        <v/>
      </c>
    </row>
    <row r="6" spans="2:26" ht="14.25" customHeight="1" x14ac:dyDescent="0.5">
      <c r="B6" s="50"/>
      <c r="C6" s="50"/>
      <c r="D6" s="50"/>
      <c r="E6" s="50"/>
      <c r="F6" s="50"/>
      <c r="G6" s="50"/>
      <c r="H6" s="50"/>
      <c r="Q6" s="3" t="s">
        <v>44</v>
      </c>
      <c r="R6" s="19">
        <f t="shared" si="1"/>
        <v>0</v>
      </c>
      <c r="S6" s="20">
        <f t="shared" si="2"/>
        <v>0</v>
      </c>
      <c r="T6" s="20">
        <f t="shared" si="3"/>
        <v>0</v>
      </c>
      <c r="U6" s="20">
        <f t="shared" si="4"/>
        <v>0</v>
      </c>
      <c r="V6" s="54" t="b">
        <v>0</v>
      </c>
      <c r="W6" s="40"/>
      <c r="X6" s="24" t="str">
        <f t="shared" si="5"/>
        <v/>
      </c>
      <c r="Y6" s="24" t="str">
        <f t="shared" si="6"/>
        <v/>
      </c>
      <c r="Z6" s="24" t="str">
        <f t="shared" si="7"/>
        <v/>
      </c>
    </row>
    <row r="7" spans="2:26" ht="14.25" customHeight="1" x14ac:dyDescent="0.5">
      <c r="B7" s="50"/>
      <c r="C7" s="50"/>
      <c r="D7" s="50"/>
      <c r="E7" s="50"/>
      <c r="F7" s="50"/>
      <c r="G7" s="50"/>
      <c r="H7" s="50"/>
      <c r="Q7" s="3" t="s">
        <v>46</v>
      </c>
      <c r="R7" s="19">
        <f t="shared" si="1"/>
        <v>0</v>
      </c>
      <c r="S7" s="20">
        <f t="shared" si="2"/>
        <v>0</v>
      </c>
      <c r="T7" s="20">
        <f t="shared" si="3"/>
        <v>0</v>
      </c>
      <c r="U7" s="20">
        <f t="shared" si="4"/>
        <v>0</v>
      </c>
      <c r="V7" s="54" t="b">
        <v>0</v>
      </c>
      <c r="W7" s="40"/>
      <c r="X7" s="24" t="str">
        <f t="shared" si="5"/>
        <v/>
      </c>
      <c r="Y7" s="24" t="str">
        <f t="shared" si="6"/>
        <v/>
      </c>
      <c r="Z7" s="24" t="str">
        <f t="shared" si="7"/>
        <v/>
      </c>
    </row>
    <row r="8" spans="2:26" ht="14.25" customHeight="1" x14ac:dyDescent="0.5">
      <c r="B8" s="50"/>
      <c r="C8" s="50"/>
      <c r="D8" s="50"/>
      <c r="E8" s="50"/>
      <c r="F8" s="50"/>
      <c r="G8" s="50"/>
      <c r="H8" s="50"/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4" t="b">
        <v>0</v>
      </c>
      <c r="W8" s="40"/>
      <c r="X8" s="24" t="str">
        <f t="shared" si="5"/>
        <v/>
      </c>
      <c r="Y8" s="24" t="str">
        <f t="shared" si="6"/>
        <v/>
      </c>
      <c r="Z8" s="24" t="str">
        <f t="shared" si="7"/>
        <v/>
      </c>
    </row>
    <row r="9" spans="2:26" ht="14.25" customHeight="1" x14ac:dyDescent="0.5">
      <c r="B9" s="50"/>
      <c r="C9" s="50"/>
      <c r="D9" s="50"/>
      <c r="E9" s="50"/>
      <c r="F9" s="50"/>
      <c r="G9" s="50"/>
      <c r="H9" s="50"/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4" t="b">
        <v>0</v>
      </c>
      <c r="W9" s="40"/>
      <c r="X9" s="24" t="str">
        <f t="shared" si="5"/>
        <v/>
      </c>
      <c r="Y9" s="24" t="str">
        <f t="shared" si="6"/>
        <v/>
      </c>
      <c r="Z9" s="24" t="str">
        <f t="shared" si="7"/>
        <v/>
      </c>
    </row>
    <row r="10" spans="2:26" ht="14.25" customHeight="1" x14ac:dyDescent="0.5">
      <c r="B10" s="50"/>
      <c r="C10" s="50"/>
      <c r="D10" s="50"/>
      <c r="E10" s="50"/>
      <c r="F10" s="50"/>
      <c r="G10" s="50"/>
      <c r="H10" s="50"/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4" t="b">
        <v>0</v>
      </c>
      <c r="W10" s="40"/>
      <c r="X10" s="24" t="str">
        <f t="shared" si="5"/>
        <v/>
      </c>
      <c r="Y10" s="24" t="str">
        <f t="shared" si="6"/>
        <v/>
      </c>
      <c r="Z10" s="24" t="str">
        <f t="shared" si="7"/>
        <v/>
      </c>
    </row>
    <row r="11" spans="2:26" ht="14.25" customHeight="1" x14ac:dyDescent="0.5">
      <c r="B11" s="50"/>
      <c r="C11" s="50"/>
      <c r="D11" s="50"/>
      <c r="E11" s="50"/>
      <c r="F11" s="50"/>
      <c r="G11" s="50"/>
      <c r="H11" s="50"/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4" t="b">
        <v>0</v>
      </c>
      <c r="W11" s="40"/>
      <c r="X11" s="24" t="str">
        <f t="shared" si="5"/>
        <v/>
      </c>
      <c r="Y11" s="24" t="str">
        <f t="shared" si="6"/>
        <v/>
      </c>
      <c r="Z11" s="24" t="str">
        <f t="shared" si="7"/>
        <v/>
      </c>
    </row>
    <row r="12" spans="2:26" ht="14.25" customHeight="1" x14ac:dyDescent="0.5">
      <c r="B12" s="50"/>
      <c r="C12" s="50"/>
      <c r="D12" s="50"/>
      <c r="E12" s="50"/>
      <c r="F12" s="50"/>
      <c r="G12" s="50"/>
      <c r="H12" s="50"/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4" t="b">
        <v>0</v>
      </c>
      <c r="W12" s="40"/>
      <c r="X12" s="24" t="str">
        <f t="shared" si="5"/>
        <v/>
      </c>
      <c r="Y12" s="24" t="str">
        <f t="shared" si="6"/>
        <v/>
      </c>
      <c r="Z12" s="24" t="str">
        <f t="shared" si="7"/>
        <v/>
      </c>
    </row>
    <row r="13" spans="2:26" ht="14.25" customHeight="1" x14ac:dyDescent="0.5">
      <c r="B13" s="50"/>
      <c r="C13" s="50"/>
      <c r="D13" s="50"/>
      <c r="E13" s="50"/>
      <c r="F13" s="50"/>
      <c r="G13" s="50"/>
      <c r="H13" s="50"/>
      <c r="Q13" s="3" t="s">
        <v>66</v>
      </c>
      <c r="R13" s="19">
        <f t="shared" si="1"/>
        <v>0</v>
      </c>
      <c r="S13" s="20">
        <f t="shared" si="2"/>
        <v>0</v>
      </c>
      <c r="T13" s="20">
        <f t="shared" si="3"/>
        <v>0</v>
      </c>
      <c r="U13" s="20">
        <f t="shared" si="4"/>
        <v>0</v>
      </c>
      <c r="V13" s="54" t="b">
        <v>0</v>
      </c>
      <c r="W13" s="40"/>
      <c r="X13" s="24" t="str">
        <f t="shared" si="5"/>
        <v/>
      </c>
      <c r="Y13" s="24" t="str">
        <f t="shared" si="6"/>
        <v/>
      </c>
      <c r="Z13" s="24" t="str">
        <f t="shared" si="7"/>
        <v/>
      </c>
    </row>
    <row r="14" spans="2:26" ht="14.25" customHeight="1" x14ac:dyDescent="0.5">
      <c r="B14" s="50"/>
      <c r="C14" s="50"/>
      <c r="D14" s="50"/>
      <c r="E14" s="50"/>
      <c r="F14" s="50"/>
      <c r="G14" s="50"/>
      <c r="H14" s="50"/>
      <c r="Q14" s="3" t="s">
        <v>135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4" t="b">
        <v>0</v>
      </c>
      <c r="W14" s="40"/>
      <c r="X14" s="24" t="str">
        <f t="shared" si="5"/>
        <v/>
      </c>
      <c r="Y14" s="24" t="str">
        <f t="shared" si="6"/>
        <v/>
      </c>
      <c r="Z14" s="24" t="str">
        <f t="shared" si="7"/>
        <v/>
      </c>
    </row>
    <row r="15" spans="2:26" ht="14.25" customHeight="1" x14ac:dyDescent="0.5">
      <c r="B15" s="50"/>
      <c r="C15" s="50"/>
      <c r="D15" s="50"/>
      <c r="E15" s="50"/>
      <c r="F15" s="50"/>
      <c r="G15" s="50"/>
      <c r="H15" s="50"/>
      <c r="Q15" s="3" t="s">
        <v>72</v>
      </c>
      <c r="R15" s="19">
        <f t="shared" si="1"/>
        <v>0</v>
      </c>
      <c r="S15" s="20">
        <f t="shared" si="2"/>
        <v>0</v>
      </c>
      <c r="T15" s="20">
        <f t="shared" si="3"/>
        <v>0</v>
      </c>
      <c r="U15" s="20">
        <f t="shared" si="4"/>
        <v>0</v>
      </c>
      <c r="V15" s="54" t="b">
        <v>0</v>
      </c>
      <c r="W15" s="40"/>
      <c r="X15" s="24" t="str">
        <f t="shared" si="5"/>
        <v/>
      </c>
      <c r="Y15" s="24" t="str">
        <f t="shared" si="6"/>
        <v/>
      </c>
      <c r="Z15" s="24" t="str">
        <f t="shared" si="7"/>
        <v/>
      </c>
    </row>
    <row r="16" spans="2:26" ht="14.25" customHeight="1" x14ac:dyDescent="0.5">
      <c r="B16" s="50"/>
      <c r="C16" s="50"/>
      <c r="D16" s="50"/>
      <c r="E16" s="50"/>
      <c r="F16" s="50"/>
      <c r="G16" s="50"/>
      <c r="H16" s="50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4" t="b">
        <v>0</v>
      </c>
      <c r="W16" s="40"/>
      <c r="X16" s="24" t="str">
        <f t="shared" si="5"/>
        <v/>
      </c>
      <c r="Y16" s="24" t="str">
        <f t="shared" si="6"/>
        <v/>
      </c>
      <c r="Z16" s="24" t="str">
        <f t="shared" si="7"/>
        <v/>
      </c>
    </row>
    <row r="17" spans="2:26" ht="14.25" customHeight="1" x14ac:dyDescent="0.5">
      <c r="B17" s="50"/>
      <c r="C17" s="50"/>
      <c r="D17" s="50"/>
      <c r="E17" s="50"/>
      <c r="F17" s="50"/>
      <c r="G17" s="50"/>
      <c r="H17" s="50"/>
      <c r="Q17" s="3" t="s">
        <v>79</v>
      </c>
      <c r="R17" s="19">
        <f t="shared" si="1"/>
        <v>0</v>
      </c>
      <c r="S17" s="20">
        <f t="shared" si="2"/>
        <v>0</v>
      </c>
      <c r="T17" s="20">
        <f t="shared" si="3"/>
        <v>0</v>
      </c>
      <c r="U17" s="20">
        <f t="shared" si="4"/>
        <v>0</v>
      </c>
      <c r="V17" s="54" t="b">
        <v>0</v>
      </c>
      <c r="W17" s="40"/>
      <c r="X17" s="24" t="str">
        <f t="shared" si="5"/>
        <v/>
      </c>
      <c r="Y17" s="24" t="str">
        <f t="shared" si="6"/>
        <v/>
      </c>
      <c r="Z17" s="24" t="str">
        <f t="shared" si="7"/>
        <v/>
      </c>
    </row>
    <row r="18" spans="2:26" ht="14.25" customHeight="1" x14ac:dyDescent="0.5">
      <c r="B18" s="50"/>
      <c r="C18" s="50"/>
      <c r="D18" s="50"/>
      <c r="E18" s="50"/>
      <c r="F18" s="50"/>
      <c r="G18" s="50"/>
      <c r="H18" s="50"/>
      <c r="Q18" s="40" t="s">
        <v>148</v>
      </c>
      <c r="R18" s="42">
        <f t="shared" si="1"/>
        <v>0</v>
      </c>
      <c r="S18" s="20">
        <f t="shared" si="2"/>
        <v>0</v>
      </c>
      <c r="T18" s="20">
        <f t="shared" si="3"/>
        <v>0</v>
      </c>
      <c r="U18" s="20">
        <f t="shared" si="4"/>
        <v>0</v>
      </c>
      <c r="V18" s="54" t="b">
        <v>0</v>
      </c>
      <c r="W18" s="40"/>
      <c r="X18" s="24" t="str">
        <f t="shared" si="5"/>
        <v/>
      </c>
      <c r="Y18" s="24" t="str">
        <f t="shared" si="6"/>
        <v/>
      </c>
      <c r="Z18" s="24" t="str">
        <f t="shared" si="7"/>
        <v/>
      </c>
    </row>
    <row r="19" spans="2:26" ht="14.25" customHeight="1" x14ac:dyDescent="0.5">
      <c r="B19" s="50"/>
      <c r="C19" s="50"/>
      <c r="D19" s="50"/>
      <c r="E19" s="50"/>
      <c r="F19" s="50"/>
      <c r="G19" s="50"/>
      <c r="H19" s="50"/>
      <c r="Q19" s="40"/>
      <c r="R19" s="40"/>
      <c r="S19" s="20"/>
      <c r="T19" s="20"/>
      <c r="U19" s="20"/>
      <c r="V19" s="40"/>
      <c r="W19" s="4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26" ht="14.25" customHeight="1" x14ac:dyDescent="0.45">
      <c r="Q20" s="40"/>
      <c r="R20" s="40"/>
      <c r="S20" s="40"/>
      <c r="T20" s="40"/>
      <c r="U20" s="40"/>
      <c r="V20" s="40"/>
      <c r="W20" s="40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26" ht="14.25" customHeight="1" x14ac:dyDescent="0.45">
      <c r="Q21" s="40"/>
      <c r="R21" s="40"/>
      <c r="S21" s="40"/>
      <c r="T21" s="40"/>
      <c r="U21" s="40"/>
      <c r="V21" s="40"/>
      <c r="W21" s="40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26" ht="14.25" customHeight="1" x14ac:dyDescent="0.45">
      <c r="Q22" s="40"/>
      <c r="R22" s="40"/>
      <c r="S22" s="40"/>
      <c r="T22" s="40"/>
      <c r="U22" s="40"/>
      <c r="V22" s="40"/>
      <c r="W22" s="40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26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8">IF($V3, CHAR(34)&amp;"Did not Play"&amp;CHAR(34), S3)&amp;","</f>
        <v>0,</v>
      </c>
      <c r="T23" s="40" t="str">
        <f t="shared" si="8"/>
        <v>0,</v>
      </c>
      <c r="U23" s="40" t="str">
        <f t="shared" si="8"/>
        <v>0,</v>
      </c>
      <c r="V23" s="40"/>
      <c r="W23" s="40"/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26" ht="14.25" customHeight="1" x14ac:dyDescent="0.45">
      <c r="E24" s="25"/>
      <c r="F24" s="24"/>
      <c r="G24" s="24"/>
      <c r="H24" s="24"/>
      <c r="I24" s="24"/>
      <c r="Q24" s="40"/>
      <c r="R24" s="40" t="str">
        <f t="shared" ref="R24:U37" si="9">IF($V4, CHAR(34)&amp;"Did not Play"&amp;CHAR(34), R4)&amp;","</f>
        <v>0,</v>
      </c>
      <c r="S24" s="40" t="str">
        <f t="shared" si="9"/>
        <v>0,</v>
      </c>
      <c r="T24" s="40" t="str">
        <f t="shared" si="9"/>
        <v>0,</v>
      </c>
      <c r="U24" s="40" t="str">
        <f t="shared" si="9"/>
        <v>0,</v>
      </c>
      <c r="V24" s="40"/>
      <c r="W24" s="40"/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26" ht="14.25" customHeight="1" x14ac:dyDescent="0.45">
      <c r="E25" s="25"/>
      <c r="F25" s="24"/>
      <c r="G25" s="24"/>
      <c r="H25" s="24"/>
      <c r="I25" s="24"/>
      <c r="Q25" s="9"/>
      <c r="R25" s="40" t="str">
        <f t="shared" si="9"/>
        <v>0,</v>
      </c>
      <c r="S25" s="40" t="str">
        <f t="shared" si="9"/>
        <v>0,</v>
      </c>
      <c r="T25" s="40" t="str">
        <f t="shared" si="9"/>
        <v>0,</v>
      </c>
      <c r="U25" s="40" t="str">
        <f t="shared" si="9"/>
        <v>0,</v>
      </c>
      <c r="V25" s="40"/>
      <c r="W25" s="40"/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26" ht="14.25" customHeight="1" x14ac:dyDescent="0.45">
      <c r="E26" s="25"/>
      <c r="F26" s="24"/>
      <c r="G26" s="24"/>
      <c r="H26" s="24"/>
      <c r="I26" s="24"/>
      <c r="Q26" s="26"/>
      <c r="R26" s="40" t="str">
        <f t="shared" si="9"/>
        <v>0,</v>
      </c>
      <c r="S26" s="40" t="str">
        <f t="shared" si="9"/>
        <v>0,</v>
      </c>
      <c r="T26" s="40" t="str">
        <f t="shared" si="9"/>
        <v>0,</v>
      </c>
      <c r="U26" s="40" t="str">
        <f t="shared" si="9"/>
        <v>0,</v>
      </c>
      <c r="V26" s="40"/>
      <c r="W26" s="40"/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26" ht="14.25" customHeight="1" x14ac:dyDescent="0.45">
      <c r="E27" s="25"/>
      <c r="F27" s="24"/>
      <c r="G27" s="24"/>
      <c r="H27" s="24"/>
      <c r="I27" s="24"/>
      <c r="Q27" s="40"/>
      <c r="R27" s="40" t="str">
        <f t="shared" si="9"/>
        <v>0,</v>
      </c>
      <c r="S27" s="40" t="str">
        <f t="shared" si="9"/>
        <v>0,</v>
      </c>
      <c r="T27" s="40" t="str">
        <f t="shared" si="9"/>
        <v>0,</v>
      </c>
      <c r="U27" s="40" t="str">
        <f t="shared" si="9"/>
        <v>0,</v>
      </c>
      <c r="V27" s="40"/>
      <c r="W27" s="40"/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26" ht="14.25" customHeight="1" x14ac:dyDescent="0.45">
      <c r="E28" s="25"/>
      <c r="F28" s="24"/>
      <c r="G28" s="24"/>
      <c r="H28" s="24"/>
      <c r="I28" s="24"/>
      <c r="Q28" s="40"/>
      <c r="R28" s="40" t="str">
        <f t="shared" si="9"/>
        <v>0,</v>
      </c>
      <c r="S28" s="40" t="str">
        <f t="shared" si="9"/>
        <v>0,</v>
      </c>
      <c r="T28" s="40" t="str">
        <f t="shared" si="9"/>
        <v>0,</v>
      </c>
      <c r="U28" s="40" t="str">
        <f t="shared" si="9"/>
        <v>0,</v>
      </c>
      <c r="V28" s="40"/>
      <c r="W28" s="40"/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26" ht="14.25" customHeight="1" x14ac:dyDescent="0.45">
      <c r="E29" s="25"/>
      <c r="F29" s="24"/>
      <c r="G29" s="24"/>
      <c r="H29" s="24"/>
      <c r="I29" s="24"/>
      <c r="Q29" s="40"/>
      <c r="R29" s="40" t="str">
        <f t="shared" si="9"/>
        <v>0,</v>
      </c>
      <c r="S29" s="40" t="str">
        <f t="shared" si="9"/>
        <v>0,</v>
      </c>
      <c r="T29" s="40" t="str">
        <f t="shared" si="9"/>
        <v>0,</v>
      </c>
      <c r="U29" s="40" t="str">
        <f t="shared" si="9"/>
        <v>0,</v>
      </c>
      <c r="V29" s="40"/>
      <c r="W29" s="40"/>
      <c r="X29" s="40"/>
      <c r="Y29" s="40"/>
      <c r="Z29" s="40"/>
    </row>
    <row r="30" spans="2:26" ht="14.25" customHeight="1" x14ac:dyDescent="0.45">
      <c r="E30" s="25"/>
      <c r="F30" s="24"/>
      <c r="G30" s="24"/>
      <c r="H30" s="24"/>
      <c r="I30" s="24"/>
      <c r="Q30" s="40"/>
      <c r="R30" s="40" t="str">
        <f t="shared" si="9"/>
        <v>0,</v>
      </c>
      <c r="S30" s="40" t="str">
        <f t="shared" si="9"/>
        <v>0,</v>
      </c>
      <c r="T30" s="40" t="str">
        <f t="shared" si="9"/>
        <v>0,</v>
      </c>
      <c r="U30" s="40" t="str">
        <f t="shared" si="9"/>
        <v>0,</v>
      </c>
      <c r="V30" s="40"/>
      <c r="W30" s="40"/>
      <c r="X30" s="40"/>
      <c r="Y30" s="40"/>
      <c r="Z30" s="40"/>
    </row>
    <row r="31" spans="2:26" ht="14.25" customHeight="1" x14ac:dyDescent="0.45">
      <c r="Q31" s="40"/>
      <c r="R31" s="40" t="str">
        <f t="shared" si="9"/>
        <v>0,</v>
      </c>
      <c r="S31" s="40" t="str">
        <f t="shared" si="9"/>
        <v>0,</v>
      </c>
      <c r="T31" s="40" t="str">
        <f t="shared" si="9"/>
        <v>0,</v>
      </c>
      <c r="U31" s="40" t="str">
        <f t="shared" si="9"/>
        <v>0,</v>
      </c>
      <c r="V31" s="40"/>
      <c r="W31" s="40"/>
      <c r="X31" s="40"/>
      <c r="Y31" s="40"/>
      <c r="Z31" s="40"/>
    </row>
    <row r="32" spans="2:26" ht="14.25" customHeight="1" x14ac:dyDescent="0.45">
      <c r="Q32" s="40"/>
      <c r="R32" s="40" t="str">
        <f t="shared" si="9"/>
        <v>0,</v>
      </c>
      <c r="S32" s="40" t="str">
        <f t="shared" si="9"/>
        <v>0,</v>
      </c>
      <c r="T32" s="40" t="str">
        <f t="shared" si="9"/>
        <v>0,</v>
      </c>
      <c r="U32" s="40" t="str">
        <f t="shared" si="9"/>
        <v>0,</v>
      </c>
      <c r="V32" s="40"/>
      <c r="W32" s="40"/>
      <c r="X32" s="40"/>
      <c r="Y32" s="40"/>
      <c r="Z32" s="40"/>
    </row>
    <row r="33" spans="17:26" ht="14.25" customHeight="1" x14ac:dyDescent="0.45">
      <c r="Q33" s="40"/>
      <c r="R33" s="40" t="str">
        <f t="shared" si="9"/>
        <v>0,</v>
      </c>
      <c r="S33" s="40" t="str">
        <f t="shared" si="9"/>
        <v>0,</v>
      </c>
      <c r="T33" s="40" t="str">
        <f t="shared" si="9"/>
        <v>0,</v>
      </c>
      <c r="U33" s="40" t="str">
        <f t="shared" si="9"/>
        <v>0,</v>
      </c>
      <c r="V33" s="40"/>
      <c r="W33" s="40"/>
      <c r="X33" s="40"/>
      <c r="Y33" s="40"/>
      <c r="Z33" s="40"/>
    </row>
    <row r="34" spans="17:26" ht="14.25" customHeight="1" x14ac:dyDescent="0.45">
      <c r="Q34" s="40"/>
      <c r="R34" s="40" t="str">
        <f t="shared" si="9"/>
        <v>0,</v>
      </c>
      <c r="S34" s="40" t="str">
        <f t="shared" si="9"/>
        <v>0,</v>
      </c>
      <c r="T34" s="40" t="str">
        <f t="shared" si="9"/>
        <v>0,</v>
      </c>
      <c r="U34" s="40" t="str">
        <f t="shared" si="9"/>
        <v>0,</v>
      </c>
      <c r="V34" s="40"/>
      <c r="W34" s="40"/>
      <c r="X34" s="40"/>
      <c r="Y34" s="40"/>
      <c r="Z34" s="40"/>
    </row>
    <row r="35" spans="17:26" ht="14.25" customHeight="1" x14ac:dyDescent="0.45">
      <c r="Q35" s="40"/>
      <c r="R35" s="40" t="str">
        <f t="shared" si="9"/>
        <v>0,</v>
      </c>
      <c r="S35" s="40" t="str">
        <f t="shared" si="9"/>
        <v>0,</v>
      </c>
      <c r="T35" s="40" t="str">
        <f t="shared" si="9"/>
        <v>0,</v>
      </c>
      <c r="U35" s="40" t="str">
        <f t="shared" si="9"/>
        <v>0,</v>
      </c>
      <c r="V35" s="40"/>
      <c r="W35" s="40"/>
      <c r="X35" s="40"/>
      <c r="Y35" s="40"/>
      <c r="Z35" s="40"/>
    </row>
    <row r="36" spans="17:26" ht="14.25" customHeight="1" x14ac:dyDescent="0.45">
      <c r="Q36" s="40"/>
      <c r="R36" s="40" t="str">
        <f t="shared" si="9"/>
        <v>0,</v>
      </c>
      <c r="S36" s="40" t="str">
        <f t="shared" si="9"/>
        <v>0,</v>
      </c>
      <c r="T36" s="40" t="str">
        <f t="shared" si="9"/>
        <v>0,</v>
      </c>
      <c r="U36" s="40" t="str">
        <f t="shared" si="9"/>
        <v>0,</v>
      </c>
      <c r="V36" s="40"/>
      <c r="W36" s="40"/>
      <c r="X36" s="40"/>
      <c r="Y36" s="40"/>
      <c r="Z36" s="40"/>
    </row>
    <row r="37" spans="17:26" ht="14.25" customHeight="1" x14ac:dyDescent="0.45">
      <c r="Q37" s="40"/>
      <c r="R37" s="40" t="str">
        <f t="shared" si="9"/>
        <v>0,</v>
      </c>
      <c r="S37" s="40" t="str">
        <f t="shared" si="9"/>
        <v>0,</v>
      </c>
      <c r="T37" s="40" t="str">
        <f t="shared" si="9"/>
        <v>0,</v>
      </c>
      <c r="U37" s="40" t="str">
        <f t="shared" si="9"/>
        <v>0,</v>
      </c>
      <c r="V37" s="40"/>
      <c r="W37" s="40"/>
      <c r="X37" s="40"/>
      <c r="Y37" s="40"/>
      <c r="Z37" s="40"/>
    </row>
    <row r="38" spans="17:26" ht="14.25" customHeight="1" x14ac:dyDescent="0.45">
      <c r="Q38" s="40"/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V38" s="40"/>
      <c r="W38" s="40"/>
      <c r="X38" s="40"/>
      <c r="Y38" s="40"/>
      <c r="Z38" s="40"/>
    </row>
    <row r="39" spans="17:26" ht="14.25" customHeight="1" x14ac:dyDescent="0.45">
      <c r="Q39" s="40"/>
      <c r="R39" s="40"/>
      <c r="S39" s="19"/>
      <c r="T39" s="19"/>
      <c r="U39" s="19"/>
      <c r="V39" s="40"/>
      <c r="W39" s="40"/>
      <c r="X39" s="40"/>
      <c r="Y39" s="40"/>
      <c r="Z39" s="40"/>
    </row>
    <row r="40" spans="17:26" ht="14.25" customHeight="1" x14ac:dyDescent="0.45">
      <c r="Q40" s="40"/>
      <c r="R40" s="40"/>
      <c r="S40" s="19"/>
      <c r="T40" s="19"/>
      <c r="U40" s="19"/>
      <c r="V40" s="40"/>
      <c r="W40" s="40"/>
      <c r="X40" s="40"/>
      <c r="Y40" s="40"/>
      <c r="Z40" s="40"/>
    </row>
    <row r="41" spans="17:26" ht="14.25" customHeight="1" x14ac:dyDescent="0.45">
      <c r="Q41" s="147" t="s">
        <v>159</v>
      </c>
      <c r="R41" s="147"/>
      <c r="S41" s="147"/>
      <c r="T41" s="19"/>
      <c r="U41" s="19"/>
      <c r="V41" s="40"/>
      <c r="W41" s="40"/>
      <c r="X41" s="40"/>
      <c r="Y41" s="40"/>
      <c r="Z41" s="40"/>
    </row>
    <row r="42" spans="17:26" ht="14.25" customHeight="1" x14ac:dyDescent="0.45">
      <c r="Q42" s="147"/>
      <c r="R42" s="147"/>
      <c r="S42" s="147"/>
      <c r="T42" s="40"/>
      <c r="U42" s="40"/>
      <c r="V42" s="40"/>
      <c r="W42" s="40"/>
      <c r="X42" s="40"/>
      <c r="Y42" s="40"/>
      <c r="Z42" s="40"/>
    </row>
    <row r="43" spans="17:26" ht="14.25" customHeight="1" x14ac:dyDescent="0.45">
      <c r="Q43" s="40" t="str">
        <f>CHAR(34)&amp;"Date"&amp;CHAR(34)&amp;":["&amp;CHAR(34)&amp;"20-Apr"&amp;CHAR(34)&amp;"],"</f>
        <v>"Date":["20-Apr"],</v>
      </c>
      <c r="R43" s="40"/>
      <c r="S43" s="40"/>
      <c r="T43" s="40"/>
      <c r="U43" s="40"/>
      <c r="V43" s="40"/>
      <c r="W43" s="40"/>
      <c r="X43" s="40"/>
      <c r="Y43" s="40"/>
      <c r="Z43" s="40"/>
    </row>
    <row r="44" spans="17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"Points":[0,0,0,0,0,0,0,0,0,0,0,0,0,0,0,0],</v>
      </c>
      <c r="R44" s="40"/>
      <c r="S44" s="40"/>
      <c r="T44" s="40"/>
      <c r="U44" s="40"/>
      <c r="V44" s="40"/>
      <c r="W44" s="40"/>
      <c r="X44" s="40"/>
      <c r="Y44" s="40"/>
      <c r="Z44" s="40"/>
    </row>
    <row r="45" spans="17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"Finishes":[0,0,0,0,0,0,0,0,0,0,0,0,0,0,0,0],</v>
      </c>
      <c r="R45" s="40"/>
      <c r="S45" s="40"/>
      <c r="T45" s="40"/>
      <c r="U45" s="40"/>
      <c r="V45" s="40"/>
      <c r="W45" s="40"/>
      <c r="X45" s="40"/>
      <c r="Y45" s="40"/>
      <c r="Z45" s="40"/>
    </row>
    <row r="46" spans="17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"Midrange":[0,0,0,0,0,0,0,0,0,0,0,0,0,0,0,0],</v>
      </c>
      <c r="R46" s="40"/>
      <c r="S46" s="40"/>
      <c r="T46" s="40"/>
      <c r="U46" s="40"/>
      <c r="V46" s="40"/>
      <c r="W46" s="40"/>
      <c r="X46" s="40"/>
      <c r="Y46" s="40"/>
      <c r="Z46" s="40"/>
    </row>
    <row r="47" spans="17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  <c r="R47" s="40"/>
      <c r="S47" s="40"/>
      <c r="T47" s="40"/>
      <c r="U47" s="40"/>
      <c r="V47" s="40"/>
      <c r="W47" s="40"/>
      <c r="X47" s="40"/>
      <c r="Y47" s="40"/>
      <c r="Z47" s="40"/>
    </row>
    <row r="48" spans="17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D6EA-0942-4896-8FCD-5B2FCE43B119}">
  <sheetPr codeName="Sheet8"/>
  <dimension ref="B1:AE1000"/>
  <sheetViews>
    <sheetView topLeftCell="D1" zoomScale="55" zoomScaleNormal="55" workbookViewId="0">
      <selection activeCell="AB2" sqref="AB2:AE18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45040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5</v>
      </c>
      <c r="N3" s="23">
        <f t="shared" ref="N3:N5" si="0">L3/(L3+M3)</f>
        <v>0.375</v>
      </c>
      <c r="O3" s="24">
        <v>2</v>
      </c>
      <c r="Q3" s="3" t="s">
        <v>33</v>
      </c>
      <c r="R3" s="19">
        <f t="shared" ref="R3:R18" si="1">COUNTIF($E$3:$E$27, Q3)+U3</f>
        <v>0</v>
      </c>
      <c r="S3" s="20">
        <f>COUNTIFS($E$3:$E$27, $Q3,$F$3:$F$27,"Finish")</f>
        <v>0</v>
      </c>
      <c r="T3" s="20">
        <f t="shared" ref="T3:T18" si="2">COUNTIFS($E$3:$E$27, $Q3,$F$3:$F$27,"Midrange")</f>
        <v>0</v>
      </c>
      <c r="U3" s="20">
        <f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51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COUNTIF(C3:C30, "5 Musketeers")</f>
        <v>7</v>
      </c>
      <c r="M4" s="24">
        <f>COUNTIF(D3:D30, "5 Musketeers")</f>
        <v>3</v>
      </c>
      <c r="N4" s="23">
        <f t="shared" si="0"/>
        <v>0.7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ref="S4:S18" si="3">COUNTIFS($E$3:$E$27, $Q4,$F$3:$F$27,"Finish")</f>
        <v>0</v>
      </c>
      <c r="T4" s="20">
        <f t="shared" si="2"/>
        <v>0</v>
      </c>
      <c r="U4" s="20">
        <f t="shared" ref="U4:U18" si="4">COUNTIFS($E$3:$E$27, $Q4,$F$3:$F$27,"Three Pointer")</f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57</v>
      </c>
      <c r="D5" s="53" t="s">
        <v>39</v>
      </c>
      <c r="E5" s="53" t="s">
        <v>72</v>
      </c>
      <c r="F5" s="53" t="s">
        <v>154</v>
      </c>
      <c r="G5" s="53">
        <v>1</v>
      </c>
      <c r="H5" s="53">
        <v>1</v>
      </c>
      <c r="I5" s="53">
        <v>1</v>
      </c>
      <c r="K5" s="24" t="s">
        <v>133</v>
      </c>
      <c r="L5" s="24">
        <f>COUNTIF(C3:C30, "Wet Willies")</f>
        <v>3</v>
      </c>
      <c r="M5" s="24">
        <f>COUNTIF(D3:D30, "Wet Willies")</f>
        <v>5</v>
      </c>
      <c r="N5" s="23">
        <f t="shared" si="0"/>
        <v>0.375</v>
      </c>
      <c r="O5" s="24">
        <f>IF(AND(N5&gt;N4, N5&gt;N3), 3, IF(OR(N5&gt;N4, N5&gt;N3), 2, 1))</f>
        <v>1</v>
      </c>
      <c r="Q5" s="3" t="s">
        <v>38</v>
      </c>
      <c r="R5" s="19">
        <f t="shared" si="1"/>
        <v>3</v>
      </c>
      <c r="S5" s="20">
        <f t="shared" si="3"/>
        <v>3</v>
      </c>
      <c r="T5" s="20">
        <f t="shared" si="2"/>
        <v>0</v>
      </c>
      <c r="U5" s="20">
        <f t="shared" si="4"/>
        <v>0</v>
      </c>
      <c r="V5" s="54" t="b">
        <v>0</v>
      </c>
      <c r="X5" s="24" t="str">
        <f t="shared" si="5"/>
        <v>LG/WW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3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57</v>
      </c>
      <c r="E6" s="53" t="s">
        <v>38</v>
      </c>
      <c r="F6" s="53" t="s">
        <v>154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1"/>
        <v>1</v>
      </c>
      <c r="S6" s="20">
        <f t="shared" si="3"/>
        <v>1</v>
      </c>
      <c r="T6" s="20">
        <f t="shared" si="2"/>
        <v>0</v>
      </c>
      <c r="U6" s="20">
        <f t="shared" si="4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5M/LG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39</v>
      </c>
      <c r="E7" s="53" t="s">
        <v>60</v>
      </c>
      <c r="F7" s="53" t="s">
        <v>123</v>
      </c>
      <c r="G7" s="53">
        <v>2</v>
      </c>
      <c r="H7" s="53">
        <v>2</v>
      </c>
      <c r="I7" s="53">
        <v>1</v>
      </c>
      <c r="Q7" s="3" t="s">
        <v>46</v>
      </c>
      <c r="R7" s="19">
        <f t="shared" si="1"/>
        <v>0</v>
      </c>
      <c r="S7" s="20">
        <f t="shared" si="3"/>
        <v>0</v>
      </c>
      <c r="T7" s="20">
        <f t="shared" si="2"/>
        <v>0</v>
      </c>
      <c r="U7" s="20">
        <f t="shared" si="4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5M/WW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57</v>
      </c>
      <c r="E8" s="53" t="s">
        <v>38</v>
      </c>
      <c r="F8" s="53" t="s">
        <v>154</v>
      </c>
      <c r="G8" s="53">
        <v>3</v>
      </c>
      <c r="H8" s="53">
        <v>2</v>
      </c>
      <c r="I8" s="53">
        <v>1</v>
      </c>
      <c r="Q8" s="3" t="s">
        <v>51</v>
      </c>
      <c r="R8" s="19">
        <f t="shared" si="1"/>
        <v>2</v>
      </c>
      <c r="S8" s="20">
        <f t="shared" si="3"/>
        <v>2</v>
      </c>
      <c r="T8" s="20">
        <f t="shared" si="2"/>
        <v>0</v>
      </c>
      <c r="U8" s="20">
        <f t="shared" si="4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5M/LG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34</v>
      </c>
      <c r="E9" s="53" t="s">
        <v>51</v>
      </c>
      <c r="F9" s="53" t="s">
        <v>154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1"/>
        <v>0</v>
      </c>
      <c r="S9" s="20">
        <f t="shared" si="3"/>
        <v>0</v>
      </c>
      <c r="T9" s="20">
        <f t="shared" si="2"/>
        <v>0</v>
      </c>
      <c r="U9" s="20">
        <f t="shared" si="4"/>
        <v>0</v>
      </c>
      <c r="V9" s="54" t="b">
        <v>0</v>
      </c>
      <c r="X9" s="24" t="str">
        <f t="shared" si="5"/>
        <v/>
      </c>
      <c r="Y9" s="24" t="str">
        <f t="shared" si="6"/>
        <v>WW/5M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57</v>
      </c>
      <c r="D10" s="53" t="s">
        <v>39</v>
      </c>
      <c r="E10" s="53" t="s">
        <v>72</v>
      </c>
      <c r="F10" s="53" t="s">
        <v>154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1"/>
        <v>0</v>
      </c>
      <c r="S10" s="20">
        <f t="shared" si="3"/>
        <v>0</v>
      </c>
      <c r="T10" s="20">
        <f t="shared" si="2"/>
        <v>0</v>
      </c>
      <c r="U10" s="20">
        <f t="shared" si="4"/>
        <v>0</v>
      </c>
      <c r="V10" s="54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57</v>
      </c>
      <c r="E11" s="53" t="s">
        <v>38</v>
      </c>
      <c r="F11" s="53" t="s">
        <v>154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1"/>
        <v>2</v>
      </c>
      <c r="S11" s="20">
        <f t="shared" si="3"/>
        <v>1</v>
      </c>
      <c r="T11" s="20">
        <f t="shared" si="2"/>
        <v>1</v>
      </c>
      <c r="U11" s="20">
        <f t="shared" si="4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34</v>
      </c>
      <c r="D12" s="53" t="s">
        <v>39</v>
      </c>
      <c r="E12" s="53" t="s">
        <v>66</v>
      </c>
      <c r="F12" s="53" t="s">
        <v>154</v>
      </c>
      <c r="G12" s="53">
        <v>2</v>
      </c>
      <c r="H12" s="53">
        <v>2</v>
      </c>
      <c r="I12" s="53">
        <v>1</v>
      </c>
      <c r="Q12" s="3" t="s">
        <v>63</v>
      </c>
      <c r="R12" s="19">
        <f t="shared" si="1"/>
        <v>0</v>
      </c>
      <c r="S12" s="20">
        <f t="shared" si="3"/>
        <v>0</v>
      </c>
      <c r="T12" s="20">
        <f t="shared" si="2"/>
        <v>0</v>
      </c>
      <c r="U12" s="20">
        <f t="shared" si="4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5M/WW</v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34</v>
      </c>
      <c r="D13" s="53" t="s">
        <v>57</v>
      </c>
      <c r="E13" s="53" t="s">
        <v>66</v>
      </c>
      <c r="F13" s="53" t="s">
        <v>154</v>
      </c>
      <c r="G13" s="53">
        <v>3</v>
      </c>
      <c r="H13" s="53">
        <v>2</v>
      </c>
      <c r="I13" s="53">
        <v>2</v>
      </c>
      <c r="Q13" s="3" t="s">
        <v>66</v>
      </c>
      <c r="R13" s="19">
        <f t="shared" si="1"/>
        <v>2</v>
      </c>
      <c r="S13" s="20">
        <f t="shared" si="3"/>
        <v>2</v>
      </c>
      <c r="T13" s="20">
        <f t="shared" si="2"/>
        <v>0</v>
      </c>
      <c r="U13" s="20">
        <f t="shared" si="4"/>
        <v>0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5M/LG</v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39</v>
      </c>
      <c r="E14" s="53" t="s">
        <v>60</v>
      </c>
      <c r="F14" s="53" t="s">
        <v>154</v>
      </c>
      <c r="G14" s="53">
        <v>4</v>
      </c>
      <c r="H14" s="53">
        <v>3</v>
      </c>
      <c r="I14" s="53">
        <v>1</v>
      </c>
      <c r="Q14" s="3" t="s">
        <v>69</v>
      </c>
      <c r="R14" s="19">
        <f t="shared" si="1"/>
        <v>0</v>
      </c>
      <c r="S14" s="20">
        <f t="shared" si="3"/>
        <v>0</v>
      </c>
      <c r="T14" s="20">
        <f t="shared" si="2"/>
        <v>0</v>
      </c>
      <c r="U14" s="20">
        <f t="shared" si="4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57</v>
      </c>
      <c r="D15" s="53" t="s">
        <v>34</v>
      </c>
      <c r="E15" s="53" t="s">
        <v>72</v>
      </c>
      <c r="F15" s="53" t="s">
        <v>154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1"/>
        <v>3</v>
      </c>
      <c r="S15" s="20">
        <f t="shared" si="3"/>
        <v>3</v>
      </c>
      <c r="T15" s="20">
        <f t="shared" si="2"/>
        <v>0</v>
      </c>
      <c r="U15" s="20">
        <f t="shared" si="4"/>
        <v>0</v>
      </c>
      <c r="V15" s="54" t="b">
        <v>0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2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39</v>
      </c>
      <c r="D16" s="53" t="s">
        <v>57</v>
      </c>
      <c r="E16" s="53" t="s">
        <v>44</v>
      </c>
      <c r="F16" s="53" t="s">
        <v>154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1"/>
        <v>0</v>
      </c>
      <c r="S16" s="20">
        <f t="shared" si="3"/>
        <v>0</v>
      </c>
      <c r="T16" s="20">
        <f t="shared" si="2"/>
        <v>0</v>
      </c>
      <c r="U16" s="20">
        <f t="shared" si="4"/>
        <v>0</v>
      </c>
      <c r="V16" s="40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41"/>
      <c r="C17" s="41"/>
      <c r="D17" s="41"/>
      <c r="E17" s="41"/>
      <c r="F17" s="41"/>
      <c r="G17" s="41"/>
      <c r="H17" s="41"/>
      <c r="I17" s="41"/>
      <c r="Q17" s="3" t="s">
        <v>79</v>
      </c>
      <c r="R17" s="19">
        <f t="shared" si="1"/>
        <v>0</v>
      </c>
      <c r="S17" s="20">
        <f t="shared" si="3"/>
        <v>0</v>
      </c>
      <c r="T17" s="20">
        <f t="shared" si="2"/>
        <v>0</v>
      </c>
      <c r="U17" s="20">
        <f t="shared" si="4"/>
        <v>0</v>
      </c>
      <c r="V17" s="40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41"/>
      <c r="C18" s="41"/>
      <c r="D18" s="41"/>
      <c r="E18" s="41"/>
      <c r="F18" s="41"/>
      <c r="G18" s="41"/>
      <c r="H18" s="41"/>
      <c r="I18" s="41"/>
      <c r="Q18" s="40" t="s">
        <v>148</v>
      </c>
      <c r="R18" s="42">
        <f t="shared" si="1"/>
        <v>0</v>
      </c>
      <c r="S18" s="20">
        <f t="shared" si="3"/>
        <v>0</v>
      </c>
      <c r="T18" s="20">
        <f t="shared" si="2"/>
        <v>0</v>
      </c>
      <c r="U18" s="20">
        <f t="shared" si="4"/>
        <v>0</v>
      </c>
      <c r="V18" s="40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41"/>
      <c r="C19" s="41"/>
      <c r="D19" s="41"/>
      <c r="E19" s="41"/>
      <c r="F19" s="41"/>
      <c r="G19" s="41"/>
      <c r="H19" s="41"/>
      <c r="I19" s="41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5">
      <c r="E20" s="51"/>
      <c r="F20" s="51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E24" s="25"/>
      <c r="F24" s="24"/>
      <c r="G24" s="24"/>
      <c r="H24" s="24"/>
      <c r="I24" s="24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E25" s="25"/>
      <c r="F25" s="24"/>
      <c r="G25" s="24"/>
      <c r="H25" s="24"/>
      <c r="I25" s="24"/>
      <c r="Q25" s="9"/>
      <c r="R25" s="40" t="str">
        <f t="shared" si="12"/>
        <v>3,</v>
      </c>
      <c r="S25" s="40" t="str">
        <f t="shared" si="12"/>
        <v>3,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E26" s="25"/>
      <c r="F26" s="24"/>
      <c r="G26" s="24"/>
      <c r="H26" s="24"/>
      <c r="I26" s="24"/>
      <c r="Q26" s="26"/>
      <c r="R26" s="40" t="str">
        <f t="shared" si="12"/>
        <v>1,</v>
      </c>
      <c r="S26" s="40" t="str">
        <f t="shared" si="12"/>
        <v>1,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E27" s="25"/>
      <c r="F27" s="24"/>
      <c r="G27" s="24"/>
      <c r="H27" s="24"/>
      <c r="I27" s="24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E28" s="25"/>
      <c r="F28" s="24"/>
      <c r="G28" s="24"/>
      <c r="H28" s="24"/>
      <c r="I28" s="24"/>
      <c r="R28" s="40" t="str">
        <f t="shared" si="12"/>
        <v>2,</v>
      </c>
      <c r="S28" s="40" t="str">
        <f t="shared" si="12"/>
        <v>2,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3,</v>
      </c>
      <c r="S35" s="40" t="str">
        <f t="shared" si="12"/>
        <v>3,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47" t="s">
        <v>159</v>
      </c>
      <c r="R41" s="147"/>
      <c r="S41" s="147"/>
      <c r="T41" s="19"/>
      <c r="U41" s="19"/>
    </row>
    <row r="42" spans="17:21" ht="14.25" customHeight="1" x14ac:dyDescent="0.45">
      <c r="Q42" s="147"/>
      <c r="R42" s="147"/>
      <c r="S42" s="147"/>
    </row>
    <row r="43" spans="17:21" ht="14.25" customHeight="1" x14ac:dyDescent="0.45">
      <c r="Q43" s="40" t="str">
        <f>CHAR(34)&amp;"Date"&amp;CHAR(34)&amp;":["&amp;CHAR(34)&amp;"24-Apr"&amp;CHAR(34)&amp;"],"</f>
        <v>"Date":["24-Apr"],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"Points":[0,0,3,1,0,2,0,0,2,0,2,0,3,0,0,0],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"Finishes":[0,0,3,1,0,2,0,0,1,0,2,0,3,0,0,0],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"Midrange":[0,0,0,0,0,0,0,0,1,0,0,0,0,0,0,0],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7ADA-4AE3-448A-96DF-C6B453B6FF51}">
  <sheetPr codeName="Sheet9"/>
  <dimension ref="B1:AE1000"/>
  <sheetViews>
    <sheetView topLeftCell="M1" zoomScale="70" zoomScaleNormal="70" workbookViewId="0">
      <selection activeCell="AB2" sqref="AB2:AE18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45042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3</v>
      </c>
      <c r="N3" s="23">
        <f t="shared" ref="N3:N5" si="0">L3/(L3+M3)</f>
        <v>0.5</v>
      </c>
      <c r="O3" s="24">
        <f>IF(AND(N3&gt;N4, N3&gt;N5), 3, IF(OR(N3&gt;N4, N3&gt;N5), 2, 1))</f>
        <v>2</v>
      </c>
      <c r="Q3" s="3" t="s">
        <v>33</v>
      </c>
      <c r="R3" s="19">
        <f t="shared" ref="R3:R18" si="1">COUNTIF($E$3:$E$27, Q3)+U3</f>
        <v>1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1</v>
      </c>
      <c r="U3" s="20">
        <f t="shared" ref="U3:U18" si="4"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44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COUNTIF(C3:C30, "5 Musketeers")</f>
        <v>4</v>
      </c>
      <c r="M4" s="24">
        <f>COUNTIF(D3:D30, "5 Musketeers")</f>
        <v>3</v>
      </c>
      <c r="N4" s="23">
        <f t="shared" si="0"/>
        <v>0.5714285714285714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4" t="b">
        <v>1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57</v>
      </c>
      <c r="E5" s="53" t="s">
        <v>46</v>
      </c>
      <c r="F5" s="53" t="s">
        <v>154</v>
      </c>
      <c r="G5" s="53">
        <v>2</v>
      </c>
      <c r="H5" s="53">
        <v>1</v>
      </c>
      <c r="I5" s="53">
        <v>1</v>
      </c>
      <c r="K5" s="24" t="s">
        <v>133</v>
      </c>
      <c r="L5" s="24">
        <f>COUNTIF(C3:C30, "Wet Willies")</f>
        <v>3</v>
      </c>
      <c r="M5" s="24">
        <f>COUNTIF(D3:D30, "Wet Willies")</f>
        <v>4</v>
      </c>
      <c r="N5" s="23">
        <f t="shared" si="0"/>
        <v>0.42857142857142855</v>
      </c>
      <c r="O5" s="24">
        <f>IF(AND(N5&gt;N4, N5&gt;N3), 3, IF(OR(N5&gt;N4, N5&gt;N3), 2, 1))</f>
        <v>1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4" t="b">
        <v>0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171</v>
      </c>
      <c r="F6" s="53" t="s">
        <v>123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1"/>
        <v>2</v>
      </c>
      <c r="S6" s="20">
        <f t="shared" si="2"/>
        <v>2</v>
      </c>
      <c r="T6" s="20">
        <f t="shared" si="3"/>
        <v>0</v>
      </c>
      <c r="U6" s="20">
        <f t="shared" si="4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57</v>
      </c>
      <c r="E7" s="53" t="s">
        <v>66</v>
      </c>
      <c r="F7" s="53" t="s">
        <v>154</v>
      </c>
      <c r="G7" s="53">
        <v>2</v>
      </c>
      <c r="H7" s="53">
        <v>2</v>
      </c>
      <c r="I7" s="53">
        <v>1</v>
      </c>
      <c r="Q7" s="3" t="s">
        <v>46</v>
      </c>
      <c r="R7" s="19">
        <f t="shared" si="1"/>
        <v>1</v>
      </c>
      <c r="S7" s="20">
        <f t="shared" si="2"/>
        <v>1</v>
      </c>
      <c r="T7" s="20">
        <f t="shared" si="3"/>
        <v>0</v>
      </c>
      <c r="U7" s="20">
        <f t="shared" si="4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39</v>
      </c>
      <c r="E8" s="53" t="s">
        <v>33</v>
      </c>
      <c r="F8" s="53" t="s">
        <v>123</v>
      </c>
      <c r="G8" s="53">
        <v>3</v>
      </c>
      <c r="H8" s="53">
        <v>2</v>
      </c>
      <c r="I8" s="53">
        <v>1</v>
      </c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34</v>
      </c>
      <c r="E9" s="53" t="s">
        <v>72</v>
      </c>
      <c r="F9" s="53" t="s">
        <v>154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4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39</v>
      </c>
      <c r="D10" s="53" t="s">
        <v>57</v>
      </c>
      <c r="E10" s="53" t="s">
        <v>44</v>
      </c>
      <c r="F10" s="53" t="s">
        <v>154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4" t="b">
        <v>0</v>
      </c>
      <c r="X10" s="24" t="str">
        <f t="shared" si="5"/>
        <v/>
      </c>
      <c r="Y10" s="24" t="str">
        <f t="shared" si="6"/>
        <v>WW/LG</v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39</v>
      </c>
      <c r="E11" s="53" t="s">
        <v>66</v>
      </c>
      <c r="F11" s="53" t="s">
        <v>154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4" t="b">
        <v>1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57</v>
      </c>
      <c r="D12" s="53" t="s">
        <v>34</v>
      </c>
      <c r="E12" s="53" t="s">
        <v>79</v>
      </c>
      <c r="F12" s="53" t="s">
        <v>154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4" t="b">
        <v>0</v>
      </c>
      <c r="X12" s="24" t="str">
        <f t="shared" si="5"/>
        <v>LG/5M</v>
      </c>
      <c r="Y12" s="24" t="str">
        <f t="shared" si="6"/>
        <v/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57</v>
      </c>
      <c r="D13" s="53" t="s">
        <v>39</v>
      </c>
      <c r="E13" s="53" t="s">
        <v>148</v>
      </c>
      <c r="F13" s="53" t="s">
        <v>154</v>
      </c>
      <c r="G13" s="53">
        <v>2</v>
      </c>
      <c r="H13" s="53">
        <v>2</v>
      </c>
      <c r="I13" s="53">
        <v>1</v>
      </c>
      <c r="Q13" s="3" t="s">
        <v>66</v>
      </c>
      <c r="R13" s="19">
        <f t="shared" si="1"/>
        <v>2</v>
      </c>
      <c r="S13" s="20">
        <f t="shared" si="2"/>
        <v>2</v>
      </c>
      <c r="T13" s="20">
        <f t="shared" si="3"/>
        <v>0</v>
      </c>
      <c r="U13" s="20">
        <f t="shared" si="4"/>
        <v>0</v>
      </c>
      <c r="V13" s="54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/>
      <c r="C14" s="53"/>
      <c r="D14" s="53"/>
      <c r="E14" s="53"/>
      <c r="F14" s="53"/>
      <c r="G14" s="53"/>
      <c r="H14" s="53"/>
      <c r="I14" s="53"/>
      <c r="Q14" s="3" t="s">
        <v>69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/>
      <c r="C15" s="53"/>
      <c r="D15" s="53"/>
      <c r="E15" s="53"/>
      <c r="F15" s="53"/>
      <c r="G15" s="53"/>
      <c r="H15" s="53"/>
      <c r="I15" s="53"/>
      <c r="Q15" s="3" t="s">
        <v>72</v>
      </c>
      <c r="R15" s="19">
        <f t="shared" si="1"/>
        <v>1</v>
      </c>
      <c r="S15" s="20">
        <f t="shared" si="2"/>
        <v>1</v>
      </c>
      <c r="T15" s="20">
        <f t="shared" si="3"/>
        <v>0</v>
      </c>
      <c r="U15" s="20">
        <f t="shared" si="4"/>
        <v>0</v>
      </c>
      <c r="V15" s="54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/>
      <c r="C16" s="53"/>
      <c r="D16" s="53"/>
      <c r="E16" s="53"/>
      <c r="F16" s="53"/>
      <c r="G16" s="53"/>
      <c r="H16" s="53"/>
      <c r="I16" s="53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/>
      <c r="C17" s="53"/>
      <c r="D17" s="53"/>
      <c r="E17" s="53"/>
      <c r="F17" s="53"/>
      <c r="G17" s="53"/>
      <c r="H17" s="53"/>
      <c r="I17" s="53"/>
      <c r="Q17" s="3" t="s">
        <v>79</v>
      </c>
      <c r="R17" s="19">
        <f t="shared" si="1"/>
        <v>1</v>
      </c>
      <c r="S17" s="20">
        <f t="shared" si="2"/>
        <v>1</v>
      </c>
      <c r="T17" s="20">
        <f t="shared" si="3"/>
        <v>0</v>
      </c>
      <c r="U17" s="20">
        <f t="shared" si="4"/>
        <v>0</v>
      </c>
      <c r="V17" s="54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/>
      <c r="C18" s="53"/>
      <c r="D18" s="53"/>
      <c r="E18" s="53"/>
      <c r="F18" s="53"/>
      <c r="G18" s="53"/>
      <c r="H18" s="53"/>
      <c r="I18" s="53"/>
      <c r="Q18" s="40" t="s">
        <v>148</v>
      </c>
      <c r="R18" s="42">
        <f t="shared" si="1"/>
        <v>1</v>
      </c>
      <c r="S18" s="20">
        <f t="shared" si="2"/>
        <v>1</v>
      </c>
      <c r="T18" s="20">
        <f t="shared" si="3"/>
        <v>0</v>
      </c>
      <c r="U18" s="20">
        <f t="shared" si="4"/>
        <v>0</v>
      </c>
      <c r="V18" s="54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1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/>
      <c r="C19" s="53"/>
      <c r="D19" s="53"/>
      <c r="E19" s="53"/>
      <c r="F19" s="53"/>
      <c r="G19" s="53"/>
      <c r="H19" s="53"/>
      <c r="I19" s="53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"Did not Play",</v>
      </c>
      <c r="S24" s="40" t="str">
        <f t="shared" si="12"/>
        <v>"Did not Play",</v>
      </c>
      <c r="T24" s="40" t="str">
        <f t="shared" si="12"/>
        <v>"Did not Play",</v>
      </c>
      <c r="U24" s="40" t="str">
        <f t="shared" si="12"/>
        <v>"Did not Play",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0,</v>
      </c>
      <c r="S25" s="40" t="str">
        <f t="shared" si="12"/>
        <v>0,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1,</v>
      </c>
      <c r="S27" s="40" t="str">
        <f t="shared" si="12"/>
        <v>1,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"Did not Play",</v>
      </c>
      <c r="S31" s="40" t="str">
        <f t="shared" si="12"/>
        <v>"Did not Play",</v>
      </c>
      <c r="T31" s="40" t="str">
        <f t="shared" si="12"/>
        <v>"Did not Play",</v>
      </c>
      <c r="U31" s="40" t="str">
        <f t="shared" si="12"/>
        <v>"Did not Play",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1,</v>
      </c>
      <c r="S35" s="40" t="str">
        <f t="shared" si="12"/>
        <v>1,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1</v>
      </c>
      <c r="S38" s="40">
        <f>IF($V18, CHAR(34)&amp;"Did not Play"&amp;CHAR(34), S18)</f>
        <v>1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47" t="s">
        <v>159</v>
      </c>
      <c r="R41" s="147"/>
      <c r="S41" s="147"/>
      <c r="T41" s="19"/>
      <c r="U41" s="19"/>
    </row>
    <row r="42" spans="17:21" ht="14.25" customHeight="1" x14ac:dyDescent="0.45">
      <c r="Q42" s="147"/>
      <c r="R42" s="147"/>
      <c r="S42" s="147"/>
    </row>
    <row r="43" spans="17:21" ht="14.25" customHeight="1" x14ac:dyDescent="0.45">
      <c r="Q43" s="40" t="str">
        <f>CHAR(34)&amp;"Date"&amp;CHAR(34)&amp;":["&amp;CHAR(34)&amp;"26-Apr"&amp;CHAR(34)&amp;"],"</f>
        <v>"Date":["26-Apr"],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"Points":[1,"Did not Play",0,2,1,0,0,0,"Did not Play",0,2,0,1,0,1,1],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"Finishes":[0,"Did not Play",0,2,1,0,0,0,"Did not Play",0,2,0,1,0,1,1],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"Midrange":[1,"Did not Play",0,0,0,0,0,0,"Did not Play",0,0,0,0,0,0,0],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"ThreePointers":[0,"Did not Play",0,0,0,0,0,0,"Did not Play",0,0,0,0,0,0,0]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4537-85EB-4C68-BF6F-CE095710B21E}">
  <sheetPr codeName="Sheet10"/>
  <dimension ref="B1:AE1000"/>
  <sheetViews>
    <sheetView topLeftCell="P1" workbookViewId="0">
      <selection activeCell="AB2" sqref="AB2:AE18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8</v>
      </c>
      <c r="M3" s="24">
        <f>COUNTIF(D3:D30, "Loose Gooses")</f>
        <v>6</v>
      </c>
      <c r="N3" s="23">
        <f>L3/(L3+M3)</f>
        <v>0.5714285714285714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34</v>
      </c>
      <c r="D4" s="53" t="s">
        <v>39</v>
      </c>
      <c r="E4" s="53" t="s">
        <v>38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COUNTIF(C3:C30, "5 Musketeers")</f>
        <v>8</v>
      </c>
      <c r="M4" s="24">
        <f>COUNTIF(D3:D30, "5 Musketeers")</f>
        <v>7</v>
      </c>
      <c r="N4" s="23">
        <f t="shared" ref="N4:N5" si="4">L4/(L4+M4)</f>
        <v>0.53333333333333333</v>
      </c>
      <c r="O4" s="24">
        <f>IF(AND(N4&gt;N3, N4&gt;N5), 3, IF(OR(N4&gt;N3, N4&gt;N5), 2, 1))</f>
        <v>2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>5M/WW</v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57</v>
      </c>
      <c r="D5" s="53" t="s">
        <v>34</v>
      </c>
      <c r="E5" s="53" t="s">
        <v>72</v>
      </c>
      <c r="F5" s="53" t="s">
        <v>172</v>
      </c>
      <c r="G5" s="53">
        <v>1</v>
      </c>
      <c r="H5" s="53">
        <v>1</v>
      </c>
      <c r="I5" s="53">
        <v>1</v>
      </c>
      <c r="K5" s="24" t="s">
        <v>133</v>
      </c>
      <c r="L5" s="24">
        <f>COUNTIF(C3:C30, "Wet Willies")</f>
        <v>5</v>
      </c>
      <c r="M5" s="24">
        <f>COUNTIF(D3:D30, "Wet Willies")</f>
        <v>8</v>
      </c>
      <c r="N5" s="23">
        <f t="shared" si="4"/>
        <v>0.38461538461538464</v>
      </c>
      <c r="O5" s="24">
        <f>IF(AND(N5&gt;N4, N5&gt;N3), 3, IF(OR(N5&gt;N4, N5&gt;N3), 2, 1))</f>
        <v>1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>LG/5M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1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57</v>
      </c>
      <c r="D6" s="53" t="s">
        <v>39</v>
      </c>
      <c r="E6" s="53" t="s">
        <v>69</v>
      </c>
      <c r="F6" s="53" t="s">
        <v>154</v>
      </c>
      <c r="G6" s="53">
        <v>2</v>
      </c>
      <c r="H6" s="53">
        <v>2</v>
      </c>
      <c r="I6" s="53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>LG/WW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2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57</v>
      </c>
      <c r="E7" s="53" t="s">
        <v>66</v>
      </c>
      <c r="F7" s="53" t="s">
        <v>154</v>
      </c>
      <c r="G7" s="53">
        <v>1</v>
      </c>
      <c r="H7" s="53">
        <v>1</v>
      </c>
      <c r="I7" s="53">
        <v>1</v>
      </c>
      <c r="Q7" s="3" t="s">
        <v>46</v>
      </c>
      <c r="R7" s="19">
        <f t="shared" si="0"/>
        <v>2</v>
      </c>
      <c r="S7" s="20">
        <f t="shared" si="1"/>
        <v>0</v>
      </c>
      <c r="T7" s="20">
        <f t="shared" si="2"/>
        <v>2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39</v>
      </c>
      <c r="E8" s="53" t="s">
        <v>63</v>
      </c>
      <c r="F8" s="53" t="s">
        <v>123</v>
      </c>
      <c r="G8" s="53">
        <v>2</v>
      </c>
      <c r="H8" s="53">
        <v>3</v>
      </c>
      <c r="I8" s="53">
        <v>1</v>
      </c>
      <c r="Q8" s="3" t="s">
        <v>51</v>
      </c>
      <c r="R8" s="19">
        <f t="shared" si="0"/>
        <v>1</v>
      </c>
      <c r="S8" s="20">
        <f t="shared" si="1"/>
        <v>0</v>
      </c>
      <c r="T8" s="20">
        <f t="shared" si="2"/>
        <v>1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34</v>
      </c>
      <c r="E9" s="53" t="s">
        <v>53</v>
      </c>
      <c r="F9" s="53" t="s">
        <v>172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0"/>
        <v>3</v>
      </c>
      <c r="S9" s="20">
        <f t="shared" si="1"/>
        <v>0</v>
      </c>
      <c r="T9" s="20">
        <f t="shared" si="2"/>
        <v>1</v>
      </c>
      <c r="U9" s="20">
        <f t="shared" si="3"/>
        <v>1</v>
      </c>
      <c r="V9" s="54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57</v>
      </c>
      <c r="D10" s="53" t="s">
        <v>39</v>
      </c>
      <c r="E10" s="53" t="s">
        <v>72</v>
      </c>
      <c r="F10" s="53" t="s">
        <v>154</v>
      </c>
      <c r="G10" s="53">
        <v>2</v>
      </c>
      <c r="H10" s="53">
        <v>4</v>
      </c>
      <c r="I10" s="53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57</v>
      </c>
      <c r="E11" s="53" t="s">
        <v>38</v>
      </c>
      <c r="F11" s="53" t="s">
        <v>154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0"/>
        <v>3</v>
      </c>
      <c r="S11" s="20">
        <f t="shared" si="1"/>
        <v>1</v>
      </c>
      <c r="T11" s="20">
        <f t="shared" si="2"/>
        <v>2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34</v>
      </c>
      <c r="E12" s="53" t="s">
        <v>46</v>
      </c>
      <c r="F12" s="53" t="s">
        <v>123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0"/>
        <v>2</v>
      </c>
      <c r="S12" s="20">
        <f t="shared" si="1"/>
        <v>1</v>
      </c>
      <c r="T12" s="20">
        <f t="shared" si="2"/>
        <v>1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WW/5M</v>
      </c>
      <c r="Z12" s="24" t="str">
        <f t="shared" si="7"/>
        <v/>
      </c>
      <c r="AB12" s="3" t="s">
        <v>63</v>
      </c>
      <c r="AC12" s="40">
        <f t="shared" si="8"/>
        <v>1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57</v>
      </c>
      <c r="D13" s="53" t="s">
        <v>39</v>
      </c>
      <c r="E13" s="53" t="s">
        <v>72</v>
      </c>
      <c r="F13" s="53" t="s">
        <v>154</v>
      </c>
      <c r="G13" s="53">
        <v>1</v>
      </c>
      <c r="H13" s="53">
        <v>1</v>
      </c>
      <c r="I13" s="53">
        <v>1</v>
      </c>
      <c r="Q13" s="3" t="s">
        <v>66</v>
      </c>
      <c r="R13" s="19">
        <f t="shared" si="0"/>
        <v>1</v>
      </c>
      <c r="S13" s="20">
        <f t="shared" si="1"/>
        <v>1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57</v>
      </c>
      <c r="D14" s="53" t="s">
        <v>34</v>
      </c>
      <c r="E14" s="53" t="s">
        <v>72</v>
      </c>
      <c r="F14" s="53" t="s">
        <v>154</v>
      </c>
      <c r="G14" s="53">
        <v>2</v>
      </c>
      <c r="H14" s="53">
        <v>2</v>
      </c>
      <c r="I14" s="53">
        <v>2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57</v>
      </c>
      <c r="D15" s="53" t="s">
        <v>39</v>
      </c>
      <c r="E15" s="53" t="s">
        <v>72</v>
      </c>
      <c r="F15" s="53" t="s">
        <v>154</v>
      </c>
      <c r="G15" s="53">
        <v>3</v>
      </c>
      <c r="H15" s="53">
        <v>2</v>
      </c>
      <c r="I15" s="53">
        <v>3</v>
      </c>
      <c r="Q15" s="3" t="s">
        <v>72</v>
      </c>
      <c r="R15" s="19">
        <f t="shared" si="0"/>
        <v>6</v>
      </c>
      <c r="S15" s="20">
        <f t="shared" si="1"/>
        <v>4</v>
      </c>
      <c r="T15" s="20">
        <f t="shared" si="2"/>
        <v>0</v>
      </c>
      <c r="U15" s="20">
        <f t="shared" si="3"/>
        <v>1</v>
      </c>
      <c r="V15" s="54" t="b">
        <v>0</v>
      </c>
      <c r="X15" s="24" t="str">
        <f t="shared" si="5"/>
        <v>LG/WW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3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34</v>
      </c>
      <c r="D16" s="53" t="s">
        <v>57</v>
      </c>
      <c r="E16" s="53" t="s">
        <v>63</v>
      </c>
      <c r="F16" s="53" t="s">
        <v>154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5M/LG</v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34</v>
      </c>
      <c r="D17" s="53" t="s">
        <v>39</v>
      </c>
      <c r="E17" s="53" t="s">
        <v>60</v>
      </c>
      <c r="F17" s="53" t="s">
        <v>154</v>
      </c>
      <c r="G17" s="53">
        <v>2</v>
      </c>
      <c r="H17" s="53">
        <v>3</v>
      </c>
      <c r="I17" s="53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>5M/WW</v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57</v>
      </c>
      <c r="D18" s="53" t="s">
        <v>34</v>
      </c>
      <c r="E18" s="53" t="s">
        <v>53</v>
      </c>
      <c r="F18" s="53" t="s">
        <v>123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39</v>
      </c>
      <c r="D19" s="53" t="s">
        <v>57</v>
      </c>
      <c r="E19" s="53" t="s">
        <v>44</v>
      </c>
      <c r="F19" s="53" t="s">
        <v>154</v>
      </c>
      <c r="G19" s="53">
        <v>1</v>
      </c>
      <c r="H19" s="53">
        <v>1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39</v>
      </c>
      <c r="D20" s="53" t="s">
        <v>34</v>
      </c>
      <c r="E20" s="53" t="s">
        <v>51</v>
      </c>
      <c r="F20" s="53" t="s">
        <v>123</v>
      </c>
      <c r="G20" s="53">
        <v>2</v>
      </c>
      <c r="H20" s="53">
        <v>2</v>
      </c>
      <c r="I20" s="53">
        <v>1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45">
      <c r="B21" s="53">
        <v>18</v>
      </c>
      <c r="C21" s="53" t="s">
        <v>39</v>
      </c>
      <c r="D21" s="53" t="s">
        <v>57</v>
      </c>
      <c r="E21" s="53" t="s">
        <v>44</v>
      </c>
      <c r="F21" s="53" t="s">
        <v>154</v>
      </c>
      <c r="G21" s="53">
        <v>3</v>
      </c>
      <c r="H21" s="53">
        <v>2</v>
      </c>
      <c r="I21" s="53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45">
      <c r="B22" s="53">
        <v>19</v>
      </c>
      <c r="C22" s="53" t="s">
        <v>34</v>
      </c>
      <c r="D22" s="53" t="s">
        <v>39</v>
      </c>
      <c r="E22" s="53" t="s">
        <v>60</v>
      </c>
      <c r="F22" s="53" t="s">
        <v>123</v>
      </c>
      <c r="G22" s="53">
        <v>1</v>
      </c>
      <c r="H22" s="53">
        <v>1</v>
      </c>
      <c r="I22" s="53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45">
      <c r="B23" s="53">
        <v>20</v>
      </c>
      <c r="C23" s="53" t="s">
        <v>34</v>
      </c>
      <c r="D23" s="53" t="s">
        <v>57</v>
      </c>
      <c r="E23" s="53" t="s">
        <v>60</v>
      </c>
      <c r="F23" s="53" t="s">
        <v>123</v>
      </c>
      <c r="G23" s="53">
        <v>2</v>
      </c>
      <c r="H23" s="53">
        <v>3</v>
      </c>
      <c r="I23" s="53">
        <v>2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45">
      <c r="B24" s="53">
        <v>21</v>
      </c>
      <c r="C24" s="53" t="s">
        <v>39</v>
      </c>
      <c r="D24" s="53" t="s">
        <v>34</v>
      </c>
      <c r="E24" s="53" t="s">
        <v>46</v>
      </c>
      <c r="F24" s="53" t="s">
        <v>123</v>
      </c>
      <c r="G24" s="53">
        <v>1</v>
      </c>
      <c r="H24" s="53">
        <v>1</v>
      </c>
      <c r="I24" s="53">
        <v>1</v>
      </c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>WW/5M</v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2,</v>
      </c>
      <c r="S27" s="40" t="str">
        <f t="shared" si="12"/>
        <v>0,</v>
      </c>
      <c r="T27" s="40" t="str">
        <f t="shared" si="12"/>
        <v>2,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1,</v>
      </c>
      <c r="S28" s="40" t="str">
        <f t="shared" si="12"/>
        <v>0,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3,</v>
      </c>
      <c r="S29" s="40" t="str">
        <f t="shared" si="12"/>
        <v>0,</v>
      </c>
      <c r="T29" s="40" t="str">
        <f t="shared" si="12"/>
        <v>1,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1,</v>
      </c>
      <c r="T31" s="40" t="str">
        <f t="shared" si="12"/>
        <v>2,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1,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1,</v>
      </c>
      <c r="S33" s="40" t="str">
        <f t="shared" si="12"/>
        <v>1,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6,</v>
      </c>
      <c r="S35" s="40" t="str">
        <f t="shared" si="12"/>
        <v>4,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47" t="s">
        <v>159</v>
      </c>
      <c r="R41" s="147"/>
      <c r="S41" s="147"/>
      <c r="T41" s="19"/>
      <c r="U41" s="19"/>
    </row>
    <row r="42" spans="17:21" ht="14.25" customHeight="1" x14ac:dyDescent="0.45">
      <c r="Q42" s="147"/>
      <c r="R42" s="147"/>
      <c r="S42" s="147"/>
    </row>
    <row r="43" spans="17:21" ht="14.25" customHeight="1" x14ac:dyDescent="0.45">
      <c r="Q43" s="40" t="str">
        <f>CHAR(34)&amp;"Date"&amp;CHAR(34)&amp;":["&amp;CHAR(34)&amp;"2-May"&amp;CHAR(34)&amp;"],"</f>
        <v>"Date":["2-May"],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"Points":[0,0,2,2,2,1,3,0,3,2,1,1,6,0,0,0],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"Finishes":[0,0,2,2,0,0,0,0,1,1,1,1,4,0,0,0],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"Midrange":[0,0,0,0,2,1,1,0,2,1,0,0,0,0,0,0],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E675-E6B7-4017-B5F8-88F03004023F}">
  <sheetPr codeName="Sheet11"/>
  <dimension ref="B1:AE1000"/>
  <sheetViews>
    <sheetView topLeftCell="S1" workbookViewId="0">
      <selection activeCell="AB2" sqref="AB2:AE18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45049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7</v>
      </c>
      <c r="M3" s="24">
        <f>COUNTIF(D3:D30, "Loose Gooses")</f>
        <v>8</v>
      </c>
      <c r="N3" s="23">
        <f>L3/(L3+M3)</f>
        <v>0.46666666666666667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5">
      <c r="B4" s="67">
        <v>1</v>
      </c>
      <c r="C4" s="67" t="s">
        <v>57</v>
      </c>
      <c r="D4" s="67" t="s">
        <v>39</v>
      </c>
      <c r="E4" s="67" t="s">
        <v>53</v>
      </c>
      <c r="F4" s="67" t="s">
        <v>172</v>
      </c>
      <c r="G4" s="67">
        <v>1</v>
      </c>
      <c r="H4" s="67">
        <v>1</v>
      </c>
      <c r="I4" s="67">
        <v>1</v>
      </c>
      <c r="K4" s="24" t="s">
        <v>134</v>
      </c>
      <c r="L4" s="24">
        <f>COUNTIF(C3:C30, "5 Musketeers")</f>
        <v>12</v>
      </c>
      <c r="M4" s="24">
        <f>COUNTIF(D3:D30, "5 Musketeers")</f>
        <v>5</v>
      </c>
      <c r="N4" s="23">
        <f t="shared" ref="N4:N5" si="4">L4/(L4+M4)</f>
        <v>0.70588235294117652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>LG/WW</v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5">
      <c r="B5" s="67">
        <v>2</v>
      </c>
      <c r="C5" s="67" t="s">
        <v>34</v>
      </c>
      <c r="D5" s="67" t="s">
        <v>57</v>
      </c>
      <c r="E5" s="67" t="s">
        <v>38</v>
      </c>
      <c r="F5" s="67" t="s">
        <v>154</v>
      </c>
      <c r="G5" s="67">
        <v>1</v>
      </c>
      <c r="H5" s="67">
        <v>1</v>
      </c>
      <c r="I5" s="67">
        <v>1</v>
      </c>
      <c r="K5" s="24" t="s">
        <v>133</v>
      </c>
      <c r="L5" s="24">
        <f>COUNTIF(C3:C30, "Wet Willies")</f>
        <v>4</v>
      </c>
      <c r="M5" s="24">
        <f>COUNTIF(D3:D30, "Wet Willies")</f>
        <v>10</v>
      </c>
      <c r="N5" s="23">
        <f t="shared" si="4"/>
        <v>0.2857142857142857</v>
      </c>
      <c r="O5" s="24">
        <f>IF(AND(N5&gt;N4, N5&gt;N3), 3, IF(OR(N5&gt;N4, N5&gt;N3), 2, 1))</f>
        <v>1</v>
      </c>
      <c r="Q5" s="3" t="s">
        <v>38</v>
      </c>
      <c r="R5" s="19">
        <f t="shared" si="0"/>
        <v>6</v>
      </c>
      <c r="S5" s="20">
        <f t="shared" si="1"/>
        <v>6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4</v>
      </c>
      <c r="AD5" s="40">
        <f t="shared" si="9"/>
        <v>0</v>
      </c>
      <c r="AE5" s="40">
        <f t="shared" si="10"/>
        <v>0</v>
      </c>
    </row>
    <row r="6" spans="2:31" ht="14.25" customHeight="1" x14ac:dyDescent="0.5">
      <c r="B6" s="67">
        <v>3</v>
      </c>
      <c r="C6" s="67" t="s">
        <v>34</v>
      </c>
      <c r="D6" s="67" t="s">
        <v>39</v>
      </c>
      <c r="E6" s="67" t="s">
        <v>66</v>
      </c>
      <c r="F6" s="67" t="s">
        <v>154</v>
      </c>
      <c r="G6" s="67">
        <v>2</v>
      </c>
      <c r="H6" s="67">
        <v>2</v>
      </c>
      <c r="I6" s="67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5">
      <c r="B7" s="67">
        <v>4</v>
      </c>
      <c r="C7" s="67" t="s">
        <v>34</v>
      </c>
      <c r="D7" s="67" t="s">
        <v>57</v>
      </c>
      <c r="E7" s="67" t="s">
        <v>38</v>
      </c>
      <c r="F7" s="67" t="s">
        <v>154</v>
      </c>
      <c r="G7" s="67">
        <v>3</v>
      </c>
      <c r="H7" s="67">
        <v>2</v>
      </c>
      <c r="I7" s="67">
        <v>1</v>
      </c>
      <c r="Q7" s="3" t="s">
        <v>46</v>
      </c>
      <c r="R7" s="19">
        <f t="shared" si="0"/>
        <v>1</v>
      </c>
      <c r="S7" s="20">
        <f t="shared" si="1"/>
        <v>0</v>
      </c>
      <c r="T7" s="20">
        <f t="shared" si="2"/>
        <v>1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1</v>
      </c>
      <c r="AE7" s="40">
        <f t="shared" si="10"/>
        <v>0</v>
      </c>
    </row>
    <row r="8" spans="2:31" ht="14.25" customHeight="1" x14ac:dyDescent="0.5">
      <c r="B8" s="67">
        <v>5</v>
      </c>
      <c r="C8" s="67" t="s">
        <v>39</v>
      </c>
      <c r="D8" s="67" t="s">
        <v>34</v>
      </c>
      <c r="E8" s="67" t="s">
        <v>36</v>
      </c>
      <c r="F8" s="67" t="s">
        <v>154</v>
      </c>
      <c r="G8" s="67">
        <v>1</v>
      </c>
      <c r="H8" s="67">
        <v>1</v>
      </c>
      <c r="I8" s="67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5">
      <c r="B9" s="67">
        <v>6</v>
      </c>
      <c r="C9" s="67" t="s">
        <v>57</v>
      </c>
      <c r="D9" s="67" t="s">
        <v>39</v>
      </c>
      <c r="E9" s="67" t="s">
        <v>56</v>
      </c>
      <c r="F9" s="67" t="s">
        <v>123</v>
      </c>
      <c r="G9" s="67">
        <v>1</v>
      </c>
      <c r="H9" s="67">
        <v>1</v>
      </c>
      <c r="I9" s="67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1</v>
      </c>
    </row>
    <row r="10" spans="2:31" ht="14.25" customHeight="1" x14ac:dyDescent="0.5">
      <c r="B10" s="67">
        <v>7</v>
      </c>
      <c r="C10" s="67" t="s">
        <v>34</v>
      </c>
      <c r="D10" s="67" t="s">
        <v>57</v>
      </c>
      <c r="E10" s="67" t="s">
        <v>38</v>
      </c>
      <c r="F10" s="67" t="s">
        <v>154</v>
      </c>
      <c r="G10" s="67">
        <v>1</v>
      </c>
      <c r="H10" s="67">
        <v>1</v>
      </c>
      <c r="I10" s="67">
        <v>1</v>
      </c>
      <c r="Q10" s="3" t="s">
        <v>56</v>
      </c>
      <c r="R10" s="19">
        <f t="shared" si="0"/>
        <v>3</v>
      </c>
      <c r="S10" s="20">
        <f t="shared" si="1"/>
        <v>1</v>
      </c>
      <c r="T10" s="20">
        <f t="shared" si="2"/>
        <v>2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5">
      <c r="B11" s="67">
        <v>8</v>
      </c>
      <c r="C11" s="67" t="s">
        <v>34</v>
      </c>
      <c r="D11" s="67" t="s">
        <v>39</v>
      </c>
      <c r="E11" s="67" t="s">
        <v>63</v>
      </c>
      <c r="F11" s="67" t="s">
        <v>123</v>
      </c>
      <c r="G11" s="67">
        <v>2</v>
      </c>
      <c r="H11" s="67">
        <v>2</v>
      </c>
      <c r="I11" s="67">
        <v>1</v>
      </c>
      <c r="Q11" s="3" t="s">
        <v>60</v>
      </c>
      <c r="R11" s="19">
        <f t="shared" si="0"/>
        <v>2</v>
      </c>
      <c r="S11" s="20">
        <f t="shared" si="1"/>
        <v>1</v>
      </c>
      <c r="T11" s="20">
        <f t="shared" si="2"/>
        <v>1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5">
      <c r="B12" s="67">
        <v>9</v>
      </c>
      <c r="C12" s="67" t="s">
        <v>34</v>
      </c>
      <c r="D12" s="67" t="s">
        <v>57</v>
      </c>
      <c r="E12" s="67" t="s">
        <v>60</v>
      </c>
      <c r="F12" s="67" t="s">
        <v>123</v>
      </c>
      <c r="G12" s="67">
        <v>3</v>
      </c>
      <c r="H12" s="67">
        <v>2</v>
      </c>
      <c r="I12" s="67">
        <v>1</v>
      </c>
      <c r="Q12" s="3" t="s">
        <v>63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5M/LG</v>
      </c>
      <c r="AB12" s="3" t="s">
        <v>63</v>
      </c>
      <c r="AC12" s="40">
        <f t="shared" si="8"/>
        <v>0</v>
      </c>
      <c r="AD12" s="40">
        <f t="shared" si="9"/>
        <v>1</v>
      </c>
      <c r="AE12" s="40">
        <f t="shared" si="10"/>
        <v>0</v>
      </c>
    </row>
    <row r="13" spans="2:31" ht="14.25" customHeight="1" x14ac:dyDescent="0.5">
      <c r="B13" s="67">
        <v>10</v>
      </c>
      <c r="C13" s="67" t="s">
        <v>34</v>
      </c>
      <c r="D13" s="67" t="s">
        <v>39</v>
      </c>
      <c r="E13" s="67" t="s">
        <v>60</v>
      </c>
      <c r="F13" s="67" t="s">
        <v>154</v>
      </c>
      <c r="G13" s="67">
        <v>4</v>
      </c>
      <c r="H13" s="67">
        <v>3</v>
      </c>
      <c r="I13" s="67">
        <v>2</v>
      </c>
      <c r="Q13" s="3" t="s">
        <v>66</v>
      </c>
      <c r="R13" s="19">
        <f t="shared" si="0"/>
        <v>2</v>
      </c>
      <c r="S13" s="20">
        <f t="shared" si="1"/>
        <v>2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5">
      <c r="B14" s="67">
        <v>11</v>
      </c>
      <c r="C14" s="67" t="s">
        <v>34</v>
      </c>
      <c r="D14" s="67" t="s">
        <v>57</v>
      </c>
      <c r="E14" s="67" t="s">
        <v>38</v>
      </c>
      <c r="F14" s="67" t="s">
        <v>154</v>
      </c>
      <c r="G14" s="67">
        <v>5</v>
      </c>
      <c r="H14" s="67">
        <v>3</v>
      </c>
      <c r="I14" s="67">
        <v>1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5M/LG</v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5">
      <c r="B15" s="67">
        <v>12</v>
      </c>
      <c r="C15" s="67" t="s">
        <v>34</v>
      </c>
      <c r="D15" s="67" t="s">
        <v>39</v>
      </c>
      <c r="E15" s="67" t="s">
        <v>38</v>
      </c>
      <c r="F15" s="67" t="s">
        <v>154</v>
      </c>
      <c r="G15" s="67">
        <v>6</v>
      </c>
      <c r="H15" s="67">
        <v>4</v>
      </c>
      <c r="I15" s="67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1</v>
      </c>
      <c r="X15" s="24" t="str">
        <f t="shared" si="5"/>
        <v/>
      </c>
      <c r="Y15" s="24" t="str">
        <f t="shared" si="6"/>
        <v/>
      </c>
      <c r="Z15" s="24" t="str">
        <f t="shared" si="7"/>
        <v>5M/WW</v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5">
      <c r="B16" s="67">
        <v>13</v>
      </c>
      <c r="C16" s="67" t="s">
        <v>57</v>
      </c>
      <c r="D16" s="67" t="s">
        <v>34</v>
      </c>
      <c r="E16" s="67" t="s">
        <v>69</v>
      </c>
      <c r="F16" s="67" t="s">
        <v>154</v>
      </c>
      <c r="G16" s="67">
        <v>1</v>
      </c>
      <c r="H16" s="67">
        <v>1</v>
      </c>
      <c r="I16" s="67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5">
      <c r="B17" s="67">
        <v>14</v>
      </c>
      <c r="C17" s="67" t="s">
        <v>57</v>
      </c>
      <c r="D17" s="67" t="s">
        <v>39</v>
      </c>
      <c r="E17" s="67" t="s">
        <v>148</v>
      </c>
      <c r="F17" s="67" t="s">
        <v>154</v>
      </c>
      <c r="G17" s="67">
        <v>2</v>
      </c>
      <c r="H17" s="67">
        <v>5</v>
      </c>
      <c r="I17" s="67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LG/WW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5">
      <c r="B18" s="67">
        <v>15</v>
      </c>
      <c r="C18" s="67" t="s">
        <v>57</v>
      </c>
      <c r="D18" s="67" t="s">
        <v>34</v>
      </c>
      <c r="E18" s="67" t="s">
        <v>56</v>
      </c>
      <c r="F18" s="67" t="s">
        <v>123</v>
      </c>
      <c r="G18" s="67">
        <v>3</v>
      </c>
      <c r="H18" s="67">
        <v>2</v>
      </c>
      <c r="I18" s="67">
        <v>1</v>
      </c>
      <c r="Q18" s="40" t="s">
        <v>148</v>
      </c>
      <c r="R18" s="42">
        <f t="shared" si="0"/>
        <v>2</v>
      </c>
      <c r="S18" s="20">
        <f t="shared" si="1"/>
        <v>2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2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5">
      <c r="B19" s="67">
        <v>16</v>
      </c>
      <c r="C19" s="67" t="s">
        <v>39</v>
      </c>
      <c r="D19" s="67" t="s">
        <v>57</v>
      </c>
      <c r="E19" s="67" t="s">
        <v>44</v>
      </c>
      <c r="F19" s="67" t="s">
        <v>154</v>
      </c>
      <c r="G19" s="67">
        <v>1</v>
      </c>
      <c r="H19" s="67">
        <v>1</v>
      </c>
      <c r="I19" s="67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5">
      <c r="B20" s="67">
        <v>17</v>
      </c>
      <c r="C20" s="67" t="s">
        <v>39</v>
      </c>
      <c r="D20" s="67" t="s">
        <v>34</v>
      </c>
      <c r="E20" s="67" t="s">
        <v>44</v>
      </c>
      <c r="F20" s="67" t="s">
        <v>154</v>
      </c>
      <c r="G20" s="67">
        <v>2</v>
      </c>
      <c r="H20" s="67">
        <v>3</v>
      </c>
      <c r="I20" s="67">
        <v>2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5">
      <c r="B21" s="67">
        <v>18</v>
      </c>
      <c r="C21" s="67" t="s">
        <v>39</v>
      </c>
      <c r="D21" s="67" t="s">
        <v>57</v>
      </c>
      <c r="E21" s="67" t="s">
        <v>46</v>
      </c>
      <c r="F21" s="67" t="s">
        <v>123</v>
      </c>
      <c r="G21" s="67">
        <v>3</v>
      </c>
      <c r="H21" s="67">
        <v>2</v>
      </c>
      <c r="I21" s="67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5">
      <c r="B22" s="67">
        <v>19</v>
      </c>
      <c r="C22" s="67" t="s">
        <v>34</v>
      </c>
      <c r="D22" s="67" t="s">
        <v>39</v>
      </c>
      <c r="E22" s="67" t="s">
        <v>38</v>
      </c>
      <c r="F22" s="67" t="s">
        <v>154</v>
      </c>
      <c r="G22" s="67">
        <v>1</v>
      </c>
      <c r="H22" s="67">
        <v>1</v>
      </c>
      <c r="I22" s="67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5">
      <c r="B23" s="67">
        <v>20</v>
      </c>
      <c r="C23" s="67" t="s">
        <v>34</v>
      </c>
      <c r="D23" s="67" t="s">
        <v>57</v>
      </c>
      <c r="E23" s="67" t="s">
        <v>63</v>
      </c>
      <c r="F23" s="67" t="s">
        <v>123</v>
      </c>
      <c r="G23" s="67">
        <v>2</v>
      </c>
      <c r="H23" s="67">
        <v>3</v>
      </c>
      <c r="I23" s="67">
        <v>1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5">
      <c r="B24" s="67">
        <v>21</v>
      </c>
      <c r="C24" s="67" t="s">
        <v>34</v>
      </c>
      <c r="D24" s="67" t="s">
        <v>39</v>
      </c>
      <c r="E24" s="67" t="s">
        <v>66</v>
      </c>
      <c r="F24" s="67" t="s">
        <v>154</v>
      </c>
      <c r="G24" s="67">
        <v>3</v>
      </c>
      <c r="H24" s="67">
        <v>2</v>
      </c>
      <c r="I24" s="67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>5M/WW</v>
      </c>
    </row>
    <row r="25" spans="2:31" ht="14.25" customHeight="1" x14ac:dyDescent="0.5">
      <c r="B25" s="67">
        <v>22</v>
      </c>
      <c r="C25" s="67" t="s">
        <v>57</v>
      </c>
      <c r="D25" s="67" t="s">
        <v>34</v>
      </c>
      <c r="E25" s="67" t="s">
        <v>56</v>
      </c>
      <c r="F25" s="67" t="s">
        <v>154</v>
      </c>
      <c r="G25" s="67">
        <v>1</v>
      </c>
      <c r="H25" s="67">
        <v>1</v>
      </c>
      <c r="I25" s="67">
        <v>1</v>
      </c>
      <c r="Q25" s="9"/>
      <c r="R25" s="40" t="str">
        <f t="shared" si="12"/>
        <v>6,</v>
      </c>
      <c r="S25" s="40" t="str">
        <f t="shared" si="12"/>
        <v>6,</v>
      </c>
      <c r="T25" s="40" t="str">
        <f t="shared" si="12"/>
        <v>0,</v>
      </c>
      <c r="U25" s="40" t="str">
        <f t="shared" si="12"/>
        <v>0,</v>
      </c>
      <c r="X25" s="24" t="str">
        <f t="shared" si="5"/>
        <v>LG/5M</v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67">
        <v>23</v>
      </c>
      <c r="C26" s="67" t="s">
        <v>57</v>
      </c>
      <c r="D26" s="67" t="s">
        <v>39</v>
      </c>
      <c r="E26" s="67" t="s">
        <v>148</v>
      </c>
      <c r="F26" s="67" t="s">
        <v>154</v>
      </c>
      <c r="G26" s="67">
        <v>2</v>
      </c>
      <c r="H26" s="67">
        <v>3</v>
      </c>
      <c r="I26" s="67">
        <v>1</v>
      </c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1,</v>
      </c>
      <c r="S27" s="40" t="str">
        <f t="shared" si="12"/>
        <v>0,</v>
      </c>
      <c r="T27" s="40" t="str">
        <f t="shared" si="12"/>
        <v>1,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3,</v>
      </c>
      <c r="S30" s="40" t="str">
        <f t="shared" si="12"/>
        <v>1,</v>
      </c>
      <c r="T30" s="40" t="str">
        <f t="shared" si="12"/>
        <v>2,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2</v>
      </c>
      <c r="S38" s="40">
        <f>IF($V18, CHAR(34)&amp;"Did not Play"&amp;CHAR(34), S18)</f>
        <v>2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47" t="s">
        <v>159</v>
      </c>
      <c r="R41" s="147"/>
      <c r="S41" s="147"/>
      <c r="T41" s="19"/>
      <c r="U41" s="19"/>
    </row>
    <row r="42" spans="17:21" ht="14.25" customHeight="1" x14ac:dyDescent="0.45">
      <c r="Q42" s="147"/>
      <c r="R42" s="147"/>
      <c r="S42" s="147"/>
    </row>
    <row r="43" spans="17:21" ht="14.25" customHeight="1" x14ac:dyDescent="0.45">
      <c r="Q43" s="40" t="str">
        <f>CHAR(34)&amp;"Date"&amp;CHAR(34)&amp;":["&amp;CHAR(34)&amp;"3-May"&amp;CHAR(34)&amp;"],"</f>
        <v>"Date":["3-May"],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"Points":[0,1,6,2,1,0,2,3,2,2,2,1,"Did not Play",0,0,2],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"Finishes":[0,1,6,2,0,0,0,1,1,0,2,1,"Did not Play",0,0,2],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"Midrange":[0,0,0,0,1,0,0,2,1,2,0,0,"Did not Play",0,0,0],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"ThreePointers":[0,0,0,0,0,0,1,0,0,0,0,0,"Did not Play",0,0,0]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9988-A477-492D-8AB1-4E6E333BA89C}">
  <sheetPr codeName="Sheet12"/>
  <dimension ref="B1:AE1000"/>
  <sheetViews>
    <sheetView topLeftCell="Y1" workbookViewId="0">
      <selection activeCell="AB2" sqref="AB2:AE18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45054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4</v>
      </c>
      <c r="M3" s="24">
        <f>COUNTIF(D3:D30, "Loose Gooses")</f>
        <v>6</v>
      </c>
      <c r="N3" s="23">
        <f>L3/(L3+M3)</f>
        <v>0.4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COUNTIF($E$3:$E$27, Q3)+U3</f>
        <v>1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1</v>
      </c>
      <c r="U3" s="20">
        <f t="shared" ref="U3:U18" si="3"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34</v>
      </c>
      <c r="D4" s="53" t="s">
        <v>39</v>
      </c>
      <c r="E4" s="53" t="s">
        <v>33</v>
      </c>
      <c r="F4" s="53" t="s">
        <v>123</v>
      </c>
      <c r="G4" s="53">
        <v>1</v>
      </c>
      <c r="H4" s="53">
        <v>1</v>
      </c>
      <c r="I4" s="53">
        <v>1</v>
      </c>
      <c r="K4" s="24" t="s">
        <v>134</v>
      </c>
      <c r="L4" s="24">
        <f>COUNTIF(C3:C30, "5 Musketeers")</f>
        <v>7</v>
      </c>
      <c r="M4" s="24">
        <f>COUNTIF(D3:D30, "5 Musketeers")</f>
        <v>5</v>
      </c>
      <c r="N4" s="23">
        <f t="shared" ref="N4:N5" si="4">L4/(L4+M4)</f>
        <v>0.58333333333333337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>5M/WW</v>
      </c>
      <c r="AB4" s="3" t="s">
        <v>36</v>
      </c>
      <c r="AC4" s="40">
        <f t="shared" ref="AC4:AC16" si="8">COUNTIFS($E$4:$E$33, $AB4, $F$4:$F$33, "Finish", $D$4:$D$33, "Loose Gooses")</f>
        <v>1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34</v>
      </c>
      <c r="D5" s="53" t="s">
        <v>57</v>
      </c>
      <c r="E5" s="53" t="s">
        <v>60</v>
      </c>
      <c r="F5" s="53" t="s">
        <v>123</v>
      </c>
      <c r="G5" s="53">
        <v>2</v>
      </c>
      <c r="H5" s="53">
        <v>1</v>
      </c>
      <c r="I5" s="53">
        <v>1</v>
      </c>
      <c r="K5" s="24" t="s">
        <v>133</v>
      </c>
      <c r="L5" s="24">
        <f>COUNTIF(C3:C30, "Wet Willies")</f>
        <v>6</v>
      </c>
      <c r="M5" s="24">
        <f>COUNTIF(D3:D30, "Wet Willies")</f>
        <v>6</v>
      </c>
      <c r="N5" s="23">
        <f t="shared" si="4"/>
        <v>0.5</v>
      </c>
      <c r="O5" s="24">
        <f>IF(AND(N5&gt;N4, N5&gt;N3), 3, IF(OR(N5&gt;N4, N5&gt;N3), 2, 1))</f>
        <v>2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2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60</v>
      </c>
      <c r="F6" s="53" t="s">
        <v>123</v>
      </c>
      <c r="G6" s="53">
        <v>3</v>
      </c>
      <c r="H6" s="53">
        <v>2</v>
      </c>
      <c r="I6" s="53">
        <v>2</v>
      </c>
      <c r="Q6" s="3" t="s">
        <v>44</v>
      </c>
      <c r="R6" s="19">
        <f t="shared" si="0"/>
        <v>1</v>
      </c>
      <c r="S6" s="20">
        <f t="shared" si="1"/>
        <v>0</v>
      </c>
      <c r="T6" s="20">
        <f t="shared" si="2"/>
        <v>1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0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57</v>
      </c>
      <c r="E7" s="53" t="s">
        <v>38</v>
      </c>
      <c r="F7" s="53" t="s">
        <v>154</v>
      </c>
      <c r="G7" s="53">
        <v>4</v>
      </c>
      <c r="H7" s="53">
        <v>2</v>
      </c>
      <c r="I7" s="53">
        <v>1</v>
      </c>
      <c r="Q7" s="3" t="s">
        <v>46</v>
      </c>
      <c r="R7" s="19">
        <f t="shared" si="0"/>
        <v>4</v>
      </c>
      <c r="S7" s="20">
        <f t="shared" si="1"/>
        <v>2</v>
      </c>
      <c r="T7" s="20">
        <f t="shared" si="2"/>
        <v>2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39</v>
      </c>
      <c r="D8" s="53" t="s">
        <v>34</v>
      </c>
      <c r="E8" s="53" t="s">
        <v>46</v>
      </c>
      <c r="F8" s="53" t="s">
        <v>154</v>
      </c>
      <c r="G8" s="53">
        <v>1</v>
      </c>
      <c r="H8" s="53">
        <v>1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1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39</v>
      </c>
      <c r="E9" s="53" t="s">
        <v>72</v>
      </c>
      <c r="F9" s="53" t="s">
        <v>172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57</v>
      </c>
      <c r="E10" s="53" t="s">
        <v>63</v>
      </c>
      <c r="F10" s="53" t="s">
        <v>123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0"/>
        <v>1</v>
      </c>
      <c r="S10" s="20">
        <f t="shared" si="1"/>
        <v>1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39</v>
      </c>
      <c r="D11" s="53" t="s">
        <v>34</v>
      </c>
      <c r="E11" s="53" t="s">
        <v>46</v>
      </c>
      <c r="F11" s="53" t="s">
        <v>123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0"/>
        <v>3</v>
      </c>
      <c r="S11" s="20">
        <f t="shared" si="1"/>
        <v>0</v>
      </c>
      <c r="T11" s="20">
        <f t="shared" si="2"/>
        <v>3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>WW/5M</v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57</v>
      </c>
      <c r="E12" s="53" t="s">
        <v>46</v>
      </c>
      <c r="F12" s="53" t="s">
        <v>154</v>
      </c>
      <c r="G12" s="53">
        <v>2</v>
      </c>
      <c r="H12" s="53">
        <v>2</v>
      </c>
      <c r="I12" s="53">
        <v>2</v>
      </c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1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34</v>
      </c>
      <c r="E13" s="53" t="s">
        <v>44</v>
      </c>
      <c r="F13" s="53" t="s">
        <v>123</v>
      </c>
      <c r="G13" s="53">
        <v>3</v>
      </c>
      <c r="H13" s="53">
        <v>2</v>
      </c>
      <c r="I13" s="53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>WW/5M</v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39</v>
      </c>
      <c r="D14" s="53" t="s">
        <v>57</v>
      </c>
      <c r="E14" s="53" t="s">
        <v>36</v>
      </c>
      <c r="F14" s="53" t="s">
        <v>154</v>
      </c>
      <c r="G14" s="53">
        <v>4</v>
      </c>
      <c r="H14" s="53">
        <v>3</v>
      </c>
      <c r="I14" s="53">
        <v>1</v>
      </c>
      <c r="Q14" s="3" t="s">
        <v>69</v>
      </c>
      <c r="R14" s="19">
        <f t="shared" si="0"/>
        <v>0</v>
      </c>
      <c r="S14" s="20">
        <f t="shared" si="1"/>
        <v>0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>WW/LG</v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34</v>
      </c>
      <c r="D15" s="53" t="s">
        <v>39</v>
      </c>
      <c r="E15" s="53" t="s">
        <v>60</v>
      </c>
      <c r="F15" s="53" t="s">
        <v>123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0"/>
        <v>4</v>
      </c>
      <c r="S15" s="20">
        <f t="shared" si="1"/>
        <v>2</v>
      </c>
      <c r="T15" s="20">
        <f t="shared" si="2"/>
        <v>0</v>
      </c>
      <c r="U15" s="20">
        <f t="shared" si="3"/>
        <v>1</v>
      </c>
      <c r="V15" s="54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>5M/WW</v>
      </c>
      <c r="AB15" s="3" t="s">
        <v>72</v>
      </c>
      <c r="AC15" s="40">
        <f>COUNTIFS($E$4:$E$33, $AB15, $F$4:$F$33, "Finish", $D$4:$D$33, "Wet Willies")</f>
        <v>2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1</v>
      </c>
    </row>
    <row r="16" spans="2:31" ht="14.25" customHeight="1" x14ac:dyDescent="0.45">
      <c r="B16" s="53">
        <v>13</v>
      </c>
      <c r="C16" s="53" t="s">
        <v>57</v>
      </c>
      <c r="D16" s="53" t="s">
        <v>34</v>
      </c>
      <c r="E16" s="53" t="s">
        <v>56</v>
      </c>
      <c r="F16" s="53" t="s">
        <v>154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39</v>
      </c>
      <c r="E17" s="53" t="s">
        <v>72</v>
      </c>
      <c r="F17" s="53" t="s">
        <v>154</v>
      </c>
      <c r="G17" s="53">
        <v>2</v>
      </c>
      <c r="H17" s="53">
        <v>2</v>
      </c>
      <c r="I17" s="53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LG/WW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34</v>
      </c>
      <c r="D18" s="53" t="s">
        <v>57</v>
      </c>
      <c r="E18" s="53" t="s">
        <v>38</v>
      </c>
      <c r="F18" s="53" t="s">
        <v>154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>5M/LG</v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39</v>
      </c>
      <c r="D19" s="53" t="s">
        <v>34</v>
      </c>
      <c r="E19" s="53" t="s">
        <v>46</v>
      </c>
      <c r="F19" s="53" t="s">
        <v>123</v>
      </c>
      <c r="G19" s="53">
        <v>1</v>
      </c>
      <c r="H19" s="53">
        <v>1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>WW/5M</v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57</v>
      </c>
      <c r="D20" s="53" t="s">
        <v>39</v>
      </c>
      <c r="E20" s="53" t="s">
        <v>72</v>
      </c>
      <c r="F20" s="53" t="s">
        <v>154</v>
      </c>
      <c r="G20" s="53">
        <v>1</v>
      </c>
      <c r="H20" s="53">
        <v>1</v>
      </c>
      <c r="I20" s="53">
        <v>1</v>
      </c>
      <c r="X20" s="24" t="str">
        <f t="shared" si="5"/>
        <v>LG/WW</v>
      </c>
      <c r="Y20" s="24" t="str">
        <f t="shared" si="6"/>
        <v/>
      </c>
      <c r="Z20" s="24" t="str">
        <f t="shared" si="7"/>
        <v/>
      </c>
    </row>
    <row r="21" spans="2:31" ht="14.25" customHeight="1" x14ac:dyDescent="0.5">
      <c r="B21" s="67"/>
      <c r="C21" s="67"/>
      <c r="D21" s="67"/>
      <c r="E21" s="67"/>
      <c r="F21" s="67"/>
      <c r="G21" s="67"/>
      <c r="H21" s="67"/>
      <c r="I21" s="67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5">
      <c r="B22" s="67"/>
      <c r="C22" s="67"/>
      <c r="D22" s="67"/>
      <c r="E22" s="67"/>
      <c r="F22" s="67"/>
      <c r="G22" s="67"/>
      <c r="H22" s="67"/>
      <c r="I22" s="67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5">
      <c r="B23" s="67"/>
      <c r="C23" s="67"/>
      <c r="D23" s="67"/>
      <c r="E23" s="67"/>
      <c r="F23" s="67"/>
      <c r="G23" s="67"/>
      <c r="H23" s="67"/>
      <c r="I23" s="67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5">
      <c r="B24" s="67"/>
      <c r="C24" s="67"/>
      <c r="D24" s="67"/>
      <c r="E24" s="67"/>
      <c r="F24" s="67"/>
      <c r="G24" s="67"/>
      <c r="H24" s="67"/>
      <c r="I24" s="67"/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5">
      <c r="B25" s="67"/>
      <c r="C25" s="67"/>
      <c r="D25" s="67"/>
      <c r="E25" s="67"/>
      <c r="F25" s="67"/>
      <c r="G25" s="67"/>
      <c r="H25" s="67"/>
      <c r="I25" s="67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67"/>
      <c r="C26" s="67"/>
      <c r="D26" s="67"/>
      <c r="E26" s="67"/>
      <c r="F26" s="67"/>
      <c r="G26" s="67"/>
      <c r="H26" s="67"/>
      <c r="I26" s="67"/>
      <c r="Q26" s="26"/>
      <c r="R26" s="40" t="str">
        <f t="shared" si="12"/>
        <v>1,</v>
      </c>
      <c r="S26" s="40" t="str">
        <f t="shared" si="12"/>
        <v>0,</v>
      </c>
      <c r="T26" s="40" t="str">
        <f t="shared" si="12"/>
        <v>1,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4,</v>
      </c>
      <c r="S27" s="40" t="str">
        <f t="shared" si="12"/>
        <v>2,</v>
      </c>
      <c r="T27" s="40" t="str">
        <f t="shared" si="12"/>
        <v>2,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1,</v>
      </c>
      <c r="S30" s="40" t="str">
        <f t="shared" si="12"/>
        <v>1,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0,</v>
      </c>
      <c r="T31" s="40" t="str">
        <f t="shared" si="12"/>
        <v>3,</v>
      </c>
      <c r="U31" s="40" t="str">
        <f t="shared" si="12"/>
        <v>0,</v>
      </c>
    </row>
    <row r="32" spans="2:31" ht="14.25" customHeight="1" x14ac:dyDescent="0.45"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4,</v>
      </c>
      <c r="S35" s="40" t="str">
        <f t="shared" si="12"/>
        <v>2,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47" t="s">
        <v>159</v>
      </c>
      <c r="R41" s="147"/>
      <c r="S41" s="147"/>
      <c r="T41" s="19"/>
      <c r="U41" s="19"/>
    </row>
    <row r="42" spans="17:21" ht="14.25" customHeight="1" x14ac:dyDescent="0.45">
      <c r="Q42" s="147"/>
      <c r="R42" s="147"/>
      <c r="S42" s="147"/>
    </row>
    <row r="43" spans="17:21" ht="14.25" customHeight="1" x14ac:dyDescent="0.45">
      <c r="Q43" s="40" t="str">
        <f>CHAR(34)&amp;"Date"&amp;CHAR(34)&amp;":["&amp;CHAR(34)&amp;"8-May"&amp;CHAR(34)&amp;"],"</f>
        <v>"Date":["8-May"],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"Points":[1,1,2,1,4,"Did not Play",0,1,3,1,0,0,4,0,0,0],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"Finishes":[0,1,2,0,2,"Did not Play",0,1,0,0,0,0,2,0,0,0],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"Midrange":[1,0,0,1,2,"Did not Play",0,0,3,1,0,0,0,0,0,0],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"ThreePointers":[0,0,0,0,0,"Did not Play",0,0,0,0,0,0,1,0,0,0]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7003-27CA-4440-AFE1-761922D1E921}">
  <dimension ref="B1:AE1000"/>
  <sheetViews>
    <sheetView topLeftCell="M1" workbookViewId="0">
      <selection activeCell="AB2" sqref="AB2:AE18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45055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5</v>
      </c>
      <c r="M3" s="24">
        <f>COUNTIF(D3:D40, "Loose Gooses")</f>
        <v>13</v>
      </c>
      <c r="N3" s="23">
        <f>L3/(L3+M3)</f>
        <v>0.27777777777777779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COUNTIF($E$3:$E$40, Q3)+U3</f>
        <v>2</v>
      </c>
      <c r="S3" s="20">
        <f t="shared" ref="S3:S18" si="1">COUNTIFS($E$3:$E$40, $Q3,$F$3:$F$40,"Finish")</f>
        <v>1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1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57</v>
      </c>
      <c r="D4" s="53" t="s">
        <v>34</v>
      </c>
      <c r="E4" s="53" t="s">
        <v>69</v>
      </c>
      <c r="F4" s="53" t="s">
        <v>123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7</v>
      </c>
      <c r="M4" s="24">
        <f>COUNTIF(D3:D40, "5 Musketeers")</f>
        <v>12</v>
      </c>
      <c r="N4" s="23">
        <f t="shared" ref="N4:N5" si="4">L4/(L4+M4)</f>
        <v>0.36842105263157893</v>
      </c>
      <c r="O4" s="24">
        <f>IF(AND(N4&gt;N3, N4&gt;N5), 3, IF(OR(N4&gt;N3, N4&gt;N5), 2, 1))</f>
        <v>2</v>
      </c>
      <c r="Q4" s="3" t="s">
        <v>36</v>
      </c>
      <c r="R4" s="19">
        <f t="shared" si="0"/>
        <v>2</v>
      </c>
      <c r="S4" s="20">
        <f t="shared" si="1"/>
        <v>2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6" si="5">IF(AND(C4="Loose Gooses",D4="Wet Willies"),"LG/WW", IF(AND(C4="Loose Gooses",D4="5 Musketeers"),"LG/5M", ""))</f>
        <v>LG/5M</v>
      </c>
      <c r="Y4" s="24" t="str">
        <f t="shared" ref="Y4:Y26" si="6">IF(AND(C4="Wet Willies",D4="Loose Gooses"),"WW/LG", IF(AND(C4="Wet Willies",D4="5 Musketeers"),"WW/5M", ""))</f>
        <v/>
      </c>
      <c r="Z4" s="24" t="str">
        <f t="shared" ref="Z4:Z26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1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57</v>
      </c>
      <c r="E5" s="53" t="s">
        <v>44</v>
      </c>
      <c r="F5" s="53" t="s">
        <v>154</v>
      </c>
      <c r="G5" s="53">
        <v>1</v>
      </c>
      <c r="H5" s="53">
        <v>1</v>
      </c>
      <c r="I5" s="53">
        <v>1</v>
      </c>
      <c r="K5" s="24" t="s">
        <v>133</v>
      </c>
      <c r="L5" s="24">
        <f>COUNTIF(C3:C40, "Wet Willies")</f>
        <v>19</v>
      </c>
      <c r="M5" s="24">
        <f>COUNTIF(D3:D40, "Wet Willies")</f>
        <v>6</v>
      </c>
      <c r="N5" s="23">
        <f t="shared" si="4"/>
        <v>0.76</v>
      </c>
      <c r="O5" s="24">
        <f>IF(AND(N5&gt;N4, N5&gt;N3), 3, IF(OR(N5&gt;N4, N5&gt;N3), 2, 1))</f>
        <v>3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4" t="b">
        <v>1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39</v>
      </c>
      <c r="D6" s="53" t="s">
        <v>34</v>
      </c>
      <c r="E6" s="53" t="s">
        <v>44</v>
      </c>
      <c r="F6" s="53" t="s">
        <v>154</v>
      </c>
      <c r="G6" s="53">
        <v>2</v>
      </c>
      <c r="H6" s="53">
        <v>2</v>
      </c>
      <c r="I6" s="53">
        <v>2</v>
      </c>
      <c r="Q6" s="3" t="s">
        <v>44</v>
      </c>
      <c r="R6" s="19">
        <f t="shared" si="0"/>
        <v>12</v>
      </c>
      <c r="S6" s="20">
        <f t="shared" si="1"/>
        <v>12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>WW/5M</v>
      </c>
      <c r="Z6" s="24" t="str">
        <f t="shared" si="7"/>
        <v/>
      </c>
      <c r="AB6" s="3" t="s">
        <v>44</v>
      </c>
      <c r="AC6" s="40">
        <f t="shared" si="8"/>
        <v>7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39</v>
      </c>
      <c r="D7" s="53" t="s">
        <v>57</v>
      </c>
      <c r="E7" s="53" t="s">
        <v>44</v>
      </c>
      <c r="F7" s="53" t="s">
        <v>154</v>
      </c>
      <c r="G7" s="53">
        <v>3</v>
      </c>
      <c r="H7" s="53">
        <v>2</v>
      </c>
      <c r="I7" s="53">
        <v>3</v>
      </c>
      <c r="Q7" s="3" t="s">
        <v>46</v>
      </c>
      <c r="R7" s="19">
        <f t="shared" si="0"/>
        <v>4</v>
      </c>
      <c r="S7" s="20">
        <f t="shared" si="1"/>
        <v>0</v>
      </c>
      <c r="T7" s="20">
        <f t="shared" si="2"/>
        <v>4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>WW/LG</v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3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39</v>
      </c>
      <c r="D8" s="53" t="s">
        <v>34</v>
      </c>
      <c r="E8" s="53" t="s">
        <v>46</v>
      </c>
      <c r="F8" s="53" t="s">
        <v>123</v>
      </c>
      <c r="G8" s="53">
        <v>4</v>
      </c>
      <c r="H8" s="53">
        <v>3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1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57</v>
      </c>
      <c r="E9" s="53" t="s">
        <v>44</v>
      </c>
      <c r="F9" s="53" t="s">
        <v>154</v>
      </c>
      <c r="G9" s="53">
        <v>5</v>
      </c>
      <c r="H9" s="53">
        <v>3</v>
      </c>
      <c r="I9" s="53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/>
      </c>
      <c r="Y9" s="24" t="str">
        <f t="shared" si="6"/>
        <v>WW/LG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39</v>
      </c>
      <c r="D10" s="53" t="s">
        <v>34</v>
      </c>
      <c r="E10" s="53" t="s">
        <v>36</v>
      </c>
      <c r="F10" s="53" t="s">
        <v>154</v>
      </c>
      <c r="G10" s="53">
        <v>6</v>
      </c>
      <c r="H10" s="53">
        <v>4</v>
      </c>
      <c r="I10" s="53">
        <v>1</v>
      </c>
      <c r="Q10" s="3" t="s">
        <v>56</v>
      </c>
      <c r="R10" s="19">
        <f t="shared" si="0"/>
        <v>2</v>
      </c>
      <c r="S10" s="20">
        <f t="shared" si="1"/>
        <v>0</v>
      </c>
      <c r="T10" s="20">
        <f t="shared" si="2"/>
        <v>2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>WW/5M</v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39</v>
      </c>
      <c r="D11" s="53" t="s">
        <v>57</v>
      </c>
      <c r="E11" s="53" t="s">
        <v>46</v>
      </c>
      <c r="F11" s="53" t="s">
        <v>123</v>
      </c>
      <c r="G11" s="53">
        <v>7</v>
      </c>
      <c r="H11" s="53">
        <v>4</v>
      </c>
      <c r="I11" s="53">
        <v>1</v>
      </c>
      <c r="Q11" s="3" t="s">
        <v>60</v>
      </c>
      <c r="R11" s="19">
        <f t="shared" si="0"/>
        <v>4</v>
      </c>
      <c r="S11" s="20">
        <f t="shared" si="1"/>
        <v>0</v>
      </c>
      <c r="T11" s="20">
        <f t="shared" si="2"/>
        <v>4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>WW/LG</v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34</v>
      </c>
      <c r="E12" s="53" t="s">
        <v>44</v>
      </c>
      <c r="F12" s="53" t="s">
        <v>154</v>
      </c>
      <c r="G12" s="53">
        <v>8</v>
      </c>
      <c r="H12" s="53">
        <v>5</v>
      </c>
      <c r="I12" s="53">
        <v>1</v>
      </c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WW/5M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57</v>
      </c>
      <c r="E13" s="53" t="s">
        <v>36</v>
      </c>
      <c r="F13" s="53" t="s">
        <v>154</v>
      </c>
      <c r="G13" s="53">
        <v>9</v>
      </c>
      <c r="H13" s="53">
        <v>5</v>
      </c>
      <c r="I13" s="53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1</v>
      </c>
      <c r="X13" s="24" t="str">
        <f t="shared" si="5"/>
        <v/>
      </c>
      <c r="Y13" s="24" t="str">
        <f t="shared" si="6"/>
        <v>WW/LG</v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39</v>
      </c>
      <c r="E14" s="53" t="s">
        <v>60</v>
      </c>
      <c r="F14" s="53" t="s">
        <v>123</v>
      </c>
      <c r="G14" s="53">
        <v>1</v>
      </c>
      <c r="H14" s="53">
        <v>1</v>
      </c>
      <c r="I14" s="53">
        <v>1</v>
      </c>
      <c r="Q14" s="3" t="s">
        <v>69</v>
      </c>
      <c r="R14" s="19">
        <f t="shared" si="0"/>
        <v>2</v>
      </c>
      <c r="S14" s="20">
        <f t="shared" si="1"/>
        <v>1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57</v>
      </c>
      <c r="D15" s="53" t="s">
        <v>34</v>
      </c>
      <c r="E15" s="53" t="s">
        <v>69</v>
      </c>
      <c r="F15" s="53" t="s">
        <v>154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1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39</v>
      </c>
      <c r="D16" s="53" t="s">
        <v>57</v>
      </c>
      <c r="E16" s="53" t="s">
        <v>46</v>
      </c>
      <c r="F16" s="53" t="s">
        <v>123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1</v>
      </c>
      <c r="S16" s="20">
        <f t="shared" si="1"/>
        <v>1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39</v>
      </c>
      <c r="D17" s="53" t="s">
        <v>34</v>
      </c>
      <c r="E17" s="53" t="s">
        <v>44</v>
      </c>
      <c r="F17" s="53" t="s">
        <v>154</v>
      </c>
      <c r="G17" s="53">
        <v>2</v>
      </c>
      <c r="H17" s="53">
        <v>2</v>
      </c>
      <c r="I17" s="53">
        <v>1</v>
      </c>
      <c r="Q17" s="3" t="s">
        <v>79</v>
      </c>
      <c r="R17" s="19">
        <f t="shared" si="0"/>
        <v>1</v>
      </c>
      <c r="S17" s="20">
        <f t="shared" si="1"/>
        <v>1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>WW/5M</v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57</v>
      </c>
      <c r="D18" s="53" t="s">
        <v>39</v>
      </c>
      <c r="E18" s="53" t="s">
        <v>56</v>
      </c>
      <c r="F18" s="53" t="s">
        <v>123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LG/WW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57</v>
      </c>
      <c r="D19" s="53" t="s">
        <v>34</v>
      </c>
      <c r="E19" s="53" t="s">
        <v>79</v>
      </c>
      <c r="F19" s="53" t="s">
        <v>154</v>
      </c>
      <c r="G19" s="53">
        <v>2</v>
      </c>
      <c r="H19" s="53">
        <v>3</v>
      </c>
      <c r="I19" s="53">
        <v>1</v>
      </c>
      <c r="S19" s="20"/>
      <c r="T19" s="20"/>
      <c r="U19" s="20"/>
      <c r="X19" s="24" t="str">
        <f t="shared" si="5"/>
        <v>LG/5M</v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39</v>
      </c>
      <c r="D20" s="53" t="s">
        <v>57</v>
      </c>
      <c r="E20" s="53" t="s">
        <v>44</v>
      </c>
      <c r="F20" s="53" t="s">
        <v>154</v>
      </c>
      <c r="G20" s="53">
        <v>1</v>
      </c>
      <c r="H20" s="53">
        <v>1</v>
      </c>
      <c r="I20" s="53">
        <v>1</v>
      </c>
      <c r="X20" s="24" t="str">
        <f t="shared" si="5"/>
        <v/>
      </c>
      <c r="Y20" s="24" t="str">
        <f t="shared" si="6"/>
        <v>WW/LG</v>
      </c>
      <c r="Z20" s="24" t="str">
        <f t="shared" si="7"/>
        <v/>
      </c>
    </row>
    <row r="21" spans="2:31" ht="14.25" customHeight="1" x14ac:dyDescent="0.45">
      <c r="B21" s="53">
        <v>18</v>
      </c>
      <c r="C21" s="53" t="s">
        <v>39</v>
      </c>
      <c r="D21" s="53" t="s">
        <v>34</v>
      </c>
      <c r="E21" s="53" t="s">
        <v>76</v>
      </c>
      <c r="F21" s="53" t="s">
        <v>154</v>
      </c>
      <c r="G21" s="53">
        <v>2</v>
      </c>
      <c r="H21" s="53">
        <v>4</v>
      </c>
      <c r="I21" s="53">
        <v>1</v>
      </c>
      <c r="X21" s="24" t="str">
        <f t="shared" si="5"/>
        <v/>
      </c>
      <c r="Y21" s="24" t="str">
        <f t="shared" si="6"/>
        <v>WW/5M</v>
      </c>
      <c r="Z21" s="24" t="str">
        <f t="shared" si="7"/>
        <v/>
      </c>
    </row>
    <row r="22" spans="2:31" ht="14.25" customHeight="1" x14ac:dyDescent="0.45">
      <c r="B22" s="53">
        <v>19</v>
      </c>
      <c r="C22" s="53" t="s">
        <v>39</v>
      </c>
      <c r="D22" s="53" t="s">
        <v>57</v>
      </c>
      <c r="E22" s="53" t="s">
        <v>44</v>
      </c>
      <c r="F22" s="53" t="s">
        <v>154</v>
      </c>
      <c r="G22" s="53">
        <v>3</v>
      </c>
      <c r="H22" s="53">
        <v>2</v>
      </c>
      <c r="I22" s="53">
        <v>1</v>
      </c>
      <c r="X22" s="24" t="str">
        <f t="shared" si="5"/>
        <v/>
      </c>
      <c r="Y22" s="24" t="str">
        <f t="shared" si="6"/>
        <v>WW/LG</v>
      </c>
      <c r="Z22" s="24" t="str">
        <f t="shared" si="7"/>
        <v/>
      </c>
    </row>
    <row r="23" spans="2:31" ht="14.25" customHeight="1" x14ac:dyDescent="0.45">
      <c r="B23" s="53">
        <v>20</v>
      </c>
      <c r="C23" s="53" t="s">
        <v>39</v>
      </c>
      <c r="D23" s="53" t="s">
        <v>34</v>
      </c>
      <c r="E23" s="53" t="s">
        <v>44</v>
      </c>
      <c r="F23" s="53" t="s">
        <v>154</v>
      </c>
      <c r="G23" s="53">
        <v>4</v>
      </c>
      <c r="H23" s="53">
        <v>5</v>
      </c>
      <c r="I23" s="53">
        <v>2</v>
      </c>
      <c r="Q23" s="3"/>
      <c r="R23" s="40" t="str">
        <f>IF($V3, CHAR(34)&amp;"Did not Play"&amp;CHAR(34), R3)&amp;","</f>
        <v>2,</v>
      </c>
      <c r="S23" s="40" t="str">
        <f t="shared" ref="S23:U23" si="11">IF($V3, CHAR(34)&amp;"Did not Play"&amp;CHAR(34), S3)&amp;","</f>
        <v>1,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>WW/5M</v>
      </c>
      <c r="Z23" s="24" t="str">
        <f t="shared" si="7"/>
        <v/>
      </c>
    </row>
    <row r="24" spans="2:31" ht="14.25" customHeight="1" x14ac:dyDescent="0.45">
      <c r="B24" s="53">
        <v>21</v>
      </c>
      <c r="C24" s="53" t="s">
        <v>39</v>
      </c>
      <c r="D24" s="53" t="s">
        <v>57</v>
      </c>
      <c r="E24" s="53" t="s">
        <v>46</v>
      </c>
      <c r="F24" s="53" t="s">
        <v>123</v>
      </c>
      <c r="G24" s="53">
        <v>5</v>
      </c>
      <c r="H24" s="53">
        <v>3</v>
      </c>
      <c r="I24" s="53">
        <v>1</v>
      </c>
      <c r="R24" s="40" t="str">
        <f t="shared" ref="R24:U37" si="12">IF($V4, CHAR(34)&amp;"Did not Play"&amp;CHAR(34), R4)&amp;","</f>
        <v>2,</v>
      </c>
      <c r="S24" s="40" t="str">
        <f t="shared" si="12"/>
        <v>2,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>WW/LG</v>
      </c>
      <c r="Z24" s="24" t="str">
        <f t="shared" si="7"/>
        <v/>
      </c>
    </row>
    <row r="25" spans="2:31" ht="14.25" customHeight="1" x14ac:dyDescent="0.45">
      <c r="B25" s="53">
        <v>22</v>
      </c>
      <c r="C25" s="53" t="s">
        <v>34</v>
      </c>
      <c r="D25" s="53" t="s">
        <v>39</v>
      </c>
      <c r="E25" s="53" t="s">
        <v>60</v>
      </c>
      <c r="F25" s="53" t="s">
        <v>123</v>
      </c>
      <c r="G25" s="53">
        <v>1</v>
      </c>
      <c r="H25" s="53">
        <v>1</v>
      </c>
      <c r="I25" s="53">
        <v>1</v>
      </c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5"/>
        <v/>
      </c>
      <c r="Y25" s="24" t="str">
        <f t="shared" si="6"/>
        <v/>
      </c>
      <c r="Z25" s="24" t="str">
        <f t="shared" si="7"/>
        <v>5M/WW</v>
      </c>
    </row>
    <row r="26" spans="2:31" ht="14.25" customHeight="1" x14ac:dyDescent="0.45">
      <c r="B26" s="53">
        <v>23</v>
      </c>
      <c r="C26" s="53" t="s">
        <v>34</v>
      </c>
      <c r="D26" s="53" t="s">
        <v>57</v>
      </c>
      <c r="E26" s="53" t="s">
        <v>60</v>
      </c>
      <c r="F26" s="53" t="s">
        <v>123</v>
      </c>
      <c r="G26" s="53">
        <v>2</v>
      </c>
      <c r="H26" s="53">
        <v>4</v>
      </c>
      <c r="I26" s="53">
        <v>2</v>
      </c>
      <c r="Q26" s="26"/>
      <c r="R26" s="40" t="str">
        <f t="shared" si="12"/>
        <v>12,</v>
      </c>
      <c r="S26" s="40" t="str">
        <f t="shared" si="12"/>
        <v>12,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>5M/LG</v>
      </c>
    </row>
    <row r="27" spans="2:31" ht="14.25" customHeight="1" x14ac:dyDescent="0.45">
      <c r="B27" s="53">
        <v>24</v>
      </c>
      <c r="C27" s="53" t="s">
        <v>34</v>
      </c>
      <c r="D27" s="53" t="s">
        <v>39</v>
      </c>
      <c r="E27" s="53" t="s">
        <v>33</v>
      </c>
      <c r="F27" s="53" t="s">
        <v>123</v>
      </c>
      <c r="G27" s="53">
        <v>3</v>
      </c>
      <c r="H27" s="53">
        <v>2</v>
      </c>
      <c r="I27" s="53">
        <v>1</v>
      </c>
      <c r="R27" s="40" t="str">
        <f t="shared" si="12"/>
        <v>4,</v>
      </c>
      <c r="S27" s="40" t="str">
        <f t="shared" si="12"/>
        <v>0,</v>
      </c>
      <c r="T27" s="40" t="str">
        <f t="shared" si="12"/>
        <v>4,</v>
      </c>
      <c r="U27" s="40" t="str">
        <f t="shared" si="12"/>
        <v>0,</v>
      </c>
      <c r="X27" s="24" t="str">
        <f t="shared" ref="X27:X39" si="13">IF(AND(C27="Loose Gooses",D27="Wet Willies"),"LG/WW", IF(AND(C27="Loose Gooses",D27="5 Musketeers"),"LG/5M", ""))</f>
        <v/>
      </c>
      <c r="Y27" s="24" t="str">
        <f t="shared" ref="Y27:Y39" si="14">IF(AND(C27="Wet Willies",D27="Loose Gooses"),"WW/LG", IF(AND(C27="Wet Willies",D27="5 Musketeers"),"WW/5M", ""))</f>
        <v/>
      </c>
      <c r="Z27" s="24" t="str">
        <f t="shared" ref="Z27:Z39" si="15">IF(AND(C27="5 Musketeers",D27="Loose Gooses"),"5M/LG", IF(AND($C27="5 Musketeers",$D27="Wet Willies"),"5M/WW", ""))</f>
        <v>5M/WW</v>
      </c>
    </row>
    <row r="28" spans="2:31" ht="14.25" customHeight="1" x14ac:dyDescent="0.45">
      <c r="B28" s="53">
        <v>25</v>
      </c>
      <c r="C28" s="53" t="s">
        <v>57</v>
      </c>
      <c r="D28" s="53" t="s">
        <v>34</v>
      </c>
      <c r="E28" s="53" t="s">
        <v>56</v>
      </c>
      <c r="F28" s="53" t="s">
        <v>123</v>
      </c>
      <c r="G28" s="53">
        <v>1</v>
      </c>
      <c r="H28" s="53">
        <v>1</v>
      </c>
      <c r="I28" s="53">
        <v>1</v>
      </c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13"/>
        <v>LG/5M</v>
      </c>
      <c r="Y28" s="24" t="str">
        <f t="shared" si="14"/>
        <v/>
      </c>
      <c r="Z28" s="24" t="str">
        <f t="shared" si="15"/>
        <v/>
      </c>
    </row>
    <row r="29" spans="2:31" ht="14.25" customHeight="1" x14ac:dyDescent="0.45">
      <c r="B29" s="53">
        <v>26</v>
      </c>
      <c r="C29" s="53" t="s">
        <v>39</v>
      </c>
      <c r="D29" s="53" t="s">
        <v>57</v>
      </c>
      <c r="E29" s="53" t="s">
        <v>44</v>
      </c>
      <c r="F29" s="53" t="s">
        <v>154</v>
      </c>
      <c r="G29" s="53">
        <v>1</v>
      </c>
      <c r="H29" s="53">
        <v>1</v>
      </c>
      <c r="I29" s="53">
        <v>1</v>
      </c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  <c r="X29" s="24" t="str">
        <f t="shared" si="13"/>
        <v/>
      </c>
      <c r="Y29" s="24" t="str">
        <f t="shared" si="14"/>
        <v>WW/LG</v>
      </c>
      <c r="Z29" s="24" t="str">
        <f t="shared" si="15"/>
        <v/>
      </c>
    </row>
    <row r="30" spans="2:31" ht="14.25" customHeight="1" x14ac:dyDescent="0.45">
      <c r="B30" s="53">
        <v>40</v>
      </c>
      <c r="C30" s="53" t="s">
        <v>34</v>
      </c>
      <c r="D30" s="53" t="s">
        <v>39</v>
      </c>
      <c r="E30" s="53" t="s">
        <v>60</v>
      </c>
      <c r="F30" s="53" t="s">
        <v>123</v>
      </c>
      <c r="G30" s="53">
        <v>1</v>
      </c>
      <c r="H30" s="53">
        <v>1</v>
      </c>
      <c r="I30" s="53">
        <v>1</v>
      </c>
      <c r="R30" s="40" t="str">
        <f t="shared" si="12"/>
        <v>2,</v>
      </c>
      <c r="S30" s="40" t="str">
        <f t="shared" si="12"/>
        <v>0,</v>
      </c>
      <c r="T30" s="40" t="str">
        <f t="shared" si="12"/>
        <v>2,</v>
      </c>
      <c r="U30" s="40" t="str">
        <f t="shared" si="12"/>
        <v>0,</v>
      </c>
      <c r="X30" s="24" t="str">
        <f t="shared" si="13"/>
        <v/>
      </c>
      <c r="Y30" s="24" t="str">
        <f t="shared" si="14"/>
        <v/>
      </c>
      <c r="Z30" s="24" t="str">
        <f t="shared" si="15"/>
        <v>5M/WW</v>
      </c>
    </row>
    <row r="31" spans="2:31" ht="14.25" customHeight="1" x14ac:dyDescent="0.45">
      <c r="B31" s="53">
        <v>28</v>
      </c>
      <c r="C31" s="53" t="s">
        <v>34</v>
      </c>
      <c r="D31" s="53" t="s">
        <v>57</v>
      </c>
      <c r="E31" s="53" t="s">
        <v>33</v>
      </c>
      <c r="F31" s="53" t="s">
        <v>154</v>
      </c>
      <c r="G31" s="53">
        <v>2</v>
      </c>
      <c r="H31" s="53">
        <v>2</v>
      </c>
      <c r="I31" s="53">
        <v>1</v>
      </c>
      <c r="R31" s="40" t="str">
        <f t="shared" si="12"/>
        <v>4,</v>
      </c>
      <c r="S31" s="40" t="str">
        <f t="shared" si="12"/>
        <v>0,</v>
      </c>
      <c r="T31" s="40" t="str">
        <f t="shared" si="12"/>
        <v>4,</v>
      </c>
      <c r="U31" s="40" t="str">
        <f t="shared" si="12"/>
        <v>0,</v>
      </c>
      <c r="X31" s="24" t="str">
        <f t="shared" si="13"/>
        <v/>
      </c>
      <c r="Y31" s="24" t="str">
        <f t="shared" si="14"/>
        <v/>
      </c>
      <c r="Z31" s="24" t="str">
        <f t="shared" si="15"/>
        <v>5M/LG</v>
      </c>
    </row>
    <row r="32" spans="2:31" ht="14.25" customHeight="1" x14ac:dyDescent="0.45">
      <c r="B32" s="53">
        <v>29</v>
      </c>
      <c r="C32" s="53" t="s">
        <v>39</v>
      </c>
      <c r="D32" s="53" t="s">
        <v>34</v>
      </c>
      <c r="E32" s="53" t="s">
        <v>44</v>
      </c>
      <c r="F32" s="53" t="s">
        <v>154</v>
      </c>
      <c r="G32" s="53">
        <v>1</v>
      </c>
      <c r="H32" s="53">
        <v>1</v>
      </c>
      <c r="I32" s="53">
        <v>1</v>
      </c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  <c r="X32" s="24" t="str">
        <f t="shared" si="13"/>
        <v/>
      </c>
      <c r="Y32" s="24" t="str">
        <f t="shared" si="14"/>
        <v>WW/5M</v>
      </c>
      <c r="Z32" s="24" t="str">
        <f t="shared" si="15"/>
        <v/>
      </c>
    </row>
    <row r="33" spans="2:26" ht="14.25" customHeight="1" x14ac:dyDescent="0.45">
      <c r="B33" s="53">
        <v>30</v>
      </c>
      <c r="C33" s="53" t="s">
        <v>39</v>
      </c>
      <c r="D33" s="53" t="s">
        <v>57</v>
      </c>
      <c r="E33" s="53" t="s">
        <v>44</v>
      </c>
      <c r="F33" s="53" t="s">
        <v>154</v>
      </c>
      <c r="G33" s="53">
        <v>2</v>
      </c>
      <c r="H33" s="53">
        <v>3</v>
      </c>
      <c r="I33" s="53">
        <v>2</v>
      </c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13"/>
        <v/>
      </c>
      <c r="Y33" s="24" t="str">
        <f t="shared" si="14"/>
        <v>WW/LG</v>
      </c>
      <c r="Z33" s="24" t="str">
        <f t="shared" si="15"/>
        <v/>
      </c>
    </row>
    <row r="34" spans="2:26" ht="14.25" customHeight="1" x14ac:dyDescent="0.45">
      <c r="B34" s="53">
        <v>31</v>
      </c>
      <c r="C34" s="53" t="s">
        <v>34</v>
      </c>
      <c r="D34" s="53" t="s">
        <v>39</v>
      </c>
      <c r="E34" s="53" t="s">
        <v>63</v>
      </c>
      <c r="F34" s="53" t="s">
        <v>123</v>
      </c>
      <c r="G34" s="53">
        <v>1</v>
      </c>
      <c r="H34" s="53">
        <v>1</v>
      </c>
      <c r="I34" s="53">
        <v>1</v>
      </c>
      <c r="R34" s="40" t="str">
        <f t="shared" si="12"/>
        <v>2,</v>
      </c>
      <c r="S34" s="40" t="str">
        <f t="shared" si="12"/>
        <v>1,</v>
      </c>
      <c r="T34" s="40" t="str">
        <f t="shared" si="12"/>
        <v>1,</v>
      </c>
      <c r="U34" s="40" t="str">
        <f t="shared" si="12"/>
        <v>0,</v>
      </c>
      <c r="X34" s="24" t="str">
        <f t="shared" si="13"/>
        <v/>
      </c>
      <c r="Y34" s="24" t="str">
        <f t="shared" si="14"/>
        <v/>
      </c>
      <c r="Z34" s="24" t="str">
        <f t="shared" si="15"/>
        <v>5M/WW</v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13"/>
        <v/>
      </c>
      <c r="Y35" s="24" t="str">
        <f t="shared" si="14"/>
        <v/>
      </c>
      <c r="Z35" s="24" t="str">
        <f t="shared" si="15"/>
        <v/>
      </c>
    </row>
    <row r="36" spans="2:26" ht="14.25" customHeight="1" x14ac:dyDescent="0.45">
      <c r="R36" s="40" t="str">
        <f t="shared" si="12"/>
        <v>1,</v>
      </c>
      <c r="S36" s="40" t="str">
        <f t="shared" si="12"/>
        <v>1,</v>
      </c>
      <c r="T36" s="40" t="str">
        <f t="shared" si="12"/>
        <v>0,</v>
      </c>
      <c r="U36" s="40" t="str">
        <f t="shared" si="12"/>
        <v>0,</v>
      </c>
      <c r="X36" s="24" t="str">
        <f t="shared" si="13"/>
        <v/>
      </c>
      <c r="Y36" s="24" t="str">
        <f t="shared" si="14"/>
        <v/>
      </c>
      <c r="Z36" s="24" t="str">
        <f t="shared" si="15"/>
        <v/>
      </c>
    </row>
    <row r="37" spans="2:26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  <c r="X37" s="24" t="str">
        <f t="shared" si="13"/>
        <v/>
      </c>
      <c r="Y37" s="24" t="str">
        <f t="shared" si="14"/>
        <v/>
      </c>
      <c r="Z37" s="24" t="str">
        <f t="shared" si="15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13"/>
        <v/>
      </c>
      <c r="Y38" s="24" t="str">
        <f t="shared" si="14"/>
        <v/>
      </c>
      <c r="Z38" s="24" t="str">
        <f t="shared" si="15"/>
        <v/>
      </c>
    </row>
    <row r="39" spans="2:26" ht="14.25" customHeight="1" x14ac:dyDescent="0.45">
      <c r="S39" s="19"/>
      <c r="T39" s="19"/>
      <c r="U39" s="19"/>
      <c r="X39" s="24" t="str">
        <f t="shared" si="13"/>
        <v/>
      </c>
      <c r="Y39" s="24" t="str">
        <f t="shared" si="14"/>
        <v/>
      </c>
      <c r="Z39" s="24" t="str">
        <f t="shared" si="15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47" t="s">
        <v>159</v>
      </c>
      <c r="R41" s="147"/>
      <c r="S41" s="147"/>
      <c r="T41" s="19"/>
      <c r="U41" s="19"/>
    </row>
    <row r="42" spans="2:26" ht="14.25" customHeight="1" x14ac:dyDescent="0.45">
      <c r="Q42" s="147"/>
      <c r="R42" s="147"/>
      <c r="S42" s="147"/>
    </row>
    <row r="43" spans="2:26" ht="14.25" customHeight="1" x14ac:dyDescent="0.45">
      <c r="Q43" s="40" t="str">
        <f>CHAR(34)&amp;"Date"&amp;CHAR(34)&amp;":["&amp;CHAR(34)&amp;"9-May"&amp;CHAR(34)&amp;"],"</f>
        <v>"Date":["9-May"],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CHAR(34)&amp;"Points"&amp;CHAR(34)&amp;":["&amp;R23&amp;R24&amp;R25&amp;R26&amp;R27&amp;R28&amp;R29&amp;R30&amp;R31&amp;R32&amp;R40&amp;R34&amp;R35&amp;R36&amp;R37&amp;R38&amp;"],"</f>
        <v>"Points":[2,2,"Did not Play",12,4,"Did not Play",0,2,4,1,2,"Did not Play",1,1,0],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CHAR(34)&amp;"Finishes"&amp;CHAR(34)&amp;":["&amp;S23&amp;S24&amp;S25&amp;S26&amp;S27&amp;S28&amp;S29&amp;S30&amp;S31&amp;S32&amp;S40&amp;S34&amp;S35&amp;S36&amp;S37&amp;S38&amp;"],"</f>
        <v>"Finishes":[1,2,"Did not Play",12,0,"Did not Play",0,0,0,0,1,"Did not Play",1,1,0],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CHAR(34)&amp;"Midrange"&amp;CHAR(34)&amp;":["&amp;T23&amp;T24&amp;T25&amp;T26&amp;T27&amp;T28&amp;T29&amp;T30&amp;T31&amp;T32&amp;T40&amp;T34&amp;T35&amp;T36&amp;T37&amp;T38&amp;"],"</f>
        <v>"Midrange":[1,0,"Did not Play",0,4,"Did not Play",0,2,4,1,1,"Did not Play",0,0,0],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CHAR(34)&amp;"ThreePointers"&amp;CHAR(34)&amp;":["&amp;U23&amp;U24&amp;U25&amp;U26&amp;U27&amp;U28&amp;U29&amp;U30&amp;U31&amp;U32&amp;U40&amp;U34&amp;U35&amp;U36&amp;U37&amp;U38&amp;"]"</f>
        <v>"ThreePointers":[0,0,"Did not Play",0,0,"Did not Play",0,0,0,0,0,"Did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4460D-7C8A-4509-85D5-9E47F2FC779D}">
  <dimension ref="B1:AE1000"/>
  <sheetViews>
    <sheetView topLeftCell="M1" workbookViewId="0">
      <selection activeCell="AB2" sqref="AB2:AE18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45056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13</v>
      </c>
      <c r="M3" s="24">
        <f>COUNTIF(D3:D40, "Loose Gooses")</f>
        <v>7</v>
      </c>
      <c r="N3" s="23">
        <f>L3/(L3+M3)</f>
        <v>0.65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1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1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5">
      <c r="B4" s="100">
        <v>1</v>
      </c>
      <c r="C4" s="100" t="s">
        <v>39</v>
      </c>
      <c r="D4" s="100" t="s">
        <v>57</v>
      </c>
      <c r="E4" s="100" t="s">
        <v>46</v>
      </c>
      <c r="F4" s="100" t="s">
        <v>123</v>
      </c>
      <c r="G4" s="100">
        <v>1</v>
      </c>
      <c r="H4" s="100">
        <v>1</v>
      </c>
      <c r="I4" s="100">
        <v>1</v>
      </c>
      <c r="K4" s="24" t="s">
        <v>134</v>
      </c>
      <c r="L4" s="24">
        <f>COUNTIF(C3:C40, "5 Musketeers")</f>
        <v>3</v>
      </c>
      <c r="M4" s="24">
        <f>COUNTIF(D3:D40, "5 Musketeers")</f>
        <v>11</v>
      </c>
      <c r="N4" s="23">
        <f t="shared" ref="N4:N5" si="4">L4/(L4+M4)</f>
        <v>0.21428571428571427</v>
      </c>
      <c r="O4" s="24">
        <f>IF(AND(N4&gt;N3, N4&gt;N5), 3, IF(OR(N4&gt;N3, N4&gt;N5), 2, 1))</f>
        <v>1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>WW/LG</v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5">
      <c r="B5" s="100">
        <v>2</v>
      </c>
      <c r="C5" s="100" t="s">
        <v>39</v>
      </c>
      <c r="D5" s="100" t="s">
        <v>34</v>
      </c>
      <c r="E5" s="100" t="s">
        <v>36</v>
      </c>
      <c r="F5" s="100" t="s">
        <v>154</v>
      </c>
      <c r="G5" s="100">
        <v>2</v>
      </c>
      <c r="H5" s="100">
        <v>1</v>
      </c>
      <c r="I5" s="100">
        <v>1</v>
      </c>
      <c r="K5" s="24" t="s">
        <v>133</v>
      </c>
      <c r="L5" s="24">
        <f>COUNTIF(C3:C40, "Wet Willies")</f>
        <v>10</v>
      </c>
      <c r="M5" s="24">
        <f>COUNTIF(D3:D40, "Wet Willies")</f>
        <v>8</v>
      </c>
      <c r="N5" s="23">
        <f t="shared" si="4"/>
        <v>0.55555555555555558</v>
      </c>
      <c r="O5" s="24">
        <f>IF(AND(N5&gt;N4, N5&gt;N3), 3, IF(OR(N5&gt;N4, N5&gt;N3), 2, 1))</f>
        <v>2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4" t="b">
        <v>1</v>
      </c>
      <c r="X5" s="24" t="str">
        <f t="shared" si="5"/>
        <v/>
      </c>
      <c r="Y5" s="24" t="str">
        <f t="shared" si="6"/>
        <v>WW/5M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5">
      <c r="B6" s="100">
        <v>3</v>
      </c>
      <c r="C6" s="100" t="s">
        <v>57</v>
      </c>
      <c r="D6" s="100" t="s">
        <v>39</v>
      </c>
      <c r="E6" s="100" t="s">
        <v>53</v>
      </c>
      <c r="F6" s="100" t="s">
        <v>172</v>
      </c>
      <c r="G6" s="100">
        <v>1</v>
      </c>
      <c r="H6" s="100">
        <v>1</v>
      </c>
      <c r="I6" s="100">
        <v>1</v>
      </c>
      <c r="Q6" s="3" t="s">
        <v>44</v>
      </c>
      <c r="R6" s="19">
        <f t="shared" si="0"/>
        <v>6</v>
      </c>
      <c r="S6" s="20">
        <f t="shared" si="1"/>
        <v>5</v>
      </c>
      <c r="T6" s="20">
        <f t="shared" si="2"/>
        <v>1</v>
      </c>
      <c r="U6" s="20">
        <f t="shared" si="3"/>
        <v>0</v>
      </c>
      <c r="V6" s="54" t="b">
        <v>0</v>
      </c>
      <c r="X6" s="24" t="str">
        <f t="shared" si="5"/>
        <v>LG/WW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4</v>
      </c>
      <c r="AD6" s="40">
        <f t="shared" si="9"/>
        <v>1</v>
      </c>
      <c r="AE6" s="40">
        <f t="shared" si="10"/>
        <v>0</v>
      </c>
    </row>
    <row r="7" spans="2:31" ht="14.25" customHeight="1" x14ac:dyDescent="0.5">
      <c r="B7" s="100">
        <v>4</v>
      </c>
      <c r="C7" s="100" t="s">
        <v>57</v>
      </c>
      <c r="D7" s="100" t="s">
        <v>34</v>
      </c>
      <c r="E7" s="100" t="s">
        <v>69</v>
      </c>
      <c r="F7" s="100" t="s">
        <v>123</v>
      </c>
      <c r="G7" s="100">
        <v>2</v>
      </c>
      <c r="H7" s="100">
        <v>2</v>
      </c>
      <c r="I7" s="100">
        <v>1</v>
      </c>
      <c r="Q7" s="3" t="s">
        <v>46</v>
      </c>
      <c r="R7" s="19">
        <f t="shared" si="0"/>
        <v>3</v>
      </c>
      <c r="S7" s="20">
        <f t="shared" si="1"/>
        <v>0</v>
      </c>
      <c r="T7" s="20">
        <f t="shared" si="2"/>
        <v>3</v>
      </c>
      <c r="U7" s="20">
        <f t="shared" si="3"/>
        <v>0</v>
      </c>
      <c r="V7" s="54" t="b">
        <v>0</v>
      </c>
      <c r="X7" s="24" t="str">
        <f t="shared" si="5"/>
        <v>LG/5M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1</v>
      </c>
      <c r="AE7" s="40">
        <f t="shared" si="10"/>
        <v>0</v>
      </c>
    </row>
    <row r="8" spans="2:31" ht="14.25" customHeight="1" x14ac:dyDescent="0.5">
      <c r="B8" s="100">
        <v>5</v>
      </c>
      <c r="C8" s="100" t="s">
        <v>57</v>
      </c>
      <c r="D8" s="100" t="s">
        <v>39</v>
      </c>
      <c r="E8" s="100" t="s">
        <v>56</v>
      </c>
      <c r="F8" s="100" t="s">
        <v>154</v>
      </c>
      <c r="G8" s="100">
        <v>3</v>
      </c>
      <c r="H8" s="100">
        <v>2</v>
      </c>
      <c r="I8" s="100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1</v>
      </c>
      <c r="X8" s="24" t="str">
        <f t="shared" si="5"/>
        <v>LG/WW</v>
      </c>
      <c r="Y8" s="24" t="str">
        <f t="shared" si="6"/>
        <v/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5">
      <c r="B9" s="100">
        <v>6</v>
      </c>
      <c r="C9" s="100" t="s">
        <v>57</v>
      </c>
      <c r="D9" s="100" t="s">
        <v>34</v>
      </c>
      <c r="E9" s="100" t="s">
        <v>53</v>
      </c>
      <c r="F9" s="100" t="s">
        <v>154</v>
      </c>
      <c r="G9" s="100">
        <v>4</v>
      </c>
      <c r="H9" s="100">
        <v>3</v>
      </c>
      <c r="I9" s="100">
        <v>1</v>
      </c>
      <c r="Q9" s="3" t="s">
        <v>53</v>
      </c>
      <c r="R9" s="19">
        <f t="shared" si="0"/>
        <v>4</v>
      </c>
      <c r="S9" s="20">
        <f t="shared" si="1"/>
        <v>2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1</v>
      </c>
    </row>
    <row r="10" spans="2:31" ht="14.25" customHeight="1" x14ac:dyDescent="0.5">
      <c r="B10" s="100">
        <v>7</v>
      </c>
      <c r="C10" s="100" t="s">
        <v>39</v>
      </c>
      <c r="D10" s="100" t="s">
        <v>57</v>
      </c>
      <c r="E10" s="100" t="s">
        <v>44</v>
      </c>
      <c r="F10" s="100" t="s">
        <v>154</v>
      </c>
      <c r="G10" s="100">
        <v>1</v>
      </c>
      <c r="H10" s="100">
        <v>1</v>
      </c>
      <c r="I10" s="100">
        <v>1</v>
      </c>
      <c r="Q10" s="3" t="s">
        <v>56</v>
      </c>
      <c r="R10" s="19">
        <f t="shared" si="0"/>
        <v>7</v>
      </c>
      <c r="S10" s="20">
        <f t="shared" si="1"/>
        <v>3</v>
      </c>
      <c r="T10" s="20">
        <f t="shared" si="2"/>
        <v>4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>WW/LG</v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2</v>
      </c>
      <c r="AD10" s="40">
        <f>COUNTIFS($E$4:$E$33, $AB10, $F$4:$F$33, "Midrange", $D$4:$D$33, "Wet Willies")</f>
        <v>2</v>
      </c>
      <c r="AE10" s="40">
        <f>COUNTIFS($E$4:$E$33, $AB10, $F$4:$F$33, "Three Pointer", $D$4:$D$33, "Wet Willies")</f>
        <v>0</v>
      </c>
    </row>
    <row r="11" spans="2:31" ht="14.25" customHeight="1" x14ac:dyDescent="0.5">
      <c r="B11" s="100">
        <v>8</v>
      </c>
      <c r="C11" s="100" t="s">
        <v>39</v>
      </c>
      <c r="D11" s="100" t="s">
        <v>34</v>
      </c>
      <c r="E11" s="100" t="s">
        <v>46</v>
      </c>
      <c r="F11" s="100" t="s">
        <v>123</v>
      </c>
      <c r="G11" s="100">
        <v>2</v>
      </c>
      <c r="H11" s="100">
        <v>4</v>
      </c>
      <c r="I11" s="100">
        <v>1</v>
      </c>
      <c r="Q11" s="3" t="s">
        <v>60</v>
      </c>
      <c r="R11" s="19">
        <f t="shared" si="0"/>
        <v>2</v>
      </c>
      <c r="S11" s="20">
        <f t="shared" si="1"/>
        <v>0</v>
      </c>
      <c r="T11" s="20">
        <f t="shared" si="2"/>
        <v>2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>WW/5M</v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5">
      <c r="B12" s="100">
        <v>9</v>
      </c>
      <c r="C12" s="100" t="s">
        <v>39</v>
      </c>
      <c r="D12" s="100" t="s">
        <v>57</v>
      </c>
      <c r="E12" s="100" t="s">
        <v>44</v>
      </c>
      <c r="F12" s="100" t="s">
        <v>154</v>
      </c>
      <c r="G12" s="100">
        <v>3</v>
      </c>
      <c r="H12" s="100">
        <v>2</v>
      </c>
      <c r="I12" s="100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5">
      <c r="B13" s="100">
        <v>10</v>
      </c>
      <c r="C13" s="100" t="s">
        <v>34</v>
      </c>
      <c r="D13" s="100" t="s">
        <v>39</v>
      </c>
      <c r="E13" s="100" t="s">
        <v>60</v>
      </c>
      <c r="F13" s="100" t="s">
        <v>123</v>
      </c>
      <c r="G13" s="100">
        <v>1</v>
      </c>
      <c r="H13" s="100">
        <v>1</v>
      </c>
      <c r="I13" s="100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1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5">
      <c r="B14" s="100">
        <v>11</v>
      </c>
      <c r="C14" s="100" t="s">
        <v>57</v>
      </c>
      <c r="D14" s="100" t="s">
        <v>34</v>
      </c>
      <c r="E14" s="100" t="s">
        <v>56</v>
      </c>
      <c r="F14" s="100" t="s">
        <v>154</v>
      </c>
      <c r="G14" s="100">
        <v>1</v>
      </c>
      <c r="H14" s="100">
        <v>1</v>
      </c>
      <c r="I14" s="100">
        <v>1</v>
      </c>
      <c r="Q14" s="3" t="s">
        <v>69</v>
      </c>
      <c r="R14" s="19">
        <f t="shared" si="0"/>
        <v>1</v>
      </c>
      <c r="S14" s="20">
        <f t="shared" si="1"/>
        <v>0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5">
      <c r="B15" s="100">
        <v>12</v>
      </c>
      <c r="C15" s="100" t="s">
        <v>57</v>
      </c>
      <c r="D15" s="100" t="s">
        <v>39</v>
      </c>
      <c r="E15" s="100" t="s">
        <v>56</v>
      </c>
      <c r="F15" s="100" t="s">
        <v>123</v>
      </c>
      <c r="G15" s="100">
        <v>2</v>
      </c>
      <c r="H15" s="100">
        <v>2</v>
      </c>
      <c r="I15" s="100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1</v>
      </c>
      <c r="X15" s="24" t="str">
        <f t="shared" si="5"/>
        <v>LG/WW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5">
      <c r="B16" s="100">
        <v>13</v>
      </c>
      <c r="C16" s="100" t="s">
        <v>57</v>
      </c>
      <c r="D16" s="100" t="s">
        <v>34</v>
      </c>
      <c r="E16" s="100" t="s">
        <v>79</v>
      </c>
      <c r="F16" s="100" t="s">
        <v>123</v>
      </c>
      <c r="G16" s="100">
        <v>3</v>
      </c>
      <c r="H16" s="100">
        <v>2</v>
      </c>
      <c r="I16" s="100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5">
      <c r="B17" s="100">
        <v>14</v>
      </c>
      <c r="C17" s="100" t="s">
        <v>39</v>
      </c>
      <c r="D17" s="100" t="s">
        <v>57</v>
      </c>
      <c r="E17" s="100" t="s">
        <v>44</v>
      </c>
      <c r="F17" s="100" t="s">
        <v>123</v>
      </c>
      <c r="G17" s="100">
        <v>1</v>
      </c>
      <c r="H17" s="100">
        <v>1</v>
      </c>
      <c r="I17" s="100">
        <v>1</v>
      </c>
      <c r="Q17" s="3" t="s">
        <v>79</v>
      </c>
      <c r="R17" s="19">
        <f t="shared" si="0"/>
        <v>2</v>
      </c>
      <c r="S17" s="20">
        <f t="shared" si="1"/>
        <v>1</v>
      </c>
      <c r="T17" s="20">
        <f t="shared" si="2"/>
        <v>1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>WW/LG</v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1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5">
      <c r="B18" s="100">
        <v>15</v>
      </c>
      <c r="C18" s="100" t="s">
        <v>39</v>
      </c>
      <c r="D18" s="100" t="s">
        <v>34</v>
      </c>
      <c r="E18" s="100" t="s">
        <v>46</v>
      </c>
      <c r="F18" s="100" t="s">
        <v>123</v>
      </c>
      <c r="G18" s="100">
        <v>2</v>
      </c>
      <c r="H18" s="100">
        <v>3</v>
      </c>
      <c r="I18" s="100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>WW/5M</v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5">
      <c r="B19" s="100">
        <v>16</v>
      </c>
      <c r="C19" s="100" t="s">
        <v>57</v>
      </c>
      <c r="D19" s="100" t="s">
        <v>39</v>
      </c>
      <c r="E19" s="100" t="s">
        <v>56</v>
      </c>
      <c r="F19" s="100" t="s">
        <v>154</v>
      </c>
      <c r="G19" s="100">
        <v>1</v>
      </c>
      <c r="H19" s="100">
        <v>1</v>
      </c>
      <c r="I19" s="100">
        <v>1</v>
      </c>
      <c r="S19" s="20"/>
      <c r="T19" s="20"/>
      <c r="U19" s="20"/>
      <c r="X19" s="24" t="str">
        <f t="shared" si="5"/>
        <v>LG/WW</v>
      </c>
      <c r="Y19" s="24" t="str">
        <f t="shared" si="6"/>
        <v/>
      </c>
      <c r="Z19" s="24" t="str">
        <f t="shared" si="7"/>
        <v/>
      </c>
    </row>
    <row r="20" spans="2:31" ht="14.25" customHeight="1" x14ac:dyDescent="0.5">
      <c r="B20" s="100">
        <v>17</v>
      </c>
      <c r="C20" s="100" t="s">
        <v>57</v>
      </c>
      <c r="D20" s="100" t="s">
        <v>34</v>
      </c>
      <c r="E20" s="100" t="s">
        <v>56</v>
      </c>
      <c r="F20" s="100" t="s">
        <v>123</v>
      </c>
      <c r="G20" s="100">
        <v>2</v>
      </c>
      <c r="H20" s="100">
        <v>4</v>
      </c>
      <c r="I20" s="100">
        <v>2</v>
      </c>
      <c r="X20" s="24" t="str">
        <f t="shared" si="5"/>
        <v>LG/5M</v>
      </c>
      <c r="Y20" s="24" t="str">
        <f t="shared" si="6"/>
        <v/>
      </c>
      <c r="Z20" s="24" t="str">
        <f t="shared" si="7"/>
        <v/>
      </c>
    </row>
    <row r="21" spans="2:31" ht="14.25" customHeight="1" x14ac:dyDescent="0.5">
      <c r="B21" s="100">
        <v>18</v>
      </c>
      <c r="C21" s="100" t="s">
        <v>39</v>
      </c>
      <c r="D21" s="100" t="s">
        <v>57</v>
      </c>
      <c r="E21" s="100" t="s">
        <v>44</v>
      </c>
      <c r="F21" s="100" t="s">
        <v>154</v>
      </c>
      <c r="G21" s="100">
        <v>1</v>
      </c>
      <c r="H21" s="100">
        <v>1</v>
      </c>
      <c r="I21" s="100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5">
      <c r="B22" s="100">
        <v>19</v>
      </c>
      <c r="C22" s="100" t="s">
        <v>34</v>
      </c>
      <c r="D22" s="100" t="s">
        <v>39</v>
      </c>
      <c r="E22" s="100" t="s">
        <v>60</v>
      </c>
      <c r="F22" s="100" t="s">
        <v>123</v>
      </c>
      <c r="G22" s="100">
        <v>1</v>
      </c>
      <c r="H22" s="100">
        <v>1</v>
      </c>
      <c r="I22" s="100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5">
      <c r="B23" s="100">
        <v>20</v>
      </c>
      <c r="C23" s="100" t="s">
        <v>57</v>
      </c>
      <c r="D23" s="100" t="s">
        <v>34</v>
      </c>
      <c r="E23" s="100" t="s">
        <v>56</v>
      </c>
      <c r="F23" s="100" t="s">
        <v>123</v>
      </c>
      <c r="G23" s="100">
        <v>1</v>
      </c>
      <c r="H23" s="100">
        <v>1</v>
      </c>
      <c r="I23" s="100">
        <v>1</v>
      </c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1,</v>
      </c>
      <c r="T23" s="40" t="str">
        <f t="shared" si="11"/>
        <v>0,</v>
      </c>
      <c r="U23" s="40" t="str">
        <f t="shared" si="11"/>
        <v>0,</v>
      </c>
      <c r="X23" s="24" t="str">
        <f t="shared" si="5"/>
        <v>LG/5M</v>
      </c>
      <c r="Y23" s="24" t="str">
        <f t="shared" si="6"/>
        <v/>
      </c>
      <c r="Z23" s="24" t="str">
        <f t="shared" si="7"/>
        <v/>
      </c>
    </row>
    <row r="24" spans="2:31" ht="14.25" customHeight="1" x14ac:dyDescent="0.5">
      <c r="B24" s="100">
        <v>21</v>
      </c>
      <c r="C24" s="100" t="s">
        <v>57</v>
      </c>
      <c r="D24" s="100" t="s">
        <v>39</v>
      </c>
      <c r="E24" s="100" t="s">
        <v>79</v>
      </c>
      <c r="F24" s="100" t="s">
        <v>154</v>
      </c>
      <c r="G24" s="100">
        <v>2</v>
      </c>
      <c r="H24" s="100">
        <v>2</v>
      </c>
      <c r="I24" s="100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>LG/WW</v>
      </c>
      <c r="Y24" s="24" t="str">
        <f t="shared" si="6"/>
        <v/>
      </c>
      <c r="Z24" s="24" t="str">
        <f t="shared" si="7"/>
        <v/>
      </c>
    </row>
    <row r="25" spans="2:31" ht="14.25" customHeight="1" x14ac:dyDescent="0.5">
      <c r="B25" s="100">
        <v>22</v>
      </c>
      <c r="C25" s="100" t="s">
        <v>57</v>
      </c>
      <c r="D25" s="100" t="s">
        <v>34</v>
      </c>
      <c r="E25" s="100" t="s">
        <v>53</v>
      </c>
      <c r="F25" s="100" t="s">
        <v>154</v>
      </c>
      <c r="G25" s="100">
        <v>3</v>
      </c>
      <c r="H25" s="100">
        <v>2</v>
      </c>
      <c r="I25" s="100">
        <v>1</v>
      </c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5"/>
        <v>LG/5M</v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100">
        <v>23</v>
      </c>
      <c r="C26" s="100" t="s">
        <v>57</v>
      </c>
      <c r="D26" s="100" t="s">
        <v>39</v>
      </c>
      <c r="E26" s="100" t="s">
        <v>56</v>
      </c>
      <c r="F26" s="100" t="s">
        <v>123</v>
      </c>
      <c r="G26" s="100">
        <v>4</v>
      </c>
      <c r="H26" s="100">
        <v>3</v>
      </c>
      <c r="I26" s="100">
        <v>1</v>
      </c>
      <c r="Q26" s="26"/>
      <c r="R26" s="40" t="str">
        <f t="shared" si="12"/>
        <v>6,</v>
      </c>
      <c r="S26" s="40" t="str">
        <f t="shared" si="12"/>
        <v>5,</v>
      </c>
      <c r="T26" s="40" t="str">
        <f t="shared" si="12"/>
        <v>1,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5">
      <c r="B27" s="100">
        <v>24</v>
      </c>
      <c r="C27" s="100" t="s">
        <v>34</v>
      </c>
      <c r="D27" s="100" t="s">
        <v>57</v>
      </c>
      <c r="E27" s="100" t="s">
        <v>33</v>
      </c>
      <c r="F27" s="100" t="s">
        <v>154</v>
      </c>
      <c r="G27" s="100">
        <v>1</v>
      </c>
      <c r="H27" s="100">
        <v>1</v>
      </c>
      <c r="I27" s="100">
        <v>1</v>
      </c>
      <c r="R27" s="40" t="str">
        <f t="shared" si="12"/>
        <v>3,</v>
      </c>
      <c r="S27" s="40" t="str">
        <f t="shared" si="12"/>
        <v>0,</v>
      </c>
      <c r="T27" s="40" t="str">
        <f t="shared" si="12"/>
        <v>3,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>5M/LG</v>
      </c>
    </row>
    <row r="28" spans="2:31" ht="14.25" customHeight="1" x14ac:dyDescent="0.5">
      <c r="B28" s="100">
        <v>25</v>
      </c>
      <c r="C28" s="100" t="s">
        <v>39</v>
      </c>
      <c r="D28" s="100" t="s">
        <v>34</v>
      </c>
      <c r="E28" s="100" t="s">
        <v>44</v>
      </c>
      <c r="F28" s="100" t="s">
        <v>154</v>
      </c>
      <c r="G28" s="100">
        <v>1</v>
      </c>
      <c r="H28" s="100">
        <v>1</v>
      </c>
      <c r="I28" s="100">
        <v>1</v>
      </c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5"/>
        <v/>
      </c>
      <c r="Y28" s="24" t="str">
        <f t="shared" si="6"/>
        <v>WW/5M</v>
      </c>
      <c r="Z28" s="24" t="str">
        <f t="shared" si="7"/>
        <v/>
      </c>
    </row>
    <row r="29" spans="2:31" ht="14.25" customHeight="1" x14ac:dyDescent="0.5">
      <c r="B29" s="100">
        <v>26</v>
      </c>
      <c r="C29" s="100" t="s">
        <v>39</v>
      </c>
      <c r="D29" s="100" t="s">
        <v>57</v>
      </c>
      <c r="E29" s="100" t="s">
        <v>44</v>
      </c>
      <c r="F29" s="100" t="s">
        <v>154</v>
      </c>
      <c r="G29" s="100">
        <v>2</v>
      </c>
      <c r="H29" s="100">
        <v>2</v>
      </c>
      <c r="I29" s="100">
        <v>2</v>
      </c>
      <c r="R29" s="40" t="str">
        <f t="shared" si="12"/>
        <v>4,</v>
      </c>
      <c r="S29" s="40" t="str">
        <f t="shared" si="12"/>
        <v>2,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>WW/LG</v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7,</v>
      </c>
      <c r="S30" s="40" t="str">
        <f t="shared" si="12"/>
        <v>3,</v>
      </c>
      <c r="T30" s="40" t="str">
        <f t="shared" si="12"/>
        <v>4,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2,</v>
      </c>
      <c r="S31" s="40" t="str">
        <f t="shared" si="12"/>
        <v>0,</v>
      </c>
      <c r="T31" s="40" t="str">
        <f t="shared" si="12"/>
        <v>2,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0,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2,</v>
      </c>
      <c r="S37" s="40" t="str">
        <f t="shared" si="12"/>
        <v>1,</v>
      </c>
      <c r="T37" s="40" t="str">
        <f t="shared" si="12"/>
        <v>1,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47" t="s">
        <v>159</v>
      </c>
      <c r="R41" s="147"/>
      <c r="S41" s="147"/>
      <c r="T41" s="19"/>
      <c r="U41" s="19"/>
    </row>
    <row r="42" spans="2:26" ht="14.25" customHeight="1" x14ac:dyDescent="0.45">
      <c r="Q42" s="147"/>
      <c r="R42" s="147"/>
      <c r="S42" s="147"/>
    </row>
    <row r="43" spans="2:26" ht="14.25" customHeight="1" x14ac:dyDescent="0.45">
      <c r="Q43" s="40" t="str">
        <f>CHAR(34)&amp;"Date"&amp;CHAR(34)&amp;":["&amp;CHAR(34)&amp;"10-May"&amp;CHAR(34)&amp;"],"</f>
        <v>"Date":["10-May"],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"Points":[1,1,"Did not Play",6,3,"Did not Play",4,7,2,0,"Did not Play",1,"Did not Play",0,2,0],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"Finishes":[1,1,"Did not Play",5,0,"Did not Play",2,3,0,0,"Did not Play",0,"Did not Play",0,1,0],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"Midrange":[0,0,"Did not Play",1,3,"Did not Play",0,4,2,0,"Did not Play",1,"Did not Play",0,1,0],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"ThreePointers":[0,0,"Did not Play",0,0,"Did not Play",1,0,0,0,"Did not Play",0,"Did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9CA3-CD40-4A32-BF3B-13DA6D41E1C8}">
  <dimension ref="B1:AE1000"/>
  <sheetViews>
    <sheetView topLeftCell="S1" workbookViewId="0">
      <selection activeCell="AB2" sqref="AB2:AE18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45061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6</v>
      </c>
      <c r="M3" s="24">
        <f>COUNTIF(D3:D40, "Loose Gooses")</f>
        <v>7</v>
      </c>
      <c r="N3" s="23">
        <f>L3/(L3+M3)</f>
        <v>0.46153846153846156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57</v>
      </c>
      <c r="D4" s="53" t="s">
        <v>34</v>
      </c>
      <c r="E4" s="53" t="s">
        <v>79</v>
      </c>
      <c r="F4" s="53" t="s">
        <v>123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1</v>
      </c>
      <c r="M4" s="24">
        <f>COUNTIF(D3:D40, "5 Musketeers")</f>
        <v>10</v>
      </c>
      <c r="N4" s="23">
        <f t="shared" ref="N4:N5" si="4">L4/(L4+M4)</f>
        <v>9.0909090909090912E-2</v>
      </c>
      <c r="O4" s="24">
        <f>IF(AND(N4&gt;N3, N4&gt;N5), 3, IF(OR(N4&gt;N3, N4&gt;N5), 2, 1))</f>
        <v>1</v>
      </c>
      <c r="Q4" s="3" t="s">
        <v>36</v>
      </c>
      <c r="R4" s="19">
        <f t="shared" si="0"/>
        <v>2</v>
      </c>
      <c r="S4" s="20">
        <f t="shared" si="1"/>
        <v>0</v>
      </c>
      <c r="T4" s="20">
        <f t="shared" si="2"/>
        <v>2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>LG/5M</v>
      </c>
      <c r="Y4" s="24" t="str">
        <f t="shared" ref="Y4:Y39" si="6">IF(AND(C4="Wet Willies",D4="Loose Gooses"),"WW/LG", IF(AND(C4="Wet Willies",D4="5 Musketeers"),"WW/5M", ""))</f>
        <v/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57</v>
      </c>
      <c r="E5" s="53" t="s">
        <v>51</v>
      </c>
      <c r="F5" s="53" t="s">
        <v>154</v>
      </c>
      <c r="G5" s="53">
        <v>1</v>
      </c>
      <c r="H5" s="53">
        <v>1</v>
      </c>
      <c r="I5" s="53">
        <v>1</v>
      </c>
      <c r="K5" s="24" t="s">
        <v>133</v>
      </c>
      <c r="L5" s="24">
        <f>COUNTIF(C3:C40, "Wet Willies")</f>
        <v>13</v>
      </c>
      <c r="M5" s="24">
        <f>COUNTIF(D3:D40, "Wet Willies")</f>
        <v>3</v>
      </c>
      <c r="N5" s="23">
        <f t="shared" si="4"/>
        <v>0.8125</v>
      </c>
      <c r="O5" s="24">
        <f>IF(AND(N5&gt;N4, N5&gt;N3), 3, IF(OR(N5&gt;N4, N5&gt;N3), 2, 1))</f>
        <v>3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4" t="b">
        <v>1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60</v>
      </c>
      <c r="F6" s="53" t="s">
        <v>154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0"/>
        <v>4</v>
      </c>
      <c r="S6" s="20">
        <f t="shared" si="1"/>
        <v>4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57</v>
      </c>
      <c r="D7" s="53" t="s">
        <v>34</v>
      </c>
      <c r="E7" s="53" t="s">
        <v>53</v>
      </c>
      <c r="F7" s="53" t="s">
        <v>172</v>
      </c>
      <c r="G7" s="53">
        <v>1</v>
      </c>
      <c r="H7" s="53">
        <v>1</v>
      </c>
      <c r="I7" s="53">
        <v>1</v>
      </c>
      <c r="Q7" s="3" t="s">
        <v>46</v>
      </c>
      <c r="R7" s="19">
        <f t="shared" si="0"/>
        <v>5</v>
      </c>
      <c r="S7" s="20">
        <f t="shared" si="1"/>
        <v>3</v>
      </c>
      <c r="T7" s="20">
        <f t="shared" si="2"/>
        <v>0</v>
      </c>
      <c r="U7" s="20">
        <f t="shared" si="3"/>
        <v>1</v>
      </c>
      <c r="V7" s="54" t="b">
        <v>0</v>
      </c>
      <c r="X7" s="24" t="str">
        <f t="shared" si="5"/>
        <v>LG/5M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3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39</v>
      </c>
      <c r="D8" s="53" t="s">
        <v>57</v>
      </c>
      <c r="E8" s="53" t="s">
        <v>46</v>
      </c>
      <c r="F8" s="53" t="s">
        <v>154</v>
      </c>
      <c r="G8" s="53">
        <v>1</v>
      </c>
      <c r="H8" s="53">
        <v>1</v>
      </c>
      <c r="I8" s="53">
        <v>1</v>
      </c>
      <c r="Q8" s="3" t="s">
        <v>51</v>
      </c>
      <c r="R8" s="19">
        <f t="shared" si="0"/>
        <v>2</v>
      </c>
      <c r="S8" s="20">
        <f t="shared" si="1"/>
        <v>1</v>
      </c>
      <c r="T8" s="20">
        <f t="shared" si="2"/>
        <v>1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>WW/LG</v>
      </c>
      <c r="Z8" s="24" t="str">
        <f t="shared" si="7"/>
        <v/>
      </c>
      <c r="AB8" s="3" t="s">
        <v>51</v>
      </c>
      <c r="AC8" s="40">
        <f t="shared" si="8"/>
        <v>1</v>
      </c>
      <c r="AD8" s="40">
        <f t="shared" si="9"/>
        <v>1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34</v>
      </c>
      <c r="E9" s="53" t="s">
        <v>36</v>
      </c>
      <c r="F9" s="53" t="s">
        <v>123</v>
      </c>
      <c r="G9" s="53">
        <v>2</v>
      </c>
      <c r="H9" s="53">
        <v>2</v>
      </c>
      <c r="I9" s="53">
        <v>1</v>
      </c>
      <c r="Q9" s="3" t="s">
        <v>53</v>
      </c>
      <c r="R9" s="19">
        <f t="shared" si="0"/>
        <v>3</v>
      </c>
      <c r="S9" s="20">
        <f t="shared" si="1"/>
        <v>1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/>
      </c>
      <c r="Y9" s="24" t="str">
        <f t="shared" si="6"/>
        <v>WW/5M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57</v>
      </c>
      <c r="D10" s="53" t="s">
        <v>39</v>
      </c>
      <c r="E10" s="53" t="s">
        <v>79</v>
      </c>
      <c r="F10" s="53" t="s">
        <v>123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57</v>
      </c>
      <c r="D11" s="53" t="s">
        <v>34</v>
      </c>
      <c r="E11" s="53" t="s">
        <v>148</v>
      </c>
      <c r="F11" s="53" t="s">
        <v>123</v>
      </c>
      <c r="G11" s="53">
        <v>2</v>
      </c>
      <c r="H11" s="53">
        <v>3</v>
      </c>
      <c r="I11" s="53">
        <v>1</v>
      </c>
      <c r="Q11" s="3" t="s">
        <v>60</v>
      </c>
      <c r="R11" s="19">
        <f t="shared" si="0"/>
        <v>1</v>
      </c>
      <c r="S11" s="20">
        <f t="shared" si="1"/>
        <v>1</v>
      </c>
      <c r="T11" s="20">
        <f t="shared" si="2"/>
        <v>0</v>
      </c>
      <c r="U11" s="20">
        <f t="shared" si="3"/>
        <v>0</v>
      </c>
      <c r="V11" s="54" t="b">
        <v>0</v>
      </c>
      <c r="X11" s="24" t="str">
        <f t="shared" si="5"/>
        <v>LG/5M</v>
      </c>
      <c r="Y11" s="24" t="str">
        <f t="shared" si="6"/>
        <v/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57</v>
      </c>
      <c r="E12" s="53" t="s">
        <v>46</v>
      </c>
      <c r="F12" s="53" t="s">
        <v>154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34</v>
      </c>
      <c r="E13" s="53" t="s">
        <v>36</v>
      </c>
      <c r="F13" s="53" t="s">
        <v>123</v>
      </c>
      <c r="G13" s="53">
        <v>2</v>
      </c>
      <c r="H13" s="53">
        <v>4</v>
      </c>
      <c r="I13" s="53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>WW/5M</v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39</v>
      </c>
      <c r="D14" s="53" t="s">
        <v>57</v>
      </c>
      <c r="E14" s="53" t="s">
        <v>76</v>
      </c>
      <c r="F14" s="53" t="s">
        <v>154</v>
      </c>
      <c r="G14" s="53">
        <v>3</v>
      </c>
      <c r="H14" s="53">
        <v>2</v>
      </c>
      <c r="I14" s="53">
        <v>1</v>
      </c>
      <c r="Q14" s="3" t="s">
        <v>69</v>
      </c>
      <c r="R14" s="19">
        <f t="shared" si="0"/>
        <v>1</v>
      </c>
      <c r="S14" s="20">
        <f t="shared" si="1"/>
        <v>0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>WW/LG</v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1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39</v>
      </c>
      <c r="D15" s="53" t="s">
        <v>34</v>
      </c>
      <c r="E15" s="53" t="s">
        <v>44</v>
      </c>
      <c r="F15" s="53" t="s">
        <v>154</v>
      </c>
      <c r="G15" s="53">
        <v>4</v>
      </c>
      <c r="H15" s="53">
        <v>5</v>
      </c>
      <c r="I15" s="53">
        <v>1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0</v>
      </c>
      <c r="X15" s="24" t="str">
        <f t="shared" si="5"/>
        <v/>
      </c>
      <c r="Y15" s="24" t="str">
        <f t="shared" si="6"/>
        <v>WW/5M</v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57</v>
      </c>
      <c r="D16" s="53" t="s">
        <v>39</v>
      </c>
      <c r="E16" s="53" t="s">
        <v>69</v>
      </c>
      <c r="F16" s="53" t="s">
        <v>123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1</v>
      </c>
      <c r="S16" s="20">
        <f t="shared" si="1"/>
        <v>1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LG/WW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1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34</v>
      </c>
      <c r="E17" s="53" t="s">
        <v>53</v>
      </c>
      <c r="F17" s="53" t="s">
        <v>154</v>
      </c>
      <c r="G17" s="53">
        <v>2</v>
      </c>
      <c r="H17" s="53">
        <v>6</v>
      </c>
      <c r="I17" s="53">
        <v>1</v>
      </c>
      <c r="Q17" s="3" t="s">
        <v>79</v>
      </c>
      <c r="R17" s="19">
        <f t="shared" si="0"/>
        <v>2</v>
      </c>
      <c r="S17" s="20">
        <f t="shared" si="1"/>
        <v>0</v>
      </c>
      <c r="T17" s="20">
        <f t="shared" si="2"/>
        <v>2</v>
      </c>
      <c r="U17" s="20">
        <f t="shared" si="3"/>
        <v>0</v>
      </c>
      <c r="V17" s="54" t="b">
        <v>0</v>
      </c>
      <c r="X17" s="24" t="str">
        <f t="shared" si="5"/>
        <v>LG/5M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1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39</v>
      </c>
      <c r="D18" s="53" t="s">
        <v>57</v>
      </c>
      <c r="E18" s="53" t="s">
        <v>46</v>
      </c>
      <c r="F18" s="53" t="s">
        <v>154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1</v>
      </c>
      <c r="S18" s="20">
        <f t="shared" si="1"/>
        <v>0</v>
      </c>
      <c r="T18" s="20">
        <f t="shared" si="2"/>
        <v>1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>WW/LG</v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39</v>
      </c>
      <c r="D19" s="53" t="s">
        <v>34</v>
      </c>
      <c r="E19" s="53" t="s">
        <v>44</v>
      </c>
      <c r="F19" s="53" t="s">
        <v>154</v>
      </c>
      <c r="G19" s="53">
        <v>2</v>
      </c>
      <c r="H19" s="53">
        <v>7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>WW/5M</v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39</v>
      </c>
      <c r="D20" s="53" t="s">
        <v>57</v>
      </c>
      <c r="E20" s="53" t="s">
        <v>51</v>
      </c>
      <c r="F20" s="53" t="s">
        <v>123</v>
      </c>
      <c r="G20" s="53">
        <v>3</v>
      </c>
      <c r="H20" s="53">
        <v>2</v>
      </c>
      <c r="I20" s="53">
        <v>1</v>
      </c>
      <c r="X20" s="24" t="str">
        <f t="shared" si="5"/>
        <v/>
      </c>
      <c r="Y20" s="24" t="str">
        <f t="shared" si="6"/>
        <v>WW/LG</v>
      </c>
      <c r="Z20" s="24" t="str">
        <f t="shared" si="7"/>
        <v/>
      </c>
    </row>
    <row r="21" spans="2:31" ht="14.25" customHeight="1" x14ac:dyDescent="0.45">
      <c r="B21" s="53">
        <v>18</v>
      </c>
      <c r="C21" s="53" t="s">
        <v>39</v>
      </c>
      <c r="D21" s="53" t="s">
        <v>34</v>
      </c>
      <c r="E21" s="53" t="s">
        <v>44</v>
      </c>
      <c r="F21" s="53" t="s">
        <v>154</v>
      </c>
      <c r="G21" s="53">
        <v>4</v>
      </c>
      <c r="H21" s="53">
        <v>8</v>
      </c>
      <c r="I21" s="53">
        <v>1</v>
      </c>
      <c r="X21" s="24" t="str">
        <f t="shared" si="5"/>
        <v/>
      </c>
      <c r="Y21" s="24" t="str">
        <f t="shared" si="6"/>
        <v>WW/5M</v>
      </c>
      <c r="Z21" s="24" t="str">
        <f t="shared" si="7"/>
        <v/>
      </c>
    </row>
    <row r="22" spans="2:31" ht="14.25" customHeight="1" x14ac:dyDescent="0.45">
      <c r="B22" s="53">
        <v>19</v>
      </c>
      <c r="C22" s="53" t="s">
        <v>39</v>
      </c>
      <c r="D22" s="53" t="s">
        <v>57</v>
      </c>
      <c r="E22" s="53" t="s">
        <v>44</v>
      </c>
      <c r="F22" s="53" t="s">
        <v>154</v>
      </c>
      <c r="G22" s="53">
        <v>5</v>
      </c>
      <c r="H22" s="53">
        <v>3</v>
      </c>
      <c r="I22" s="53">
        <v>2</v>
      </c>
      <c r="X22" s="24" t="str">
        <f t="shared" si="5"/>
        <v/>
      </c>
      <c r="Y22" s="24" t="str">
        <f t="shared" si="6"/>
        <v>WW/LG</v>
      </c>
      <c r="Z22" s="24" t="str">
        <f t="shared" si="7"/>
        <v/>
      </c>
    </row>
    <row r="23" spans="2:31" ht="14.25" customHeight="1" x14ac:dyDescent="0.45">
      <c r="B23" s="53">
        <v>20</v>
      </c>
      <c r="C23" s="53" t="s">
        <v>39</v>
      </c>
      <c r="D23" s="53" t="s">
        <v>34</v>
      </c>
      <c r="E23" s="53" t="s">
        <v>46</v>
      </c>
      <c r="F23" s="53" t="s">
        <v>172</v>
      </c>
      <c r="G23" s="53">
        <v>6</v>
      </c>
      <c r="H23" s="53">
        <v>9</v>
      </c>
      <c r="I23" s="53">
        <v>1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>WW/5M</v>
      </c>
      <c r="Z23" s="24" t="str">
        <f t="shared" si="7"/>
        <v/>
      </c>
    </row>
    <row r="24" spans="2:31" ht="14.25" customHeight="1" x14ac:dyDescent="0.5">
      <c r="B24" s="100"/>
      <c r="C24" s="100"/>
      <c r="D24" s="100"/>
      <c r="E24" s="100"/>
      <c r="F24" s="100"/>
      <c r="G24" s="100"/>
      <c r="H24" s="100"/>
      <c r="I24" s="100"/>
      <c r="R24" s="40" t="str">
        <f t="shared" ref="R24:U37" si="12">IF($V4, CHAR(34)&amp;"Did not Play"&amp;CHAR(34), R4)&amp;","</f>
        <v>2,</v>
      </c>
      <c r="S24" s="40" t="str">
        <f t="shared" si="12"/>
        <v>0,</v>
      </c>
      <c r="T24" s="40" t="str">
        <f t="shared" si="12"/>
        <v>2,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5">
      <c r="B25" s="100"/>
      <c r="C25" s="100"/>
      <c r="D25" s="100"/>
      <c r="E25" s="100"/>
      <c r="F25" s="100"/>
      <c r="G25" s="100"/>
      <c r="H25" s="100"/>
      <c r="I25" s="100"/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100"/>
      <c r="C26" s="100"/>
      <c r="D26" s="100"/>
      <c r="E26" s="100"/>
      <c r="F26" s="100"/>
      <c r="G26" s="100"/>
      <c r="H26" s="100"/>
      <c r="I26" s="100"/>
      <c r="Q26" s="26"/>
      <c r="R26" s="40" t="str">
        <f t="shared" si="12"/>
        <v>4,</v>
      </c>
      <c r="S26" s="40" t="str">
        <f t="shared" si="12"/>
        <v>4,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5">
      <c r="B27" s="100"/>
      <c r="C27" s="100"/>
      <c r="D27" s="100"/>
      <c r="E27" s="100"/>
      <c r="F27" s="100"/>
      <c r="G27" s="100"/>
      <c r="H27" s="100"/>
      <c r="I27" s="100"/>
      <c r="R27" s="40" t="str">
        <f t="shared" si="12"/>
        <v>5,</v>
      </c>
      <c r="S27" s="40" t="str">
        <f t="shared" si="12"/>
        <v>3,</v>
      </c>
      <c r="T27" s="40" t="str">
        <f t="shared" si="12"/>
        <v>0,</v>
      </c>
      <c r="U27" s="40" t="str">
        <f t="shared" si="12"/>
        <v>1,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5">
      <c r="B28" s="100"/>
      <c r="C28" s="100"/>
      <c r="D28" s="100"/>
      <c r="E28" s="100"/>
      <c r="F28" s="100"/>
      <c r="G28" s="100"/>
      <c r="H28" s="100"/>
      <c r="I28" s="100"/>
      <c r="R28" s="40" t="str">
        <f t="shared" si="12"/>
        <v>2,</v>
      </c>
      <c r="S28" s="40" t="str">
        <f t="shared" si="12"/>
        <v>1,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3,</v>
      </c>
      <c r="S29" s="40" t="str">
        <f t="shared" si="12"/>
        <v>1,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1,</v>
      </c>
      <c r="S31" s="40" t="str">
        <f t="shared" si="12"/>
        <v>1,</v>
      </c>
      <c r="T31" s="40" t="str">
        <f t="shared" si="12"/>
        <v>0,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0,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0,</v>
      </c>
      <c r="S35" s="40" t="str">
        <f t="shared" si="12"/>
        <v>0,</v>
      </c>
      <c r="T35" s="40" t="str">
        <f t="shared" si="12"/>
        <v>0,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1,</v>
      </c>
      <c r="S36" s="40" t="str">
        <f t="shared" si="12"/>
        <v>1,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2,</v>
      </c>
      <c r="S37" s="40" t="str">
        <f t="shared" si="12"/>
        <v>0,</v>
      </c>
      <c r="T37" s="40" t="str">
        <f t="shared" si="12"/>
        <v>2,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1</v>
      </c>
      <c r="S38" s="40">
        <f>IF($V18, CHAR(34)&amp;"Did not Play"&amp;CHAR(34), S18)</f>
        <v>0</v>
      </c>
      <c r="T38" s="40">
        <f>IF($V18, CHAR(34)&amp;"Did not Play"&amp;CHAR(34), T18)</f>
        <v>1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47" t="s">
        <v>159</v>
      </c>
      <c r="R41" s="147"/>
      <c r="S41" s="147"/>
      <c r="T41" s="19"/>
      <c r="U41" s="19"/>
    </row>
    <row r="42" spans="2:26" ht="14.25" customHeight="1" x14ac:dyDescent="0.45">
      <c r="Q42" s="147"/>
      <c r="R42" s="147"/>
      <c r="S42" s="147"/>
    </row>
    <row r="43" spans="2:26" ht="14.25" customHeight="1" x14ac:dyDescent="0.45">
      <c r="Q43" s="40" t="str">
        <f>CHAR(34)&amp;"Date"&amp;CHAR(34)&amp;":["&amp;CHAR(34)&amp;"15-May"&amp;CHAR(34)&amp;"],"</f>
        <v>"Date":["15-May"],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"Points":[0,2,"Did not Play",4,5,2,3,0,1,0,0,1,0,1,2,1],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"Finishes":[0,0,"Did not Play",4,3,1,1,0,1,0,0,0,0,1,0,0],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"Midrange":[0,2,"Did not Play",0,0,1,0,0,0,0,0,1,0,0,2,1],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"ThreePointers":[0,0,"Did not Play",0,1,0,1,0,0,0,0,0,0,0,0,0]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0DBE-5752-49C8-A46E-D5D7A9FB184E}">
  <dimension ref="B1:AE1000"/>
  <sheetViews>
    <sheetView topLeftCell="G1" zoomScale="70" zoomScaleNormal="70" workbookViewId="0">
      <selection activeCell="S29" sqref="A1:XFD1048576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45062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5</v>
      </c>
      <c r="M3" s="24">
        <f>COUNTIF(D3:D40, "Loose Gooses")</f>
        <v>10</v>
      </c>
      <c r="N3" s="23">
        <f>L3/(L3+M3)</f>
        <v>0.33333333333333331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44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13</v>
      </c>
      <c r="M4" s="24">
        <f>COUNTIF(D3:D40, "5 Musketeers")</f>
        <v>6</v>
      </c>
      <c r="N4" s="23">
        <f t="shared" ref="N4:N5" si="4">L4/(L4+M4)</f>
        <v>0.68421052631578949</v>
      </c>
      <c r="O4" s="24">
        <f>IF(AND(N4&gt;N3, N4&gt;N5), 3, IF(OR(N4&gt;N3, N4&gt;N5), 2, 1))</f>
        <v>3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>WW/5M</v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57</v>
      </c>
      <c r="E5" s="53" t="s">
        <v>44</v>
      </c>
      <c r="F5" s="53" t="s">
        <v>154</v>
      </c>
      <c r="G5" s="53">
        <v>2</v>
      </c>
      <c r="H5" s="53">
        <v>1</v>
      </c>
      <c r="I5" s="53">
        <v>2</v>
      </c>
      <c r="K5" s="24" t="s">
        <v>133</v>
      </c>
      <c r="L5" s="24">
        <f>COUNTIF(C3:C40, "Wet Willies")</f>
        <v>7</v>
      </c>
      <c r="M5" s="24">
        <f>COUNTIF(D3:D40, "Wet Willies")</f>
        <v>9</v>
      </c>
      <c r="N5" s="23">
        <f t="shared" si="4"/>
        <v>0.4375</v>
      </c>
      <c r="O5" s="24">
        <f>IF(AND(N5&gt;N4, N5&gt;N3), 3, IF(OR(N5&gt;N4, N5&gt;N3), 2, 1))</f>
        <v>2</v>
      </c>
      <c r="Q5" s="3" t="s">
        <v>38</v>
      </c>
      <c r="R5" s="19">
        <f t="shared" si="0"/>
        <v>4</v>
      </c>
      <c r="S5" s="20">
        <f t="shared" si="1"/>
        <v>4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4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39</v>
      </c>
      <c r="D6" s="53" t="s">
        <v>34</v>
      </c>
      <c r="E6" s="53" t="s">
        <v>46</v>
      </c>
      <c r="F6" s="53" t="s">
        <v>172</v>
      </c>
      <c r="G6" s="53">
        <v>3</v>
      </c>
      <c r="H6" s="53">
        <v>2</v>
      </c>
      <c r="I6" s="53">
        <v>1</v>
      </c>
      <c r="Q6" s="3" t="s">
        <v>44</v>
      </c>
      <c r="R6" s="19">
        <f t="shared" si="0"/>
        <v>5</v>
      </c>
      <c r="S6" s="20">
        <f t="shared" si="1"/>
        <v>5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>WW/5M</v>
      </c>
      <c r="Z6" s="24" t="str">
        <f t="shared" si="7"/>
        <v/>
      </c>
      <c r="AB6" s="3" t="s">
        <v>44</v>
      </c>
      <c r="AC6" s="40">
        <f t="shared" si="8"/>
        <v>3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57</v>
      </c>
      <c r="D7" s="53" t="s">
        <v>39</v>
      </c>
      <c r="E7" s="53" t="s">
        <v>53</v>
      </c>
      <c r="F7" s="53" t="s">
        <v>172</v>
      </c>
      <c r="G7" s="53">
        <v>1</v>
      </c>
      <c r="H7" s="53">
        <v>1</v>
      </c>
      <c r="I7" s="53">
        <v>1</v>
      </c>
      <c r="Q7" s="3" t="s">
        <v>46</v>
      </c>
      <c r="R7" s="19">
        <f t="shared" si="0"/>
        <v>4</v>
      </c>
      <c r="S7" s="20">
        <f t="shared" si="1"/>
        <v>0</v>
      </c>
      <c r="T7" s="20">
        <f t="shared" si="2"/>
        <v>0</v>
      </c>
      <c r="U7" s="20">
        <f t="shared" si="3"/>
        <v>2</v>
      </c>
      <c r="V7" s="54" t="b">
        <v>0</v>
      </c>
      <c r="X7" s="24" t="str">
        <f t="shared" si="5"/>
        <v>LG/WW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1</v>
      </c>
    </row>
    <row r="8" spans="2:31" ht="14.25" customHeight="1" x14ac:dyDescent="0.45">
      <c r="B8" s="53">
        <v>5</v>
      </c>
      <c r="C8" s="53" t="s">
        <v>34</v>
      </c>
      <c r="D8" s="53" t="s">
        <v>57</v>
      </c>
      <c r="E8" s="53" t="s">
        <v>60</v>
      </c>
      <c r="F8" s="53" t="s">
        <v>123</v>
      </c>
      <c r="G8" s="53">
        <v>1</v>
      </c>
      <c r="H8" s="53">
        <v>1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5M/LG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34</v>
      </c>
      <c r="D9" s="53" t="s">
        <v>39</v>
      </c>
      <c r="E9" s="53" t="s">
        <v>63</v>
      </c>
      <c r="F9" s="53" t="s">
        <v>123</v>
      </c>
      <c r="G9" s="53">
        <v>2</v>
      </c>
      <c r="H9" s="53">
        <v>2</v>
      </c>
      <c r="I9" s="53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/>
      </c>
      <c r="Y9" s="24" t="str">
        <f t="shared" si="6"/>
        <v/>
      </c>
      <c r="Z9" s="24" t="str">
        <f t="shared" si="7"/>
        <v>5M/WW</v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1</v>
      </c>
    </row>
    <row r="10" spans="2:31" ht="14.25" customHeight="1" x14ac:dyDescent="0.45">
      <c r="B10" s="53">
        <v>7</v>
      </c>
      <c r="C10" s="53" t="s">
        <v>34</v>
      </c>
      <c r="D10" s="53" t="s">
        <v>57</v>
      </c>
      <c r="E10" s="53" t="s">
        <v>38</v>
      </c>
      <c r="F10" s="53" t="s">
        <v>154</v>
      </c>
      <c r="G10" s="53">
        <v>3</v>
      </c>
      <c r="H10" s="53">
        <v>2</v>
      </c>
      <c r="I10" s="53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39</v>
      </c>
      <c r="E11" s="53" t="s">
        <v>60</v>
      </c>
      <c r="F11" s="53" t="s">
        <v>123</v>
      </c>
      <c r="G11" s="53">
        <v>4</v>
      </c>
      <c r="H11" s="53">
        <v>3</v>
      </c>
      <c r="I11" s="53">
        <v>1</v>
      </c>
      <c r="Q11" s="3" t="s">
        <v>60</v>
      </c>
      <c r="R11" s="19">
        <f t="shared" si="0"/>
        <v>5</v>
      </c>
      <c r="S11" s="20">
        <f t="shared" si="1"/>
        <v>1</v>
      </c>
      <c r="T11" s="20">
        <f t="shared" si="2"/>
        <v>4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2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34</v>
      </c>
      <c r="D12" s="53" t="s">
        <v>57</v>
      </c>
      <c r="E12" s="53" t="s">
        <v>38</v>
      </c>
      <c r="F12" s="53" t="s">
        <v>154</v>
      </c>
      <c r="G12" s="53">
        <v>5</v>
      </c>
      <c r="H12" s="53">
        <v>3</v>
      </c>
      <c r="I12" s="53">
        <v>1</v>
      </c>
      <c r="Q12" s="3" t="s">
        <v>63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5M/LG</v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34</v>
      </c>
      <c r="D13" s="53" t="s">
        <v>39</v>
      </c>
      <c r="E13" s="53" t="s">
        <v>33</v>
      </c>
      <c r="F13" s="53" t="s">
        <v>123</v>
      </c>
      <c r="G13" s="53">
        <v>6</v>
      </c>
      <c r="H13" s="53">
        <v>4</v>
      </c>
      <c r="I13" s="53">
        <v>1</v>
      </c>
      <c r="Q13" s="3" t="s">
        <v>66</v>
      </c>
      <c r="R13" s="19">
        <f t="shared" si="0"/>
        <v>2</v>
      </c>
      <c r="S13" s="20">
        <f t="shared" si="1"/>
        <v>0</v>
      </c>
      <c r="T13" s="20">
        <f t="shared" si="2"/>
        <v>0</v>
      </c>
      <c r="U13" s="20">
        <f t="shared" si="3"/>
        <v>1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57</v>
      </c>
      <c r="D14" s="53" t="s">
        <v>34</v>
      </c>
      <c r="E14" s="53" t="s">
        <v>72</v>
      </c>
      <c r="F14" s="53" t="s">
        <v>154</v>
      </c>
      <c r="G14" s="53">
        <v>1</v>
      </c>
      <c r="H14" s="53">
        <v>1</v>
      </c>
      <c r="I14" s="53">
        <v>1</v>
      </c>
      <c r="Q14" s="3" t="s">
        <v>69</v>
      </c>
      <c r="R14" s="19">
        <f t="shared" si="0"/>
        <v>2</v>
      </c>
      <c r="S14" s="20">
        <f t="shared" si="1"/>
        <v>1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39</v>
      </c>
      <c r="D15" s="53" t="s">
        <v>57</v>
      </c>
      <c r="E15" s="53" t="s">
        <v>44</v>
      </c>
      <c r="F15" s="53" t="s">
        <v>154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0"/>
        <v>2</v>
      </c>
      <c r="S15" s="20">
        <f t="shared" si="1"/>
        <v>2</v>
      </c>
      <c r="T15" s="20">
        <f t="shared" si="2"/>
        <v>0</v>
      </c>
      <c r="U15" s="20">
        <f t="shared" si="3"/>
        <v>0</v>
      </c>
      <c r="V15" s="54" t="b">
        <v>0</v>
      </c>
      <c r="X15" s="24" t="str">
        <f t="shared" si="5"/>
        <v/>
      </c>
      <c r="Y15" s="24" t="str">
        <f t="shared" si="6"/>
        <v>WW/LG</v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34</v>
      </c>
      <c r="D16" s="53" t="s">
        <v>39</v>
      </c>
      <c r="E16" s="53" t="s">
        <v>60</v>
      </c>
      <c r="F16" s="53" t="s">
        <v>154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5M/WW</v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34</v>
      </c>
      <c r="E17" s="53" t="s">
        <v>72</v>
      </c>
      <c r="F17" s="53" t="s">
        <v>154</v>
      </c>
      <c r="G17" s="53">
        <v>1</v>
      </c>
      <c r="H17" s="53">
        <v>1</v>
      </c>
      <c r="I17" s="53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LG/5M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39</v>
      </c>
      <c r="D18" s="53" t="s">
        <v>57</v>
      </c>
      <c r="E18" s="53" t="s">
        <v>44</v>
      </c>
      <c r="F18" s="53" t="s">
        <v>154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>WW/LG</v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34</v>
      </c>
      <c r="D19" s="53" t="s">
        <v>39</v>
      </c>
      <c r="E19" s="53" t="s">
        <v>63</v>
      </c>
      <c r="F19" s="53" t="s">
        <v>123</v>
      </c>
      <c r="G19" s="53">
        <v>1</v>
      </c>
      <c r="H19" s="53">
        <v>1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>5M/WW</v>
      </c>
    </row>
    <row r="20" spans="2:31" ht="14.25" customHeight="1" x14ac:dyDescent="0.45">
      <c r="B20" s="53">
        <v>17</v>
      </c>
      <c r="C20" s="53" t="s">
        <v>34</v>
      </c>
      <c r="D20" s="53" t="s">
        <v>57</v>
      </c>
      <c r="E20" s="53" t="s">
        <v>38</v>
      </c>
      <c r="F20" s="53" t="s">
        <v>154</v>
      </c>
      <c r="G20" s="53">
        <v>2</v>
      </c>
      <c r="H20" s="53">
        <v>2</v>
      </c>
      <c r="I20" s="53">
        <v>1</v>
      </c>
      <c r="X20" s="24" t="str">
        <f t="shared" si="5"/>
        <v/>
      </c>
      <c r="Y20" s="24" t="str">
        <f t="shared" si="6"/>
        <v/>
      </c>
      <c r="Z20" s="24" t="str">
        <f t="shared" si="7"/>
        <v>5M/LG</v>
      </c>
    </row>
    <row r="21" spans="2:31" ht="14.25" customHeight="1" x14ac:dyDescent="0.45">
      <c r="B21" s="53">
        <v>18</v>
      </c>
      <c r="C21" s="53" t="s">
        <v>34</v>
      </c>
      <c r="D21" s="53" t="s">
        <v>39</v>
      </c>
      <c r="E21" s="53" t="s">
        <v>60</v>
      </c>
      <c r="F21" s="53" t="s">
        <v>123</v>
      </c>
      <c r="G21" s="53">
        <v>3</v>
      </c>
      <c r="H21" s="53">
        <v>2</v>
      </c>
      <c r="I21" s="53">
        <v>1</v>
      </c>
      <c r="X21" s="24" t="str">
        <f t="shared" si="5"/>
        <v/>
      </c>
      <c r="Y21" s="24" t="str">
        <f t="shared" si="6"/>
        <v/>
      </c>
      <c r="Z21" s="24" t="str">
        <f t="shared" si="7"/>
        <v>5M/WW</v>
      </c>
    </row>
    <row r="22" spans="2:31" ht="14.25" customHeight="1" x14ac:dyDescent="0.45">
      <c r="B22" s="53">
        <v>19</v>
      </c>
      <c r="C22" s="53" t="s">
        <v>34</v>
      </c>
      <c r="D22" s="53" t="s">
        <v>57</v>
      </c>
      <c r="E22" s="53" t="s">
        <v>38</v>
      </c>
      <c r="F22" s="53" t="s">
        <v>154</v>
      </c>
      <c r="G22" s="53">
        <v>4</v>
      </c>
      <c r="H22" s="53">
        <v>3</v>
      </c>
      <c r="I22" s="53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5M/LG</v>
      </c>
    </row>
    <row r="23" spans="2:31" ht="14.25" customHeight="1" x14ac:dyDescent="0.45">
      <c r="B23" s="53">
        <v>20</v>
      </c>
      <c r="C23" s="53" t="s">
        <v>34</v>
      </c>
      <c r="D23" s="53" t="s">
        <v>39</v>
      </c>
      <c r="E23" s="53" t="s">
        <v>66</v>
      </c>
      <c r="F23" s="53" t="s">
        <v>172</v>
      </c>
      <c r="G23" s="53">
        <v>5</v>
      </c>
      <c r="H23" s="53">
        <v>3</v>
      </c>
      <c r="I23" s="53">
        <v>1</v>
      </c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5M/WW</v>
      </c>
    </row>
    <row r="24" spans="2:31" ht="14.25" customHeight="1" x14ac:dyDescent="0.45">
      <c r="B24" s="53">
        <v>21</v>
      </c>
      <c r="C24" s="53" t="s">
        <v>34</v>
      </c>
      <c r="D24" s="53" t="s">
        <v>57</v>
      </c>
      <c r="E24" s="53" t="s">
        <v>60</v>
      </c>
      <c r="F24" s="53" t="s">
        <v>123</v>
      </c>
      <c r="G24" s="53">
        <v>6</v>
      </c>
      <c r="H24" s="53">
        <v>4</v>
      </c>
      <c r="I24" s="53">
        <v>1</v>
      </c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>5M/LG</v>
      </c>
    </row>
    <row r="25" spans="2:31" ht="14.25" customHeight="1" x14ac:dyDescent="0.45">
      <c r="B25" s="53">
        <v>22</v>
      </c>
      <c r="C25" s="53" t="s">
        <v>39</v>
      </c>
      <c r="D25" s="53" t="s">
        <v>34</v>
      </c>
      <c r="E25" s="53" t="s">
        <v>44</v>
      </c>
      <c r="F25" s="53" t="s">
        <v>154</v>
      </c>
      <c r="G25" s="53">
        <v>1</v>
      </c>
      <c r="H25" s="53">
        <v>1</v>
      </c>
      <c r="I25" s="53">
        <v>1</v>
      </c>
      <c r="Q25" s="9"/>
      <c r="R25" s="40" t="str">
        <f t="shared" si="12"/>
        <v>4,</v>
      </c>
      <c r="S25" s="40" t="str">
        <f t="shared" si="12"/>
        <v>4,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>WW/5M</v>
      </c>
      <c r="Z25" s="24" t="str">
        <f t="shared" si="7"/>
        <v/>
      </c>
    </row>
    <row r="26" spans="2:31" ht="14.25" customHeight="1" x14ac:dyDescent="0.45">
      <c r="B26" s="53">
        <v>23</v>
      </c>
      <c r="C26" s="53" t="s">
        <v>57</v>
      </c>
      <c r="D26" s="53" t="s">
        <v>39</v>
      </c>
      <c r="E26" s="53" t="s">
        <v>69</v>
      </c>
      <c r="F26" s="53" t="s">
        <v>154</v>
      </c>
      <c r="G26" s="53">
        <v>1</v>
      </c>
      <c r="H26" s="53">
        <v>1</v>
      </c>
      <c r="I26" s="53">
        <v>1</v>
      </c>
      <c r="Q26" s="26"/>
      <c r="R26" s="40" t="str">
        <f t="shared" si="12"/>
        <v>5,</v>
      </c>
      <c r="S26" s="40" t="str">
        <f t="shared" si="12"/>
        <v>5,</v>
      </c>
      <c r="T26" s="40" t="str">
        <f t="shared" si="12"/>
        <v>0,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>
        <v>24</v>
      </c>
      <c r="C27" s="53" t="s">
        <v>57</v>
      </c>
      <c r="D27" s="53" t="s">
        <v>34</v>
      </c>
      <c r="E27" s="53" t="s">
        <v>69</v>
      </c>
      <c r="F27" s="53" t="s">
        <v>123</v>
      </c>
      <c r="G27" s="53">
        <v>2</v>
      </c>
      <c r="H27" s="53">
        <v>2</v>
      </c>
      <c r="I27" s="53">
        <v>2</v>
      </c>
      <c r="R27" s="40" t="str">
        <f t="shared" si="12"/>
        <v>4,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2,</v>
      </c>
      <c r="X27" s="24" t="str">
        <f t="shared" si="5"/>
        <v>LG/5M</v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>
        <v>25</v>
      </c>
      <c r="C28" s="53" t="s">
        <v>39</v>
      </c>
      <c r="D28" s="53" t="s">
        <v>57</v>
      </c>
      <c r="E28" s="53" t="s">
        <v>46</v>
      </c>
      <c r="F28" s="53" t="s">
        <v>172</v>
      </c>
      <c r="G28" s="53">
        <v>1</v>
      </c>
      <c r="H28" s="53">
        <v>1</v>
      </c>
      <c r="I28" s="53">
        <v>1</v>
      </c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>WW/LG</v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5,</v>
      </c>
      <c r="S31" s="40" t="str">
        <f t="shared" si="12"/>
        <v>1,</v>
      </c>
      <c r="T31" s="40" t="str">
        <f t="shared" si="12"/>
        <v>4,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2,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1,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2,</v>
      </c>
      <c r="S34" s="40" t="str">
        <f t="shared" si="12"/>
        <v>1,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2,</v>
      </c>
      <c r="S35" s="40" t="str">
        <f t="shared" si="12"/>
        <v>2,</v>
      </c>
      <c r="T35" s="40" t="str">
        <f t="shared" si="12"/>
        <v>0,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47" t="s">
        <v>159</v>
      </c>
      <c r="R41" s="147"/>
      <c r="S41" s="147"/>
      <c r="T41" s="19"/>
      <c r="U41" s="19"/>
    </row>
    <row r="42" spans="2:26" ht="14.25" customHeight="1" x14ac:dyDescent="0.45">
      <c r="Q42" s="147"/>
      <c r="R42" s="147"/>
      <c r="S42" s="147"/>
    </row>
    <row r="43" spans="2:26" ht="14.25" customHeight="1" x14ac:dyDescent="0.45">
      <c r="Q43" s="40" t="str">
        <f>CHAR(34)&amp;"Date"&amp;CHAR(34)&amp;":["&amp;CHAR(34)&amp;"16-May"&amp;CHAR(34)&amp;"],"</f>
        <v>"Date":["16-May"],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"Points":[1,0,4,5,4,0,2,0,5,2,2,2,2,0,0,0],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"Finishes":[0,0,4,5,0,0,0,0,1,0,0,1,2,0,0,0],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"Midrange":[1,0,0,0,0,0,0,0,4,2,0,1,0,0,0,0],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"ThreePointers":[0,0,0,0,2,0,1,0,0,0,1,0,0,0,0,0]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E1759-8733-4DDD-AA2E-94A63CF84B8F}">
  <dimension ref="B1:AE1000"/>
  <sheetViews>
    <sheetView workbookViewId="0">
      <selection activeCell="I23" sqref="A1:XFD1048576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45063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6</v>
      </c>
      <c r="M3" s="24">
        <f>COUNTIF(D3:D40, "Loose Gooses")</f>
        <v>4</v>
      </c>
      <c r="N3" s="23">
        <f>L3/(L3+M3)</f>
        <v>0.6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34</v>
      </c>
      <c r="D4" s="53" t="s">
        <v>57</v>
      </c>
      <c r="E4" s="53" t="s">
        <v>60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5</v>
      </c>
      <c r="M4" s="24">
        <f>COUNTIF(D3:D40, "5 Musketeers")</f>
        <v>4</v>
      </c>
      <c r="N4" s="23">
        <f t="shared" ref="N4:N5" si="4">L4/(L4+M4)</f>
        <v>0.55555555555555558</v>
      </c>
      <c r="O4" s="24">
        <f>IF(AND(N4&gt;N3, N4&gt;N5), 3, IF(OR(N4&gt;N3, N4&gt;N5), 2, 1))</f>
        <v>2</v>
      </c>
      <c r="Q4" s="3" t="s">
        <v>36</v>
      </c>
      <c r="R4" s="19">
        <f t="shared" si="0"/>
        <v>1</v>
      </c>
      <c r="S4" s="20">
        <f t="shared" si="1"/>
        <v>0</v>
      </c>
      <c r="T4" s="20">
        <f t="shared" si="2"/>
        <v>1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/>
      </c>
      <c r="Z4" s="24" t="str">
        <f t="shared" ref="Z4:Z39" si="7">IF(AND(C4="5 Musketeers",D4="Loose Gooses"),"5M/LG", IF(AND($C4="5 Musketeers",$D4="Wet Willies"),"5M/WW", ""))</f>
        <v>5M/LG</v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34</v>
      </c>
      <c r="D5" s="53" t="s">
        <v>39</v>
      </c>
      <c r="E5" s="53" t="s">
        <v>66</v>
      </c>
      <c r="F5" s="53" t="s">
        <v>154</v>
      </c>
      <c r="G5" s="53">
        <v>2</v>
      </c>
      <c r="H5" s="53">
        <v>1</v>
      </c>
      <c r="I5" s="53">
        <v>1</v>
      </c>
      <c r="K5" s="24" t="s">
        <v>133</v>
      </c>
      <c r="L5" s="24">
        <f>COUNTIF(C3:C40, "Wet Willies")</f>
        <v>2</v>
      </c>
      <c r="M5" s="24">
        <f>COUNTIF(D3:D40, "Wet Willies")</f>
        <v>5</v>
      </c>
      <c r="N5" s="23">
        <f t="shared" si="4"/>
        <v>0.2857142857142857</v>
      </c>
      <c r="O5" s="24">
        <f>IF(AND(N5&gt;N4, N5&gt;N3), 3, IF(OR(N5&gt;N4, N5&gt;N3), 2, 1))</f>
        <v>1</v>
      </c>
      <c r="Q5" s="3" t="s">
        <v>38</v>
      </c>
      <c r="R5" s="19">
        <f t="shared" si="0"/>
        <v>1</v>
      </c>
      <c r="S5" s="20">
        <f t="shared" si="1"/>
        <v>1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5M/WW</v>
      </c>
      <c r="AB5" s="3" t="s">
        <v>38</v>
      </c>
      <c r="AC5" s="40">
        <f t="shared" si="8"/>
        <v>1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57</v>
      </c>
      <c r="D6" s="53" t="s">
        <v>34</v>
      </c>
      <c r="E6" s="53" t="s">
        <v>56</v>
      </c>
      <c r="F6" s="53" t="s">
        <v>154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0"/>
        <v>1</v>
      </c>
      <c r="S6" s="20">
        <f t="shared" si="1"/>
        <v>0</v>
      </c>
      <c r="T6" s="20">
        <f t="shared" si="2"/>
        <v>1</v>
      </c>
      <c r="U6" s="20">
        <f t="shared" si="3"/>
        <v>0</v>
      </c>
      <c r="V6" s="54" t="b">
        <v>0</v>
      </c>
      <c r="X6" s="24" t="str">
        <f t="shared" si="5"/>
        <v>LG/5M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0</v>
      </c>
      <c r="AD6" s="40">
        <f t="shared" si="9"/>
        <v>1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57</v>
      </c>
      <c r="D7" s="53" t="s">
        <v>39</v>
      </c>
      <c r="E7" s="53" t="s">
        <v>69</v>
      </c>
      <c r="F7" s="53" t="s">
        <v>154</v>
      </c>
      <c r="G7" s="53">
        <v>2</v>
      </c>
      <c r="H7" s="53">
        <v>2</v>
      </c>
      <c r="I7" s="53">
        <v>1</v>
      </c>
      <c r="Q7" s="3" t="s">
        <v>46</v>
      </c>
      <c r="R7" s="19">
        <f t="shared" si="0"/>
        <v>0</v>
      </c>
      <c r="S7" s="20">
        <f t="shared" si="1"/>
        <v>0</v>
      </c>
      <c r="T7" s="20">
        <f t="shared" si="2"/>
        <v>0</v>
      </c>
      <c r="U7" s="20">
        <f t="shared" si="3"/>
        <v>0</v>
      </c>
      <c r="V7" s="54" t="b">
        <v>0</v>
      </c>
      <c r="X7" s="24" t="str">
        <f t="shared" si="5"/>
        <v>LG/WW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57</v>
      </c>
      <c r="D8" s="53" t="s">
        <v>34</v>
      </c>
      <c r="E8" s="53" t="s">
        <v>56</v>
      </c>
      <c r="F8" s="53" t="s">
        <v>123</v>
      </c>
      <c r="G8" s="53">
        <v>3</v>
      </c>
      <c r="H8" s="53">
        <v>2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>LG/5M</v>
      </c>
      <c r="Y8" s="24" t="str">
        <f t="shared" si="6"/>
        <v/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39</v>
      </c>
      <c r="E9" s="53" t="s">
        <v>56</v>
      </c>
      <c r="F9" s="53" t="s">
        <v>123</v>
      </c>
      <c r="G9" s="53">
        <v>4</v>
      </c>
      <c r="H9" s="53">
        <v>3</v>
      </c>
      <c r="I9" s="53">
        <v>2</v>
      </c>
      <c r="Q9" s="3" t="s">
        <v>53</v>
      </c>
      <c r="R9" s="19">
        <f t="shared" si="0"/>
        <v>1</v>
      </c>
      <c r="S9" s="20">
        <f t="shared" si="1"/>
        <v>1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1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57</v>
      </c>
      <c r="E10" s="53" t="s">
        <v>66</v>
      </c>
      <c r="F10" s="53" t="s">
        <v>123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0"/>
        <v>3</v>
      </c>
      <c r="S10" s="20">
        <f t="shared" si="1"/>
        <v>1</v>
      </c>
      <c r="T10" s="20">
        <f t="shared" si="2"/>
        <v>2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39</v>
      </c>
      <c r="E11" s="53" t="s">
        <v>33</v>
      </c>
      <c r="F11" s="53" t="s">
        <v>123</v>
      </c>
      <c r="G11" s="53">
        <v>2</v>
      </c>
      <c r="H11" s="53">
        <v>4</v>
      </c>
      <c r="I11" s="53">
        <v>1</v>
      </c>
      <c r="Q11" s="3" t="s">
        <v>60</v>
      </c>
      <c r="R11" s="19">
        <f t="shared" si="0"/>
        <v>1</v>
      </c>
      <c r="S11" s="20">
        <f t="shared" si="1"/>
        <v>1</v>
      </c>
      <c r="T11" s="20">
        <f t="shared" si="2"/>
        <v>0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1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57</v>
      </c>
      <c r="D12" s="53" t="s">
        <v>34</v>
      </c>
      <c r="E12" s="53" t="s">
        <v>72</v>
      </c>
      <c r="F12" s="53" t="s">
        <v>154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0</v>
      </c>
      <c r="X12" s="24" t="str">
        <f t="shared" si="5"/>
        <v>LG/5M</v>
      </c>
      <c r="Y12" s="24" t="str">
        <f t="shared" si="6"/>
        <v/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57</v>
      </c>
      <c r="D13" s="53" t="s">
        <v>39</v>
      </c>
      <c r="E13" s="53" t="s">
        <v>53</v>
      </c>
      <c r="F13" s="53" t="s">
        <v>154</v>
      </c>
      <c r="G13" s="53">
        <v>2</v>
      </c>
      <c r="H13" s="53">
        <v>5</v>
      </c>
      <c r="I13" s="53">
        <v>1</v>
      </c>
      <c r="Q13" s="3" t="s">
        <v>66</v>
      </c>
      <c r="R13" s="19">
        <f t="shared" si="0"/>
        <v>2</v>
      </c>
      <c r="S13" s="20">
        <f t="shared" si="1"/>
        <v>1</v>
      </c>
      <c r="T13" s="20">
        <f t="shared" si="2"/>
        <v>1</v>
      </c>
      <c r="U13" s="20">
        <f t="shared" si="3"/>
        <v>0</v>
      </c>
      <c r="V13" s="54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1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57</v>
      </c>
      <c r="E14" s="53" t="s">
        <v>38</v>
      </c>
      <c r="F14" s="53" t="s">
        <v>154</v>
      </c>
      <c r="G14" s="53">
        <v>1</v>
      </c>
      <c r="H14" s="53">
        <v>1</v>
      </c>
      <c r="I14" s="53">
        <v>1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5M/LG</v>
      </c>
      <c r="AB14" s="3" t="s">
        <v>69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39</v>
      </c>
      <c r="D15" s="53" t="s">
        <v>34</v>
      </c>
      <c r="E15" s="53" t="s">
        <v>36</v>
      </c>
      <c r="F15" s="53" t="s">
        <v>123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0"/>
        <v>1</v>
      </c>
      <c r="S15" s="20">
        <f t="shared" si="1"/>
        <v>1</v>
      </c>
      <c r="T15" s="20">
        <f t="shared" si="2"/>
        <v>0</v>
      </c>
      <c r="U15" s="20">
        <f t="shared" si="3"/>
        <v>0</v>
      </c>
      <c r="V15" s="54" t="b">
        <v>0</v>
      </c>
      <c r="X15" s="24" t="str">
        <f t="shared" si="5"/>
        <v/>
      </c>
      <c r="Y15" s="24" t="str">
        <f t="shared" si="6"/>
        <v>WW/5M</v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39</v>
      </c>
      <c r="D16" s="53" t="s">
        <v>57</v>
      </c>
      <c r="E16" s="53" t="s">
        <v>44</v>
      </c>
      <c r="F16" s="53" t="s">
        <v>123</v>
      </c>
      <c r="G16" s="53">
        <v>2</v>
      </c>
      <c r="H16" s="53">
        <v>2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/>
      <c r="C17" s="53"/>
      <c r="D17" s="53"/>
      <c r="E17" s="53"/>
      <c r="F17" s="53"/>
      <c r="G17" s="53"/>
      <c r="H17" s="53"/>
      <c r="I17" s="53"/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/>
      <c r="C18" s="53"/>
      <c r="D18" s="53"/>
      <c r="E18" s="53"/>
      <c r="F18" s="53"/>
      <c r="G18" s="53"/>
      <c r="H18" s="53"/>
      <c r="I18" s="53"/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/>
      <c r="C19" s="53"/>
      <c r="D19" s="53"/>
      <c r="E19" s="53"/>
      <c r="F19" s="53"/>
      <c r="G19" s="53"/>
      <c r="H19" s="53"/>
      <c r="I19" s="53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1,</v>
      </c>
      <c r="S24" s="40" t="str">
        <f t="shared" si="12"/>
        <v>0,</v>
      </c>
      <c r="T24" s="40" t="str">
        <f t="shared" si="12"/>
        <v>1,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1,</v>
      </c>
      <c r="S25" s="40" t="str">
        <f t="shared" si="12"/>
        <v>1,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1,</v>
      </c>
      <c r="S26" s="40" t="str">
        <f t="shared" si="12"/>
        <v>0,</v>
      </c>
      <c r="T26" s="40" t="str">
        <f t="shared" si="12"/>
        <v>1,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1,</v>
      </c>
      <c r="S29" s="40" t="str">
        <f t="shared" si="12"/>
        <v>1,</v>
      </c>
      <c r="T29" s="40" t="str">
        <f t="shared" si="12"/>
        <v>0,</v>
      </c>
      <c r="U29" s="40" t="str">
        <f t="shared" si="12"/>
        <v>0,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3,</v>
      </c>
      <c r="S30" s="40" t="str">
        <f t="shared" si="12"/>
        <v>1,</v>
      </c>
      <c r="T30" s="40" t="str">
        <f t="shared" si="12"/>
        <v>2,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1,</v>
      </c>
      <c r="S31" s="40" t="str">
        <f t="shared" si="12"/>
        <v>1,</v>
      </c>
      <c r="T31" s="40" t="str">
        <f t="shared" si="12"/>
        <v>0,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2,</v>
      </c>
      <c r="S33" s="40" t="str">
        <f t="shared" si="12"/>
        <v>1,</v>
      </c>
      <c r="T33" s="40" t="str">
        <f t="shared" si="12"/>
        <v>1,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1,</v>
      </c>
      <c r="S35" s="40" t="str">
        <f t="shared" si="12"/>
        <v>1,</v>
      </c>
      <c r="T35" s="40" t="str">
        <f t="shared" si="12"/>
        <v>0,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47" t="s">
        <v>159</v>
      </c>
      <c r="R41" s="147"/>
      <c r="S41" s="147"/>
      <c r="T41" s="19"/>
      <c r="U41" s="19"/>
    </row>
    <row r="42" spans="2:26" ht="14.25" customHeight="1" x14ac:dyDescent="0.45">
      <c r="Q42" s="147"/>
      <c r="R42" s="147"/>
      <c r="S42" s="147"/>
    </row>
    <row r="43" spans="2:26" ht="14.25" customHeight="1" x14ac:dyDescent="0.45">
      <c r="Q43" s="40" t="str">
        <f>CHAR(34)&amp;"Date"&amp;CHAR(34)&amp;":["&amp;CHAR(34)&amp;"17-May"&amp;CHAR(34)&amp;"],"</f>
        <v>"Date":["17-May"],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"Points":[1,1,1,1,0,0,1,3,1,0,2,1,1,0,0,0],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"Finishes":[0,0,1,0,0,0,1,1,1,0,1,1,1,0,0,0],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"Midrange":[1,1,0,1,0,0,0,2,0,0,1,0,0,0,0,0],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D6AF9-32E8-4597-B74C-F55DFD0BAE26}">
  <dimension ref="B1:AE1000"/>
  <sheetViews>
    <sheetView workbookViewId="0">
      <selection activeCell="I23" sqref="A1:XFD1048576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2</v>
      </c>
      <c r="M3" s="24">
        <f>COUNTIF(D3:D40, "Loose Gooses")</f>
        <v>7</v>
      </c>
      <c r="N3" s="23">
        <f>L3/(L3+M3)</f>
        <v>0.22222222222222221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57</v>
      </c>
      <c r="D4" s="53" t="s">
        <v>39</v>
      </c>
      <c r="E4" s="53" t="s">
        <v>69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12</v>
      </c>
      <c r="M4" s="24">
        <f>COUNTIF(D3:D40, "5 Musketeers")</f>
        <v>1</v>
      </c>
      <c r="N4" s="23">
        <f t="shared" ref="N4:N5" si="4">L4/(L4+M4)</f>
        <v>0.92307692307692313</v>
      </c>
      <c r="O4" s="24">
        <f>IF(AND(N4&gt;N3, N4&gt;N5), 3, IF(OR(N4&gt;N3, N4&gt;N5), 2, 1))</f>
        <v>3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>LG/WW</v>
      </c>
      <c r="Y4" s="24" t="str">
        <f t="shared" ref="Y4:Y39" si="6">IF(AND(C4="Wet Willies",D4="Loose Gooses"),"WW/LG", IF(AND(C4="Wet Willies",D4="5 Musketeers"),"WW/5M", ""))</f>
        <v/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34</v>
      </c>
      <c r="D5" s="53" t="s">
        <v>57</v>
      </c>
      <c r="E5" s="53" t="s">
        <v>38</v>
      </c>
      <c r="F5" s="53" t="s">
        <v>154</v>
      </c>
      <c r="G5" s="53">
        <v>1</v>
      </c>
      <c r="H5" s="53">
        <v>1</v>
      </c>
      <c r="I5" s="53">
        <v>1</v>
      </c>
      <c r="K5" s="24" t="s">
        <v>133</v>
      </c>
      <c r="L5" s="24">
        <f>COUNTIF(C3:C40, "Wet Willies")</f>
        <v>1</v>
      </c>
      <c r="M5" s="24">
        <f>COUNTIF(D3:D40, "Wet Willies")</f>
        <v>7</v>
      </c>
      <c r="N5" s="23">
        <f t="shared" si="4"/>
        <v>0.125</v>
      </c>
      <c r="O5" s="24">
        <f>IF(AND(N5&gt;N4, N5&gt;N3), 3, IF(OR(N5&gt;N4, N5&gt;N3), 2, 1))</f>
        <v>1</v>
      </c>
      <c r="Q5" s="3" t="s">
        <v>38</v>
      </c>
      <c r="R5" s="19">
        <f t="shared" si="0"/>
        <v>4</v>
      </c>
      <c r="S5" s="20">
        <f t="shared" si="1"/>
        <v>4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3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38</v>
      </c>
      <c r="F6" s="53" t="s">
        <v>154</v>
      </c>
      <c r="G6" s="53">
        <v>2</v>
      </c>
      <c r="H6" s="53">
        <v>2</v>
      </c>
      <c r="I6" s="53">
        <v>2</v>
      </c>
      <c r="Q6" s="3" t="s">
        <v>44</v>
      </c>
      <c r="R6" s="19">
        <f t="shared" si="0"/>
        <v>0</v>
      </c>
      <c r="S6" s="20">
        <f t="shared" si="1"/>
        <v>0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0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57</v>
      </c>
      <c r="E7" s="53" t="s">
        <v>38</v>
      </c>
      <c r="F7" s="53" t="s">
        <v>154</v>
      </c>
      <c r="G7" s="53">
        <v>3</v>
      </c>
      <c r="H7" s="53">
        <v>2</v>
      </c>
      <c r="I7" s="53">
        <v>3</v>
      </c>
      <c r="Q7" s="3" t="s">
        <v>46</v>
      </c>
      <c r="R7" s="19">
        <f t="shared" si="0"/>
        <v>1</v>
      </c>
      <c r="S7" s="20">
        <f t="shared" si="1"/>
        <v>1</v>
      </c>
      <c r="T7" s="20">
        <f t="shared" si="2"/>
        <v>0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39</v>
      </c>
      <c r="E8" s="53" t="s">
        <v>63</v>
      </c>
      <c r="F8" s="53" t="s">
        <v>123</v>
      </c>
      <c r="G8" s="53">
        <v>4</v>
      </c>
      <c r="H8" s="53">
        <v>3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34</v>
      </c>
      <c r="D9" s="53" t="s">
        <v>57</v>
      </c>
      <c r="E9" s="53" t="s">
        <v>60</v>
      </c>
      <c r="F9" s="53" t="s">
        <v>123</v>
      </c>
      <c r="G9" s="53">
        <v>5</v>
      </c>
      <c r="H9" s="53">
        <v>3</v>
      </c>
      <c r="I9" s="53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/>
      </c>
      <c r="Y9" s="24" t="str">
        <f t="shared" si="6"/>
        <v/>
      </c>
      <c r="Z9" s="24" t="str">
        <f t="shared" si="7"/>
        <v>5M/LG</v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39</v>
      </c>
      <c r="E10" s="53" t="s">
        <v>66</v>
      </c>
      <c r="F10" s="53" t="s">
        <v>123</v>
      </c>
      <c r="G10" s="53">
        <v>6</v>
      </c>
      <c r="H10" s="53">
        <v>4</v>
      </c>
      <c r="I10" s="53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5M/WW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57</v>
      </c>
      <c r="E11" s="53" t="s">
        <v>60</v>
      </c>
      <c r="F11" s="53" t="s">
        <v>123</v>
      </c>
      <c r="G11" s="53">
        <v>7</v>
      </c>
      <c r="H11" s="53">
        <v>4</v>
      </c>
      <c r="I11" s="53">
        <v>1</v>
      </c>
      <c r="Q11" s="3" t="s">
        <v>60</v>
      </c>
      <c r="R11" s="19">
        <f t="shared" si="0"/>
        <v>5</v>
      </c>
      <c r="S11" s="20">
        <f t="shared" si="1"/>
        <v>1</v>
      </c>
      <c r="T11" s="20">
        <f t="shared" si="2"/>
        <v>4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1</v>
      </c>
      <c r="AD11" s="40">
        <f t="shared" si="9"/>
        <v>2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34</v>
      </c>
      <c r="D12" s="53" t="s">
        <v>39</v>
      </c>
      <c r="E12" s="53" t="s">
        <v>63</v>
      </c>
      <c r="F12" s="53" t="s">
        <v>123</v>
      </c>
      <c r="G12" s="53">
        <v>8</v>
      </c>
      <c r="H12" s="53">
        <v>5</v>
      </c>
      <c r="I12" s="53">
        <v>1</v>
      </c>
      <c r="Q12" s="3" t="s">
        <v>63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5M/WW</v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34</v>
      </c>
      <c r="D13" s="53" t="s">
        <v>57</v>
      </c>
      <c r="E13" s="53" t="s">
        <v>60</v>
      </c>
      <c r="F13" s="53" t="s">
        <v>154</v>
      </c>
      <c r="G13" s="53">
        <v>9</v>
      </c>
      <c r="H13" s="53">
        <v>5</v>
      </c>
      <c r="I13" s="53">
        <v>1</v>
      </c>
      <c r="Q13" s="3" t="s">
        <v>66</v>
      </c>
      <c r="R13" s="19">
        <f t="shared" si="0"/>
        <v>1</v>
      </c>
      <c r="S13" s="20">
        <f t="shared" si="1"/>
        <v>0</v>
      </c>
      <c r="T13" s="20">
        <f t="shared" si="2"/>
        <v>1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5M/LG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39</v>
      </c>
      <c r="E14" s="53" t="s">
        <v>60</v>
      </c>
      <c r="F14" s="53" t="s">
        <v>123</v>
      </c>
      <c r="G14" s="53">
        <v>10</v>
      </c>
      <c r="H14" s="53">
        <v>6</v>
      </c>
      <c r="I14" s="53">
        <v>2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69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34</v>
      </c>
      <c r="D15" s="53" t="s">
        <v>57</v>
      </c>
      <c r="E15" s="53" t="s">
        <v>38</v>
      </c>
      <c r="F15" s="53" t="s">
        <v>154</v>
      </c>
      <c r="G15" s="53">
        <v>11</v>
      </c>
      <c r="H15" s="53">
        <v>6</v>
      </c>
      <c r="I15" s="53">
        <v>1</v>
      </c>
      <c r="Q15" s="3" t="s">
        <v>72</v>
      </c>
      <c r="R15" s="19">
        <f t="shared" si="0"/>
        <v>2</v>
      </c>
      <c r="S15" s="20">
        <f t="shared" si="1"/>
        <v>0</v>
      </c>
      <c r="T15" s="20">
        <f t="shared" si="2"/>
        <v>0</v>
      </c>
      <c r="U15" s="20">
        <f t="shared" si="3"/>
        <v>1</v>
      </c>
      <c r="V15" s="54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>5M/LG</v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34</v>
      </c>
      <c r="D16" s="53" t="s">
        <v>39</v>
      </c>
      <c r="E16" s="53" t="s">
        <v>60</v>
      </c>
      <c r="F16" s="53" t="s">
        <v>123</v>
      </c>
      <c r="G16" s="53">
        <v>12</v>
      </c>
      <c r="H16" s="53">
        <v>7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5M/WW</v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34</v>
      </c>
      <c r="E17" s="53" t="s">
        <v>72</v>
      </c>
      <c r="F17" s="53" t="s">
        <v>172</v>
      </c>
      <c r="G17" s="53">
        <v>1</v>
      </c>
      <c r="H17" s="53">
        <v>1</v>
      </c>
      <c r="I17" s="53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LG/5M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39</v>
      </c>
      <c r="D18" s="53" t="s">
        <v>57</v>
      </c>
      <c r="E18" s="53" t="s">
        <v>46</v>
      </c>
      <c r="F18" s="53" t="s">
        <v>154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1</v>
      </c>
      <c r="X18" s="24" t="str">
        <f t="shared" si="5"/>
        <v/>
      </c>
      <c r="Y18" s="24" t="str">
        <f t="shared" si="6"/>
        <v>WW/LG</v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/>
      <c r="C19" s="53"/>
      <c r="D19" s="53"/>
      <c r="E19" s="53"/>
      <c r="F19" s="53"/>
      <c r="G19" s="53"/>
      <c r="H19" s="53"/>
      <c r="I19" s="53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4,</v>
      </c>
      <c r="S25" s="40" t="str">
        <f t="shared" si="12"/>
        <v>4,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0,</v>
      </c>
      <c r="S26" s="40" t="str">
        <f t="shared" si="12"/>
        <v>0,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1,</v>
      </c>
      <c r="S27" s="40" t="str">
        <f t="shared" si="12"/>
        <v>1,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5,</v>
      </c>
      <c r="S31" s="40" t="str">
        <f t="shared" si="12"/>
        <v>1,</v>
      </c>
      <c r="T31" s="40" t="str">
        <f t="shared" si="12"/>
        <v>4,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1,</v>
      </c>
      <c r="S33" s="40" t="str">
        <f t="shared" si="12"/>
        <v>0,</v>
      </c>
      <c r="T33" s="40" t="str">
        <f t="shared" si="12"/>
        <v>1,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2,</v>
      </c>
      <c r="S35" s="40" t="str">
        <f t="shared" si="12"/>
        <v>0,</v>
      </c>
      <c r="T35" s="40" t="str">
        <f t="shared" si="12"/>
        <v>0,</v>
      </c>
      <c r="U35" s="40" t="str">
        <f t="shared" si="12"/>
        <v>1,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 t="str">
        <f>IF($V18, CHAR(34)&amp;"Did not Play"&amp;CHAR(34), R18)</f>
        <v>"Did not Play"</v>
      </c>
      <c r="S38" s="40" t="str">
        <f>IF($V18, CHAR(34)&amp;"Did not Play"&amp;CHAR(34), S18)</f>
        <v>"Did not Play"</v>
      </c>
      <c r="T38" s="40" t="str">
        <f>IF($V18, CHAR(34)&amp;"Did not Play"&amp;CHAR(34), T18)</f>
        <v>"Did not Play"</v>
      </c>
      <c r="U38" s="40" t="str">
        <f>IF($V18, CHAR(34)&amp;"Did not Play"&amp;CHAR(34), U18)</f>
        <v>"Did not Play"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47" t="s">
        <v>159</v>
      </c>
      <c r="R41" s="147"/>
      <c r="S41" s="147"/>
      <c r="T41" s="19"/>
      <c r="U41" s="19"/>
    </row>
    <row r="42" spans="2:26" ht="14.25" customHeight="1" x14ac:dyDescent="0.45">
      <c r="Q42" s="147"/>
      <c r="R42" s="147"/>
      <c r="S42" s="147"/>
    </row>
    <row r="43" spans="2:26" ht="14.25" customHeight="1" x14ac:dyDescent="0.45">
      <c r="Q43" s="40" t="str">
        <f>CHAR(34)&amp;"Date"&amp;CHAR(34)&amp;":["&amp;CHAR(34)&amp;"22-May"&amp;CHAR(34)&amp;"],"</f>
        <v>"Date":["22-May"],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"Points":[0,0,4,0,1,0,0,0,5,2,1,1,2,0,0,"Did not Play"],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"Finishes":[0,0,4,0,1,0,0,0,1,0,0,1,0,0,0,"Did not Play"],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"Midrange":[0,0,0,0,0,0,0,0,4,2,1,0,0,0,0,"Did not Play"],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"ThreePointers":[0,0,0,0,0,0,0,0,0,0,0,0,1,0,0,"Did not Play"]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72CFB-9D1A-4802-BEE3-B496A9385383}">
  <dimension ref="B1:AE1000"/>
  <sheetViews>
    <sheetView workbookViewId="0">
      <selection activeCell="I10" sqref="A1:XFD1048576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45069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11</v>
      </c>
      <c r="M3" s="24">
        <f>COUNTIF(D3:D40, "Loose Gooses")</f>
        <v>2</v>
      </c>
      <c r="N3" s="23">
        <f>L3/(L3+M3)</f>
        <v>0.84615384615384615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51</v>
      </c>
      <c r="F4" s="53" t="s">
        <v>123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1</v>
      </c>
      <c r="M4" s="24">
        <f>COUNTIF(D3:D40, "5 Musketeers")</f>
        <v>8</v>
      </c>
      <c r="N4" s="23">
        <f t="shared" ref="N4:N5" si="4">L4/(L4+M4)</f>
        <v>0.1111111111111111</v>
      </c>
      <c r="O4" s="24">
        <f>IF(AND(N4&gt;N3, N4&gt;N5), 3, IF(OR(N4&gt;N3, N4&gt;N5), 2, 1))</f>
        <v>1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1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>WW/5M</v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57</v>
      </c>
      <c r="D5" s="53" t="s">
        <v>39</v>
      </c>
      <c r="E5" s="53" t="s">
        <v>56</v>
      </c>
      <c r="F5" s="53" t="s">
        <v>123</v>
      </c>
      <c r="G5" s="53">
        <v>1</v>
      </c>
      <c r="H5" s="53">
        <v>1</v>
      </c>
      <c r="I5" s="53">
        <v>1</v>
      </c>
      <c r="K5" s="24" t="s">
        <v>133</v>
      </c>
      <c r="L5" s="24">
        <f>COUNTIF(C3:C40, "Wet Willies")</f>
        <v>4</v>
      </c>
      <c r="M5" s="24">
        <f>COUNTIF(D3:D40, "Wet Willies")</f>
        <v>6</v>
      </c>
      <c r="N5" s="23">
        <f t="shared" si="4"/>
        <v>0.4</v>
      </c>
      <c r="O5" s="24">
        <f>IF(AND(N5&gt;N4, N5&gt;N3), 3, IF(OR(N5&gt;N4, N5&gt;N3), 2, 1))</f>
        <v>2</v>
      </c>
      <c r="Q5" s="3" t="s">
        <v>38</v>
      </c>
      <c r="R5" s="19">
        <f t="shared" si="0"/>
        <v>1</v>
      </c>
      <c r="S5" s="20">
        <f t="shared" si="1"/>
        <v>1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>LG/WW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57</v>
      </c>
      <c r="D6" s="53" t="s">
        <v>34</v>
      </c>
      <c r="E6" s="53" t="s">
        <v>69</v>
      </c>
      <c r="F6" s="53" t="s">
        <v>123</v>
      </c>
      <c r="G6" s="53">
        <v>2</v>
      </c>
      <c r="H6" s="53">
        <v>2</v>
      </c>
      <c r="I6" s="53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>LG/5M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57</v>
      </c>
      <c r="D7" s="53" t="s">
        <v>39</v>
      </c>
      <c r="E7" s="53" t="s">
        <v>72</v>
      </c>
      <c r="F7" s="53" t="s">
        <v>123</v>
      </c>
      <c r="G7" s="53">
        <v>3</v>
      </c>
      <c r="H7" s="53">
        <v>2</v>
      </c>
      <c r="I7" s="53">
        <v>1</v>
      </c>
      <c r="Q7" s="3" t="s">
        <v>46</v>
      </c>
      <c r="R7" s="19">
        <f t="shared" si="0"/>
        <v>0</v>
      </c>
      <c r="S7" s="20">
        <f t="shared" si="1"/>
        <v>0</v>
      </c>
      <c r="T7" s="20">
        <f t="shared" si="2"/>
        <v>0</v>
      </c>
      <c r="U7" s="20">
        <f t="shared" si="3"/>
        <v>0</v>
      </c>
      <c r="V7" s="54" t="b">
        <v>0</v>
      </c>
      <c r="X7" s="24" t="str">
        <f t="shared" si="5"/>
        <v>LG/WW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57</v>
      </c>
      <c r="D8" s="53" t="s">
        <v>34</v>
      </c>
      <c r="E8" s="53" t="s">
        <v>72</v>
      </c>
      <c r="F8" s="53" t="s">
        <v>154</v>
      </c>
      <c r="G8" s="53">
        <v>4</v>
      </c>
      <c r="H8" s="53">
        <v>3</v>
      </c>
      <c r="I8" s="53">
        <v>2</v>
      </c>
      <c r="Q8" s="3" t="s">
        <v>51</v>
      </c>
      <c r="R8" s="19">
        <f t="shared" si="0"/>
        <v>2</v>
      </c>
      <c r="S8" s="20">
        <f t="shared" si="1"/>
        <v>1</v>
      </c>
      <c r="T8" s="20">
        <f t="shared" si="2"/>
        <v>1</v>
      </c>
      <c r="U8" s="20">
        <f t="shared" si="3"/>
        <v>0</v>
      </c>
      <c r="V8" s="54" t="b">
        <v>0</v>
      </c>
      <c r="X8" s="24" t="str">
        <f t="shared" si="5"/>
        <v>LG/5M</v>
      </c>
      <c r="Y8" s="24" t="str">
        <f t="shared" si="6"/>
        <v/>
      </c>
      <c r="Z8" s="24" t="str">
        <f t="shared" si="7"/>
        <v/>
      </c>
      <c r="AB8" s="3" t="s">
        <v>51</v>
      </c>
      <c r="AC8" s="40">
        <f t="shared" si="8"/>
        <v>1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57</v>
      </c>
      <c r="E9" s="53" t="s">
        <v>51</v>
      </c>
      <c r="F9" s="53" t="s">
        <v>154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0"/>
        <v>1</v>
      </c>
      <c r="S9" s="20">
        <f t="shared" si="1"/>
        <v>0</v>
      </c>
      <c r="T9" s="20">
        <f t="shared" si="2"/>
        <v>1</v>
      </c>
      <c r="U9" s="20">
        <f t="shared" si="3"/>
        <v>0</v>
      </c>
      <c r="V9" s="54" t="b">
        <v>0</v>
      </c>
      <c r="X9" s="24" t="str">
        <f t="shared" si="5"/>
        <v/>
      </c>
      <c r="Y9" s="24" t="str">
        <f t="shared" si="6"/>
        <v>WW/LG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1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39</v>
      </c>
      <c r="E10" s="53" t="s">
        <v>38</v>
      </c>
      <c r="F10" s="53" t="s">
        <v>154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0"/>
        <v>2</v>
      </c>
      <c r="S10" s="20">
        <f t="shared" si="1"/>
        <v>0</v>
      </c>
      <c r="T10" s="20">
        <f t="shared" si="2"/>
        <v>2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5M/WW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57</v>
      </c>
      <c r="D11" s="53" t="s">
        <v>34</v>
      </c>
      <c r="E11" s="53" t="s">
        <v>69</v>
      </c>
      <c r="F11" s="53" t="s">
        <v>123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0"/>
        <v>0</v>
      </c>
      <c r="S11" s="20">
        <f t="shared" si="1"/>
        <v>0</v>
      </c>
      <c r="T11" s="20">
        <f t="shared" si="2"/>
        <v>0</v>
      </c>
      <c r="U11" s="20">
        <f t="shared" si="3"/>
        <v>0</v>
      </c>
      <c r="V11" s="54" t="b">
        <v>0</v>
      </c>
      <c r="X11" s="24" t="str">
        <f t="shared" si="5"/>
        <v>LG/5M</v>
      </c>
      <c r="Y11" s="24" t="str">
        <f t="shared" si="6"/>
        <v/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57</v>
      </c>
      <c r="E12" s="53" t="s">
        <v>44</v>
      </c>
      <c r="F12" s="53" t="s">
        <v>154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1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34</v>
      </c>
      <c r="E13" s="53" t="s">
        <v>44</v>
      </c>
      <c r="F13" s="53" t="s">
        <v>154</v>
      </c>
      <c r="G13" s="53">
        <v>2</v>
      </c>
      <c r="H13" s="53">
        <v>2</v>
      </c>
      <c r="I13" s="53">
        <v>2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>WW/5M</v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57</v>
      </c>
      <c r="D14" s="53" t="s">
        <v>39</v>
      </c>
      <c r="E14" s="53" t="s">
        <v>72</v>
      </c>
      <c r="F14" s="53" t="s">
        <v>154</v>
      </c>
      <c r="G14" s="53">
        <v>1</v>
      </c>
      <c r="H14" s="53">
        <v>1</v>
      </c>
      <c r="I14" s="53">
        <v>1</v>
      </c>
      <c r="Q14" s="3" t="s">
        <v>69</v>
      </c>
      <c r="R14" s="19">
        <f t="shared" si="0"/>
        <v>3</v>
      </c>
      <c r="S14" s="20">
        <f t="shared" si="1"/>
        <v>1</v>
      </c>
      <c r="T14" s="20">
        <f t="shared" si="2"/>
        <v>2</v>
      </c>
      <c r="U14" s="20">
        <f t="shared" si="3"/>
        <v>0</v>
      </c>
      <c r="V14" s="54" t="b">
        <v>0</v>
      </c>
      <c r="X14" s="24" t="str">
        <f t="shared" si="5"/>
        <v>LG/WW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57</v>
      </c>
      <c r="D15" s="53" t="s">
        <v>34</v>
      </c>
      <c r="E15" s="53" t="s">
        <v>56</v>
      </c>
      <c r="F15" s="53" t="s">
        <v>123</v>
      </c>
      <c r="G15" s="53">
        <v>2</v>
      </c>
      <c r="H15" s="53">
        <v>3</v>
      </c>
      <c r="I15" s="53">
        <v>1</v>
      </c>
      <c r="Q15" s="3" t="s">
        <v>72</v>
      </c>
      <c r="R15" s="19">
        <f t="shared" si="0"/>
        <v>4</v>
      </c>
      <c r="S15" s="20">
        <f t="shared" si="1"/>
        <v>3</v>
      </c>
      <c r="T15" s="20">
        <f t="shared" si="2"/>
        <v>1</v>
      </c>
      <c r="U15" s="20">
        <f t="shared" si="3"/>
        <v>0</v>
      </c>
      <c r="V15" s="54" t="b">
        <v>0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1</v>
      </c>
      <c r="AD15" s="40">
        <f>COUNTIFS($E$4:$E$33, $AB15, $F$4:$F$33, "Midrange", $D$4:$D$33, "Wet Willies")</f>
        <v>1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57</v>
      </c>
      <c r="D16" s="53" t="s">
        <v>39</v>
      </c>
      <c r="E16" s="53" t="s">
        <v>79</v>
      </c>
      <c r="F16" s="53" t="s">
        <v>154</v>
      </c>
      <c r="G16" s="53">
        <v>3</v>
      </c>
      <c r="H16" s="53">
        <v>2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LG/WW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34</v>
      </c>
      <c r="E17" s="53" t="s">
        <v>69</v>
      </c>
      <c r="F17" s="53" t="s">
        <v>154</v>
      </c>
      <c r="G17" s="53">
        <v>4</v>
      </c>
      <c r="H17" s="53">
        <v>4</v>
      </c>
      <c r="I17" s="53">
        <v>1</v>
      </c>
      <c r="Q17" s="3" t="s">
        <v>79</v>
      </c>
      <c r="R17" s="19">
        <f t="shared" si="0"/>
        <v>1</v>
      </c>
      <c r="S17" s="20">
        <f t="shared" si="1"/>
        <v>1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LG/5M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1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57</v>
      </c>
      <c r="D18" s="53" t="s">
        <v>39</v>
      </c>
      <c r="E18" s="53" t="s">
        <v>53</v>
      </c>
      <c r="F18" s="53" t="s">
        <v>123</v>
      </c>
      <c r="G18" s="53">
        <v>5</v>
      </c>
      <c r="H18" s="53">
        <v>3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LG/WW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57</v>
      </c>
      <c r="D19" s="53" t="s">
        <v>34</v>
      </c>
      <c r="E19" s="53" t="s">
        <v>72</v>
      </c>
      <c r="F19" s="53" t="s">
        <v>154</v>
      </c>
      <c r="G19" s="53">
        <v>6</v>
      </c>
      <c r="H19" s="53">
        <v>5</v>
      </c>
      <c r="I19" s="53">
        <v>1</v>
      </c>
      <c r="S19" s="20"/>
      <c r="T19" s="20"/>
      <c r="U19" s="20"/>
      <c r="X19" s="24" t="str">
        <f t="shared" si="5"/>
        <v>LG/5M</v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"Did not Play",</v>
      </c>
      <c r="S24" s="40" t="str">
        <f t="shared" si="12"/>
        <v>"Did not Play",</v>
      </c>
      <c r="T24" s="40" t="str">
        <f t="shared" si="12"/>
        <v>"Did not Play",</v>
      </c>
      <c r="U24" s="40" t="str">
        <f t="shared" si="12"/>
        <v>"Did not Play",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1,</v>
      </c>
      <c r="S25" s="40" t="str">
        <f t="shared" si="12"/>
        <v>1,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2,</v>
      </c>
      <c r="S28" s="40" t="str">
        <f t="shared" si="12"/>
        <v>1,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1,</v>
      </c>
      <c r="S29" s="40" t="str">
        <f t="shared" si="12"/>
        <v>0,</v>
      </c>
      <c r="T29" s="40" t="str">
        <f t="shared" si="12"/>
        <v>1,</v>
      </c>
      <c r="U29" s="40" t="str">
        <f t="shared" si="12"/>
        <v>0,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2,</v>
      </c>
      <c r="S30" s="40" t="str">
        <f t="shared" si="12"/>
        <v>0,</v>
      </c>
      <c r="T30" s="40" t="str">
        <f t="shared" si="12"/>
        <v>2,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0,</v>
      </c>
      <c r="S31" s="40" t="str">
        <f t="shared" si="12"/>
        <v>0,</v>
      </c>
      <c r="T31" s="40" t="str">
        <f t="shared" si="12"/>
        <v>0,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"Did not Play",</v>
      </c>
      <c r="S32" s="40" t="str">
        <f t="shared" si="12"/>
        <v>"Did not Play",</v>
      </c>
      <c r="T32" s="40" t="str">
        <f t="shared" si="12"/>
        <v>"Did not Play",</v>
      </c>
      <c r="U32" s="40" t="str">
        <f t="shared" si="12"/>
        <v>"Did not Play",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3,</v>
      </c>
      <c r="S34" s="40" t="str">
        <f t="shared" si="12"/>
        <v>1,</v>
      </c>
      <c r="T34" s="40" t="str">
        <f t="shared" si="12"/>
        <v>2,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4,</v>
      </c>
      <c r="S35" s="40" t="str">
        <f t="shared" si="12"/>
        <v>3,</v>
      </c>
      <c r="T35" s="40" t="str">
        <f t="shared" si="12"/>
        <v>1,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47" t="s">
        <v>159</v>
      </c>
      <c r="R41" s="147"/>
      <c r="S41" s="147"/>
      <c r="T41" s="19"/>
      <c r="U41" s="19"/>
    </row>
    <row r="42" spans="2:26" ht="14.25" customHeight="1" x14ac:dyDescent="0.45">
      <c r="Q42" s="147"/>
      <c r="R42" s="147"/>
      <c r="S42" s="147"/>
    </row>
    <row r="43" spans="2:26" ht="14.25" customHeight="1" x14ac:dyDescent="0.45">
      <c r="Q43" s="40" t="str">
        <f>CHAR(34)&amp;"Date"&amp;CHAR(34)&amp;":["&amp;CHAR(34)&amp;"23-May"&amp;CHAR(34)&amp;"],"</f>
        <v>"Date":["23-May"],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"Points":[0,"Did not Play",1,2,0,2,1,2,0,"Did not Play",0,3,4,0,1,0],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"Finishes":[0,"Did not Play",1,2,0,1,0,0,0,"Did not Play",0,1,3,0,1,0],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"Midrange":[0,"Did not Play",0,0,0,1,1,2,0,"Did not Play",0,2,1,0,0,0],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"ThreePointers":[0,"Did not Play",0,0,0,0,0,0,0,"Did not Play",0,0,0,0,0,0]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11B85-27B3-4680-91B3-A42281947CCB}">
  <dimension ref="B1:AE1000"/>
  <sheetViews>
    <sheetView workbookViewId="0">
      <selection activeCell="K41" sqref="A1:XFD1048576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45070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4</v>
      </c>
      <c r="M3" s="24">
        <f>COUNTIF(D3:D40, "Loose Gooses")</f>
        <v>2</v>
      </c>
      <c r="N3" s="23">
        <f>L3/(L3+M3)</f>
        <v>0.66666666666666663</v>
      </c>
      <c r="O3" s="24">
        <v>3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34</v>
      </c>
      <c r="D4" s="53" t="s">
        <v>57</v>
      </c>
      <c r="E4" s="53" t="s">
        <v>38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4</v>
      </c>
      <c r="M4" s="24">
        <f>COUNTIF(D3:D40, "5 Musketeers")</f>
        <v>2</v>
      </c>
      <c r="N4" s="23">
        <f t="shared" ref="N4:N5" si="4">L4/(L4+M4)</f>
        <v>0.66666666666666663</v>
      </c>
      <c r="O4" s="24">
        <f>IF(AND(N4&gt;N3, N4&gt;N5), 3, IF(OR(N4&gt;N3, N4&gt;N5), 2, 1))</f>
        <v>2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/>
      </c>
      <c r="Z4" s="24" t="str">
        <f t="shared" ref="Z4:Z39" si="7">IF(AND(C4="5 Musketeers",D4="Loose Gooses"),"5M/LG", IF(AND($C4="5 Musketeers",$D4="Wet Willies"),"5M/WW", ""))</f>
        <v>5M/LG</v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34</v>
      </c>
      <c r="D5" s="53" t="s">
        <v>39</v>
      </c>
      <c r="E5" s="53" t="s">
        <v>60</v>
      </c>
      <c r="F5" s="53" t="s">
        <v>123</v>
      </c>
      <c r="G5" s="53">
        <v>2</v>
      </c>
      <c r="H5" s="53">
        <v>1</v>
      </c>
      <c r="I5" s="53">
        <v>1</v>
      </c>
      <c r="K5" s="24" t="s">
        <v>133</v>
      </c>
      <c r="L5" s="24">
        <f>COUNTIF(C3:C40, "Wet Willies")</f>
        <v>0</v>
      </c>
      <c r="M5" s="24">
        <f>COUNTIF(D3:D40, "Wet Willies")</f>
        <v>4</v>
      </c>
      <c r="N5" s="23">
        <f t="shared" si="4"/>
        <v>0</v>
      </c>
      <c r="O5" s="24">
        <f>IF(AND(N5&gt;N4, N5&gt;N3), 3, IF(OR(N5&gt;N4, N5&gt;N3), 2, 1))</f>
        <v>1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5M/WW</v>
      </c>
      <c r="AB5" s="3" t="s">
        <v>38</v>
      </c>
      <c r="AC5" s="40">
        <f t="shared" si="8"/>
        <v>2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57</v>
      </c>
      <c r="D6" s="53" t="s">
        <v>34</v>
      </c>
      <c r="E6" s="53" t="s">
        <v>72</v>
      </c>
      <c r="F6" s="53" t="s">
        <v>154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0"/>
        <v>0</v>
      </c>
      <c r="S6" s="20">
        <f t="shared" si="1"/>
        <v>0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>LG/5M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0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57</v>
      </c>
      <c r="D7" s="53" t="s">
        <v>39</v>
      </c>
      <c r="E7" s="53" t="s">
        <v>72</v>
      </c>
      <c r="F7" s="53" t="s">
        <v>123</v>
      </c>
      <c r="G7" s="53">
        <v>2</v>
      </c>
      <c r="H7" s="53">
        <v>2</v>
      </c>
      <c r="I7" s="53">
        <v>2</v>
      </c>
      <c r="Q7" s="3" t="s">
        <v>46</v>
      </c>
      <c r="R7" s="19">
        <f t="shared" si="0"/>
        <v>0</v>
      </c>
      <c r="S7" s="20">
        <f t="shared" si="1"/>
        <v>0</v>
      </c>
      <c r="T7" s="20">
        <f t="shared" si="2"/>
        <v>0</v>
      </c>
      <c r="U7" s="20">
        <f t="shared" si="3"/>
        <v>0</v>
      </c>
      <c r="V7" s="54" t="b">
        <v>0</v>
      </c>
      <c r="X7" s="24" t="str">
        <f t="shared" si="5"/>
        <v>LG/WW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57</v>
      </c>
      <c r="D8" s="53" t="s">
        <v>34</v>
      </c>
      <c r="E8" s="53" t="s">
        <v>53</v>
      </c>
      <c r="F8" s="53" t="s">
        <v>172</v>
      </c>
      <c r="G8" s="53">
        <v>3</v>
      </c>
      <c r="H8" s="53">
        <v>2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>LG/5M</v>
      </c>
      <c r="Y8" s="24" t="str">
        <f t="shared" si="6"/>
        <v/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39</v>
      </c>
      <c r="E9" s="53" t="s">
        <v>69</v>
      </c>
      <c r="F9" s="53" t="s">
        <v>123</v>
      </c>
      <c r="G9" s="53">
        <v>4</v>
      </c>
      <c r="H9" s="53">
        <v>3</v>
      </c>
      <c r="I9" s="53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57</v>
      </c>
      <c r="E10" s="53" t="s">
        <v>38</v>
      </c>
      <c r="F10" s="53" t="s">
        <v>154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39</v>
      </c>
      <c r="E11" s="53" t="s">
        <v>63</v>
      </c>
      <c r="F11" s="53" t="s">
        <v>123</v>
      </c>
      <c r="G11" s="53">
        <v>2</v>
      </c>
      <c r="H11" s="53">
        <v>4</v>
      </c>
      <c r="I11" s="53">
        <v>1</v>
      </c>
      <c r="Q11" s="3" t="s">
        <v>60</v>
      </c>
      <c r="R11" s="19">
        <f t="shared" si="0"/>
        <v>1</v>
      </c>
      <c r="S11" s="20">
        <f t="shared" si="1"/>
        <v>0</v>
      </c>
      <c r="T11" s="20">
        <f t="shared" si="2"/>
        <v>1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/>
      <c r="C12" s="53"/>
      <c r="D12" s="53"/>
      <c r="E12" s="53"/>
      <c r="F12" s="53"/>
      <c r="G12" s="53"/>
      <c r="H12" s="53"/>
      <c r="I12" s="53"/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/>
      <c r="C13" s="53"/>
      <c r="D13" s="53"/>
      <c r="E13" s="53"/>
      <c r="F13" s="53"/>
      <c r="G13" s="53"/>
      <c r="H13" s="53"/>
      <c r="I13" s="53"/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/>
      <c r="C14" s="53"/>
      <c r="D14" s="53"/>
      <c r="E14" s="53"/>
      <c r="F14" s="53"/>
      <c r="G14" s="53"/>
      <c r="H14" s="53"/>
      <c r="I14" s="53"/>
      <c r="Q14" s="3" t="s">
        <v>69</v>
      </c>
      <c r="R14" s="19">
        <f t="shared" si="0"/>
        <v>1</v>
      </c>
      <c r="S14" s="20">
        <f t="shared" si="1"/>
        <v>0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1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/>
      <c r="C15" s="53"/>
      <c r="D15" s="53"/>
      <c r="E15" s="53"/>
      <c r="F15" s="53"/>
      <c r="G15" s="53"/>
      <c r="H15" s="53"/>
      <c r="I15" s="53"/>
      <c r="Q15" s="3" t="s">
        <v>72</v>
      </c>
      <c r="R15" s="19">
        <f t="shared" si="0"/>
        <v>2</v>
      </c>
      <c r="S15" s="20">
        <f t="shared" si="1"/>
        <v>1</v>
      </c>
      <c r="T15" s="20">
        <f t="shared" si="2"/>
        <v>1</v>
      </c>
      <c r="U15" s="20">
        <f t="shared" si="3"/>
        <v>0</v>
      </c>
      <c r="V15" s="54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1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/>
      <c r="C16" s="53"/>
      <c r="D16" s="53"/>
      <c r="E16" s="53"/>
      <c r="F16" s="53"/>
      <c r="G16" s="53"/>
      <c r="H16" s="53"/>
      <c r="I16" s="53"/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/>
      <c r="C17" s="53"/>
      <c r="D17" s="53"/>
      <c r="E17" s="53"/>
      <c r="F17" s="53"/>
      <c r="G17" s="53"/>
      <c r="H17" s="53"/>
      <c r="I17" s="53"/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/>
      <c r="C18" s="53"/>
      <c r="D18" s="53"/>
      <c r="E18" s="53"/>
      <c r="F18" s="53"/>
      <c r="G18" s="53"/>
      <c r="H18" s="53"/>
      <c r="I18" s="53"/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/>
      <c r="C19" s="53"/>
      <c r="D19" s="53"/>
      <c r="E19" s="53"/>
      <c r="F19" s="53"/>
      <c r="G19" s="53"/>
      <c r="H19" s="53"/>
      <c r="I19" s="53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0,</v>
      </c>
      <c r="S26" s="40" t="str">
        <f t="shared" si="12"/>
        <v>0,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1,</v>
      </c>
      <c r="S31" s="40" t="str">
        <f t="shared" si="12"/>
        <v>0,</v>
      </c>
      <c r="T31" s="40" t="str">
        <f t="shared" si="12"/>
        <v>1,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0,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2,</v>
      </c>
      <c r="S35" s="40" t="str">
        <f t="shared" si="12"/>
        <v>1,</v>
      </c>
      <c r="T35" s="40" t="str">
        <f t="shared" si="12"/>
        <v>1,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47" t="s">
        <v>159</v>
      </c>
      <c r="R41" s="147"/>
      <c r="S41" s="147"/>
      <c r="T41" s="19"/>
      <c r="U41" s="19"/>
    </row>
    <row r="42" spans="2:26" ht="14.25" customHeight="1" x14ac:dyDescent="0.45">
      <c r="Q42" s="147"/>
      <c r="R42" s="147"/>
      <c r="S42" s="147"/>
    </row>
    <row r="43" spans="2:26" ht="14.25" customHeight="1" x14ac:dyDescent="0.45">
      <c r="Q43" s="40" t="str">
        <f>CHAR(34)&amp;"Date"&amp;CHAR(34)&amp;":["&amp;CHAR(34)&amp;"24-May"&amp;CHAR(34)&amp;"],"</f>
        <v>"Date":["24-May"],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"Points":[0,0,2,0,0,0,2,0,1,1,0,1,2,0,0,0],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"Finishes":[0,0,2,0,0,0,0,0,0,0,0,0,1,0,0,0],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"Midrange":[0,0,0,0,0,0,0,0,1,1,0,1,1,0,0,0],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95F18-5A26-46C5-853C-292D4DFBFEFD}">
  <dimension ref="B1:AF1000"/>
  <sheetViews>
    <sheetView topLeftCell="G1" zoomScale="70" zoomScaleNormal="70" workbookViewId="0">
      <selection activeCell="J45" sqref="J45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2" ht="14.25" customHeight="1" x14ac:dyDescent="0.45"/>
    <row r="2" spans="2:32" ht="14.25" customHeight="1" x14ac:dyDescent="0.45">
      <c r="B2" s="24" t="s">
        <v>121</v>
      </c>
      <c r="C2" s="4">
        <v>45075</v>
      </c>
      <c r="L2" s="5" t="s">
        <v>122</v>
      </c>
      <c r="M2" s="5" t="s">
        <v>102</v>
      </c>
      <c r="N2" s="5" t="s">
        <v>103</v>
      </c>
      <c r="O2" s="5" t="s">
        <v>96</v>
      </c>
      <c r="P2" s="5" t="s">
        <v>8</v>
      </c>
      <c r="R2" s="5" t="s">
        <v>97</v>
      </c>
      <c r="S2" s="24" t="s">
        <v>8</v>
      </c>
      <c r="T2" s="3" t="s">
        <v>9</v>
      </c>
      <c r="U2" s="3" t="s">
        <v>123</v>
      </c>
      <c r="V2" s="3" t="s">
        <v>124</v>
      </c>
      <c r="W2" s="40" t="s">
        <v>161</v>
      </c>
      <c r="AC2" s="40" t="s">
        <v>179</v>
      </c>
      <c r="AD2" s="3" t="s">
        <v>9</v>
      </c>
      <c r="AE2" s="3" t="s">
        <v>123</v>
      </c>
      <c r="AF2" s="3" t="s">
        <v>124</v>
      </c>
    </row>
    <row r="3" spans="2:32" ht="14.25" customHeight="1" x14ac:dyDescent="0.45">
      <c r="B3" s="53" t="s">
        <v>125</v>
      </c>
      <c r="C3" s="53" t="s">
        <v>126</v>
      </c>
      <c r="D3" s="53" t="s">
        <v>127</v>
      </c>
      <c r="E3" s="53" t="s">
        <v>232</v>
      </c>
      <c r="F3" s="53" t="s">
        <v>128</v>
      </c>
      <c r="G3" s="53" t="s">
        <v>129</v>
      </c>
      <c r="H3" s="53" t="s">
        <v>130</v>
      </c>
      <c r="I3" s="53" t="s">
        <v>131</v>
      </c>
      <c r="J3" s="53" t="s">
        <v>137</v>
      </c>
      <c r="L3" s="24" t="s">
        <v>132</v>
      </c>
      <c r="M3" s="24">
        <v>4</v>
      </c>
      <c r="N3" s="24">
        <v>1</v>
      </c>
      <c r="O3" s="23">
        <f>M3/(M3+N3)</f>
        <v>0.8</v>
      </c>
      <c r="P3" s="24">
        <v>2</v>
      </c>
      <c r="R3" s="3" t="s">
        <v>33</v>
      </c>
      <c r="S3" s="19">
        <f t="shared" ref="S3:S18" si="0">COUNTIF($F$3:$F$40, R3)+V3</f>
        <v>0</v>
      </c>
      <c r="T3" s="20">
        <f t="shared" ref="T3:T18" si="1">COUNTIFS($F$3:$F$40, $R3,$G$3:$G$40,"Finish")</f>
        <v>0</v>
      </c>
      <c r="U3" s="20">
        <f t="shared" ref="U3:U18" si="2">COUNTIFS($F$3:$F$40, $R3,$G$3:$G$40,"Midrange")</f>
        <v>0</v>
      </c>
      <c r="V3" s="20">
        <f t="shared" ref="V3:V18" si="3">COUNTIFS($F$3:$F$40, $R3,$G$3:$G$40,"Three Pointer")</f>
        <v>0</v>
      </c>
      <c r="W3" s="54" t="b">
        <v>0</v>
      </c>
      <c r="Y3" s="5" t="s">
        <v>132</v>
      </c>
      <c r="Z3" s="5" t="s">
        <v>133</v>
      </c>
      <c r="AA3" s="5" t="s">
        <v>134</v>
      </c>
      <c r="AC3" s="3" t="s">
        <v>33</v>
      </c>
      <c r="AD3" s="40">
        <f t="shared" ref="AD3:AD8" si="4">COUNTIFS($F$4:$F$33, $AC3, $G$4:$G$33, "Finish", $D$4:$D$33, "Loose Gooses")</f>
        <v>0</v>
      </c>
      <c r="AE3" s="40">
        <f t="shared" ref="AE3:AE8" si="5">COUNTIFS($F$4:$F$33, $AC3, $G$4:$G$33, "Midrange", $D$4:$D$33, "Loose Gooses")</f>
        <v>0</v>
      </c>
      <c r="AF3" s="40">
        <f t="shared" ref="AF3:AF8" si="6">COUNTIFS($F$4:$F$33, $AC3, $G$4:$G$33, "Three Pointer", $D$4:$D$33, "Loose Gooses")</f>
        <v>0</v>
      </c>
    </row>
    <row r="4" spans="2:32" ht="14.25" customHeight="1" x14ac:dyDescent="0.45">
      <c r="B4" s="53">
        <v>1</v>
      </c>
      <c r="C4" s="53" t="s">
        <v>57</v>
      </c>
      <c r="D4" s="53" t="s">
        <v>39</v>
      </c>
      <c r="E4" s="53" t="s">
        <v>233</v>
      </c>
      <c r="F4" s="53" t="s">
        <v>72</v>
      </c>
      <c r="G4" s="53" t="s">
        <v>154</v>
      </c>
      <c r="H4" s="53" t="s">
        <v>234</v>
      </c>
      <c r="I4" s="53" t="s">
        <v>234</v>
      </c>
      <c r="J4" s="53">
        <v>1</v>
      </c>
      <c r="L4" s="24" t="s">
        <v>134</v>
      </c>
      <c r="M4" s="24">
        <v>1</v>
      </c>
      <c r="N4" s="24">
        <v>2</v>
      </c>
      <c r="O4" s="23">
        <f t="shared" ref="O4:O5" si="7">M4/(M4+N4)</f>
        <v>0.33333333333333331</v>
      </c>
      <c r="P4" s="24">
        <v>0</v>
      </c>
      <c r="R4" s="3" t="s">
        <v>36</v>
      </c>
      <c r="S4" s="19">
        <f t="shared" si="0"/>
        <v>1</v>
      </c>
      <c r="T4" s="20">
        <f t="shared" si="1"/>
        <v>1</v>
      </c>
      <c r="U4" s="20">
        <f t="shared" si="2"/>
        <v>0</v>
      </c>
      <c r="V4" s="20">
        <f t="shared" si="3"/>
        <v>0</v>
      </c>
      <c r="W4" s="54" t="b">
        <v>0</v>
      </c>
      <c r="Y4" s="24" t="str">
        <f t="shared" ref="Y4:Y39" si="8">IF(AND(C4="Loose Gooses",D4="Wet Willies"),"LG/WW", IF(AND(C4="Loose Gooses",D4="5 Musketeers"),"LG/5M", ""))</f>
        <v>LG/WW</v>
      </c>
      <c r="Z4" s="24" t="str">
        <f t="shared" ref="Z4:Z39" si="9">IF(AND(C4="Wet Willies",D4="Loose Gooses"),"WW/LG", IF(AND(C4="Wet Willies",D4="5 Musketeers"),"WW/5M", ""))</f>
        <v/>
      </c>
      <c r="AA4" s="24" t="str">
        <f t="shared" ref="AA4:AA39" si="10">IF(AND(C4="5 Musketeers",D4="Loose Gooses"),"5M/LG", IF(AND($C4="5 Musketeers",$D4="Wet Willies"),"5M/WW", ""))</f>
        <v/>
      </c>
      <c r="AC4" s="3" t="s">
        <v>36</v>
      </c>
      <c r="AD4" s="40">
        <f t="shared" si="4"/>
        <v>1</v>
      </c>
      <c r="AE4" s="40">
        <f t="shared" si="5"/>
        <v>0</v>
      </c>
      <c r="AF4" s="40">
        <f t="shared" si="6"/>
        <v>0</v>
      </c>
    </row>
    <row r="5" spans="2:32" ht="14.25" customHeight="1" x14ac:dyDescent="0.45">
      <c r="B5" s="53">
        <v>1</v>
      </c>
      <c r="C5" s="53" t="s">
        <v>57</v>
      </c>
      <c r="D5" s="53" t="s">
        <v>39</v>
      </c>
      <c r="E5" s="53" t="s">
        <v>235</v>
      </c>
      <c r="F5" s="53" t="s">
        <v>72</v>
      </c>
      <c r="G5" s="53" t="s">
        <v>123</v>
      </c>
      <c r="H5" s="53">
        <v>1</v>
      </c>
      <c r="I5" s="53">
        <v>1</v>
      </c>
      <c r="J5" s="53">
        <v>2</v>
      </c>
      <c r="L5" s="24" t="s">
        <v>133</v>
      </c>
      <c r="M5" s="24">
        <v>1</v>
      </c>
      <c r="N5" s="24">
        <v>3</v>
      </c>
      <c r="O5" s="23">
        <f t="shared" si="7"/>
        <v>0.25</v>
      </c>
      <c r="P5" s="24">
        <v>0</v>
      </c>
      <c r="R5" s="3" t="s">
        <v>38</v>
      </c>
      <c r="S5" s="19">
        <f t="shared" si="0"/>
        <v>1</v>
      </c>
      <c r="T5" s="20">
        <f t="shared" si="1"/>
        <v>1</v>
      </c>
      <c r="U5" s="20">
        <f t="shared" si="2"/>
        <v>0</v>
      </c>
      <c r="V5" s="20">
        <f t="shared" si="3"/>
        <v>0</v>
      </c>
      <c r="W5" s="54" t="b">
        <v>0</v>
      </c>
      <c r="Y5" s="24" t="str">
        <f t="shared" si="8"/>
        <v>LG/WW</v>
      </c>
      <c r="Z5" s="24" t="str">
        <f t="shared" si="9"/>
        <v/>
      </c>
      <c r="AA5" s="24" t="str">
        <f t="shared" si="10"/>
        <v/>
      </c>
      <c r="AC5" s="3" t="s">
        <v>38</v>
      </c>
      <c r="AD5" s="40">
        <f t="shared" si="4"/>
        <v>1</v>
      </c>
      <c r="AE5" s="40">
        <f t="shared" si="5"/>
        <v>0</v>
      </c>
      <c r="AF5" s="40">
        <f t="shared" si="6"/>
        <v>0</v>
      </c>
    </row>
    <row r="6" spans="2:32" ht="14.25" customHeight="1" x14ac:dyDescent="0.45">
      <c r="B6" s="53">
        <v>2</v>
      </c>
      <c r="C6" s="53" t="s">
        <v>34</v>
      </c>
      <c r="D6" s="53" t="s">
        <v>57</v>
      </c>
      <c r="E6" s="53" t="s">
        <v>233</v>
      </c>
      <c r="F6" s="53" t="s">
        <v>38</v>
      </c>
      <c r="G6" s="53" t="s">
        <v>154</v>
      </c>
      <c r="H6" s="53" t="s">
        <v>234</v>
      </c>
      <c r="I6" s="53" t="s">
        <v>234</v>
      </c>
      <c r="J6" s="53">
        <v>1</v>
      </c>
      <c r="R6" s="3" t="s">
        <v>44</v>
      </c>
      <c r="S6" s="19">
        <f t="shared" si="0"/>
        <v>0</v>
      </c>
      <c r="T6" s="20">
        <f t="shared" si="1"/>
        <v>0</v>
      </c>
      <c r="U6" s="20">
        <f t="shared" si="2"/>
        <v>0</v>
      </c>
      <c r="V6" s="20">
        <f t="shared" si="3"/>
        <v>0</v>
      </c>
      <c r="W6" s="54" t="b">
        <v>1</v>
      </c>
      <c r="Y6" s="24" t="str">
        <f t="shared" si="8"/>
        <v/>
      </c>
      <c r="Z6" s="24" t="str">
        <f t="shared" si="9"/>
        <v/>
      </c>
      <c r="AA6" s="24" t="str">
        <f t="shared" si="10"/>
        <v>5M/LG</v>
      </c>
      <c r="AC6" s="3" t="s">
        <v>44</v>
      </c>
      <c r="AD6" s="40">
        <f t="shared" si="4"/>
        <v>0</v>
      </c>
      <c r="AE6" s="40">
        <f t="shared" si="5"/>
        <v>0</v>
      </c>
      <c r="AF6" s="40">
        <f t="shared" si="6"/>
        <v>0</v>
      </c>
    </row>
    <row r="7" spans="2:32" ht="14.25" customHeight="1" x14ac:dyDescent="0.45">
      <c r="B7" s="53">
        <v>2</v>
      </c>
      <c r="C7" s="53" t="s">
        <v>34</v>
      </c>
      <c r="D7" s="53" t="s">
        <v>57</v>
      </c>
      <c r="E7" s="53" t="s">
        <v>236</v>
      </c>
      <c r="F7" s="53" t="s">
        <v>66</v>
      </c>
      <c r="G7" s="53" t="s">
        <v>172</v>
      </c>
      <c r="H7" s="53">
        <v>1</v>
      </c>
      <c r="I7" s="53">
        <v>1</v>
      </c>
      <c r="J7" s="53">
        <v>1</v>
      </c>
      <c r="R7" s="3" t="s">
        <v>46</v>
      </c>
      <c r="S7" s="19">
        <f t="shared" si="0"/>
        <v>1</v>
      </c>
      <c r="T7" s="20">
        <f t="shared" si="1"/>
        <v>1</v>
      </c>
      <c r="U7" s="20">
        <f t="shared" si="2"/>
        <v>0</v>
      </c>
      <c r="V7" s="20">
        <f t="shared" si="3"/>
        <v>0</v>
      </c>
      <c r="W7" s="54" t="b">
        <v>0</v>
      </c>
      <c r="Y7" s="24" t="str">
        <f t="shared" si="8"/>
        <v/>
      </c>
      <c r="Z7" s="24" t="str">
        <f t="shared" si="9"/>
        <v/>
      </c>
      <c r="AA7" s="24" t="str">
        <f t="shared" si="10"/>
        <v>5M/LG</v>
      </c>
      <c r="AC7" s="3" t="s">
        <v>46</v>
      </c>
      <c r="AD7" s="40">
        <f t="shared" si="4"/>
        <v>0</v>
      </c>
      <c r="AE7" s="40">
        <f t="shared" si="5"/>
        <v>0</v>
      </c>
      <c r="AF7" s="40">
        <f t="shared" si="6"/>
        <v>0</v>
      </c>
    </row>
    <row r="8" spans="2:32" ht="14.25" customHeight="1" x14ac:dyDescent="0.45">
      <c r="B8" s="53">
        <v>3</v>
      </c>
      <c r="C8" s="53" t="s">
        <v>39</v>
      </c>
      <c r="D8" s="53" t="s">
        <v>34</v>
      </c>
      <c r="E8" s="53" t="s">
        <v>233</v>
      </c>
      <c r="F8" s="53" t="s">
        <v>46</v>
      </c>
      <c r="G8" s="53" t="s">
        <v>154</v>
      </c>
      <c r="H8" s="53" t="s">
        <v>234</v>
      </c>
      <c r="I8" s="53" t="s">
        <v>234</v>
      </c>
      <c r="J8" s="53">
        <v>1</v>
      </c>
      <c r="R8" s="3" t="s">
        <v>51</v>
      </c>
      <c r="S8" s="19">
        <f t="shared" si="0"/>
        <v>1</v>
      </c>
      <c r="T8" s="20">
        <f t="shared" si="1"/>
        <v>0</v>
      </c>
      <c r="U8" s="20">
        <f t="shared" si="2"/>
        <v>1</v>
      </c>
      <c r="V8" s="20">
        <f t="shared" si="3"/>
        <v>0</v>
      </c>
      <c r="W8" s="54" t="b">
        <v>0</v>
      </c>
      <c r="Y8" s="24" t="str">
        <f t="shared" si="8"/>
        <v/>
      </c>
      <c r="Z8" s="24" t="str">
        <f t="shared" si="9"/>
        <v>WW/5M</v>
      </c>
      <c r="AA8" s="24" t="str">
        <f t="shared" si="10"/>
        <v/>
      </c>
      <c r="AC8" s="3" t="s">
        <v>51</v>
      </c>
      <c r="AD8" s="40">
        <f t="shared" si="4"/>
        <v>0</v>
      </c>
      <c r="AE8" s="40">
        <f t="shared" si="5"/>
        <v>0</v>
      </c>
      <c r="AF8" s="40">
        <f t="shared" si="6"/>
        <v>0</v>
      </c>
    </row>
    <row r="9" spans="2:32" ht="14.25" customHeight="1" x14ac:dyDescent="0.45">
      <c r="B9" s="53">
        <v>3</v>
      </c>
      <c r="C9" s="53" t="s">
        <v>39</v>
      </c>
      <c r="D9" s="53" t="s">
        <v>34</v>
      </c>
      <c r="E9" s="53" t="s">
        <v>235</v>
      </c>
      <c r="F9" s="53" t="s">
        <v>51</v>
      </c>
      <c r="G9" s="53" t="s">
        <v>123</v>
      </c>
      <c r="H9" s="53">
        <v>1</v>
      </c>
      <c r="I9" s="53">
        <v>1</v>
      </c>
      <c r="J9" s="53">
        <v>1</v>
      </c>
      <c r="R9" s="3" t="s">
        <v>53</v>
      </c>
      <c r="S9" s="19">
        <f t="shared" si="0"/>
        <v>3</v>
      </c>
      <c r="T9" s="20">
        <f t="shared" si="1"/>
        <v>1</v>
      </c>
      <c r="U9" s="20">
        <f t="shared" si="2"/>
        <v>0</v>
      </c>
      <c r="V9" s="20">
        <f t="shared" si="3"/>
        <v>1</v>
      </c>
      <c r="W9" s="54" t="b">
        <v>0</v>
      </c>
      <c r="Y9" s="24" t="str">
        <f t="shared" si="8"/>
        <v/>
      </c>
      <c r="Z9" s="24" t="str">
        <f t="shared" si="9"/>
        <v>WW/5M</v>
      </c>
      <c r="AA9" s="24" t="str">
        <f t="shared" si="10"/>
        <v/>
      </c>
      <c r="AC9" s="3" t="s">
        <v>53</v>
      </c>
      <c r="AD9" s="40">
        <f>COUNTIFS($F$4:$F$33, $AC9, $G$4:$G$33, "Finish", $D$4:$D$33, "Wet Willies")</f>
        <v>0</v>
      </c>
      <c r="AE9" s="40">
        <f>COUNTIFS($F$4:$F$33, $AC9, $G$4:$G$33, "Midrange", $D$4:$D$33, "Wet Willies")</f>
        <v>0</v>
      </c>
      <c r="AF9" s="40">
        <f>COUNTIFS($F$4:$F$33, $AC9, $G$4:$G$33, "Three Pointer", $D$4:$D$33, "Wet Willies")</f>
        <v>1</v>
      </c>
    </row>
    <row r="10" spans="2:32" ht="14.25" customHeight="1" x14ac:dyDescent="0.45">
      <c r="B10" s="53">
        <v>4</v>
      </c>
      <c r="C10" s="53" t="s">
        <v>57</v>
      </c>
      <c r="D10" s="53" t="s">
        <v>39</v>
      </c>
      <c r="E10" s="53" t="s">
        <v>235</v>
      </c>
      <c r="F10" s="53" t="s">
        <v>53</v>
      </c>
      <c r="G10" s="53" t="s">
        <v>172</v>
      </c>
      <c r="H10" s="53">
        <v>1</v>
      </c>
      <c r="I10" s="53">
        <v>1</v>
      </c>
      <c r="J10" s="53">
        <v>1</v>
      </c>
      <c r="R10" s="3" t="s">
        <v>56</v>
      </c>
      <c r="S10" s="19">
        <f t="shared" si="0"/>
        <v>2</v>
      </c>
      <c r="T10" s="20">
        <f t="shared" si="1"/>
        <v>0</v>
      </c>
      <c r="U10" s="20">
        <f t="shared" si="2"/>
        <v>2</v>
      </c>
      <c r="V10" s="20">
        <f t="shared" si="3"/>
        <v>0</v>
      </c>
      <c r="W10" s="54" t="b">
        <v>0</v>
      </c>
      <c r="Y10" s="24" t="str">
        <f t="shared" si="8"/>
        <v>LG/WW</v>
      </c>
      <c r="Z10" s="24" t="str">
        <f t="shared" si="9"/>
        <v/>
      </c>
      <c r="AA10" s="24" t="str">
        <f t="shared" si="10"/>
        <v/>
      </c>
      <c r="AC10" s="3" t="s">
        <v>56</v>
      </c>
      <c r="AD10" s="40">
        <f>COUNTIFS($F$4:$F$33, $AC10, $G$4:$G$33, "Finish", $D$4:$D$33, "Wet Willies")</f>
        <v>0</v>
      </c>
      <c r="AE10" s="40">
        <f>COUNTIFS($F$4:$F$33, $AC10, $G$4:$G$33, "Midrange", $D$4:$D$33, "Wet Willies")</f>
        <v>2</v>
      </c>
      <c r="AF10" s="40">
        <f>COUNTIFS($F$4:$F$33, $AC10, $G$4:$G$33, "Three Pointer", $D$4:$D$33, "Wet Willies")</f>
        <v>0</v>
      </c>
    </row>
    <row r="11" spans="2:32" ht="14.25" customHeight="1" x14ac:dyDescent="0.45">
      <c r="B11" s="53">
        <v>5</v>
      </c>
      <c r="C11" s="53" t="s">
        <v>57</v>
      </c>
      <c r="D11" s="53" t="s">
        <v>34</v>
      </c>
      <c r="E11" s="53" t="s">
        <v>233</v>
      </c>
      <c r="F11" s="53" t="s">
        <v>72</v>
      </c>
      <c r="G11" s="53" t="s">
        <v>154</v>
      </c>
      <c r="H11" s="53" t="s">
        <v>234</v>
      </c>
      <c r="I11" s="53" t="s">
        <v>234</v>
      </c>
      <c r="J11" s="53">
        <v>1</v>
      </c>
      <c r="R11" s="3" t="s">
        <v>60</v>
      </c>
      <c r="S11" s="19">
        <f t="shared" si="0"/>
        <v>0</v>
      </c>
      <c r="T11" s="20">
        <f t="shared" si="1"/>
        <v>0</v>
      </c>
      <c r="U11" s="20">
        <f t="shared" si="2"/>
        <v>0</v>
      </c>
      <c r="V11" s="20">
        <f t="shared" si="3"/>
        <v>0</v>
      </c>
      <c r="W11" s="54" t="b">
        <v>1</v>
      </c>
      <c r="Y11" s="24" t="str">
        <f t="shared" si="8"/>
        <v>LG/5M</v>
      </c>
      <c r="Z11" s="24" t="str">
        <f t="shared" si="9"/>
        <v/>
      </c>
      <c r="AA11" s="24" t="str">
        <f t="shared" si="10"/>
        <v/>
      </c>
      <c r="AC11" s="3" t="s">
        <v>60</v>
      </c>
      <c r="AD11" s="40">
        <f>COUNTIFS($F$4:$F$33, $AC11, $G$4:$G$33, "Finish", $D$4:$D$33, "Loose Gooses")</f>
        <v>0</v>
      </c>
      <c r="AE11" s="40">
        <f>COUNTIFS($F$4:$F$33, $AC11, $G$4:$G$33, "Midrange", $D$4:$D$33, "Loose Gooses")</f>
        <v>0</v>
      </c>
      <c r="AF11" s="40">
        <f>COUNTIFS($F$4:$F$33, $AC11, $G$4:$G$33, "Three Pointer", $D$4:$D$33, "Loose Gooses")</f>
        <v>0</v>
      </c>
    </row>
    <row r="12" spans="2:32" ht="14.25" customHeight="1" x14ac:dyDescent="0.45">
      <c r="B12" s="53">
        <v>5</v>
      </c>
      <c r="C12" s="53" t="s">
        <v>57</v>
      </c>
      <c r="D12" s="53" t="s">
        <v>34</v>
      </c>
      <c r="E12" s="53" t="s">
        <v>235</v>
      </c>
      <c r="F12" s="53" t="s">
        <v>53</v>
      </c>
      <c r="G12" s="53" t="s">
        <v>154</v>
      </c>
      <c r="H12" s="53">
        <v>2</v>
      </c>
      <c r="I12" s="53">
        <v>2</v>
      </c>
      <c r="J12" s="53">
        <v>1</v>
      </c>
      <c r="R12" s="3" t="s">
        <v>63</v>
      </c>
      <c r="S12" s="19">
        <f t="shared" si="0"/>
        <v>0</v>
      </c>
      <c r="T12" s="20">
        <f t="shared" si="1"/>
        <v>0</v>
      </c>
      <c r="U12" s="20">
        <f t="shared" si="2"/>
        <v>0</v>
      </c>
      <c r="V12" s="20">
        <f t="shared" si="3"/>
        <v>0</v>
      </c>
      <c r="W12" s="54" t="b">
        <v>0</v>
      </c>
      <c r="Y12" s="24" t="str">
        <f t="shared" si="8"/>
        <v>LG/5M</v>
      </c>
      <c r="Z12" s="24" t="str">
        <f t="shared" si="9"/>
        <v/>
      </c>
      <c r="AA12" s="24" t="str">
        <f t="shared" si="10"/>
        <v/>
      </c>
      <c r="AC12" s="3" t="s">
        <v>63</v>
      </c>
      <c r="AD12" s="40">
        <f>COUNTIFS($F$4:$F$33, $AC12, $G$4:$G$33, "Finish", $D$4:$D$33, "Loose Gooses")</f>
        <v>0</v>
      </c>
      <c r="AE12" s="40">
        <f>COUNTIFS($F$4:$F$33, $AC12, $G$4:$G$33, "Midrange", $D$4:$D$33, "Loose Gooses")</f>
        <v>0</v>
      </c>
      <c r="AF12" s="40">
        <f>COUNTIFS($F$4:$F$33, $AC12, $G$4:$G$33, "Three Pointer", $D$4:$D$33, "Loose Gooses")</f>
        <v>0</v>
      </c>
    </row>
    <row r="13" spans="2:32" ht="14.25" customHeight="1" x14ac:dyDescent="0.45">
      <c r="B13" s="53">
        <v>6</v>
      </c>
      <c r="C13" s="53" t="s">
        <v>39</v>
      </c>
      <c r="D13" s="53" t="s">
        <v>57</v>
      </c>
      <c r="E13" s="53" t="s">
        <v>233</v>
      </c>
      <c r="F13" s="53" t="s">
        <v>36</v>
      </c>
      <c r="G13" s="53" t="s">
        <v>154</v>
      </c>
      <c r="H13" s="53" t="s">
        <v>234</v>
      </c>
      <c r="I13" s="53" t="s">
        <v>234</v>
      </c>
      <c r="J13" s="53">
        <v>1</v>
      </c>
      <c r="R13" s="3" t="s">
        <v>66</v>
      </c>
      <c r="S13" s="19">
        <f t="shared" si="0"/>
        <v>2</v>
      </c>
      <c r="T13" s="20">
        <f t="shared" si="1"/>
        <v>0</v>
      </c>
      <c r="U13" s="20">
        <f t="shared" si="2"/>
        <v>0</v>
      </c>
      <c r="V13" s="20">
        <f t="shared" si="3"/>
        <v>1</v>
      </c>
      <c r="W13" s="54" t="b">
        <v>0</v>
      </c>
      <c r="Y13" s="24" t="str">
        <f t="shared" si="8"/>
        <v/>
      </c>
      <c r="Z13" s="24" t="str">
        <f t="shared" si="9"/>
        <v>WW/LG</v>
      </c>
      <c r="AA13" s="24" t="str">
        <f t="shared" si="10"/>
        <v/>
      </c>
      <c r="AC13" s="3" t="s">
        <v>66</v>
      </c>
      <c r="AD13" s="40">
        <f>COUNTIFS($F$4:$F$33, $AC13, $G$4:$G$33, "Finish", $D$4:$D$33, "Loose Gooses")</f>
        <v>0</v>
      </c>
      <c r="AE13" s="40">
        <f>COUNTIFS($F$4:$F$33, $AC13, $G$4:$G$33, "Midrange", $D$4:$D$33, "Loose Gooses")</f>
        <v>0</v>
      </c>
      <c r="AF13" s="40">
        <f>COUNTIFS($F$4:$F$33, $AC13, $G$4:$G$33, "Three Pointer", $D$4:$D$33, "Loose Gooses")</f>
        <v>1</v>
      </c>
    </row>
    <row r="14" spans="2:32" ht="14.25" customHeight="1" x14ac:dyDescent="0.45">
      <c r="B14" s="53">
        <v>6</v>
      </c>
      <c r="C14" s="53" t="s">
        <v>57</v>
      </c>
      <c r="D14" s="53" t="s">
        <v>39</v>
      </c>
      <c r="E14" s="53" t="s">
        <v>237</v>
      </c>
      <c r="F14" s="53" t="s">
        <v>56</v>
      </c>
      <c r="G14" s="53" t="s">
        <v>123</v>
      </c>
      <c r="H14" s="53" t="s">
        <v>234</v>
      </c>
      <c r="I14" s="53" t="s">
        <v>234</v>
      </c>
      <c r="J14" s="53">
        <v>1</v>
      </c>
      <c r="R14" s="3" t="s">
        <v>69</v>
      </c>
      <c r="S14" s="19">
        <f t="shared" si="0"/>
        <v>0</v>
      </c>
      <c r="T14" s="20">
        <f t="shared" si="1"/>
        <v>0</v>
      </c>
      <c r="U14" s="20">
        <f t="shared" si="2"/>
        <v>0</v>
      </c>
      <c r="V14" s="20">
        <f t="shared" si="3"/>
        <v>0</v>
      </c>
      <c r="W14" s="54" t="b">
        <v>0</v>
      </c>
      <c r="Y14" s="24" t="str">
        <f t="shared" si="8"/>
        <v>LG/WW</v>
      </c>
      <c r="Z14" s="24" t="str">
        <f t="shared" si="9"/>
        <v/>
      </c>
      <c r="AA14" s="24" t="str">
        <f t="shared" si="10"/>
        <v/>
      </c>
      <c r="AC14" s="3" t="s">
        <v>69</v>
      </c>
      <c r="AD14" s="40">
        <f>COUNTIFS($F$4:$F$33, $AC14, $G$4:$G$33, "Finish", $D$4:$D$33, "Wet Willies")</f>
        <v>0</v>
      </c>
      <c r="AE14" s="40">
        <f>COUNTIFS($F$4:$F$33, $AC14, $G$4:$G$33, "Midrange", $D$4:$D$33, "Wet Willies")</f>
        <v>0</v>
      </c>
      <c r="AF14" s="40">
        <f>COUNTIFS($F$4:$F$33, $AC14, $G$4:$G$33, "Three Pointer", $D$4:$D$33, "Wet Willies")</f>
        <v>0</v>
      </c>
    </row>
    <row r="15" spans="2:32" ht="14.25" customHeight="1" x14ac:dyDescent="0.45">
      <c r="B15" s="53">
        <v>6</v>
      </c>
      <c r="C15" s="53" t="s">
        <v>57</v>
      </c>
      <c r="D15" s="53" t="s">
        <v>39</v>
      </c>
      <c r="E15" s="53" t="s">
        <v>238</v>
      </c>
      <c r="F15" s="53" t="s">
        <v>56</v>
      </c>
      <c r="G15" s="53" t="s">
        <v>123</v>
      </c>
      <c r="H15" s="53">
        <v>3</v>
      </c>
      <c r="I15" s="53">
        <v>2</v>
      </c>
      <c r="J15" s="53">
        <v>2</v>
      </c>
      <c r="R15" s="3" t="s">
        <v>72</v>
      </c>
      <c r="S15" s="19">
        <f t="shared" si="0"/>
        <v>3</v>
      </c>
      <c r="T15" s="20">
        <f t="shared" si="1"/>
        <v>2</v>
      </c>
      <c r="U15" s="20">
        <f t="shared" si="2"/>
        <v>1</v>
      </c>
      <c r="V15" s="20">
        <f t="shared" si="3"/>
        <v>0</v>
      </c>
      <c r="W15" s="54" t="b">
        <v>0</v>
      </c>
      <c r="Y15" s="24" t="str">
        <f t="shared" si="8"/>
        <v>LG/WW</v>
      </c>
      <c r="Z15" s="24" t="str">
        <f t="shared" si="9"/>
        <v/>
      </c>
      <c r="AA15" s="24" t="str">
        <f t="shared" si="10"/>
        <v/>
      </c>
      <c r="AC15" s="3" t="s">
        <v>72</v>
      </c>
      <c r="AD15" s="40">
        <f>COUNTIFS($F$4:$F$33, $AC15, $G$4:$G$33, "Finish", $D$4:$D$33, "Wet Willies")</f>
        <v>1</v>
      </c>
      <c r="AE15" s="40">
        <f>COUNTIFS($F$4:$F$33, $AC15, $G$4:$G$33, "Midrange", $D$4:$D$33, "Wet Willies")</f>
        <v>1</v>
      </c>
      <c r="AF15" s="40">
        <f>COUNTIFS($F$4:$F$33, $AC15, $G$4:$G$33, "Three Pointer", $D$4:$D$33, "Wet Willies")</f>
        <v>0</v>
      </c>
    </row>
    <row r="16" spans="2:32" ht="14.25" customHeight="1" x14ac:dyDescent="0.45">
      <c r="B16" s="53"/>
      <c r="C16" s="53"/>
      <c r="D16" s="53"/>
      <c r="F16" s="53"/>
      <c r="G16" s="53"/>
      <c r="H16" s="53"/>
      <c r="I16" s="53"/>
      <c r="J16" s="53"/>
      <c r="R16" s="3" t="s">
        <v>76</v>
      </c>
      <c r="S16" s="19">
        <f t="shared" si="0"/>
        <v>0</v>
      </c>
      <c r="T16" s="20">
        <f t="shared" si="1"/>
        <v>0</v>
      </c>
      <c r="U16" s="20">
        <f t="shared" si="2"/>
        <v>0</v>
      </c>
      <c r="V16" s="20">
        <f t="shared" si="3"/>
        <v>0</v>
      </c>
      <c r="W16" s="54" t="b">
        <v>0</v>
      </c>
      <c r="Y16" s="24" t="str">
        <f t="shared" si="8"/>
        <v/>
      </c>
      <c r="Z16" s="24" t="str">
        <f t="shared" si="9"/>
        <v/>
      </c>
      <c r="AA16" s="24" t="str">
        <f t="shared" si="10"/>
        <v/>
      </c>
      <c r="AC16" s="3" t="s">
        <v>76</v>
      </c>
      <c r="AD16" s="40">
        <f>COUNTIFS($F$4:$F$33, $AC16, $G$4:$G$33, "Finish", $D$4:$D$33, "Loose Gooses")</f>
        <v>0</v>
      </c>
      <c r="AE16" s="40">
        <f>COUNTIFS($F$4:$F$33, $AC16, $G$4:$G$33, "Midrange", $D$4:$D$33, "Loose Gooses")</f>
        <v>0</v>
      </c>
      <c r="AF16" s="40">
        <f>COUNTIFS($F$4:$F$33, $AC16, $G$4:$G$33, "Three Pointer", $D$4:$D$33, "Loose Gooses")</f>
        <v>0</v>
      </c>
    </row>
    <row r="17" spans="2:32" ht="14.25" customHeight="1" x14ac:dyDescent="0.45">
      <c r="B17" s="53"/>
      <c r="C17" s="53"/>
      <c r="D17" s="53"/>
      <c r="F17" s="53"/>
      <c r="G17" s="53"/>
      <c r="H17" s="53"/>
      <c r="I17" s="53"/>
      <c r="J17" s="53"/>
      <c r="R17" s="3" t="s">
        <v>79</v>
      </c>
      <c r="S17" s="19">
        <f t="shared" si="0"/>
        <v>0</v>
      </c>
      <c r="T17" s="20">
        <f t="shared" si="1"/>
        <v>0</v>
      </c>
      <c r="U17" s="20">
        <f t="shared" si="2"/>
        <v>0</v>
      </c>
      <c r="V17" s="20">
        <f t="shared" si="3"/>
        <v>0</v>
      </c>
      <c r="W17" s="54" t="b">
        <v>0</v>
      </c>
      <c r="Y17" s="24" t="str">
        <f t="shared" si="8"/>
        <v/>
      </c>
      <c r="Z17" s="24" t="str">
        <f t="shared" si="9"/>
        <v/>
      </c>
      <c r="AA17" s="24" t="str">
        <f t="shared" si="10"/>
        <v/>
      </c>
      <c r="AC17" s="3" t="s">
        <v>79</v>
      </c>
      <c r="AD17" s="40">
        <f>COUNTIFS($F$4:$F$33, $AC17, $G$4:$G$33, "Finish", $D$4:$D$33, "Wet Willies")</f>
        <v>0</v>
      </c>
      <c r="AE17" s="40">
        <f>COUNTIFS($F$4:$F$33, $AC17, $G$4:$G$33, "Midrange", $D$4:$D$33, "Wet Willies")</f>
        <v>0</v>
      </c>
      <c r="AF17" s="40">
        <f>COUNTIFS($F$4:$F$33, $AC17, $G$4:$G$33, "Three Pointer", $D$4:$D$33, "Wet Willies")</f>
        <v>0</v>
      </c>
    </row>
    <row r="18" spans="2:32" ht="14.25" customHeight="1" x14ac:dyDescent="0.45">
      <c r="B18" s="53"/>
      <c r="C18" s="53"/>
      <c r="D18" s="53"/>
      <c r="F18" s="53"/>
      <c r="G18" s="53"/>
      <c r="H18" s="53"/>
      <c r="I18" s="53"/>
      <c r="J18" s="53"/>
      <c r="R18" s="40" t="s">
        <v>148</v>
      </c>
      <c r="S18" s="42">
        <f t="shared" si="0"/>
        <v>0</v>
      </c>
      <c r="T18" s="20">
        <f t="shared" si="1"/>
        <v>0</v>
      </c>
      <c r="U18" s="20">
        <f t="shared" si="2"/>
        <v>0</v>
      </c>
      <c r="V18" s="20">
        <f t="shared" si="3"/>
        <v>0</v>
      </c>
      <c r="W18" s="54" t="b">
        <v>0</v>
      </c>
      <c r="Y18" s="24" t="str">
        <f t="shared" si="8"/>
        <v/>
      </c>
      <c r="Z18" s="24" t="str">
        <f t="shared" si="9"/>
        <v/>
      </c>
      <c r="AA18" s="24" t="str">
        <f t="shared" si="10"/>
        <v/>
      </c>
      <c r="AC18" s="40" t="s">
        <v>148</v>
      </c>
      <c r="AD18" s="40">
        <f>COUNTIFS($F$4:$F$33, $AC18, $G$4:$G$33, "Finish", $D$4:$D$33, "Wet Willies")</f>
        <v>0</v>
      </c>
      <c r="AE18" s="40">
        <f>COUNTIFS($F$4:$F$33, $AC18, $G$4:$G$33, "Midrange", $D$4:$D$33, "Wet Willies")</f>
        <v>0</v>
      </c>
      <c r="AF18" s="40">
        <f>COUNTIFS($F$4:$F$33, $AC18, $G$4:$G$33, "Three Pointer", $D$4:$D$33, "Wet Willies")</f>
        <v>0</v>
      </c>
    </row>
    <row r="19" spans="2:32" ht="14.25" customHeight="1" x14ac:dyDescent="0.45">
      <c r="B19" s="53"/>
      <c r="C19" s="53"/>
      <c r="D19" s="53"/>
      <c r="F19" s="53"/>
      <c r="G19" s="53"/>
      <c r="H19" s="53"/>
      <c r="I19" s="53"/>
      <c r="J19" s="53"/>
      <c r="T19" s="20"/>
      <c r="U19" s="20"/>
      <c r="V19" s="20"/>
      <c r="Y19" s="24" t="str">
        <f t="shared" si="8"/>
        <v/>
      </c>
      <c r="Z19" s="24" t="str">
        <f t="shared" si="9"/>
        <v/>
      </c>
      <c r="AA19" s="24" t="str">
        <f t="shared" si="10"/>
        <v/>
      </c>
    </row>
    <row r="20" spans="2:32" ht="14.25" customHeight="1" x14ac:dyDescent="0.45">
      <c r="B20" s="53"/>
      <c r="C20" s="53"/>
      <c r="D20" s="53"/>
      <c r="F20" s="53"/>
      <c r="G20" s="53"/>
      <c r="H20" s="53"/>
      <c r="I20" s="53"/>
      <c r="J20" s="53"/>
      <c r="Y20" s="24" t="str">
        <f t="shared" si="8"/>
        <v/>
      </c>
      <c r="Z20" s="24" t="str">
        <f t="shared" si="9"/>
        <v/>
      </c>
      <c r="AA20" s="24" t="str">
        <f t="shared" si="10"/>
        <v/>
      </c>
    </row>
    <row r="21" spans="2:32" ht="14.25" customHeight="1" x14ac:dyDescent="0.45">
      <c r="B21" s="53"/>
      <c r="C21" s="53"/>
      <c r="D21" s="53"/>
      <c r="F21" s="53"/>
      <c r="G21" s="53"/>
      <c r="H21" s="53"/>
      <c r="I21" s="53"/>
      <c r="J21" s="53"/>
      <c r="Y21" s="24" t="str">
        <f t="shared" si="8"/>
        <v/>
      </c>
      <c r="Z21" s="24" t="str">
        <f t="shared" si="9"/>
        <v/>
      </c>
      <c r="AA21" s="24" t="str">
        <f t="shared" si="10"/>
        <v/>
      </c>
    </row>
    <row r="22" spans="2:32" ht="14.25" customHeight="1" x14ac:dyDescent="0.45">
      <c r="B22" s="53"/>
      <c r="C22" s="53"/>
      <c r="D22" s="53"/>
      <c r="F22" s="53"/>
      <c r="G22" s="53"/>
      <c r="H22" s="53"/>
      <c r="I22" s="53"/>
      <c r="J22" s="53"/>
      <c r="Y22" s="24" t="str">
        <f t="shared" si="8"/>
        <v/>
      </c>
      <c r="Z22" s="24" t="str">
        <f t="shared" si="9"/>
        <v/>
      </c>
      <c r="AA22" s="24" t="str">
        <f t="shared" si="10"/>
        <v/>
      </c>
    </row>
    <row r="23" spans="2:32" ht="14.25" customHeight="1" x14ac:dyDescent="0.45">
      <c r="B23" s="53"/>
      <c r="C23" s="53"/>
      <c r="D23" s="53"/>
      <c r="F23" s="53"/>
      <c r="G23" s="53"/>
      <c r="H23" s="53"/>
      <c r="I23" s="53"/>
      <c r="J23" s="53"/>
      <c r="R23" s="3"/>
      <c r="S23" s="40" t="str">
        <f t="shared" ref="S23:V37" si="11">IF($W3,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V23" s="40" t="str">
        <f t="shared" si="11"/>
        <v>0,</v>
      </c>
      <c r="Y23" s="24" t="str">
        <f t="shared" si="8"/>
        <v/>
      </c>
      <c r="Z23" s="24" t="str">
        <f t="shared" si="9"/>
        <v/>
      </c>
      <c r="AA23" s="24" t="str">
        <f t="shared" si="10"/>
        <v/>
      </c>
    </row>
    <row r="24" spans="2:32" ht="14.25" customHeight="1" x14ac:dyDescent="0.45">
      <c r="B24" s="53"/>
      <c r="C24" s="53"/>
      <c r="D24" s="53"/>
      <c r="F24" s="53"/>
      <c r="G24" s="53"/>
      <c r="H24" s="53"/>
      <c r="I24" s="53"/>
      <c r="J24" s="53"/>
      <c r="S24" s="40" t="str">
        <f t="shared" si="11"/>
        <v>1,</v>
      </c>
      <c r="T24" s="40" t="str">
        <f t="shared" si="11"/>
        <v>1,</v>
      </c>
      <c r="U24" s="40" t="str">
        <f t="shared" si="11"/>
        <v>0,</v>
      </c>
      <c r="V24" s="40" t="str">
        <f t="shared" si="11"/>
        <v>0,</v>
      </c>
      <c r="Y24" s="24" t="str">
        <f t="shared" si="8"/>
        <v/>
      </c>
      <c r="Z24" s="24" t="str">
        <f t="shared" si="9"/>
        <v/>
      </c>
      <c r="AA24" s="24" t="str">
        <f t="shared" si="10"/>
        <v/>
      </c>
    </row>
    <row r="25" spans="2:32" ht="14.25" customHeight="1" x14ac:dyDescent="0.45">
      <c r="B25" s="53"/>
      <c r="C25" s="53"/>
      <c r="D25" s="53"/>
      <c r="F25" s="53"/>
      <c r="G25" s="53"/>
      <c r="H25" s="53"/>
      <c r="I25" s="53"/>
      <c r="J25" s="53"/>
      <c r="R25" s="9"/>
      <c r="S25" s="40" t="str">
        <f t="shared" si="11"/>
        <v>1,</v>
      </c>
      <c r="T25" s="40" t="str">
        <f t="shared" si="11"/>
        <v>1,</v>
      </c>
      <c r="U25" s="40" t="str">
        <f t="shared" si="11"/>
        <v>0,</v>
      </c>
      <c r="V25" s="40" t="str">
        <f t="shared" si="11"/>
        <v>0,</v>
      </c>
      <c r="Y25" s="24" t="str">
        <f t="shared" si="8"/>
        <v/>
      </c>
      <c r="Z25" s="24" t="str">
        <f t="shared" si="9"/>
        <v/>
      </c>
      <c r="AA25" s="24" t="str">
        <f t="shared" si="10"/>
        <v/>
      </c>
    </row>
    <row r="26" spans="2:32" ht="14.25" customHeight="1" x14ac:dyDescent="0.45">
      <c r="B26" s="53"/>
      <c r="C26" s="53"/>
      <c r="D26" s="53"/>
      <c r="F26" s="53"/>
      <c r="G26" s="53"/>
      <c r="H26" s="53"/>
      <c r="I26" s="53"/>
      <c r="J26" s="53"/>
      <c r="R26" s="26"/>
      <c r="S26" s="40" t="str">
        <f t="shared" si="11"/>
        <v>"Did not Play",</v>
      </c>
      <c r="T26" s="40" t="str">
        <f t="shared" si="11"/>
        <v>"Did not Play",</v>
      </c>
      <c r="U26" s="40" t="str">
        <f t="shared" si="11"/>
        <v>"Did not Play",</v>
      </c>
      <c r="V26" s="40" t="str">
        <f t="shared" si="11"/>
        <v>"Did not Play",</v>
      </c>
      <c r="Y26" s="24" t="str">
        <f t="shared" si="8"/>
        <v/>
      </c>
      <c r="Z26" s="24" t="str">
        <f t="shared" si="9"/>
        <v/>
      </c>
      <c r="AA26" s="24" t="str">
        <f t="shared" si="10"/>
        <v/>
      </c>
    </row>
    <row r="27" spans="2:32" ht="14.25" customHeight="1" x14ac:dyDescent="0.45">
      <c r="B27" s="53"/>
      <c r="C27" s="53"/>
      <c r="D27" s="53"/>
      <c r="F27" s="53"/>
      <c r="G27" s="53"/>
      <c r="H27" s="53"/>
      <c r="I27" s="53"/>
      <c r="J27" s="53"/>
      <c r="S27" s="40" t="str">
        <f t="shared" si="11"/>
        <v>1,</v>
      </c>
      <c r="T27" s="40" t="str">
        <f t="shared" si="11"/>
        <v>1,</v>
      </c>
      <c r="U27" s="40" t="str">
        <f t="shared" si="11"/>
        <v>0,</v>
      </c>
      <c r="V27" s="40" t="str">
        <f t="shared" si="11"/>
        <v>0,</v>
      </c>
      <c r="Y27" s="24" t="str">
        <f t="shared" si="8"/>
        <v/>
      </c>
      <c r="Z27" s="24" t="str">
        <f t="shared" si="9"/>
        <v/>
      </c>
      <c r="AA27" s="24" t="str">
        <f t="shared" si="10"/>
        <v/>
      </c>
    </row>
    <row r="28" spans="2:32" ht="14.25" customHeight="1" x14ac:dyDescent="0.45">
      <c r="B28" s="53"/>
      <c r="C28" s="53"/>
      <c r="D28" s="53"/>
      <c r="F28" s="53"/>
      <c r="G28" s="53"/>
      <c r="H28" s="53"/>
      <c r="I28" s="53"/>
      <c r="J28" s="53"/>
      <c r="S28" s="40" t="str">
        <f t="shared" si="11"/>
        <v>1,</v>
      </c>
      <c r="T28" s="40" t="str">
        <f t="shared" si="11"/>
        <v>0,</v>
      </c>
      <c r="U28" s="40" t="str">
        <f t="shared" si="11"/>
        <v>1,</v>
      </c>
      <c r="V28" s="40" t="str">
        <f t="shared" si="11"/>
        <v>0,</v>
      </c>
      <c r="Y28" s="24" t="str">
        <f t="shared" si="8"/>
        <v/>
      </c>
      <c r="Z28" s="24" t="str">
        <f t="shared" si="9"/>
        <v/>
      </c>
      <c r="AA28" s="24" t="str">
        <f t="shared" si="10"/>
        <v/>
      </c>
    </row>
    <row r="29" spans="2:32" ht="14.25" customHeight="1" x14ac:dyDescent="0.5">
      <c r="B29" s="100"/>
      <c r="C29" s="100"/>
      <c r="D29" s="100"/>
      <c r="F29" s="100"/>
      <c r="G29" s="100"/>
      <c r="H29" s="100"/>
      <c r="I29" s="100"/>
      <c r="J29" s="100"/>
      <c r="S29" s="40" t="str">
        <f t="shared" si="11"/>
        <v>3,</v>
      </c>
      <c r="T29" s="40" t="str">
        <f t="shared" si="11"/>
        <v>1,</v>
      </c>
      <c r="U29" s="40" t="str">
        <f t="shared" si="11"/>
        <v>0,</v>
      </c>
      <c r="V29" s="40" t="str">
        <f t="shared" si="11"/>
        <v>1,</v>
      </c>
      <c r="Y29" s="24" t="str">
        <f t="shared" si="8"/>
        <v/>
      </c>
      <c r="Z29" s="24" t="str">
        <f t="shared" si="9"/>
        <v/>
      </c>
      <c r="AA29" s="24" t="str">
        <f t="shared" si="10"/>
        <v/>
      </c>
    </row>
    <row r="30" spans="2:32" ht="14.25" customHeight="1" x14ac:dyDescent="0.45">
      <c r="B30" s="53"/>
      <c r="C30" s="53"/>
      <c r="D30" s="53"/>
      <c r="F30" s="53"/>
      <c r="G30" s="53"/>
      <c r="H30" s="53"/>
      <c r="I30" s="53"/>
      <c r="J30" s="53"/>
      <c r="S30" s="40" t="str">
        <f t="shared" si="11"/>
        <v>2,</v>
      </c>
      <c r="T30" s="40" t="str">
        <f t="shared" si="11"/>
        <v>0,</v>
      </c>
      <c r="U30" s="40" t="str">
        <f t="shared" si="11"/>
        <v>2,</v>
      </c>
      <c r="V30" s="40" t="str">
        <f t="shared" si="11"/>
        <v>0,</v>
      </c>
      <c r="Y30" s="24" t="str">
        <f t="shared" si="8"/>
        <v/>
      </c>
      <c r="Z30" s="24" t="str">
        <f t="shared" si="9"/>
        <v/>
      </c>
      <c r="AA30" s="24" t="str">
        <f t="shared" si="10"/>
        <v/>
      </c>
    </row>
    <row r="31" spans="2:32" ht="14.25" customHeight="1" x14ac:dyDescent="0.45">
      <c r="B31" s="53"/>
      <c r="C31" s="53"/>
      <c r="D31" s="53"/>
      <c r="F31" s="53"/>
      <c r="G31" s="53"/>
      <c r="H31" s="53"/>
      <c r="I31" s="53"/>
      <c r="J31" s="53"/>
      <c r="S31" s="40" t="str">
        <f t="shared" si="11"/>
        <v>"Did not Play",</v>
      </c>
      <c r="T31" s="40" t="str">
        <f t="shared" si="11"/>
        <v>"Did not Play",</v>
      </c>
      <c r="U31" s="40" t="str">
        <f t="shared" si="11"/>
        <v>"Did not Play",</v>
      </c>
      <c r="V31" s="40" t="str">
        <f t="shared" si="11"/>
        <v>"Did not Play",</v>
      </c>
      <c r="Y31" s="24" t="str">
        <f t="shared" si="8"/>
        <v/>
      </c>
      <c r="Z31" s="24" t="str">
        <f t="shared" si="9"/>
        <v/>
      </c>
      <c r="AA31" s="24" t="str">
        <f t="shared" si="10"/>
        <v/>
      </c>
    </row>
    <row r="32" spans="2:32" ht="14.25" customHeight="1" x14ac:dyDescent="0.45">
      <c r="B32" s="53"/>
      <c r="C32" s="53"/>
      <c r="D32" s="53"/>
      <c r="F32" s="53"/>
      <c r="G32" s="53"/>
      <c r="H32" s="53"/>
      <c r="I32" s="53"/>
      <c r="J32" s="53"/>
      <c r="S32" s="40" t="str">
        <f t="shared" si="11"/>
        <v>0,</v>
      </c>
      <c r="T32" s="40" t="str">
        <f t="shared" si="11"/>
        <v>0,</v>
      </c>
      <c r="U32" s="40" t="str">
        <f t="shared" si="11"/>
        <v>0,</v>
      </c>
      <c r="V32" s="40" t="str">
        <f t="shared" si="11"/>
        <v>0,</v>
      </c>
      <c r="Y32" s="24" t="str">
        <f t="shared" si="8"/>
        <v/>
      </c>
      <c r="Z32" s="24" t="str">
        <f t="shared" si="9"/>
        <v/>
      </c>
      <c r="AA32" s="24" t="str">
        <f t="shared" si="10"/>
        <v/>
      </c>
    </row>
    <row r="33" spans="2:27" ht="14.25" customHeight="1" x14ac:dyDescent="0.45">
      <c r="B33" s="53"/>
      <c r="C33" s="53"/>
      <c r="D33" s="53"/>
      <c r="F33" s="53"/>
      <c r="G33" s="53"/>
      <c r="H33" s="53"/>
      <c r="I33" s="53"/>
      <c r="J33" s="53"/>
      <c r="S33" s="40" t="str">
        <f t="shared" si="11"/>
        <v>2,</v>
      </c>
      <c r="T33" s="40" t="str">
        <f t="shared" si="11"/>
        <v>0,</v>
      </c>
      <c r="U33" s="40" t="str">
        <f t="shared" si="11"/>
        <v>0,</v>
      </c>
      <c r="V33" s="40" t="str">
        <f t="shared" si="11"/>
        <v>1,</v>
      </c>
      <c r="Y33" s="24" t="str">
        <f t="shared" si="8"/>
        <v/>
      </c>
      <c r="Z33" s="24" t="str">
        <f t="shared" si="9"/>
        <v/>
      </c>
      <c r="AA33" s="24" t="str">
        <f t="shared" si="10"/>
        <v/>
      </c>
    </row>
    <row r="34" spans="2:27" ht="14.25" customHeight="1" x14ac:dyDescent="0.45">
      <c r="B34" s="53"/>
      <c r="C34" s="53"/>
      <c r="D34" s="53"/>
      <c r="F34" s="53"/>
      <c r="G34" s="53"/>
      <c r="H34" s="53"/>
      <c r="I34" s="53"/>
      <c r="J34" s="53"/>
      <c r="S34" s="40" t="str">
        <f t="shared" si="11"/>
        <v>0,</v>
      </c>
      <c r="T34" s="40" t="str">
        <f t="shared" si="11"/>
        <v>0,</v>
      </c>
      <c r="U34" s="40" t="str">
        <f t="shared" si="11"/>
        <v>0,</v>
      </c>
      <c r="V34" s="40" t="str">
        <f t="shared" si="11"/>
        <v>0,</v>
      </c>
      <c r="Y34" s="24" t="str">
        <f t="shared" si="8"/>
        <v/>
      </c>
      <c r="Z34" s="24" t="str">
        <f t="shared" si="9"/>
        <v/>
      </c>
      <c r="AA34" s="24" t="str">
        <f t="shared" si="10"/>
        <v/>
      </c>
    </row>
    <row r="35" spans="2:27" ht="14.25" customHeight="1" x14ac:dyDescent="0.45">
      <c r="S35" s="40" t="str">
        <f t="shared" si="11"/>
        <v>3,</v>
      </c>
      <c r="T35" s="40" t="str">
        <f t="shared" si="11"/>
        <v>2,</v>
      </c>
      <c r="U35" s="40" t="str">
        <f t="shared" si="11"/>
        <v>1,</v>
      </c>
      <c r="V35" s="40" t="str">
        <f t="shared" si="11"/>
        <v>0,</v>
      </c>
      <c r="Y35" s="24" t="str">
        <f t="shared" si="8"/>
        <v/>
      </c>
      <c r="Z35" s="24" t="str">
        <f t="shared" si="9"/>
        <v/>
      </c>
      <c r="AA35" s="24" t="str">
        <f t="shared" si="10"/>
        <v/>
      </c>
    </row>
    <row r="36" spans="2:27" ht="14.25" customHeight="1" x14ac:dyDescent="0.45">
      <c r="S36" s="40" t="str">
        <f t="shared" si="11"/>
        <v>0,</v>
      </c>
      <c r="T36" s="40" t="str">
        <f t="shared" si="11"/>
        <v>0,</v>
      </c>
      <c r="U36" s="40" t="str">
        <f t="shared" si="11"/>
        <v>0,</v>
      </c>
      <c r="V36" s="40" t="str">
        <f t="shared" si="11"/>
        <v>0,</v>
      </c>
      <c r="Y36" s="24" t="str">
        <f t="shared" si="8"/>
        <v/>
      </c>
      <c r="Z36" s="24" t="str">
        <f t="shared" si="9"/>
        <v/>
      </c>
      <c r="AA36" s="24" t="str">
        <f t="shared" si="10"/>
        <v/>
      </c>
    </row>
    <row r="37" spans="2:27" ht="14.25" customHeight="1" x14ac:dyDescent="0.45">
      <c r="S37" s="40" t="str">
        <f t="shared" si="11"/>
        <v>0,</v>
      </c>
      <c r="T37" s="40" t="str">
        <f t="shared" si="11"/>
        <v>0,</v>
      </c>
      <c r="U37" s="40" t="str">
        <f t="shared" si="11"/>
        <v>0,</v>
      </c>
      <c r="V37" s="40" t="str">
        <f t="shared" si="11"/>
        <v>0,</v>
      </c>
      <c r="Y37" s="24" t="str">
        <f t="shared" si="8"/>
        <v/>
      </c>
      <c r="Z37" s="24" t="str">
        <f t="shared" si="9"/>
        <v/>
      </c>
      <c r="AA37" s="24" t="str">
        <f t="shared" si="10"/>
        <v/>
      </c>
    </row>
    <row r="38" spans="2:27" ht="14.25" customHeight="1" x14ac:dyDescent="0.45">
      <c r="S38" s="40">
        <f>IF($W18, CHAR(34)&amp;"Did not Play"&amp;CHAR(34), S18)</f>
        <v>0</v>
      </c>
      <c r="T38" s="40">
        <f>IF($W18, CHAR(34)&amp;"Did not Play"&amp;CHAR(34), T18)</f>
        <v>0</v>
      </c>
      <c r="U38" s="40">
        <f>IF($W18, CHAR(34)&amp;"Did not Play"&amp;CHAR(34), U18)</f>
        <v>0</v>
      </c>
      <c r="V38" s="40">
        <f>IF($W18, CHAR(34)&amp;"Did not Play"&amp;CHAR(34), V18)</f>
        <v>0</v>
      </c>
      <c r="Y38" s="24" t="str">
        <f t="shared" si="8"/>
        <v/>
      </c>
      <c r="Z38" s="24" t="str">
        <f t="shared" si="9"/>
        <v/>
      </c>
      <c r="AA38" s="24" t="str">
        <f t="shared" si="10"/>
        <v/>
      </c>
    </row>
    <row r="39" spans="2:27" ht="14.25" customHeight="1" x14ac:dyDescent="0.45">
      <c r="T39" s="19"/>
      <c r="U39" s="19"/>
      <c r="V39" s="19"/>
      <c r="Y39" s="24" t="str">
        <f t="shared" si="8"/>
        <v/>
      </c>
      <c r="Z39" s="24" t="str">
        <f t="shared" si="9"/>
        <v/>
      </c>
      <c r="AA39" s="24" t="str">
        <f t="shared" si="10"/>
        <v/>
      </c>
    </row>
    <row r="40" spans="2:27" ht="14.25" customHeight="1" x14ac:dyDescent="0.45">
      <c r="T40" s="19"/>
      <c r="U40" s="19"/>
      <c r="V40" s="19"/>
    </row>
    <row r="41" spans="2:27" ht="14.25" customHeight="1" x14ac:dyDescent="0.9">
      <c r="R41" s="142" t="s">
        <v>159</v>
      </c>
      <c r="S41" s="142"/>
      <c r="T41" s="142"/>
      <c r="U41" s="19"/>
      <c r="V41" s="19"/>
    </row>
    <row r="42" spans="2:27" ht="14.25" customHeight="1" x14ac:dyDescent="0.9">
      <c r="R42" s="142"/>
      <c r="S42" s="142"/>
      <c r="T42" s="142"/>
    </row>
    <row r="43" spans="2:27" ht="14.25" customHeight="1" x14ac:dyDescent="0.45">
      <c r="R43" s="40" t="str">
        <f>CHAR(34)&amp;"Date"&amp;CHAR(34)&amp;":["&amp;CHAR(34)&amp;"29-May"&amp;CHAR(34)&amp;"],"</f>
        <v>"Date":["29-May"],</v>
      </c>
    </row>
    <row r="44" spans="2:27" ht="14.25" customHeight="1" x14ac:dyDescent="0.45">
      <c r="R44" s="40" t="str">
        <f>CHAR(34)&amp;"Points"&amp;CHAR(34)&amp;":["&amp;S23&amp;S24&amp;S25&amp;S26&amp;S27&amp;S28&amp;S29&amp;S30&amp;S31&amp;S32&amp;S33&amp;S34&amp;S35&amp;S36&amp;S37&amp;S38&amp;"],"</f>
        <v>"Points":[0,1,1,"Did not Play",1,1,3,2,"Did not Play",0,2,0,3,0,0,0],</v>
      </c>
    </row>
    <row r="45" spans="2:27" ht="14.25" customHeight="1" x14ac:dyDescent="0.45">
      <c r="R45" s="40" t="str">
        <f>CHAR(34)&amp;"Finishes"&amp;CHAR(34)&amp;":["&amp;T23&amp;T24&amp;T25&amp;T26&amp;T27&amp;T28&amp;T29&amp;T30&amp;T31&amp;T32&amp;T33&amp;T34&amp;T35&amp;T36&amp;T37&amp;T38&amp;"],"</f>
        <v>"Finishes":[0,1,1,"Did not Play",1,0,1,0,"Did not Play",0,0,0,2,0,0,0],</v>
      </c>
    </row>
    <row r="46" spans="2:27" ht="14.25" customHeight="1" x14ac:dyDescent="0.45">
      <c r="R46" s="40" t="str">
        <f>CHAR(34)&amp;"Midrange"&amp;CHAR(34)&amp;":["&amp;U23&amp;U24&amp;U25&amp;U26&amp;U27&amp;U28&amp;U29&amp;U30&amp;U31&amp;U32&amp;U33&amp;U34&amp;U35&amp;U36&amp;U37&amp;U38&amp;"],"</f>
        <v>"Midrange":[0,0,0,"Did not Play",0,1,0,2,"Did not Play",0,0,0,1,0,0,0],</v>
      </c>
    </row>
    <row r="47" spans="2:27" ht="14.25" customHeight="1" x14ac:dyDescent="0.45">
      <c r="R47" s="40" t="str">
        <f>CHAR(34)&amp;"ThreePointers"&amp;CHAR(34)&amp;":["&amp;V23&amp;V24&amp;V25&amp;V26&amp;V27&amp;V28&amp;V29&amp;V30&amp;V31&amp;V32&amp;V33&amp;V34&amp;V35&amp;V36&amp;V37&amp;V38&amp;"]"</f>
        <v>"ThreePointers":[0,0,0,"Did not Play",0,0,1,0,"Did not Play",0,1,0,0,0,0,0]</v>
      </c>
    </row>
    <row r="48" spans="2:27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D9830-B8C9-4595-B85E-3E7B10C1E6ED}">
  <dimension ref="B1:AF1000"/>
  <sheetViews>
    <sheetView zoomScaleNormal="100" workbookViewId="0">
      <selection activeCell="B3" sqref="B3:J23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2" ht="14.25" customHeight="1" x14ac:dyDescent="0.45"/>
    <row r="2" spans="2:32" ht="14.25" customHeight="1" x14ac:dyDescent="0.45">
      <c r="B2" s="24" t="s">
        <v>121</v>
      </c>
      <c r="C2" s="4">
        <v>45076</v>
      </c>
      <c r="L2" s="5" t="s">
        <v>122</v>
      </c>
      <c r="M2" s="5" t="s">
        <v>102</v>
      </c>
      <c r="N2" s="5" t="s">
        <v>103</v>
      </c>
      <c r="O2" s="5" t="s">
        <v>96</v>
      </c>
      <c r="P2" s="5" t="s">
        <v>8</v>
      </c>
      <c r="R2" s="5" t="s">
        <v>97</v>
      </c>
      <c r="S2" s="24" t="s">
        <v>8</v>
      </c>
      <c r="T2" s="3" t="s">
        <v>9</v>
      </c>
      <c r="U2" s="3" t="s">
        <v>123</v>
      </c>
      <c r="V2" s="3" t="s">
        <v>124</v>
      </c>
      <c r="W2" s="40" t="s">
        <v>161</v>
      </c>
      <c r="AC2" s="40" t="s">
        <v>179</v>
      </c>
      <c r="AD2" s="3" t="s">
        <v>9</v>
      </c>
      <c r="AE2" s="3" t="s">
        <v>123</v>
      </c>
      <c r="AF2" s="3" t="s">
        <v>124</v>
      </c>
    </row>
    <row r="3" spans="2:32" ht="14.25" customHeight="1" x14ac:dyDescent="0.45">
      <c r="B3" s="53" t="s">
        <v>125</v>
      </c>
      <c r="C3" s="53" t="s">
        <v>126</v>
      </c>
      <c r="D3" s="53" t="s">
        <v>127</v>
      </c>
      <c r="E3" s="53" t="s">
        <v>232</v>
      </c>
      <c r="F3" s="53" t="s">
        <v>128</v>
      </c>
      <c r="G3" s="53" t="s">
        <v>129</v>
      </c>
      <c r="H3" s="53" t="s">
        <v>130</v>
      </c>
      <c r="I3" s="53" t="s">
        <v>131</v>
      </c>
      <c r="J3" s="53" t="s">
        <v>137</v>
      </c>
      <c r="L3" s="24" t="s">
        <v>132</v>
      </c>
      <c r="M3" s="24">
        <v>3</v>
      </c>
      <c r="N3" s="24">
        <v>4</v>
      </c>
      <c r="O3" s="23">
        <f>M3/(M3+N3)</f>
        <v>0.42857142857142855</v>
      </c>
      <c r="P3" s="24">
        <v>1</v>
      </c>
      <c r="R3" s="3" t="s">
        <v>33</v>
      </c>
      <c r="S3" s="19">
        <f t="shared" ref="S3:S18" si="0">COUNTIF($F$3:$F$40, R3)+V3</f>
        <v>0</v>
      </c>
      <c r="T3" s="20">
        <f t="shared" ref="T3:T18" si="1">COUNTIFS($F$3:$F$40, $R3,$G$3:$G$40,"Finish")</f>
        <v>0</v>
      </c>
      <c r="U3" s="20">
        <f t="shared" ref="U3:U18" si="2">COUNTIFS($F$3:$F$40, $R3,$G$3:$G$40,"Midrange")</f>
        <v>0</v>
      </c>
      <c r="V3" s="20">
        <f t="shared" ref="V3:V18" si="3">COUNTIFS($F$3:$F$40, $R3,$G$3:$G$40,"Three Pointer")</f>
        <v>0</v>
      </c>
      <c r="W3" s="54" t="b">
        <v>0</v>
      </c>
      <c r="Y3" s="5" t="s">
        <v>132</v>
      </c>
      <c r="Z3" s="5" t="s">
        <v>133</v>
      </c>
      <c r="AA3" s="5" t="s">
        <v>134</v>
      </c>
      <c r="AC3" s="3" t="s">
        <v>33</v>
      </c>
      <c r="AD3" s="40">
        <f t="shared" ref="AD3:AD8" si="4">COUNTIFS($F$4:$F$33, $AC3, $G$4:$G$33, "Finish", $D$4:$D$33, "Loose Gooses")</f>
        <v>0</v>
      </c>
      <c r="AE3" s="40">
        <f t="shared" ref="AE3:AE8" si="5">COUNTIFS($F$4:$F$33, $AC3, $G$4:$G$33, "Midrange", $D$4:$D$33, "Loose Gooses")</f>
        <v>0</v>
      </c>
      <c r="AF3" s="40">
        <f t="shared" ref="AF3:AF8" si="6">COUNTIFS($F$4:$F$33, $AC3, $G$4:$G$33, "Three Pointer", $D$4:$D$33, "Loose Gooses")</f>
        <v>0</v>
      </c>
    </row>
    <row r="4" spans="2:32" ht="14.25" customHeight="1" x14ac:dyDescent="0.5">
      <c r="B4" s="149">
        <v>1</v>
      </c>
      <c r="C4" s="149" t="s">
        <v>57</v>
      </c>
      <c r="D4" s="149" t="s">
        <v>34</v>
      </c>
      <c r="E4" s="149" t="s">
        <v>233</v>
      </c>
      <c r="F4" s="149" t="s">
        <v>72</v>
      </c>
      <c r="G4" s="149" t="s">
        <v>123</v>
      </c>
      <c r="H4" s="149" t="s">
        <v>234</v>
      </c>
      <c r="I4" s="149" t="s">
        <v>234</v>
      </c>
      <c r="J4" s="149">
        <v>1</v>
      </c>
      <c r="L4" s="24" t="s">
        <v>134</v>
      </c>
      <c r="M4" s="24">
        <v>4</v>
      </c>
      <c r="N4" s="24">
        <v>3</v>
      </c>
      <c r="O4" s="23">
        <f t="shared" ref="O4:O5" si="7">M4/(M4+N4)</f>
        <v>0.5714285714285714</v>
      </c>
      <c r="P4" s="24">
        <v>2</v>
      </c>
      <c r="R4" s="3" t="s">
        <v>36</v>
      </c>
      <c r="S4" s="19">
        <f t="shared" si="0"/>
        <v>0</v>
      </c>
      <c r="T4" s="20">
        <f t="shared" si="1"/>
        <v>0</v>
      </c>
      <c r="U4" s="20">
        <f t="shared" si="2"/>
        <v>0</v>
      </c>
      <c r="V4" s="20">
        <f t="shared" si="3"/>
        <v>0</v>
      </c>
      <c r="W4" s="54" t="b">
        <v>0</v>
      </c>
      <c r="Y4" s="24" t="str">
        <f t="shared" ref="Y4:Y39" si="8">IF(AND(C4="Loose Gooses",D4="Wet Willies"),"LG/WW", IF(AND(C4="Loose Gooses",D4="5 Musketeers"),"LG/5M", ""))</f>
        <v>LG/5M</v>
      </c>
      <c r="Z4" s="24" t="str">
        <f t="shared" ref="Z4:Z39" si="9">IF(AND(C4="Wet Willies",D4="Loose Gooses"),"WW/LG", IF(AND(C4="Wet Willies",D4="5 Musketeers"),"WW/5M", ""))</f>
        <v/>
      </c>
      <c r="AA4" s="24" t="str">
        <f t="shared" ref="AA4:AA39" si="10">IF(AND(C4="5 Musketeers",D4="Loose Gooses"),"5M/LG", IF(AND($C4="5 Musketeers",$D4="Wet Willies"),"5M/WW", ""))</f>
        <v/>
      </c>
      <c r="AC4" s="3" t="s">
        <v>36</v>
      </c>
      <c r="AD4" s="40">
        <f t="shared" si="4"/>
        <v>0</v>
      </c>
      <c r="AE4" s="40">
        <f t="shared" si="5"/>
        <v>0</v>
      </c>
      <c r="AF4" s="40">
        <f t="shared" si="6"/>
        <v>0</v>
      </c>
    </row>
    <row r="5" spans="2:32" ht="14.25" customHeight="1" x14ac:dyDescent="0.5">
      <c r="B5" s="149">
        <v>1</v>
      </c>
      <c r="C5" s="149" t="s">
        <v>57</v>
      </c>
      <c r="D5" s="149" t="s">
        <v>34</v>
      </c>
      <c r="E5" s="149" t="s">
        <v>235</v>
      </c>
      <c r="F5" s="149" t="s">
        <v>56</v>
      </c>
      <c r="G5" s="149" t="s">
        <v>123</v>
      </c>
      <c r="H5" s="149">
        <v>1</v>
      </c>
      <c r="I5" s="149">
        <v>1</v>
      </c>
      <c r="J5" s="149">
        <v>1</v>
      </c>
      <c r="L5" s="24" t="s">
        <v>133</v>
      </c>
      <c r="M5" s="24">
        <v>3</v>
      </c>
      <c r="N5" s="24">
        <v>3</v>
      </c>
      <c r="O5" s="23">
        <f t="shared" si="7"/>
        <v>0.5</v>
      </c>
      <c r="P5" s="24">
        <v>1</v>
      </c>
      <c r="R5" s="3" t="s">
        <v>38</v>
      </c>
      <c r="S5" s="19">
        <f t="shared" si="0"/>
        <v>6</v>
      </c>
      <c r="T5" s="20">
        <f t="shared" si="1"/>
        <v>6</v>
      </c>
      <c r="U5" s="20">
        <f t="shared" si="2"/>
        <v>0</v>
      </c>
      <c r="V5" s="20">
        <f t="shared" si="3"/>
        <v>0</v>
      </c>
      <c r="W5" s="54" t="b">
        <v>0</v>
      </c>
      <c r="Y5" s="24" t="str">
        <f t="shared" si="8"/>
        <v>LG/5M</v>
      </c>
      <c r="Z5" s="24" t="str">
        <f t="shared" si="9"/>
        <v/>
      </c>
      <c r="AA5" s="24" t="str">
        <f t="shared" si="10"/>
        <v/>
      </c>
      <c r="AC5" s="3" t="s">
        <v>38</v>
      </c>
      <c r="AD5" s="40">
        <f t="shared" si="4"/>
        <v>5</v>
      </c>
      <c r="AE5" s="40">
        <f t="shared" si="5"/>
        <v>0</v>
      </c>
      <c r="AF5" s="40">
        <f t="shared" si="6"/>
        <v>0</v>
      </c>
    </row>
    <row r="6" spans="2:32" ht="14.25" customHeight="1" x14ac:dyDescent="0.5">
      <c r="B6" s="149">
        <v>2</v>
      </c>
      <c r="C6" s="149" t="s">
        <v>57</v>
      </c>
      <c r="D6" s="149" t="s">
        <v>39</v>
      </c>
      <c r="E6" s="149" t="s">
        <v>235</v>
      </c>
      <c r="F6" s="149" t="s">
        <v>53</v>
      </c>
      <c r="G6" s="149" t="s">
        <v>172</v>
      </c>
      <c r="H6" s="149">
        <v>2</v>
      </c>
      <c r="I6" s="149">
        <v>1</v>
      </c>
      <c r="J6" s="149">
        <v>1</v>
      </c>
      <c r="R6" s="3" t="s">
        <v>44</v>
      </c>
      <c r="S6" s="19">
        <f t="shared" si="0"/>
        <v>1</v>
      </c>
      <c r="T6" s="20">
        <f t="shared" si="1"/>
        <v>1</v>
      </c>
      <c r="U6" s="20">
        <f t="shared" si="2"/>
        <v>0</v>
      </c>
      <c r="V6" s="20">
        <f t="shared" si="3"/>
        <v>0</v>
      </c>
      <c r="W6" s="54" t="b">
        <v>0</v>
      </c>
      <c r="Y6" s="24" t="str">
        <f t="shared" si="8"/>
        <v>LG/WW</v>
      </c>
      <c r="Z6" s="24" t="str">
        <f t="shared" si="9"/>
        <v/>
      </c>
      <c r="AA6" s="24" t="str">
        <f t="shared" si="10"/>
        <v/>
      </c>
      <c r="AC6" s="3" t="s">
        <v>44</v>
      </c>
      <c r="AD6" s="40">
        <f t="shared" si="4"/>
        <v>0</v>
      </c>
      <c r="AE6" s="40">
        <f t="shared" si="5"/>
        <v>0</v>
      </c>
      <c r="AF6" s="40">
        <f t="shared" si="6"/>
        <v>0</v>
      </c>
    </row>
    <row r="7" spans="2:32" ht="14.25" customHeight="1" x14ac:dyDescent="0.5">
      <c r="B7" s="149">
        <v>3</v>
      </c>
      <c r="C7" s="149" t="s">
        <v>34</v>
      </c>
      <c r="D7" s="149" t="s">
        <v>57</v>
      </c>
      <c r="E7" s="149" t="s">
        <v>233</v>
      </c>
      <c r="F7" s="149" t="s">
        <v>38</v>
      </c>
      <c r="G7" s="149" t="s">
        <v>154</v>
      </c>
      <c r="H7" s="149" t="s">
        <v>234</v>
      </c>
      <c r="I7" s="149" t="s">
        <v>234</v>
      </c>
      <c r="J7" s="149">
        <v>1</v>
      </c>
      <c r="R7" s="3" t="s">
        <v>46</v>
      </c>
      <c r="S7" s="19">
        <f t="shared" si="0"/>
        <v>3</v>
      </c>
      <c r="T7" s="20">
        <f t="shared" si="1"/>
        <v>1</v>
      </c>
      <c r="U7" s="20">
        <f t="shared" si="2"/>
        <v>0</v>
      </c>
      <c r="V7" s="20">
        <f t="shared" si="3"/>
        <v>1</v>
      </c>
      <c r="W7" s="54" t="b">
        <v>0</v>
      </c>
      <c r="Y7" s="24" t="str">
        <f t="shared" si="8"/>
        <v/>
      </c>
      <c r="Z7" s="24" t="str">
        <f t="shared" si="9"/>
        <v/>
      </c>
      <c r="AA7" s="24" t="str">
        <f t="shared" si="10"/>
        <v>5M/LG</v>
      </c>
      <c r="AC7" s="3" t="s">
        <v>46</v>
      </c>
      <c r="AD7" s="40">
        <f t="shared" si="4"/>
        <v>0</v>
      </c>
      <c r="AE7" s="40">
        <f t="shared" si="5"/>
        <v>0</v>
      </c>
      <c r="AF7" s="40">
        <f t="shared" si="6"/>
        <v>0</v>
      </c>
    </row>
    <row r="8" spans="2:32" ht="14.25" customHeight="1" x14ac:dyDescent="0.5">
      <c r="B8" s="149">
        <v>3</v>
      </c>
      <c r="C8" s="149" t="s">
        <v>57</v>
      </c>
      <c r="D8" s="149" t="s">
        <v>34</v>
      </c>
      <c r="E8" s="149" t="s">
        <v>237</v>
      </c>
      <c r="F8" s="149" t="s">
        <v>56</v>
      </c>
      <c r="G8" s="149" t="s">
        <v>123</v>
      </c>
      <c r="H8" s="149" t="s">
        <v>234</v>
      </c>
      <c r="I8" s="149" t="s">
        <v>234</v>
      </c>
      <c r="J8" s="149">
        <v>1</v>
      </c>
      <c r="R8" s="3" t="s">
        <v>51</v>
      </c>
      <c r="S8" s="19">
        <f t="shared" si="0"/>
        <v>2</v>
      </c>
      <c r="T8" s="20">
        <f t="shared" si="1"/>
        <v>0</v>
      </c>
      <c r="U8" s="20">
        <f t="shared" si="2"/>
        <v>2</v>
      </c>
      <c r="V8" s="20">
        <f t="shared" si="3"/>
        <v>0</v>
      </c>
      <c r="W8" s="54" t="b">
        <v>0</v>
      </c>
      <c r="Y8" s="24" t="str">
        <f t="shared" si="8"/>
        <v>LG/5M</v>
      </c>
      <c r="Z8" s="24" t="str">
        <f t="shared" si="9"/>
        <v/>
      </c>
      <c r="AA8" s="24" t="str">
        <f t="shared" si="10"/>
        <v/>
      </c>
      <c r="AC8" s="3" t="s">
        <v>51</v>
      </c>
      <c r="AD8" s="40">
        <f t="shared" si="4"/>
        <v>0</v>
      </c>
      <c r="AE8" s="40">
        <f t="shared" si="5"/>
        <v>2</v>
      </c>
      <c r="AF8" s="40">
        <f t="shared" si="6"/>
        <v>0</v>
      </c>
    </row>
    <row r="9" spans="2:32" ht="14.25" customHeight="1" x14ac:dyDescent="0.5">
      <c r="B9" s="149">
        <v>3</v>
      </c>
      <c r="C9" s="149" t="s">
        <v>34</v>
      </c>
      <c r="D9" s="149" t="s">
        <v>57</v>
      </c>
      <c r="E9" s="149" t="s">
        <v>238</v>
      </c>
      <c r="F9" s="149" t="s">
        <v>38</v>
      </c>
      <c r="G9" s="149" t="s">
        <v>154</v>
      </c>
      <c r="H9" s="149">
        <v>1</v>
      </c>
      <c r="I9" s="149">
        <v>1</v>
      </c>
      <c r="J9" s="149">
        <v>1</v>
      </c>
      <c r="R9" s="3" t="s">
        <v>53</v>
      </c>
      <c r="S9" s="19">
        <f t="shared" si="0"/>
        <v>4</v>
      </c>
      <c r="T9" s="20">
        <f t="shared" si="1"/>
        <v>0</v>
      </c>
      <c r="U9" s="20">
        <f t="shared" si="2"/>
        <v>0</v>
      </c>
      <c r="V9" s="20">
        <f t="shared" si="3"/>
        <v>2</v>
      </c>
      <c r="W9" s="54" t="b">
        <v>0</v>
      </c>
      <c r="Y9" s="24" t="str">
        <f t="shared" si="8"/>
        <v/>
      </c>
      <c r="Z9" s="24" t="str">
        <f t="shared" si="9"/>
        <v/>
      </c>
      <c r="AA9" s="24" t="str">
        <f t="shared" si="10"/>
        <v>5M/LG</v>
      </c>
      <c r="AC9" s="3" t="s">
        <v>53</v>
      </c>
      <c r="AD9" s="40">
        <f>COUNTIFS($F$4:$F$33, $AC9, $G$4:$G$33, "Finish", $D$4:$D$33, "Wet Willies")</f>
        <v>0</v>
      </c>
      <c r="AE9" s="40">
        <f>COUNTIFS($F$4:$F$33, $AC9, $G$4:$G$33, "Midrange", $D$4:$D$33, "Wet Willies")</f>
        <v>0</v>
      </c>
      <c r="AF9" s="40">
        <f>COUNTIFS($F$4:$F$33, $AC9, $G$4:$G$33, "Three Pointer", $D$4:$D$33, "Wet Willies")</f>
        <v>2</v>
      </c>
    </row>
    <row r="10" spans="2:32" ht="14.25" customHeight="1" x14ac:dyDescent="0.5">
      <c r="B10" s="149">
        <v>4</v>
      </c>
      <c r="C10" s="149" t="s">
        <v>34</v>
      </c>
      <c r="D10" s="149" t="s">
        <v>39</v>
      </c>
      <c r="E10" s="149" t="s">
        <v>235</v>
      </c>
      <c r="F10" s="149" t="s">
        <v>66</v>
      </c>
      <c r="G10" s="149" t="s">
        <v>172</v>
      </c>
      <c r="H10" s="149">
        <v>2</v>
      </c>
      <c r="I10" s="149">
        <v>2</v>
      </c>
      <c r="J10" s="149">
        <v>1</v>
      </c>
      <c r="R10" s="3" t="s">
        <v>56</v>
      </c>
      <c r="S10" s="19">
        <f t="shared" si="0"/>
        <v>3</v>
      </c>
      <c r="T10" s="20">
        <f t="shared" si="1"/>
        <v>0</v>
      </c>
      <c r="U10" s="20">
        <f t="shared" si="2"/>
        <v>3</v>
      </c>
      <c r="V10" s="20">
        <f t="shared" si="3"/>
        <v>0</v>
      </c>
      <c r="W10" s="54" t="b">
        <v>0</v>
      </c>
      <c r="Y10" s="24" t="str">
        <f t="shared" si="8"/>
        <v/>
      </c>
      <c r="Z10" s="24" t="str">
        <f t="shared" si="9"/>
        <v/>
      </c>
      <c r="AA10" s="24" t="str">
        <f t="shared" si="10"/>
        <v>5M/WW</v>
      </c>
      <c r="AC10" s="3" t="s">
        <v>56</v>
      </c>
      <c r="AD10" s="40">
        <f>COUNTIFS($F$4:$F$33, $AC10, $G$4:$G$33, "Finish", $D$4:$D$33, "Wet Willies")</f>
        <v>0</v>
      </c>
      <c r="AE10" s="40">
        <f>COUNTIFS($F$4:$F$33, $AC10, $G$4:$G$33, "Midrange", $D$4:$D$33, "Wet Willies")</f>
        <v>0</v>
      </c>
      <c r="AF10" s="40">
        <f>COUNTIFS($F$4:$F$33, $AC10, $G$4:$G$33, "Three Pointer", $D$4:$D$33, "Wet Willies")</f>
        <v>0</v>
      </c>
    </row>
    <row r="11" spans="2:32" ht="14.25" customHeight="1" x14ac:dyDescent="0.5">
      <c r="B11" s="149">
        <v>5</v>
      </c>
      <c r="C11" s="149" t="s">
        <v>34</v>
      </c>
      <c r="D11" s="149" t="s">
        <v>57</v>
      </c>
      <c r="E11" s="149" t="s">
        <v>233</v>
      </c>
      <c r="F11" s="149" t="s">
        <v>38</v>
      </c>
      <c r="G11" s="149" t="s">
        <v>154</v>
      </c>
      <c r="H11" s="149" t="s">
        <v>234</v>
      </c>
      <c r="I11" s="149" t="s">
        <v>234</v>
      </c>
      <c r="J11" s="149">
        <v>1</v>
      </c>
      <c r="R11" s="3" t="s">
        <v>60</v>
      </c>
      <c r="S11" s="19">
        <f t="shared" si="0"/>
        <v>1</v>
      </c>
      <c r="T11" s="20">
        <f t="shared" si="1"/>
        <v>0</v>
      </c>
      <c r="U11" s="20">
        <f t="shared" si="2"/>
        <v>1</v>
      </c>
      <c r="V11" s="20">
        <f t="shared" si="3"/>
        <v>0</v>
      </c>
      <c r="W11" s="54" t="b">
        <v>0</v>
      </c>
      <c r="Y11" s="24" t="str">
        <f t="shared" si="8"/>
        <v/>
      </c>
      <c r="Z11" s="24" t="str">
        <f t="shared" si="9"/>
        <v/>
      </c>
      <c r="AA11" s="24" t="str">
        <f t="shared" si="10"/>
        <v>5M/LG</v>
      </c>
      <c r="AC11" s="3" t="s">
        <v>60</v>
      </c>
      <c r="AD11" s="40">
        <f>COUNTIFS($F$4:$F$33, $AC11, $G$4:$G$33, "Finish", $D$4:$D$33, "Loose Gooses")</f>
        <v>0</v>
      </c>
      <c r="AE11" s="40">
        <f>COUNTIFS($F$4:$F$33, $AC11, $G$4:$G$33, "Midrange", $D$4:$D$33, "Loose Gooses")</f>
        <v>1</v>
      </c>
      <c r="AF11" s="40">
        <f>COUNTIFS($F$4:$F$33, $AC11, $G$4:$G$33, "Three Pointer", $D$4:$D$33, "Loose Gooses")</f>
        <v>0</v>
      </c>
    </row>
    <row r="12" spans="2:32" ht="14.25" customHeight="1" x14ac:dyDescent="0.5">
      <c r="B12" s="149">
        <v>5</v>
      </c>
      <c r="C12" s="149" t="s">
        <v>57</v>
      </c>
      <c r="D12" s="149" t="s">
        <v>34</v>
      </c>
      <c r="E12" s="149" t="s">
        <v>237</v>
      </c>
      <c r="F12" s="149" t="s">
        <v>56</v>
      </c>
      <c r="G12" s="149" t="s">
        <v>123</v>
      </c>
      <c r="H12" s="149" t="s">
        <v>234</v>
      </c>
      <c r="I12" s="149" t="s">
        <v>234</v>
      </c>
      <c r="J12" s="149">
        <v>1</v>
      </c>
      <c r="R12" s="3" t="s">
        <v>63</v>
      </c>
      <c r="S12" s="19">
        <f t="shared" si="0"/>
        <v>1</v>
      </c>
      <c r="T12" s="20">
        <f t="shared" si="1"/>
        <v>1</v>
      </c>
      <c r="U12" s="20">
        <f t="shared" si="2"/>
        <v>0</v>
      </c>
      <c r="V12" s="20">
        <f t="shared" si="3"/>
        <v>0</v>
      </c>
      <c r="W12" s="54" t="b">
        <v>0</v>
      </c>
      <c r="Y12" s="24" t="str">
        <f t="shared" si="8"/>
        <v>LG/5M</v>
      </c>
      <c r="Z12" s="24" t="str">
        <f t="shared" si="9"/>
        <v/>
      </c>
      <c r="AA12" s="24" t="str">
        <f t="shared" si="10"/>
        <v/>
      </c>
      <c r="AC12" s="3" t="s">
        <v>63</v>
      </c>
      <c r="AD12" s="40">
        <f>COUNTIFS($F$4:$F$33, $AC12, $G$4:$G$33, "Finish", $D$4:$D$33, "Loose Gooses")</f>
        <v>0</v>
      </c>
      <c r="AE12" s="40">
        <f>COUNTIFS($F$4:$F$33, $AC12, $G$4:$G$33, "Midrange", $D$4:$D$33, "Loose Gooses")</f>
        <v>0</v>
      </c>
      <c r="AF12" s="40">
        <f>COUNTIFS($F$4:$F$33, $AC12, $G$4:$G$33, "Three Pointer", $D$4:$D$33, "Loose Gooses")</f>
        <v>0</v>
      </c>
    </row>
    <row r="13" spans="2:32" ht="14.25" customHeight="1" x14ac:dyDescent="0.5">
      <c r="B13" s="149">
        <v>5</v>
      </c>
      <c r="C13" s="149" t="s">
        <v>34</v>
      </c>
      <c r="D13" s="149" t="s">
        <v>57</v>
      </c>
      <c r="E13" s="149" t="s">
        <v>238</v>
      </c>
      <c r="F13" s="149" t="s">
        <v>38</v>
      </c>
      <c r="G13" s="149" t="s">
        <v>154</v>
      </c>
      <c r="H13" s="149">
        <v>3</v>
      </c>
      <c r="I13" s="149">
        <v>2</v>
      </c>
      <c r="J13" s="149">
        <v>1</v>
      </c>
      <c r="R13" s="3" t="s">
        <v>66</v>
      </c>
      <c r="S13" s="19">
        <f t="shared" si="0"/>
        <v>2</v>
      </c>
      <c r="T13" s="20">
        <f t="shared" si="1"/>
        <v>0</v>
      </c>
      <c r="U13" s="20">
        <f t="shared" si="2"/>
        <v>0</v>
      </c>
      <c r="V13" s="20">
        <f t="shared" si="3"/>
        <v>1</v>
      </c>
      <c r="W13" s="54" t="b">
        <v>0</v>
      </c>
      <c r="Y13" s="24" t="str">
        <f t="shared" si="8"/>
        <v/>
      </c>
      <c r="Z13" s="24" t="str">
        <f t="shared" si="9"/>
        <v/>
      </c>
      <c r="AA13" s="24" t="str">
        <f t="shared" si="10"/>
        <v>5M/LG</v>
      </c>
      <c r="AC13" s="3" t="s">
        <v>66</v>
      </c>
      <c r="AD13" s="40">
        <f>COUNTIFS($F$4:$F$33, $AC13, $G$4:$G$33, "Finish", $D$4:$D$33, "Loose Gooses")</f>
        <v>0</v>
      </c>
      <c r="AE13" s="40">
        <f>COUNTIFS($F$4:$F$33, $AC13, $G$4:$G$33, "Midrange", $D$4:$D$33, "Loose Gooses")</f>
        <v>0</v>
      </c>
      <c r="AF13" s="40">
        <f>COUNTIFS($F$4:$F$33, $AC13, $G$4:$G$33, "Three Pointer", $D$4:$D$33, "Loose Gooses")</f>
        <v>0</v>
      </c>
    </row>
    <row r="14" spans="2:32" ht="14.25" customHeight="1" x14ac:dyDescent="0.45">
      <c r="B14" s="53">
        <v>6</v>
      </c>
      <c r="C14" s="53" t="s">
        <v>34</v>
      </c>
      <c r="D14" s="53" t="s">
        <v>39</v>
      </c>
      <c r="E14" s="53" t="s">
        <v>233</v>
      </c>
      <c r="F14" s="53" t="s">
        <v>63</v>
      </c>
      <c r="G14" s="53" t="s">
        <v>154</v>
      </c>
      <c r="H14" s="53" t="s">
        <v>234</v>
      </c>
      <c r="I14" s="53" t="s">
        <v>234</v>
      </c>
      <c r="J14" s="53">
        <v>1</v>
      </c>
      <c r="R14" s="3" t="s">
        <v>69</v>
      </c>
      <c r="S14" s="19">
        <f t="shared" si="0"/>
        <v>0</v>
      </c>
      <c r="T14" s="20">
        <f t="shared" si="1"/>
        <v>0</v>
      </c>
      <c r="U14" s="20">
        <f t="shared" si="2"/>
        <v>0</v>
      </c>
      <c r="V14" s="20">
        <f t="shared" si="3"/>
        <v>0</v>
      </c>
      <c r="W14" s="54" t="b">
        <v>0</v>
      </c>
      <c r="Y14" s="24" t="str">
        <f t="shared" si="8"/>
        <v/>
      </c>
      <c r="Z14" s="24" t="str">
        <f t="shared" si="9"/>
        <v/>
      </c>
      <c r="AA14" s="24" t="str">
        <f t="shared" si="10"/>
        <v>5M/WW</v>
      </c>
      <c r="AC14" s="3" t="s">
        <v>69</v>
      </c>
      <c r="AD14" s="40">
        <f>COUNTIFS($F$4:$F$33, $AC14, $G$4:$G$33, "Finish", $D$4:$D$33, "Wet Willies")</f>
        <v>0</v>
      </c>
      <c r="AE14" s="40">
        <f>COUNTIFS($F$4:$F$33, $AC14, $G$4:$G$33, "Midrange", $D$4:$D$33, "Wet Willies")</f>
        <v>0</v>
      </c>
      <c r="AF14" s="40">
        <f>COUNTIFS($F$4:$F$33, $AC14, $G$4:$G$33, "Three Pointer", $D$4:$D$33, "Wet Willies")</f>
        <v>0</v>
      </c>
    </row>
    <row r="15" spans="2:32" ht="14.25" customHeight="1" x14ac:dyDescent="0.45">
      <c r="B15" s="53">
        <v>6</v>
      </c>
      <c r="C15" s="53" t="s">
        <v>39</v>
      </c>
      <c r="D15" s="53" t="s">
        <v>34</v>
      </c>
      <c r="E15" s="53" t="s">
        <v>238</v>
      </c>
      <c r="F15" s="53" t="s">
        <v>46</v>
      </c>
      <c r="G15" s="53" t="s">
        <v>172</v>
      </c>
      <c r="H15" s="53">
        <v>1</v>
      </c>
      <c r="I15" s="53">
        <v>1</v>
      </c>
      <c r="J15" s="53">
        <v>1</v>
      </c>
      <c r="R15" s="3" t="s">
        <v>72</v>
      </c>
      <c r="S15" s="19">
        <f t="shared" si="0"/>
        <v>1</v>
      </c>
      <c r="T15" s="20">
        <f t="shared" si="1"/>
        <v>0</v>
      </c>
      <c r="U15" s="20">
        <f t="shared" si="2"/>
        <v>1</v>
      </c>
      <c r="V15" s="20">
        <f t="shared" si="3"/>
        <v>0</v>
      </c>
      <c r="W15" s="54" t="b">
        <v>0</v>
      </c>
      <c r="Y15" s="24" t="str">
        <f t="shared" si="8"/>
        <v/>
      </c>
      <c r="Z15" s="24" t="str">
        <f t="shared" si="9"/>
        <v>WW/5M</v>
      </c>
      <c r="AA15" s="24" t="str">
        <f t="shared" si="10"/>
        <v/>
      </c>
      <c r="AC15" s="3" t="s">
        <v>72</v>
      </c>
      <c r="AD15" s="40">
        <f>COUNTIFS($F$4:$F$33, $AC15, $G$4:$G$33, "Finish", $D$4:$D$33, "Wet Willies")</f>
        <v>0</v>
      </c>
      <c r="AE15" s="40">
        <f>COUNTIFS($F$4:$F$33, $AC15, $G$4:$G$33, "Midrange", $D$4:$D$33, "Wet Willies")</f>
        <v>0</v>
      </c>
      <c r="AF15" s="40">
        <f>COUNTIFS($F$4:$F$33, $AC15, $G$4:$G$33, "Three Pointer", $D$4:$D$33, "Wet Willies")</f>
        <v>0</v>
      </c>
    </row>
    <row r="16" spans="2:32" ht="14.25" customHeight="1" x14ac:dyDescent="0.45">
      <c r="B16" s="53">
        <v>7</v>
      </c>
      <c r="C16" s="53" t="s">
        <v>39</v>
      </c>
      <c r="D16" s="53" t="s">
        <v>57</v>
      </c>
      <c r="E16" s="53" t="s">
        <v>233</v>
      </c>
      <c r="F16" s="53" t="s">
        <v>51</v>
      </c>
      <c r="G16" s="53" t="s">
        <v>123</v>
      </c>
      <c r="H16" s="53" t="s">
        <v>234</v>
      </c>
      <c r="I16" s="53" t="s">
        <v>234</v>
      </c>
      <c r="J16" s="53">
        <v>1</v>
      </c>
      <c r="R16" s="3" t="s">
        <v>76</v>
      </c>
      <c r="S16" s="19">
        <f t="shared" si="0"/>
        <v>0</v>
      </c>
      <c r="T16" s="20">
        <f t="shared" si="1"/>
        <v>0</v>
      </c>
      <c r="U16" s="20">
        <f t="shared" si="2"/>
        <v>0</v>
      </c>
      <c r="V16" s="20">
        <f t="shared" si="3"/>
        <v>0</v>
      </c>
      <c r="W16" s="54" t="b">
        <v>0</v>
      </c>
      <c r="Y16" s="24" t="str">
        <f t="shared" si="8"/>
        <v/>
      </c>
      <c r="Z16" s="24" t="str">
        <f t="shared" si="9"/>
        <v>WW/LG</v>
      </c>
      <c r="AA16" s="24" t="str">
        <f t="shared" si="10"/>
        <v/>
      </c>
      <c r="AC16" s="3" t="s">
        <v>76</v>
      </c>
      <c r="AD16" s="40">
        <f>COUNTIFS($F$4:$F$33, $AC16, $G$4:$G$33, "Finish", $D$4:$D$33, "Loose Gooses")</f>
        <v>0</v>
      </c>
      <c r="AE16" s="40">
        <f>COUNTIFS($F$4:$F$33, $AC16, $G$4:$G$33, "Midrange", $D$4:$D$33, "Loose Gooses")</f>
        <v>0</v>
      </c>
      <c r="AF16" s="40">
        <f>COUNTIFS($F$4:$F$33, $AC16, $G$4:$G$33, "Three Pointer", $D$4:$D$33, "Loose Gooses")</f>
        <v>0</v>
      </c>
    </row>
    <row r="17" spans="2:32" ht="14.25" customHeight="1" x14ac:dyDescent="0.45">
      <c r="B17" s="53">
        <v>7</v>
      </c>
      <c r="C17" s="53" t="s">
        <v>39</v>
      </c>
      <c r="D17" s="53" t="s">
        <v>57</v>
      </c>
      <c r="E17" s="53" t="s">
        <v>235</v>
      </c>
      <c r="F17" s="53" t="s">
        <v>51</v>
      </c>
      <c r="G17" s="53" t="s">
        <v>123</v>
      </c>
      <c r="H17" s="53">
        <v>2</v>
      </c>
      <c r="I17" s="53">
        <v>1</v>
      </c>
      <c r="J17" s="53">
        <v>2</v>
      </c>
      <c r="R17" s="3" t="s">
        <v>79</v>
      </c>
      <c r="S17" s="19">
        <f t="shared" si="0"/>
        <v>0</v>
      </c>
      <c r="T17" s="20">
        <f t="shared" si="1"/>
        <v>0</v>
      </c>
      <c r="U17" s="20">
        <f t="shared" si="2"/>
        <v>0</v>
      </c>
      <c r="V17" s="20">
        <f t="shared" si="3"/>
        <v>0</v>
      </c>
      <c r="W17" s="54" t="b">
        <v>0</v>
      </c>
      <c r="Y17" s="24" t="str">
        <f t="shared" si="8"/>
        <v/>
      </c>
      <c r="Z17" s="24" t="str">
        <f t="shared" si="9"/>
        <v>WW/LG</v>
      </c>
      <c r="AA17" s="24" t="str">
        <f t="shared" si="10"/>
        <v/>
      </c>
      <c r="AC17" s="3" t="s">
        <v>79</v>
      </c>
      <c r="AD17" s="40">
        <f>COUNTIFS($F$4:$F$33, $AC17, $G$4:$G$33, "Finish", $D$4:$D$33, "Wet Willies")</f>
        <v>0</v>
      </c>
      <c r="AE17" s="40">
        <f>COUNTIFS($F$4:$F$33, $AC17, $G$4:$G$33, "Midrange", $D$4:$D$33, "Wet Willies")</f>
        <v>0</v>
      </c>
      <c r="AF17" s="40">
        <f>COUNTIFS($F$4:$F$33, $AC17, $G$4:$G$33, "Three Pointer", $D$4:$D$33, "Wet Willies")</f>
        <v>0</v>
      </c>
    </row>
    <row r="18" spans="2:32" ht="14.25" customHeight="1" x14ac:dyDescent="0.45">
      <c r="B18" s="53">
        <v>8</v>
      </c>
      <c r="C18" s="53" t="s">
        <v>39</v>
      </c>
      <c r="D18" s="53" t="s">
        <v>34</v>
      </c>
      <c r="E18" s="53" t="s">
        <v>233</v>
      </c>
      <c r="F18" s="53" t="s">
        <v>44</v>
      </c>
      <c r="G18" s="53" t="s">
        <v>154</v>
      </c>
      <c r="H18" s="53" t="s">
        <v>234</v>
      </c>
      <c r="I18" s="53" t="s">
        <v>234</v>
      </c>
      <c r="J18" s="53">
        <v>1</v>
      </c>
      <c r="R18" s="40" t="s">
        <v>148</v>
      </c>
      <c r="S18" s="42">
        <f t="shared" si="0"/>
        <v>0</v>
      </c>
      <c r="T18" s="20">
        <f t="shared" si="1"/>
        <v>0</v>
      </c>
      <c r="U18" s="20">
        <f t="shared" si="2"/>
        <v>0</v>
      </c>
      <c r="V18" s="20">
        <f t="shared" si="3"/>
        <v>0</v>
      </c>
      <c r="W18" s="54" t="b">
        <v>0</v>
      </c>
      <c r="Y18" s="24" t="str">
        <f t="shared" si="8"/>
        <v/>
      </c>
      <c r="Z18" s="24" t="str">
        <f t="shared" si="9"/>
        <v>WW/5M</v>
      </c>
      <c r="AA18" s="24" t="str">
        <f t="shared" si="10"/>
        <v/>
      </c>
      <c r="AC18" s="40" t="s">
        <v>148</v>
      </c>
      <c r="AD18" s="40">
        <f>COUNTIFS($F$4:$F$33, $AC18, $G$4:$G$33, "Finish", $D$4:$D$33, "Wet Willies")</f>
        <v>0</v>
      </c>
      <c r="AE18" s="40">
        <f>COUNTIFS($F$4:$F$33, $AC18, $G$4:$G$33, "Midrange", $D$4:$D$33, "Wet Willies")</f>
        <v>0</v>
      </c>
      <c r="AF18" s="40">
        <f>COUNTIFS($F$4:$F$33, $AC18, $G$4:$G$33, "Three Pointer", $D$4:$D$33, "Wet Willies")</f>
        <v>0</v>
      </c>
    </row>
    <row r="19" spans="2:32" ht="14.25" customHeight="1" x14ac:dyDescent="0.45">
      <c r="B19" s="53">
        <v>8</v>
      </c>
      <c r="C19" s="53" t="s">
        <v>34</v>
      </c>
      <c r="D19" s="53" t="s">
        <v>39</v>
      </c>
      <c r="E19" s="53" t="s">
        <v>237</v>
      </c>
      <c r="F19" s="53" t="s">
        <v>38</v>
      </c>
      <c r="G19" s="53" t="s">
        <v>154</v>
      </c>
      <c r="H19" s="53" t="s">
        <v>234</v>
      </c>
      <c r="I19" s="53" t="s">
        <v>234</v>
      </c>
      <c r="J19" s="53">
        <v>1</v>
      </c>
      <c r="T19" s="20"/>
      <c r="U19" s="20"/>
      <c r="V19" s="20"/>
      <c r="Y19" s="24" t="str">
        <f t="shared" si="8"/>
        <v/>
      </c>
      <c r="Z19" s="24" t="str">
        <f t="shared" si="9"/>
        <v/>
      </c>
      <c r="AA19" s="24" t="str">
        <f t="shared" si="10"/>
        <v>5M/WW</v>
      </c>
    </row>
    <row r="20" spans="2:32" ht="14.25" customHeight="1" x14ac:dyDescent="0.45">
      <c r="B20" s="53">
        <v>8</v>
      </c>
      <c r="C20" s="53" t="s">
        <v>39</v>
      </c>
      <c r="D20" s="53" t="s">
        <v>34</v>
      </c>
      <c r="E20" s="53" t="s">
        <v>238</v>
      </c>
      <c r="F20" s="53" t="s">
        <v>46</v>
      </c>
      <c r="G20" s="53" t="s">
        <v>154</v>
      </c>
      <c r="H20" s="53">
        <v>3</v>
      </c>
      <c r="I20" s="53">
        <v>2</v>
      </c>
      <c r="J20" s="53">
        <v>1</v>
      </c>
      <c r="Y20" s="24" t="str">
        <f t="shared" si="8"/>
        <v/>
      </c>
      <c r="Z20" s="24" t="str">
        <f t="shared" si="9"/>
        <v>WW/5M</v>
      </c>
      <c r="AA20" s="24" t="str">
        <f t="shared" si="10"/>
        <v/>
      </c>
    </row>
    <row r="21" spans="2:32" ht="14.25" customHeight="1" x14ac:dyDescent="0.45">
      <c r="B21" s="53">
        <v>9</v>
      </c>
      <c r="C21" s="53" t="s">
        <v>57</v>
      </c>
      <c r="D21" s="53" t="s">
        <v>39</v>
      </c>
      <c r="E21" s="53" t="s">
        <v>235</v>
      </c>
      <c r="F21" s="53" t="s">
        <v>53</v>
      </c>
      <c r="G21" s="53" t="s">
        <v>172</v>
      </c>
      <c r="H21" s="53">
        <v>1</v>
      </c>
      <c r="I21" s="53">
        <v>1</v>
      </c>
      <c r="J21" s="53">
        <v>1</v>
      </c>
      <c r="Y21" s="24" t="str">
        <f t="shared" si="8"/>
        <v>LG/WW</v>
      </c>
      <c r="Z21" s="24" t="str">
        <f t="shared" si="9"/>
        <v/>
      </c>
      <c r="AA21" s="24" t="str">
        <f t="shared" si="10"/>
        <v/>
      </c>
    </row>
    <row r="22" spans="2:32" ht="14.25" customHeight="1" x14ac:dyDescent="0.45">
      <c r="B22" s="53">
        <v>10</v>
      </c>
      <c r="C22" s="53" t="s">
        <v>34</v>
      </c>
      <c r="D22" s="53" t="s">
        <v>57</v>
      </c>
      <c r="E22" s="53" t="s">
        <v>233</v>
      </c>
      <c r="F22" s="53" t="s">
        <v>38</v>
      </c>
      <c r="G22" s="53" t="s">
        <v>154</v>
      </c>
      <c r="H22" s="53" t="s">
        <v>234</v>
      </c>
      <c r="I22" s="53" t="s">
        <v>234</v>
      </c>
      <c r="J22" s="53">
        <v>1</v>
      </c>
      <c r="Y22" s="24" t="str">
        <f t="shared" si="8"/>
        <v/>
      </c>
      <c r="Z22" s="24" t="str">
        <f t="shared" si="9"/>
        <v/>
      </c>
      <c r="AA22" s="24" t="str">
        <f t="shared" si="10"/>
        <v>5M/LG</v>
      </c>
    </row>
    <row r="23" spans="2:32" ht="14.25" customHeight="1" x14ac:dyDescent="0.45">
      <c r="B23" s="53">
        <v>10</v>
      </c>
      <c r="C23" s="53" t="s">
        <v>34</v>
      </c>
      <c r="D23" s="53" t="s">
        <v>57</v>
      </c>
      <c r="E23" s="40" t="s">
        <v>235</v>
      </c>
      <c r="F23" s="40" t="s">
        <v>60</v>
      </c>
      <c r="G23" s="40" t="s">
        <v>123</v>
      </c>
      <c r="H23" s="53">
        <v>1</v>
      </c>
      <c r="I23" s="53">
        <v>1</v>
      </c>
      <c r="J23" s="53">
        <v>1</v>
      </c>
      <c r="R23" s="3"/>
      <c r="S23" s="40" t="str">
        <f t="shared" ref="S23:V37" si="11">IF($W3,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V23" s="40" t="str">
        <f t="shared" si="11"/>
        <v>0,</v>
      </c>
      <c r="Y23" s="24" t="str">
        <f t="shared" si="8"/>
        <v/>
      </c>
      <c r="Z23" s="24" t="str">
        <f t="shared" si="9"/>
        <v/>
      </c>
      <c r="AA23" s="24" t="str">
        <f t="shared" si="10"/>
        <v>5M/LG</v>
      </c>
    </row>
    <row r="24" spans="2:32" ht="14.25" customHeight="1" x14ac:dyDescent="0.45">
      <c r="B24" s="53"/>
      <c r="C24" s="53"/>
      <c r="D24" s="53"/>
      <c r="F24" s="53"/>
      <c r="G24" s="53"/>
      <c r="H24" s="53"/>
      <c r="I24" s="53"/>
      <c r="J24" s="53"/>
      <c r="S24" s="40" t="str">
        <f t="shared" si="11"/>
        <v>0,</v>
      </c>
      <c r="T24" s="40" t="str">
        <f t="shared" si="11"/>
        <v>0,</v>
      </c>
      <c r="U24" s="40" t="str">
        <f t="shared" si="11"/>
        <v>0,</v>
      </c>
      <c r="V24" s="40" t="str">
        <f t="shared" si="11"/>
        <v>0,</v>
      </c>
      <c r="Y24" s="24" t="str">
        <f t="shared" si="8"/>
        <v/>
      </c>
      <c r="Z24" s="24" t="str">
        <f t="shared" si="9"/>
        <v/>
      </c>
      <c r="AA24" s="24" t="str">
        <f t="shared" si="10"/>
        <v/>
      </c>
    </row>
    <row r="25" spans="2:32" ht="14.25" customHeight="1" x14ac:dyDescent="0.45">
      <c r="B25" s="53"/>
      <c r="C25" s="53"/>
      <c r="D25" s="53"/>
      <c r="F25" s="53"/>
      <c r="G25" s="53"/>
      <c r="H25" s="53"/>
      <c r="I25" s="53"/>
      <c r="J25" s="53"/>
      <c r="R25" s="9"/>
      <c r="S25" s="40" t="str">
        <f t="shared" si="11"/>
        <v>6,</v>
      </c>
      <c r="T25" s="40" t="str">
        <f t="shared" si="11"/>
        <v>6,</v>
      </c>
      <c r="U25" s="40" t="str">
        <f t="shared" si="11"/>
        <v>0,</v>
      </c>
      <c r="V25" s="40" t="str">
        <f t="shared" si="11"/>
        <v>0,</v>
      </c>
      <c r="Y25" s="24" t="str">
        <f t="shared" si="8"/>
        <v/>
      </c>
      <c r="Z25" s="24" t="str">
        <f t="shared" si="9"/>
        <v/>
      </c>
      <c r="AA25" s="24" t="str">
        <f t="shared" si="10"/>
        <v/>
      </c>
    </row>
    <row r="26" spans="2:32" ht="14.25" customHeight="1" x14ac:dyDescent="0.45">
      <c r="B26" s="53"/>
      <c r="C26" s="53"/>
      <c r="D26" s="53"/>
      <c r="F26" s="53"/>
      <c r="G26" s="53"/>
      <c r="H26" s="53"/>
      <c r="I26" s="53"/>
      <c r="J26" s="53"/>
      <c r="R26" s="26"/>
      <c r="S26" s="40" t="str">
        <f t="shared" si="11"/>
        <v>1,</v>
      </c>
      <c r="T26" s="40" t="str">
        <f t="shared" si="11"/>
        <v>1,</v>
      </c>
      <c r="U26" s="40" t="str">
        <f t="shared" si="11"/>
        <v>0,</v>
      </c>
      <c r="V26" s="40" t="str">
        <f t="shared" si="11"/>
        <v>0,</v>
      </c>
      <c r="Y26" s="24" t="str">
        <f t="shared" si="8"/>
        <v/>
      </c>
      <c r="Z26" s="24" t="str">
        <f t="shared" si="9"/>
        <v/>
      </c>
      <c r="AA26" s="24" t="str">
        <f t="shared" si="10"/>
        <v/>
      </c>
    </row>
    <row r="27" spans="2:32" ht="14.25" customHeight="1" x14ac:dyDescent="0.45">
      <c r="B27" s="53"/>
      <c r="C27" s="53"/>
      <c r="D27" s="53"/>
      <c r="F27" s="53"/>
      <c r="G27" s="53"/>
      <c r="H27" s="53"/>
      <c r="I27" s="53"/>
      <c r="J27" s="53"/>
      <c r="S27" s="40" t="str">
        <f t="shared" si="11"/>
        <v>3,</v>
      </c>
      <c r="T27" s="40" t="str">
        <f t="shared" si="11"/>
        <v>1,</v>
      </c>
      <c r="U27" s="40" t="str">
        <f t="shared" si="11"/>
        <v>0,</v>
      </c>
      <c r="V27" s="40" t="str">
        <f t="shared" si="11"/>
        <v>1,</v>
      </c>
      <c r="Y27" s="24" t="str">
        <f t="shared" si="8"/>
        <v/>
      </c>
      <c r="Z27" s="24" t="str">
        <f t="shared" si="9"/>
        <v/>
      </c>
      <c r="AA27" s="24" t="str">
        <f t="shared" si="10"/>
        <v/>
      </c>
    </row>
    <row r="28" spans="2:32" ht="14.25" customHeight="1" x14ac:dyDescent="0.45">
      <c r="B28" s="53"/>
      <c r="C28" s="53"/>
      <c r="D28" s="53"/>
      <c r="F28" s="53"/>
      <c r="G28" s="53"/>
      <c r="H28" s="53"/>
      <c r="I28" s="53"/>
      <c r="J28" s="53"/>
      <c r="S28" s="40" t="str">
        <f t="shared" si="11"/>
        <v>2,</v>
      </c>
      <c r="T28" s="40" t="str">
        <f t="shared" si="11"/>
        <v>0,</v>
      </c>
      <c r="U28" s="40" t="str">
        <f t="shared" si="11"/>
        <v>2,</v>
      </c>
      <c r="V28" s="40" t="str">
        <f t="shared" si="11"/>
        <v>0,</v>
      </c>
      <c r="Y28" s="24" t="str">
        <f t="shared" si="8"/>
        <v/>
      </c>
      <c r="Z28" s="24" t="str">
        <f t="shared" si="9"/>
        <v/>
      </c>
      <c r="AA28" s="24" t="str">
        <f t="shared" si="10"/>
        <v/>
      </c>
    </row>
    <row r="29" spans="2:32" ht="14.25" customHeight="1" x14ac:dyDescent="0.5">
      <c r="B29" s="100"/>
      <c r="C29" s="100"/>
      <c r="D29" s="100"/>
      <c r="F29" s="100"/>
      <c r="G29" s="100"/>
      <c r="H29" s="100"/>
      <c r="I29" s="100"/>
      <c r="J29" s="100"/>
      <c r="S29" s="40" t="str">
        <f t="shared" si="11"/>
        <v>4,</v>
      </c>
      <c r="T29" s="40" t="str">
        <f t="shared" si="11"/>
        <v>0,</v>
      </c>
      <c r="U29" s="40" t="str">
        <f t="shared" si="11"/>
        <v>0,</v>
      </c>
      <c r="V29" s="40" t="str">
        <f t="shared" si="11"/>
        <v>2,</v>
      </c>
      <c r="Y29" s="24" t="str">
        <f t="shared" si="8"/>
        <v/>
      </c>
      <c r="Z29" s="24" t="str">
        <f t="shared" si="9"/>
        <v/>
      </c>
      <c r="AA29" s="24" t="str">
        <f t="shared" si="10"/>
        <v/>
      </c>
    </row>
    <row r="30" spans="2:32" ht="14.25" customHeight="1" x14ac:dyDescent="0.45">
      <c r="B30" s="53"/>
      <c r="C30" s="53"/>
      <c r="D30" s="53"/>
      <c r="F30" s="53"/>
      <c r="G30" s="53"/>
      <c r="H30" s="53"/>
      <c r="I30" s="53"/>
      <c r="J30" s="53"/>
      <c r="S30" s="40" t="str">
        <f t="shared" si="11"/>
        <v>3,</v>
      </c>
      <c r="T30" s="40" t="str">
        <f t="shared" si="11"/>
        <v>0,</v>
      </c>
      <c r="U30" s="40" t="str">
        <f t="shared" si="11"/>
        <v>3,</v>
      </c>
      <c r="V30" s="40" t="str">
        <f t="shared" si="11"/>
        <v>0,</v>
      </c>
      <c r="Y30" s="24" t="str">
        <f t="shared" si="8"/>
        <v/>
      </c>
      <c r="Z30" s="24" t="str">
        <f t="shared" si="9"/>
        <v/>
      </c>
      <c r="AA30" s="24" t="str">
        <f t="shared" si="10"/>
        <v/>
      </c>
    </row>
    <row r="31" spans="2:32" ht="14.25" customHeight="1" x14ac:dyDescent="0.45">
      <c r="B31" s="53"/>
      <c r="C31" s="53"/>
      <c r="D31" s="53"/>
      <c r="F31" s="53"/>
      <c r="G31" s="53"/>
      <c r="H31" s="53"/>
      <c r="I31" s="53"/>
      <c r="J31" s="53"/>
      <c r="S31" s="40" t="str">
        <f t="shared" si="11"/>
        <v>1,</v>
      </c>
      <c r="T31" s="40" t="str">
        <f t="shared" si="11"/>
        <v>0,</v>
      </c>
      <c r="U31" s="40" t="str">
        <f t="shared" si="11"/>
        <v>1,</v>
      </c>
      <c r="V31" s="40" t="str">
        <f t="shared" si="11"/>
        <v>0,</v>
      </c>
      <c r="Y31" s="24" t="str">
        <f t="shared" si="8"/>
        <v/>
      </c>
      <c r="Z31" s="24" t="str">
        <f t="shared" si="9"/>
        <v/>
      </c>
      <c r="AA31" s="24" t="str">
        <f t="shared" si="10"/>
        <v/>
      </c>
    </row>
    <row r="32" spans="2:32" ht="14.25" customHeight="1" x14ac:dyDescent="0.45">
      <c r="B32" s="53"/>
      <c r="C32" s="53"/>
      <c r="D32" s="53"/>
      <c r="F32" s="53"/>
      <c r="G32" s="53"/>
      <c r="H32" s="53"/>
      <c r="I32" s="53"/>
      <c r="J32" s="53"/>
      <c r="S32" s="40" t="str">
        <f t="shared" si="11"/>
        <v>1,</v>
      </c>
      <c r="T32" s="40" t="str">
        <f t="shared" si="11"/>
        <v>1,</v>
      </c>
      <c r="U32" s="40" t="str">
        <f t="shared" si="11"/>
        <v>0,</v>
      </c>
      <c r="V32" s="40" t="str">
        <f t="shared" si="11"/>
        <v>0,</v>
      </c>
      <c r="Y32" s="24" t="str">
        <f t="shared" si="8"/>
        <v/>
      </c>
      <c r="Z32" s="24" t="str">
        <f t="shared" si="9"/>
        <v/>
      </c>
      <c r="AA32" s="24" t="str">
        <f t="shared" si="10"/>
        <v/>
      </c>
    </row>
    <row r="33" spans="2:27" ht="14.25" customHeight="1" x14ac:dyDescent="0.45">
      <c r="B33" s="53"/>
      <c r="C33" s="53"/>
      <c r="D33" s="53"/>
      <c r="F33" s="53"/>
      <c r="G33" s="53"/>
      <c r="H33" s="53"/>
      <c r="I33" s="53"/>
      <c r="J33" s="53"/>
      <c r="S33" s="40" t="str">
        <f t="shared" si="11"/>
        <v>2,</v>
      </c>
      <c r="T33" s="40" t="str">
        <f t="shared" si="11"/>
        <v>0,</v>
      </c>
      <c r="U33" s="40" t="str">
        <f t="shared" si="11"/>
        <v>0,</v>
      </c>
      <c r="V33" s="40" t="str">
        <f t="shared" si="11"/>
        <v>1,</v>
      </c>
      <c r="Y33" s="24" t="str">
        <f t="shared" si="8"/>
        <v/>
      </c>
      <c r="Z33" s="24" t="str">
        <f t="shared" si="9"/>
        <v/>
      </c>
      <c r="AA33" s="24" t="str">
        <f t="shared" si="10"/>
        <v/>
      </c>
    </row>
    <row r="34" spans="2:27" ht="14.25" customHeight="1" x14ac:dyDescent="0.45">
      <c r="B34" s="53"/>
      <c r="C34" s="53"/>
      <c r="D34" s="53"/>
      <c r="F34" s="53"/>
      <c r="G34" s="53"/>
      <c r="H34" s="53"/>
      <c r="I34" s="53"/>
      <c r="J34" s="53"/>
      <c r="S34" s="40" t="str">
        <f t="shared" si="11"/>
        <v>0,</v>
      </c>
      <c r="T34" s="40" t="str">
        <f t="shared" si="11"/>
        <v>0,</v>
      </c>
      <c r="U34" s="40" t="str">
        <f t="shared" si="11"/>
        <v>0,</v>
      </c>
      <c r="V34" s="40" t="str">
        <f t="shared" si="11"/>
        <v>0,</v>
      </c>
      <c r="Y34" s="24" t="str">
        <f t="shared" si="8"/>
        <v/>
      </c>
      <c r="Z34" s="24" t="str">
        <f t="shared" si="9"/>
        <v/>
      </c>
      <c r="AA34" s="24" t="str">
        <f t="shared" si="10"/>
        <v/>
      </c>
    </row>
    <row r="35" spans="2:27" ht="14.25" customHeight="1" x14ac:dyDescent="0.45">
      <c r="S35" s="40" t="str">
        <f t="shared" si="11"/>
        <v>1,</v>
      </c>
      <c r="T35" s="40" t="str">
        <f t="shared" si="11"/>
        <v>0,</v>
      </c>
      <c r="U35" s="40" t="str">
        <f t="shared" si="11"/>
        <v>1,</v>
      </c>
      <c r="V35" s="40" t="str">
        <f t="shared" si="11"/>
        <v>0,</v>
      </c>
      <c r="Y35" s="24" t="str">
        <f t="shared" si="8"/>
        <v/>
      </c>
      <c r="Z35" s="24" t="str">
        <f t="shared" si="9"/>
        <v/>
      </c>
      <c r="AA35" s="24" t="str">
        <f t="shared" si="10"/>
        <v/>
      </c>
    </row>
    <row r="36" spans="2:27" ht="14.25" customHeight="1" x14ac:dyDescent="0.45">
      <c r="S36" s="40" t="str">
        <f t="shared" si="11"/>
        <v>0,</v>
      </c>
      <c r="T36" s="40" t="str">
        <f t="shared" si="11"/>
        <v>0,</v>
      </c>
      <c r="U36" s="40" t="str">
        <f t="shared" si="11"/>
        <v>0,</v>
      </c>
      <c r="V36" s="40" t="str">
        <f t="shared" si="11"/>
        <v>0,</v>
      </c>
      <c r="Y36" s="24" t="str">
        <f t="shared" si="8"/>
        <v/>
      </c>
      <c r="Z36" s="24" t="str">
        <f t="shared" si="9"/>
        <v/>
      </c>
      <c r="AA36" s="24" t="str">
        <f t="shared" si="10"/>
        <v/>
      </c>
    </row>
    <row r="37" spans="2:27" ht="14.25" customHeight="1" x14ac:dyDescent="0.45">
      <c r="S37" s="40" t="str">
        <f t="shared" si="11"/>
        <v>0,</v>
      </c>
      <c r="T37" s="40" t="str">
        <f t="shared" si="11"/>
        <v>0,</v>
      </c>
      <c r="U37" s="40" t="str">
        <f t="shared" si="11"/>
        <v>0,</v>
      </c>
      <c r="V37" s="40" t="str">
        <f t="shared" si="11"/>
        <v>0,</v>
      </c>
      <c r="Y37" s="24" t="str">
        <f t="shared" si="8"/>
        <v/>
      </c>
      <c r="Z37" s="24" t="str">
        <f t="shared" si="9"/>
        <v/>
      </c>
      <c r="AA37" s="24" t="str">
        <f t="shared" si="10"/>
        <v/>
      </c>
    </row>
    <row r="38" spans="2:27" ht="14.25" customHeight="1" x14ac:dyDescent="0.45">
      <c r="S38" s="40">
        <f>IF($W18, CHAR(34)&amp;"Did not Play"&amp;CHAR(34), S18)</f>
        <v>0</v>
      </c>
      <c r="T38" s="40">
        <f>IF($W18, CHAR(34)&amp;"Did not Play"&amp;CHAR(34), T18)</f>
        <v>0</v>
      </c>
      <c r="U38" s="40">
        <f>IF($W18, CHAR(34)&amp;"Did not Play"&amp;CHAR(34), U18)</f>
        <v>0</v>
      </c>
      <c r="V38" s="40">
        <f>IF($W18, CHAR(34)&amp;"Did not Play"&amp;CHAR(34), V18)</f>
        <v>0</v>
      </c>
      <c r="Y38" s="24" t="str">
        <f t="shared" si="8"/>
        <v/>
      </c>
      <c r="Z38" s="24" t="str">
        <f t="shared" si="9"/>
        <v/>
      </c>
      <c r="AA38" s="24" t="str">
        <f t="shared" si="10"/>
        <v/>
      </c>
    </row>
    <row r="39" spans="2:27" ht="14.25" customHeight="1" x14ac:dyDescent="0.45">
      <c r="T39" s="19"/>
      <c r="U39" s="19"/>
      <c r="V39" s="19"/>
      <c r="Y39" s="24" t="str">
        <f t="shared" si="8"/>
        <v/>
      </c>
      <c r="Z39" s="24" t="str">
        <f t="shared" si="9"/>
        <v/>
      </c>
      <c r="AA39" s="24" t="str">
        <f t="shared" si="10"/>
        <v/>
      </c>
    </row>
    <row r="40" spans="2:27" ht="14.25" customHeight="1" x14ac:dyDescent="0.45">
      <c r="T40" s="19"/>
      <c r="U40" s="19"/>
      <c r="V40" s="19"/>
    </row>
    <row r="41" spans="2:27" ht="14.25" customHeight="1" x14ac:dyDescent="0.9">
      <c r="R41" s="143" t="s">
        <v>159</v>
      </c>
      <c r="S41" s="143"/>
      <c r="T41" s="143"/>
      <c r="U41" s="19"/>
      <c r="V41" s="19"/>
    </row>
    <row r="42" spans="2:27" ht="14.25" customHeight="1" x14ac:dyDescent="0.9">
      <c r="R42" s="143"/>
      <c r="S42" s="143"/>
      <c r="T42" s="143"/>
    </row>
    <row r="43" spans="2:27" ht="14.25" customHeight="1" x14ac:dyDescent="0.45">
      <c r="R43" s="40" t="str">
        <f>CHAR(34)&amp;"Date"&amp;CHAR(34)&amp;":["&amp;CHAR(34)&amp;"30-May"&amp;CHAR(34)&amp;"],"</f>
        <v>"Date":["30-May"],</v>
      </c>
    </row>
    <row r="44" spans="2:27" ht="14.25" customHeight="1" x14ac:dyDescent="0.45">
      <c r="R44" s="40" t="str">
        <f>CHAR(34)&amp;"Points"&amp;CHAR(34)&amp;":["&amp;S23&amp;S24&amp;S25&amp;S26&amp;S27&amp;S28&amp;S29&amp;S30&amp;S31&amp;S32&amp;S33&amp;S34&amp;S35&amp;S36&amp;S37&amp;S38&amp;"],"</f>
        <v>"Points":[0,0,6,1,3,2,4,3,1,1,2,0,1,0,0,0],</v>
      </c>
    </row>
    <row r="45" spans="2:27" ht="14.25" customHeight="1" x14ac:dyDescent="0.45">
      <c r="R45" s="40" t="str">
        <f>CHAR(34)&amp;"Finishes"&amp;CHAR(34)&amp;":["&amp;T23&amp;T24&amp;T25&amp;T26&amp;T27&amp;T28&amp;T29&amp;T30&amp;T31&amp;T32&amp;T33&amp;T34&amp;T35&amp;T36&amp;T37&amp;T38&amp;"],"</f>
        <v>"Finishes":[0,0,6,1,1,0,0,0,0,1,0,0,0,0,0,0],</v>
      </c>
    </row>
    <row r="46" spans="2:27" ht="14.25" customHeight="1" x14ac:dyDescent="0.45">
      <c r="R46" s="40" t="str">
        <f>CHAR(34)&amp;"Midrange"&amp;CHAR(34)&amp;":["&amp;U23&amp;U24&amp;U25&amp;U26&amp;U27&amp;U28&amp;U29&amp;U30&amp;U31&amp;U32&amp;U33&amp;U34&amp;U35&amp;U36&amp;U37&amp;U38&amp;"],"</f>
        <v>"Midrange":[0,0,0,0,0,2,0,3,1,0,0,0,1,0,0,0],</v>
      </c>
    </row>
    <row r="47" spans="2:27" ht="14.25" customHeight="1" x14ac:dyDescent="0.45">
      <c r="R47" s="40" t="str">
        <f>CHAR(34)&amp;"ThreePointers"&amp;CHAR(34)&amp;":["&amp;V23&amp;V24&amp;V25&amp;V26&amp;V27&amp;V28&amp;V29&amp;V30&amp;V31&amp;V32&amp;V33&amp;V34&amp;V35&amp;V36&amp;V37&amp;V38&amp;"]"</f>
        <v>"ThreePointers":[0,0,0,0,1,0,2,0,0,0,1,0,0,0,0,0]</v>
      </c>
    </row>
    <row r="48" spans="2:27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READ ME</vt:lpstr>
      <vt:lpstr>SfB</vt:lpstr>
      <vt:lpstr>Stats Global</vt:lpstr>
      <vt:lpstr>Statistics LG</vt:lpstr>
      <vt:lpstr>Statistics WW</vt:lpstr>
      <vt:lpstr>Statistics 5M</vt:lpstr>
      <vt:lpstr>Template</vt:lpstr>
      <vt:lpstr>2404</vt:lpstr>
      <vt:lpstr>2604</vt:lpstr>
      <vt:lpstr>0205</vt:lpstr>
      <vt:lpstr>0305</vt:lpstr>
      <vt:lpstr>0805</vt:lpstr>
      <vt:lpstr>0905</vt:lpstr>
      <vt:lpstr>1005</vt:lpstr>
      <vt:lpstr>1505</vt:lpstr>
      <vt:lpstr>1605</vt:lpstr>
      <vt:lpstr>1705</vt:lpstr>
      <vt:lpstr>2205</vt:lpstr>
      <vt:lpstr>2305</vt:lpstr>
      <vt:lpstr>2405</vt:lpstr>
      <vt:lpstr>Finals 1</vt:lpstr>
      <vt:lpstr>Finals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 Walker</dc:creator>
  <cp:lastModifiedBy>Angus  Walker</cp:lastModifiedBy>
  <dcterms:created xsi:type="dcterms:W3CDTF">2023-02-04T09:33:43Z</dcterms:created>
  <dcterms:modified xsi:type="dcterms:W3CDTF">2023-05-30T04:32:34Z</dcterms:modified>
</cp:coreProperties>
</file>