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406DB8BC-448E-43DA-A5A0-77C6C6B1DD06}" xr6:coauthVersionLast="47" xr6:coauthVersionMax="47" xr10:uidLastSave="{00000000-0000-0000-0000-000000000000}"/>
  <bookViews>
    <workbookView xWindow="-98" yWindow="-98" windowWidth="22695" windowHeight="14595" firstSheet="1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5" i="3" l="1" a="1"/>
  <c r="U95" i="3" s="1"/>
  <c r="U96" i="3" a="1"/>
  <c r="U96" i="3" s="1"/>
  <c r="U97" i="3" a="1"/>
  <c r="U97" i="3" s="1"/>
  <c r="U98" i="3" a="1"/>
  <c r="U98" i="3" s="1"/>
  <c r="U99" i="3" a="1"/>
  <c r="U99" i="3" s="1"/>
  <c r="U100" i="3" a="1"/>
  <c r="U100" i="3" s="1"/>
  <c r="U101" i="3" a="1"/>
  <c r="U101" i="3" s="1"/>
  <c r="U102" i="3" a="1"/>
  <c r="U102" i="3" s="1"/>
  <c r="U103" i="3" a="1"/>
  <c r="U103" i="3" s="1"/>
  <c r="U104" i="3" a="1"/>
  <c r="U104" i="3" s="1"/>
  <c r="U105" i="3" a="1"/>
  <c r="U105" i="3" s="1"/>
  <c r="U106" i="3" a="1"/>
  <c r="U106" i="3" s="1"/>
  <c r="U107" i="3" a="1"/>
  <c r="U107" i="3" s="1"/>
  <c r="U108" i="3" a="1"/>
  <c r="U108" i="3" s="1"/>
  <c r="U109" i="3" a="1"/>
  <c r="U109" i="3" s="1"/>
  <c r="U94" i="3" a="1"/>
  <c r="U94" i="3" s="1"/>
  <c r="M97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H97" i="3"/>
  <c r="I97" i="3"/>
  <c r="J97" i="3"/>
  <c r="K97" i="3"/>
  <c r="L97" i="3"/>
  <c r="N97" i="3"/>
  <c r="O97" i="3"/>
  <c r="P97" i="3"/>
  <c r="Q97" i="3"/>
  <c r="R97" i="3"/>
  <c r="S97" i="3"/>
  <c r="T97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I88" i="3"/>
  <c r="J88" i="3"/>
  <c r="K88" i="3"/>
  <c r="L88" i="3"/>
  <c r="I87" i="3"/>
  <c r="J87" i="3"/>
  <c r="K87" i="3"/>
  <c r="L87" i="3"/>
  <c r="D16" i="6"/>
  <c r="C16" i="6"/>
  <c r="B16" i="6"/>
  <c r="A16" i="6"/>
  <c r="D16" i="5"/>
  <c r="C16" i="5"/>
  <c r="B16" i="5"/>
  <c r="A16" i="5"/>
  <c r="D16" i="4"/>
  <c r="C16" i="4"/>
  <c r="B16" i="4"/>
  <c r="A16" i="4"/>
  <c r="AH51" i="3"/>
  <c r="AH52" i="3"/>
  <c r="AH53" i="3"/>
  <c r="AH54" i="3"/>
  <c r="AH55" i="3"/>
  <c r="AH56" i="3"/>
  <c r="AI56" i="3" s="1"/>
  <c r="AH57" i="3"/>
  <c r="AH58" i="3"/>
  <c r="AI58" i="3" s="1"/>
  <c r="AH59" i="3"/>
  <c r="AH60" i="3"/>
  <c r="AH61" i="3"/>
  <c r="AH62" i="3"/>
  <c r="AH63" i="3"/>
  <c r="AH64" i="3"/>
  <c r="AI64" i="3" s="1"/>
  <c r="AH65" i="3"/>
  <c r="AH50" i="3"/>
  <c r="AF51" i="3"/>
  <c r="AF52" i="3"/>
  <c r="AF53" i="3"/>
  <c r="AF54" i="3"/>
  <c r="AF55" i="3"/>
  <c r="AF56" i="3"/>
  <c r="AF57" i="3"/>
  <c r="AF58" i="3"/>
  <c r="AG58" i="3" s="1"/>
  <c r="AF59" i="3"/>
  <c r="AF60" i="3"/>
  <c r="AF61" i="3"/>
  <c r="AF62" i="3"/>
  <c r="AG62" i="3" s="1"/>
  <c r="AF63" i="3"/>
  <c r="AF64" i="3"/>
  <c r="AF65" i="3"/>
  <c r="AF50" i="3"/>
  <c r="AG50" i="3" s="1"/>
  <c r="AD51" i="3"/>
  <c r="AD52" i="3"/>
  <c r="AD53" i="3"/>
  <c r="AE53" i="3" s="1"/>
  <c r="AD54" i="3"/>
  <c r="AD55" i="3"/>
  <c r="AD56" i="3"/>
  <c r="AD57" i="3"/>
  <c r="AD58" i="3"/>
  <c r="AD59" i="3"/>
  <c r="AD60" i="3"/>
  <c r="AD61" i="3"/>
  <c r="AE61" i="3" s="1"/>
  <c r="AD62" i="3"/>
  <c r="AD63" i="3"/>
  <c r="AE63" i="3" s="1"/>
  <c r="AD64" i="3"/>
  <c r="AD65" i="3"/>
  <c r="AD50" i="3"/>
  <c r="AB51" i="3"/>
  <c r="AC51" i="3" s="1"/>
  <c r="AB52" i="3"/>
  <c r="AB53" i="3"/>
  <c r="AB54" i="3"/>
  <c r="AC54" i="3" s="1"/>
  <c r="AB55" i="3"/>
  <c r="AB56" i="3"/>
  <c r="AB57" i="3"/>
  <c r="AB58" i="3"/>
  <c r="AC58" i="3" s="1"/>
  <c r="AB59" i="3"/>
  <c r="AB60" i="3"/>
  <c r="AB61" i="3"/>
  <c r="AB62" i="3"/>
  <c r="AC62" i="3" s="1"/>
  <c r="AB63" i="3"/>
  <c r="AC63" i="3" s="1"/>
  <c r="AB64" i="3"/>
  <c r="AB65" i="3"/>
  <c r="AB50" i="3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B16" i="3"/>
  <c r="E16" i="3"/>
  <c r="AI53" i="3"/>
  <c r="AE51" i="3"/>
  <c r="AE54" i="3"/>
  <c r="AE58" i="3"/>
  <c r="AE59" i="3"/>
  <c r="AE62" i="3"/>
  <c r="AC53" i="3"/>
  <c r="AC61" i="3"/>
  <c r="AE50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1" i="3"/>
  <c r="AI52" i="3"/>
  <c r="AI54" i="3"/>
  <c r="AI55" i="3"/>
  <c r="AI57" i="3"/>
  <c r="AI59" i="3"/>
  <c r="AI60" i="3"/>
  <c r="AI61" i="3"/>
  <c r="AI62" i="3"/>
  <c r="AI63" i="3"/>
  <c r="AI65" i="3"/>
  <c r="AG51" i="3"/>
  <c r="AG52" i="3"/>
  <c r="AG53" i="3"/>
  <c r="AG54" i="3"/>
  <c r="AG55" i="3"/>
  <c r="AG56" i="3"/>
  <c r="AG57" i="3"/>
  <c r="AG59" i="3"/>
  <c r="AG60" i="3"/>
  <c r="AG61" i="3"/>
  <c r="AG63" i="3"/>
  <c r="AG64" i="3"/>
  <c r="AG65" i="3"/>
  <c r="AI50" i="3"/>
  <c r="AE52" i="3"/>
  <c r="AE55" i="3"/>
  <c r="AE56" i="3"/>
  <c r="AE57" i="3"/>
  <c r="AE60" i="3"/>
  <c r="AE64" i="3"/>
  <c r="AE65" i="3"/>
  <c r="AC65" i="3"/>
  <c r="AC64" i="3"/>
  <c r="AC60" i="3"/>
  <c r="AC59" i="3"/>
  <c r="AC57" i="3"/>
  <c r="AC56" i="3"/>
  <c r="AC55" i="3"/>
  <c r="AC52" i="3"/>
  <c r="AC50" i="3"/>
  <c r="A14" i="6"/>
  <c r="A14" i="5"/>
  <c r="A14" i="4"/>
  <c r="C15" i="3"/>
  <c r="B15" i="3"/>
  <c r="I86" i="3"/>
  <c r="Q5" i="3"/>
  <c r="AE2" i="4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J19" i="4" s="1"/>
  <c r="AD18" i="19"/>
  <c r="AH19" i="4" s="1"/>
  <c r="AC18" i="19"/>
  <c r="AF19" i="4" s="1"/>
  <c r="Z18" i="19"/>
  <c r="Y18" i="19"/>
  <c r="X18" i="19"/>
  <c r="U18" i="19"/>
  <c r="U38" i="19" s="1"/>
  <c r="T18" i="19"/>
  <c r="T38" i="19" s="1"/>
  <c r="S18" i="19"/>
  <c r="S38" i="19" s="1"/>
  <c r="AE17" i="19"/>
  <c r="AJ18" i="4" s="1"/>
  <c r="AD17" i="19"/>
  <c r="AH18" i="4" s="1"/>
  <c r="AC17" i="19"/>
  <c r="AF18" i="4" s="1"/>
  <c r="Z17" i="19"/>
  <c r="Y17" i="19"/>
  <c r="X17" i="19"/>
  <c r="U17" i="19"/>
  <c r="U37" i="19" s="1"/>
  <c r="T17" i="19"/>
  <c r="T37" i="19" s="1"/>
  <c r="S17" i="19"/>
  <c r="S37" i="19" s="1"/>
  <c r="AE16" i="19"/>
  <c r="AJ17" i="4" s="1"/>
  <c r="AD16" i="19"/>
  <c r="AH17" i="4" s="1"/>
  <c r="AC16" i="19"/>
  <c r="AF17" i="4" s="1"/>
  <c r="Z16" i="19"/>
  <c r="Y16" i="19"/>
  <c r="X16" i="19"/>
  <c r="U16" i="19"/>
  <c r="U36" i="19" s="1"/>
  <c r="T16" i="19"/>
  <c r="T36" i="19" s="1"/>
  <c r="S16" i="19"/>
  <c r="S36" i="19" s="1"/>
  <c r="AE15" i="19"/>
  <c r="AJ16" i="4" s="1"/>
  <c r="AD15" i="19"/>
  <c r="AH16" i="4" s="1"/>
  <c r="AC15" i="19"/>
  <c r="AF16" i="4" s="1"/>
  <c r="Z15" i="19"/>
  <c r="Y15" i="19"/>
  <c r="X15" i="19"/>
  <c r="U15" i="19"/>
  <c r="U35" i="19" s="1"/>
  <c r="T15" i="19"/>
  <c r="T35" i="19" s="1"/>
  <c r="S15" i="19"/>
  <c r="S35" i="19" s="1"/>
  <c r="AE14" i="19"/>
  <c r="AJ15" i="4" s="1"/>
  <c r="AD14" i="19"/>
  <c r="AH15" i="4" s="1"/>
  <c r="AC14" i="19"/>
  <c r="AF15" i="4" s="1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J14" i="4" s="1"/>
  <c r="AD13" i="19"/>
  <c r="AH14" i="4" s="1"/>
  <c r="AC13" i="19"/>
  <c r="AF14" i="4" s="1"/>
  <c r="Z13" i="19"/>
  <c r="Y13" i="19"/>
  <c r="X13" i="19"/>
  <c r="U13" i="19"/>
  <c r="U33" i="19" s="1"/>
  <c r="T13" i="19"/>
  <c r="T33" i="19" s="1"/>
  <c r="S13" i="19"/>
  <c r="S33" i="19" s="1"/>
  <c r="AE12" i="19"/>
  <c r="AJ13" i="4" s="1"/>
  <c r="AD12" i="19"/>
  <c r="AH13" i="4" s="1"/>
  <c r="AC12" i="19"/>
  <c r="AF13" i="4" s="1"/>
  <c r="Z12" i="19"/>
  <c r="Y12" i="19"/>
  <c r="X12" i="19"/>
  <c r="U12" i="19"/>
  <c r="U32" i="19" s="1"/>
  <c r="T12" i="19"/>
  <c r="T32" i="19" s="1"/>
  <c r="S12" i="19"/>
  <c r="S32" i="19" s="1"/>
  <c r="AE11" i="19"/>
  <c r="AJ12" i="4" s="1"/>
  <c r="AD11" i="19"/>
  <c r="AH12" i="4" s="1"/>
  <c r="AC11" i="19"/>
  <c r="AF12" i="4" s="1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J11" i="4" s="1"/>
  <c r="AD10" i="19"/>
  <c r="AH11" i="4" s="1"/>
  <c r="AC10" i="19"/>
  <c r="AF11" i="4" s="1"/>
  <c r="Z10" i="19"/>
  <c r="Y10" i="19"/>
  <c r="X10" i="19"/>
  <c r="U10" i="19"/>
  <c r="U30" i="19" s="1"/>
  <c r="T10" i="19"/>
  <c r="T30" i="19" s="1"/>
  <c r="S10" i="19"/>
  <c r="S30" i="19" s="1"/>
  <c r="AE9" i="19"/>
  <c r="AJ10" i="4" s="1"/>
  <c r="AD9" i="19"/>
  <c r="AH10" i="4" s="1"/>
  <c r="AC9" i="19"/>
  <c r="AF10" i="4" s="1"/>
  <c r="Z9" i="19"/>
  <c r="Y9" i="19"/>
  <c r="X9" i="19"/>
  <c r="U9" i="19"/>
  <c r="U29" i="19" s="1"/>
  <c r="T9" i="19"/>
  <c r="T29" i="19" s="1"/>
  <c r="S9" i="19"/>
  <c r="S29" i="19" s="1"/>
  <c r="AE8" i="19"/>
  <c r="AJ9" i="4" s="1"/>
  <c r="AD8" i="19"/>
  <c r="AH9" i="4" s="1"/>
  <c r="AC8" i="19"/>
  <c r="AF9" i="4" s="1"/>
  <c r="Z8" i="19"/>
  <c r="Y8" i="19"/>
  <c r="X8" i="19"/>
  <c r="U8" i="19"/>
  <c r="U28" i="19" s="1"/>
  <c r="T8" i="19"/>
  <c r="T28" i="19" s="1"/>
  <c r="S8" i="19"/>
  <c r="S28" i="19" s="1"/>
  <c r="AE7" i="19"/>
  <c r="AJ8" i="4" s="1"/>
  <c r="AD7" i="19"/>
  <c r="AH8" i="4" s="1"/>
  <c r="AC7" i="19"/>
  <c r="AF8" i="4" s="1"/>
  <c r="Z7" i="19"/>
  <c r="Y7" i="19"/>
  <c r="X7" i="19"/>
  <c r="U7" i="19"/>
  <c r="U27" i="19" s="1"/>
  <c r="T7" i="19"/>
  <c r="T27" i="19" s="1"/>
  <c r="S7" i="19"/>
  <c r="S27" i="19" s="1"/>
  <c r="AE6" i="19"/>
  <c r="AJ7" i="4" s="1"/>
  <c r="AD6" i="19"/>
  <c r="AH7" i="4" s="1"/>
  <c r="AC6" i="19"/>
  <c r="AF7" i="4" s="1"/>
  <c r="Z6" i="19"/>
  <c r="Y6" i="19"/>
  <c r="X6" i="19"/>
  <c r="U6" i="19"/>
  <c r="R6" i="19" s="1"/>
  <c r="R26" i="19" s="1"/>
  <c r="T6" i="19"/>
  <c r="T26" i="19" s="1"/>
  <c r="S6" i="19"/>
  <c r="S26" i="19" s="1"/>
  <c r="AE5" i="19"/>
  <c r="AJ6" i="4" s="1"/>
  <c r="AD5" i="19"/>
  <c r="AH6" i="4" s="1"/>
  <c r="AC5" i="19"/>
  <c r="AF6" i="4" s="1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J5" i="4" s="1"/>
  <c r="AD4" i="19"/>
  <c r="AH5" i="4" s="1"/>
  <c r="AC4" i="19"/>
  <c r="AF5" i="4" s="1"/>
  <c r="Z4" i="19"/>
  <c r="Y14" i="4" s="1"/>
  <c r="Y4" i="19"/>
  <c r="R14" i="5" s="1"/>
  <c r="X4" i="19"/>
  <c r="X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J4" i="4" s="1"/>
  <c r="AD3" i="19"/>
  <c r="AH4" i="4" s="1"/>
  <c r="AC3" i="19"/>
  <c r="AF4" i="4" s="1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E17" i="3" l="1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F15" i="3"/>
  <c r="E15" i="3" s="1"/>
  <c r="T14" i="4"/>
  <c r="S14" i="5"/>
  <c r="R9" i="19"/>
  <c r="R16" i="19"/>
  <c r="N3" i="19"/>
  <c r="O5" i="19" s="1"/>
  <c r="D14" i="5" s="1"/>
  <c r="K86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7" i="21" l="1"/>
  <c r="Q44" i="21"/>
  <c r="Q44" i="20"/>
  <c r="Q47" i="20"/>
  <c r="R27" i="19"/>
  <c r="U22" i="3"/>
  <c r="W8" i="3"/>
  <c r="U21" i="3"/>
  <c r="S23" i="3"/>
  <c r="R33" i="19"/>
  <c r="S22" i="3"/>
  <c r="S9" i="3"/>
  <c r="U8" i="3"/>
  <c r="S8" i="3"/>
  <c r="Q8" i="3"/>
  <c r="U18" i="3"/>
  <c r="U17" i="3"/>
  <c r="R36" i="19"/>
  <c r="S18" i="3"/>
  <c r="S21" i="3"/>
  <c r="R29" i="19"/>
  <c r="W21" i="3"/>
  <c r="R28" i="19"/>
  <c r="U23" i="3"/>
  <c r="U10" i="3"/>
  <c r="U9" i="3"/>
  <c r="S11" i="3"/>
  <c r="Q10" i="3"/>
  <c r="W23" i="3"/>
  <c r="W18" i="3"/>
  <c r="W17" i="3"/>
  <c r="W22" i="3"/>
  <c r="S20" i="3"/>
  <c r="Q19" i="3"/>
  <c r="U20" i="3"/>
  <c r="O3" i="19"/>
  <c r="D14" i="4" s="1"/>
  <c r="J86" i="3" s="1"/>
  <c r="U19" i="3"/>
  <c r="R38" i="19"/>
  <c r="R30" i="19"/>
  <c r="O4" i="19"/>
  <c r="D14" i="6" s="1"/>
  <c r="L86" i="3" s="1"/>
  <c r="S10" i="3"/>
  <c r="W11" i="3"/>
  <c r="S13" i="3"/>
  <c r="W10" i="3"/>
  <c r="S12" i="3"/>
  <c r="W9" i="3"/>
  <c r="U12" i="3"/>
  <c r="W12" i="3"/>
  <c r="U15" i="3"/>
  <c r="S19" i="3"/>
  <c r="R35" i="19"/>
  <c r="R24" i="19"/>
  <c r="R37" i="19"/>
  <c r="U11" i="3"/>
  <c r="W15" i="3"/>
  <c r="U14" i="3"/>
  <c r="W14" i="3"/>
  <c r="U13" i="3"/>
  <c r="Q11" i="3"/>
  <c r="S15" i="3"/>
  <c r="W16" i="3"/>
  <c r="R32" i="19"/>
  <c r="S14" i="3"/>
  <c r="W19" i="3"/>
  <c r="S17" i="3"/>
  <c r="Q16" i="3"/>
  <c r="S16" i="3"/>
  <c r="W13" i="3"/>
  <c r="U16" i="3"/>
  <c r="W20" i="3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9" i="3" l="1"/>
  <c r="Q13" i="3"/>
  <c r="Q44" i="19"/>
  <c r="Q15" i="3"/>
  <c r="Q22" i="3"/>
  <c r="Q20" i="3"/>
  <c r="V32" i="4" s="1"/>
  <c r="Q21" i="3"/>
  <c r="Q18" i="3"/>
  <c r="U32" i="6" s="1"/>
  <c r="Q23" i="3"/>
  <c r="Q17" i="3"/>
  <c r="Q14" i="3"/>
  <c r="Q12" i="3"/>
  <c r="V35" i="5"/>
  <c r="S36" i="6"/>
  <c r="S35" i="6"/>
  <c r="S34" i="6"/>
  <c r="U35" i="6"/>
  <c r="U34" i="6"/>
  <c r="U33" i="6"/>
  <c r="V34" i="4"/>
  <c r="T35" i="5"/>
  <c r="T34" i="5"/>
  <c r="V34" i="5"/>
  <c r="V33" i="5"/>
  <c r="T36" i="4"/>
  <c r="U36" i="4" s="1"/>
  <c r="T34" i="4"/>
  <c r="U34" i="4" s="1"/>
  <c r="V35" i="4"/>
  <c r="V33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S33" i="6" l="1"/>
  <c r="T33" i="5"/>
  <c r="T33" i="4"/>
  <c r="U33" i="4" s="1"/>
  <c r="V32" i="5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F9" i="3" l="1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<sst xmlns="http://schemas.openxmlformats.org/spreadsheetml/2006/main" count="2522" uniqueCount="233">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</sst>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6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  <xf numFmtId="0" fontId="1" fillId="0" borderId="0" xfId="0" applyFont="1" applyAlignment="1"/>
    <xf numFmtId="16" fontId="2" fillId="0" borderId="0" xfId="0" applyNumberFormat="1" applyFont="1" applyAlignment="1"/>
    <xf numFmtId="0" fontId="15" fillId="0" borderId="1" xfId="0" applyFont="1" applyBorder="1" applyAlignment="1">
      <alignment horizontal="center"/>
    </xf>
    <xf numFmtId="0" fontId="0" fillId="4" borderId="2" xfId="0" applyFont="1" applyFill="1" applyBorder="1" applyAlignment="1"/>
    <xf numFmtId="0" fontId="0" fillId="5" borderId="2" xfId="0" applyFont="1" applyFill="1" applyBorder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4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Global'!$J$76:$J$88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Global'!$K$76:$K$88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Global'!$L$76:$L$88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Global'!$G$94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Global'!$H$94:$T$94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Global'!$G$95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Global'!$H$95:$T$95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Global'!$G$96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Global'!$G$97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Global'!$G$98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Global'!$G$99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Global'!$G$100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Global'!$G$101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Global'!$G$102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Global'!$G$103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Global'!$G$104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Global'!$G$105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Global'!$G$106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Global'!$G$107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Global'!$G$108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Global'!$G$109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48" headerRowBorderDxfId="47" tableBorderDxfId="46" totalsRowBorderDxfId="45">
  <autoFilter ref="P7:AC23" xr:uid="{598ECA3B-99B4-4CAB-8F81-5D711AA5A7FC}"/>
  <tableColumns count="14">
    <tableColumn id="1" xr3:uid="{9B036617-5450-4894-9268-827D2E0914FF}" name="Scoring" dataDxfId="44"/>
    <tableColumn id="2" xr3:uid="{6662CE93-E9C4-47DE-9476-E46126825B0A}" name="Points" dataDxfId="43">
      <calculatedColumnFormula>Q29+Q48+Q67+AB29+AB50</calculatedColumnFormula>
    </tableColumn>
    <tableColumn id="3" xr3:uid="{8FDDFCB0-2692-4EB0-948C-7B877263B55B}" name="Average" dataDxfId="42">
      <calculatedColumnFormula>Table1[[#This Row],[Points]]/($Q$5-Table1[[#This Row],[Missed Games]])</calculatedColumnFormula>
    </tableColumn>
    <tableColumn id="4" xr3:uid="{CC3F9B31-1857-48FB-A18B-CBC82C117BF4}" name="Finishes" dataDxfId="41">
      <calculatedColumnFormula>S29+S48+S67+AD29+AD50</calculatedColumnFormula>
    </tableColumn>
    <tableColumn id="5" xr3:uid="{5F324C66-956D-4EDC-870F-8EDE96C328C8}" name="Averages" dataDxfId="40">
      <calculatedColumnFormula>Table1[[#This Row],[Finishes]]/($Q$5-Table1[[#This Row],[Missed Games]])</calculatedColumnFormula>
    </tableColumn>
    <tableColumn id="6" xr3:uid="{80C6E15E-675D-4F58-AA26-27226F1CE373}" name="Midranges" dataDxfId="39">
      <calculatedColumnFormula>U29+U48+U67+AF29+AF50</calculatedColumnFormula>
    </tableColumn>
    <tableColumn id="7" xr3:uid="{8E7E6B37-23A0-4556-8839-B9D7834E3E68}" name="Averages2" dataDxfId="38">
      <calculatedColumnFormula>Table1[[#This Row],[Midranges]]/($Q$5-Table1[[#This Row],[Missed Games]])</calculatedColumnFormula>
    </tableColumn>
    <tableColumn id="8" xr3:uid="{8B28715D-E310-4E1F-B9F0-F58F7C70E830}" name="Threes" dataDxfId="37">
      <calculatedColumnFormula>W29+W48+W67+AH29+AH50</calculatedColumnFormula>
    </tableColumn>
    <tableColumn id="9" xr3:uid="{E0C0BF1C-40E8-4137-8E0F-BB238D651DAE}" name="Averages3" dataDxfId="36">
      <calculatedColumnFormula>Table1[[#This Row],[Threes]]/($Q$5-Table1[[#This Row],[Missed Games]])</calculatedColumnFormula>
    </tableColumn>
    <tableColumn id="10" xr3:uid="{1C75F230-74E0-47EE-BF13-C22289FE0F87}" name="Team" dataDxfId="35"/>
    <tableColumn id="11" xr3:uid="{E167D7FA-56F9-4571-B292-FF3869585F59}" name="Missed Games" dataDxfId="34">
      <calculatedColumnFormula>Y29+Y48+Y67+AJ29+AJ50</calculatedColumnFormula>
    </tableColumn>
    <tableColumn id="12" xr3:uid="{1E9F03B6-331B-4AEA-A1FF-6B0C39F44510}" name="Last Season" dataDxfId="33" dataCellStyle="Percent"/>
    <tableColumn id="13" xr3:uid="{070DA09E-0E42-4E75-A3F1-D53845D2080C}" name="This Season" dataDxfId="32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31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30" dataDxfId="29">
  <autoFilter ref="AC3:AL19" xr:uid="{587B90AE-8257-4DD1-B916-54A097BDCDB9}"/>
  <tableColumns count="10">
    <tableColumn id="1" xr3:uid="{9C18B4B0-9A37-408A-98B5-B414F029A26A}" name="Scoring" dataDxfId="28"/>
    <tableColumn id="2" xr3:uid="{CC6666B6-FDFB-4B1A-846E-17C28664C92E}" name="Points" dataDxfId="27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26">
      <calculatedColumnFormula>Table2[[#This Row],[Points]]/($AE$2-Table2[[#This Row],[DNP]])</calculatedColumnFormula>
    </tableColumn>
    <tableColumn id="4" xr3:uid="{FA85A798-E688-4A4F-A92F-2DD56D710025}" name="Finishes" dataDxfId="25">
      <calculatedColumnFormula>'2404'!AC3+'2604'!AC3+'0205'!AC3+'0305'!AC3+'0805'!AC3+'0905'!AC3+'1005'!AC3+'1505'!AC3+'1605'!AC3+'1705'!AC3+'2205'!AC3</calculatedColumnFormula>
    </tableColumn>
    <tableColumn id="5" xr3:uid="{14C722B6-CCC7-4AA5-A077-4781282133B0}" name="Avg F" dataDxfId="24">
      <calculatedColumnFormula>Table2[[#This Row],[Finishes]]/($AE$2-Table2[[#This Row],[DNP]])</calculatedColumnFormula>
    </tableColumn>
    <tableColumn id="6" xr3:uid="{1E54054E-9F21-4987-99FC-EF35338EC708}" name="Midranges" dataDxfId="23">
      <calculatedColumnFormula>'2404'!AD3+'2604'!AD3+'0205'!AD3+'0305'!AD3+'0805'!AD3+'0905'!AD3+'1005'!AD3+'1505'!AD3+'1605'!AD3+'1705'!AD3+'2205'!AD3</calculatedColumnFormula>
    </tableColumn>
    <tableColumn id="7" xr3:uid="{3BC984C2-EE5E-43C7-8014-7F0DA5F9EB7A}" name="Avg M" dataDxfId="22">
      <calculatedColumnFormula>Table2[[#This Row],[Midranges]]/($AE$2-Table2[[#This Row],[DNP]])</calculatedColumnFormula>
    </tableColumn>
    <tableColumn id="8" xr3:uid="{9FAC1FFA-039C-4124-88C5-1A3BE26F7F04}" name="Threes" dataDxfId="21">
      <calculatedColumnFormula>'2404'!AE3+'2604'!AE3+'0205'!AE3+'0305'!AE3+'0805'!AE3+'0905'!AE3+'1005'!AE3+'1505'!AE3+'1605'!AE3+'1705'!AE3+'2205'!AE3</calculatedColumnFormula>
    </tableColumn>
    <tableColumn id="9" xr3:uid="{44E19C86-A8F7-4165-82A8-E143251937CE}" name="Avg 3" dataDxfId="20">
      <calculatedColumnFormula>Table2[[#This Row],[Threes]]/($AE$2-Table2[[#This Row],[DNP]])</calculatedColumnFormula>
    </tableColumn>
    <tableColumn id="10" xr3:uid="{DA5CCBEE-C42A-4EE7-8A28-4BA362276422}" name="DNP" dataDxfId="19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K41" sqref="K41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0.53846153846153844</v>
      </c>
      <c r="E3" s="1">
        <f>'Stats Global'!Q8</f>
        <v>7</v>
      </c>
      <c r="F3" s="14">
        <f>'Stats Global'!T8</f>
        <v>0.15384615384615385</v>
      </c>
      <c r="G3" s="24">
        <f>'Stats Global'!S8</f>
        <v>2</v>
      </c>
      <c r="H3" s="14">
        <f>'Stats Global'!V8</f>
        <v>0.38461538461538464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0.72727272727272729</v>
      </c>
      <c r="E4" s="24">
        <f>'Stats Global'!Q9</f>
        <v>8</v>
      </c>
      <c r="F4" s="14">
        <f>'Stats Global'!T9</f>
        <v>0.45454545454545453</v>
      </c>
      <c r="G4" s="24">
        <f>'Stats Global'!S9</f>
        <v>5</v>
      </c>
      <c r="H4" s="14">
        <f>'Stats Global'!V9</f>
        <v>0.27272727272727271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</v>
      </c>
      <c r="E5" s="24">
        <f>'Stats Global'!Q10</f>
        <v>25</v>
      </c>
      <c r="F5" s="14">
        <f>'Stats Global'!T10</f>
        <v>2.5</v>
      </c>
      <c r="G5" s="24">
        <f>'Stats Global'!S10</f>
        <v>25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2.9230769230769229</v>
      </c>
      <c r="E6" s="24">
        <f>'Stats Global'!Q11</f>
        <v>38</v>
      </c>
      <c r="F6" s="14">
        <f>'Stats Global'!T11</f>
        <v>2.6923076923076925</v>
      </c>
      <c r="G6" s="24">
        <f>'Stats Global'!S11</f>
        <v>35</v>
      </c>
      <c r="H6" s="14">
        <f>'Stats Global'!V11</f>
        <v>0.23076923076923078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1.9230769230769231</v>
      </c>
      <c r="E7" s="24">
        <f>'Stats Global'!Q12</f>
        <v>25</v>
      </c>
      <c r="F7" s="14">
        <f>'Stats Global'!T12</f>
        <v>0.53846153846153844</v>
      </c>
      <c r="G7" s="24">
        <f>'Stats Global'!S12</f>
        <v>7</v>
      </c>
      <c r="H7" s="14">
        <f>'Stats Global'!V12</f>
        <v>0.92307692307692313</v>
      </c>
      <c r="I7" s="24">
        <f>'Stats Global'!U12</f>
        <v>12</v>
      </c>
      <c r="J7" s="14">
        <f>'Stats Global'!X12</f>
        <v>0.23076923076923078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</v>
      </c>
      <c r="E8" s="24">
        <f>'Stats Global'!Q13</f>
        <v>7</v>
      </c>
      <c r="F8" s="14">
        <f>'Stats Global'!T13</f>
        <v>0.4</v>
      </c>
      <c r="G8" s="24">
        <f>'Stats Global'!S13</f>
        <v>4</v>
      </c>
      <c r="H8" s="14">
        <f>'Stats Global'!V13</f>
        <v>0.3</v>
      </c>
      <c r="I8" s="24">
        <f>'Stats Global'!U13</f>
        <v>3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1.3846153846153846</v>
      </c>
      <c r="E9" s="24">
        <f>'Stats Global'!Q14</f>
        <v>18</v>
      </c>
      <c r="F9" s="14">
        <f>'Stats Global'!T14</f>
        <v>0.30769230769230771</v>
      </c>
      <c r="G9" s="24">
        <f>'Stats Global'!S14</f>
        <v>4</v>
      </c>
      <c r="H9" s="14">
        <f>'Stats Global'!V14</f>
        <v>0.15384615384615385</v>
      </c>
      <c r="I9" s="24">
        <f>'Stats Global'!U14</f>
        <v>2</v>
      </c>
      <c r="J9" s="14">
        <f>'Stats Global'!X14</f>
        <v>0.46153846153846156</v>
      </c>
      <c r="K9" s="24">
        <f>'Stats Global'!W14</f>
        <v>6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1.3846153846153846</v>
      </c>
      <c r="E10" s="24">
        <f>'Stats Global'!Q15</f>
        <v>18</v>
      </c>
      <c r="F10" s="14">
        <f>'Stats Global'!T15</f>
        <v>0.46153846153846156</v>
      </c>
      <c r="G10" s="24">
        <f>'Stats Global'!S15</f>
        <v>6</v>
      </c>
      <c r="H10" s="14">
        <f>'Stats Global'!V15</f>
        <v>0.92307692307692313</v>
      </c>
      <c r="I10" s="24">
        <f>'Stats Global'!U15</f>
        <v>12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2.4166666666666665</v>
      </c>
      <c r="E11" s="24">
        <f>'Stats Global'!Q16</f>
        <v>29</v>
      </c>
      <c r="F11" s="14">
        <f>'Stats Global'!T16</f>
        <v>0.58333333333333337</v>
      </c>
      <c r="G11" s="24">
        <f>'Stats Global'!S16</f>
        <v>7</v>
      </c>
      <c r="H11" s="14">
        <f>'Stats Global'!V16</f>
        <v>1.8333333333333333</v>
      </c>
      <c r="I11" s="24">
        <f>'Stats Global'!U16</f>
        <v>22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0.91666666666666663</v>
      </c>
      <c r="E12" s="24">
        <f>'Stats Global'!Q17</f>
        <v>11</v>
      </c>
      <c r="F12" s="14">
        <f>'Stats Global'!T17</f>
        <v>8.3333333333333329E-2</v>
      </c>
      <c r="G12" s="24">
        <f>'Stats Global'!S17</f>
        <v>1</v>
      </c>
      <c r="H12" s="14">
        <f>'Stats Global'!V17</f>
        <v>0.83333333333333337</v>
      </c>
      <c r="I12" s="24">
        <f>'Stats Global'!U17</f>
        <v>10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1.0909090909090908</v>
      </c>
      <c r="E13" s="24">
        <f>'Stats Global'!Q18</f>
        <v>12</v>
      </c>
      <c r="F13" s="14">
        <f>'Stats Global'!T18</f>
        <v>0.72727272727272729</v>
      </c>
      <c r="G13" s="24">
        <f>'Stats Global'!S18</f>
        <v>8</v>
      </c>
      <c r="H13" s="14">
        <f>'Stats Global'!V18</f>
        <v>0.18181818181818182</v>
      </c>
      <c r="I13" s="24">
        <f>'Stats Global'!U18</f>
        <v>2</v>
      </c>
      <c r="J13" s="14">
        <f>'Stats Global'!X18</f>
        <v>9.0909090909090912E-2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1.0769230769230769</v>
      </c>
      <c r="E14" s="24">
        <f>'Stats Global'!Q19</f>
        <v>14</v>
      </c>
      <c r="F14" s="14">
        <f>'Stats Global'!T19</f>
        <v>0.53846153846153844</v>
      </c>
      <c r="G14" s="24">
        <f>'Stats Global'!S19</f>
        <v>7</v>
      </c>
      <c r="H14" s="14">
        <f>'Stats Global'!V19</f>
        <v>0.53846153846153844</v>
      </c>
      <c r="I14" s="24">
        <f>'Stats Global'!U19</f>
        <v>7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2.5</v>
      </c>
      <c r="E15" s="24">
        <f>'Stats Global'!Q20</f>
        <v>25</v>
      </c>
      <c r="F15" s="14">
        <f>'Stats Global'!T20</f>
        <v>1.7</v>
      </c>
      <c r="G15" s="24">
        <f>'Stats Global'!S20</f>
        <v>17</v>
      </c>
      <c r="H15" s="14">
        <f>'Stats Global'!V20</f>
        <v>0.2</v>
      </c>
      <c r="I15" s="24">
        <f>'Stats Global'!U20</f>
        <v>2</v>
      </c>
      <c r="J15" s="14">
        <f>'Stats Global'!X20</f>
        <v>0.3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0.15384615384615385</v>
      </c>
      <c r="E16" s="24">
        <f>'Stats Global'!Q21</f>
        <v>2</v>
      </c>
      <c r="F16" s="14">
        <f>'Stats Global'!T21</f>
        <v>0.15384615384615385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0.53846153846153844</v>
      </c>
      <c r="E17" s="24">
        <f>'Stats Global'!Q22</f>
        <v>7</v>
      </c>
      <c r="F17" s="14">
        <f>'Stats Global'!T22</f>
        <v>0.30769230769230771</v>
      </c>
      <c r="G17" s="24">
        <f>'Stats Global'!S22</f>
        <v>4</v>
      </c>
      <c r="H17" s="14">
        <f>'Stats Global'!V22</f>
        <v>0.23076923076923078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0.33333333333333331</v>
      </c>
      <c r="E18" s="24">
        <f>'Stats Global'!Q23</f>
        <v>4</v>
      </c>
      <c r="F18" s="14">
        <f>'Stats Global'!T23</f>
        <v>0.25</v>
      </c>
      <c r="G18" s="24">
        <f>'Stats Global'!S23</f>
        <v>3</v>
      </c>
      <c r="H18" s="14">
        <f>'Stats Global'!V23</f>
        <v>8.3333333333333329E-2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3" t="s">
        <v>159</v>
      </c>
      <c r="M20" s="133"/>
      <c r="N20" s="13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3"/>
      <c r="M21" s="133"/>
      <c r="N21" s="133"/>
      <c r="X21" s="3" t="s">
        <v>85</v>
      </c>
    </row>
    <row r="22" spans="2:24" ht="14.25" customHeight="1" x14ac:dyDescent="0.45">
      <c r="B22" s="4"/>
      <c r="D22" s="41" t="str">
        <f>ROUND(D3,2)&amp;","</f>
        <v>0.54,</v>
      </c>
      <c r="E22" s="41" t="str">
        <f>E3&amp;","</f>
        <v>7,</v>
      </c>
      <c r="F22" s="41" t="str">
        <f t="shared" ref="F22:F37" si="2">ROUND(F3,2)&amp;","</f>
        <v>0.15,</v>
      </c>
      <c r="G22" s="41" t="str">
        <f t="shared" ref="G22:G36" si="3">G3&amp;","</f>
        <v>2,</v>
      </c>
      <c r="H22" s="41" t="str">
        <f t="shared" ref="H22:H37" si="4">ROUND(H3,2)&amp;","</f>
        <v>0.38,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"PPG":[0.54,0.73,2.5,2.92,1.92,0.7,1.38,1.38,2.42,0.92,1.09,1.08,2.5,0.15,0.54,0.33,],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0.73,</v>
      </c>
      <c r="E23" s="41" t="str">
        <f t="shared" ref="E23:E37" si="9">E4&amp;","</f>
        <v>8,</v>
      </c>
      <c r="F23" s="41" t="str">
        <f t="shared" si="2"/>
        <v>0.45,</v>
      </c>
      <c r="G23" s="41" t="str">
        <f t="shared" si="3"/>
        <v>5,</v>
      </c>
      <c r="H23" s="41" t="str">
        <f t="shared" si="4"/>
        <v>0.27,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"TP":[7,8,25,38,25,7,18,18,29,11,12,14,25,2,7,4,],</v>
      </c>
      <c r="X23" s="3" t="s">
        <v>87</v>
      </c>
    </row>
    <row r="24" spans="2:24" ht="14.25" customHeight="1" x14ac:dyDescent="0.45">
      <c r="D24" s="41" t="str">
        <f t="shared" si="8"/>
        <v>2.5,</v>
      </c>
      <c r="E24" s="41" t="str">
        <f t="shared" si="9"/>
        <v>25,</v>
      </c>
      <c r="F24" s="41" t="str">
        <f t="shared" si="2"/>
        <v>2.5,</v>
      </c>
      <c r="G24" s="41" t="str">
        <f t="shared" si="3"/>
        <v>25,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"FPG":[0.15,0.45,2.5,2.69,0.54,0.4,0.31,0.46,0.58,0.08,0.73,0.54,1.7,0.15,0.31,0.25,],</v>
      </c>
      <c r="X24" s="40" t="s">
        <v>107</v>
      </c>
    </row>
    <row r="25" spans="2:24" ht="14.25" customHeight="1" x14ac:dyDescent="0.45">
      <c r="D25" s="41" t="str">
        <f t="shared" si="8"/>
        <v>2.92,</v>
      </c>
      <c r="E25" s="41" t="str">
        <f t="shared" si="9"/>
        <v>38,</v>
      </c>
      <c r="F25" s="41" t="str">
        <f t="shared" si="2"/>
        <v>2.69,</v>
      </c>
      <c r="G25" s="41" t="str">
        <f t="shared" si="3"/>
        <v>35,</v>
      </c>
      <c r="H25" s="41" t="str">
        <f t="shared" si="4"/>
        <v>0.23,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"TF":[2,5,25,35,7,4,4,6,7,1,8,7,17,2,4,3],</v>
      </c>
    </row>
    <row r="26" spans="2:24" ht="14.25" customHeight="1" x14ac:dyDescent="0.45">
      <c r="D26" s="41" t="str">
        <f t="shared" si="8"/>
        <v>1.92,</v>
      </c>
      <c r="E26" s="41" t="str">
        <f t="shared" si="9"/>
        <v>25,</v>
      </c>
      <c r="F26" s="41" t="str">
        <f t="shared" si="2"/>
        <v>0.54,</v>
      </c>
      <c r="G26" s="41" t="str">
        <f t="shared" si="3"/>
        <v>7,</v>
      </c>
      <c r="H26" s="41" t="str">
        <f t="shared" si="4"/>
        <v>0.92,</v>
      </c>
      <c r="I26" s="41" t="str">
        <f t="shared" si="5"/>
        <v>12,</v>
      </c>
      <c r="J26" s="41" t="str">
        <f t="shared" si="6"/>
        <v>0.23,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"MPG":[0.38,0.27,0,0.23,0.92,0.3,0.15,0.92,1.83,0.83,0.18,0.54,0.2,0,0.23,0.08,],</v>
      </c>
    </row>
    <row r="27" spans="2:24" ht="14.25" customHeight="1" x14ac:dyDescent="0.45">
      <c r="D27" s="41" t="str">
        <f t="shared" si="8"/>
        <v>0.7,</v>
      </c>
      <c r="E27" s="41" t="str">
        <f t="shared" si="9"/>
        <v>7,</v>
      </c>
      <c r="F27" s="41" t="str">
        <f t="shared" si="2"/>
        <v>0.4,</v>
      </c>
      <c r="G27" s="41" t="str">
        <f t="shared" si="3"/>
        <v>4,</v>
      </c>
      <c r="H27" s="41" t="str">
        <f t="shared" si="4"/>
        <v>0.3,</v>
      </c>
      <c r="I27" s="41" t="str">
        <f t="shared" si="5"/>
        <v>3,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"TM":[5,3,0,3,12,3,2,12,22,10,2,7,2,0,3,1],</v>
      </c>
    </row>
    <row r="28" spans="2:24" ht="14.25" customHeight="1" x14ac:dyDescent="0.45">
      <c r="D28" s="41" t="str">
        <f t="shared" si="8"/>
        <v>1.38,</v>
      </c>
      <c r="E28" s="41" t="str">
        <f t="shared" si="9"/>
        <v>18,</v>
      </c>
      <c r="F28" s="41" t="str">
        <f t="shared" si="2"/>
        <v>0.31,</v>
      </c>
      <c r="G28" s="41" t="str">
        <f t="shared" si="3"/>
        <v>4,</v>
      </c>
      <c r="H28" s="41" t="str">
        <f t="shared" si="4"/>
        <v>0.15,</v>
      </c>
      <c r="I28" s="41" t="str">
        <f t="shared" si="5"/>
        <v>2,</v>
      </c>
      <c r="J28" s="41" t="str">
        <f t="shared" si="6"/>
        <v>0.46,</v>
      </c>
      <c r="K28" s="41" t="str">
        <f t="shared" si="7"/>
        <v>6,</v>
      </c>
      <c r="L28" t="str">
        <f>J21&amp;":["&amp;J22&amp;J23&amp;J24&amp;J25&amp;J26&amp;J27&amp;J28&amp;J29&amp;J30&amp;J31&amp;J32&amp;J33&amp;J34&amp;J35&amp;J36&amp;J37&amp;"],"</f>
        <v>"TPG":[0,0,0,0,0.23,0,0.46,0,0,0,0.09,0,0.3,0,0,0,],</v>
      </c>
    </row>
    <row r="29" spans="2:24" ht="14.25" customHeight="1" x14ac:dyDescent="0.45">
      <c r="D29" s="41" t="str">
        <f t="shared" si="8"/>
        <v>1.38,</v>
      </c>
      <c r="E29" s="41" t="str">
        <f t="shared" si="9"/>
        <v>18,</v>
      </c>
      <c r="F29" s="41" t="str">
        <f t="shared" si="2"/>
        <v>0.46,</v>
      </c>
      <c r="G29" s="41" t="str">
        <f t="shared" si="3"/>
        <v>6,</v>
      </c>
      <c r="H29" s="41" t="str">
        <f t="shared" si="4"/>
        <v>0.92,</v>
      </c>
      <c r="I29" s="41" t="str">
        <f t="shared" si="5"/>
        <v>12,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"TT":[0,0,0,0,3,0,6,0,0,0,1,0,3,0,0,0],</v>
      </c>
    </row>
    <row r="30" spans="2:24" ht="14.25" customHeight="1" x14ac:dyDescent="0.45">
      <c r="C30" s="41"/>
      <c r="D30" s="41" t="str">
        <f t="shared" si="8"/>
        <v>2.42,</v>
      </c>
      <c r="E30" s="41" t="str">
        <f t="shared" si="9"/>
        <v>29,</v>
      </c>
      <c r="F30" s="41" t="str">
        <f t="shared" si="2"/>
        <v>0.58,</v>
      </c>
      <c r="G30" s="41" t="str">
        <f t="shared" si="3"/>
        <v>7,</v>
      </c>
      <c r="H30" s="41" t="str">
        <f t="shared" si="4"/>
        <v>1.83,</v>
      </c>
      <c r="I30" s="41" t="str">
        <f t="shared" si="5"/>
        <v>22,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"NBAMODENUMBER":[13.5],</v>
      </c>
    </row>
    <row r="31" spans="2:24" ht="14.25" customHeight="1" x14ac:dyDescent="0.45">
      <c r="C31" s="41"/>
      <c r="D31" s="41" t="str">
        <f t="shared" si="8"/>
        <v>0.92,</v>
      </c>
      <c r="E31" s="41" t="str">
        <f t="shared" si="9"/>
        <v>11,</v>
      </c>
      <c r="F31" s="41" t="str">
        <f t="shared" si="2"/>
        <v>0.08,</v>
      </c>
      <c r="G31" s="41" t="str">
        <f t="shared" si="3"/>
        <v>1,</v>
      </c>
      <c r="H31" s="41" t="str">
        <f t="shared" si="4"/>
        <v>0.83,</v>
      </c>
      <c r="I31" s="41" t="str">
        <f t="shared" si="5"/>
        <v>10,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13.502037480812342</v>
      </c>
    </row>
    <row r="32" spans="2:24" ht="14.25" customHeight="1" x14ac:dyDescent="0.45">
      <c r="C32" s="41"/>
      <c r="D32" s="41" t="str">
        <f t="shared" si="8"/>
        <v>1.09,</v>
      </c>
      <c r="E32" s="41" t="str">
        <f t="shared" si="9"/>
        <v>12,</v>
      </c>
      <c r="F32" s="41" t="str">
        <f t="shared" si="2"/>
        <v>0.73,</v>
      </c>
      <c r="G32" s="41" t="str">
        <f t="shared" si="3"/>
        <v>8,</v>
      </c>
      <c r="H32" s="41" t="str">
        <f t="shared" si="4"/>
        <v>0.18,</v>
      </c>
      <c r="I32" s="41" t="str">
        <f t="shared" si="5"/>
        <v>2,</v>
      </c>
      <c r="J32" s="41" t="str">
        <f t="shared" si="6"/>
        <v>0.09,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1.08,</v>
      </c>
      <c r="E33" s="41" t="str">
        <f t="shared" si="9"/>
        <v>14,</v>
      </c>
      <c r="F33" s="41" t="str">
        <f t="shared" si="2"/>
        <v>0.54,</v>
      </c>
      <c r="G33" s="41" t="str">
        <f t="shared" si="3"/>
        <v>7,</v>
      </c>
      <c r="H33" s="41" t="str">
        <f t="shared" si="4"/>
        <v>0.54,</v>
      </c>
      <c r="I33" s="41" t="str">
        <f t="shared" si="5"/>
        <v>7,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2.5,</v>
      </c>
      <c r="E34" s="41" t="str">
        <f t="shared" si="9"/>
        <v>25,</v>
      </c>
      <c r="F34" s="41" t="str">
        <f t="shared" si="2"/>
        <v>1.7,</v>
      </c>
      <c r="G34" s="41" t="str">
        <f t="shared" si="3"/>
        <v>17,</v>
      </c>
      <c r="H34" s="41" t="str">
        <f t="shared" si="4"/>
        <v>0.2,</v>
      </c>
      <c r="I34" s="41" t="str">
        <f t="shared" si="5"/>
        <v>2,</v>
      </c>
      <c r="J34" s="41" t="str">
        <f t="shared" si="6"/>
        <v>0.3,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0.15,</v>
      </c>
      <c r="E35" s="41" t="str">
        <f t="shared" si="9"/>
        <v>2,</v>
      </c>
      <c r="F35" s="41" t="str">
        <f t="shared" si="2"/>
        <v>0.15,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0.54,</v>
      </c>
      <c r="E36" s="41" t="str">
        <f t="shared" si="9"/>
        <v>7,</v>
      </c>
      <c r="F36" s="41" t="str">
        <f t="shared" si="2"/>
        <v>0.31,</v>
      </c>
      <c r="G36" s="41" t="str">
        <f t="shared" si="3"/>
        <v>4,</v>
      </c>
      <c r="H36" s="41" t="str">
        <f t="shared" si="4"/>
        <v>0.23,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0.33,</v>
      </c>
      <c r="E37" s="41" t="str">
        <f t="shared" si="9"/>
        <v>4,</v>
      </c>
      <c r="F37" s="41" t="str">
        <f t="shared" si="2"/>
        <v>0.25,</v>
      </c>
      <c r="G37" s="41">
        <f>G18</f>
        <v>3</v>
      </c>
      <c r="H37" s="41" t="str">
        <f t="shared" si="4"/>
        <v>0.08,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topLeftCell="D71" zoomScale="70" zoomScaleNormal="70" workbookViewId="0">
      <selection activeCell="U110" sqref="U110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Q26+Q46+Q65+AB26+AB47</f>
        <v>13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 t="s">
        <v>229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Q29+Q48+Q67+AB29+AB50</f>
        <v>7</v>
      </c>
      <c r="R8" s="69">
        <f>Table1[[#This Row],[Points]]/($Q$5-Table1[[#This Row],[Missed Games]])</f>
        <v>0.53846153846153844</v>
      </c>
      <c r="S8" s="70">
        <f t="shared" ref="S8:S23" si="4">S29+S48+S67+AD29+AD50</f>
        <v>2</v>
      </c>
      <c r="T8" s="71">
        <f>Table1[[#This Row],[Finishes]]/($Q$5-Table1[[#This Row],[Missed Games]])</f>
        <v>0.15384615384615385</v>
      </c>
      <c r="U8" s="70">
        <f t="shared" ref="U8:U23" si="5">U29+U48+U67+AF29+AF50</f>
        <v>5</v>
      </c>
      <c r="V8" s="71">
        <f>Table1[[#This Row],[Midranges]]/($Q$5-Table1[[#This Row],[Missed Games]])</f>
        <v>0.38461538461538464</v>
      </c>
      <c r="W8" s="70">
        <f t="shared" ref="W8:W23" si="6">W29+W48+W67+AH29+AH50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Y29+Y48+Y67+AJ29+AJ50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2.6889856354620174E-2</v>
      </c>
      <c r="AC8" s="109">
        <f t="shared" ref="AC8:AC23" si="8">AB8-AA8</f>
        <v>1.1203803466620175E-2</v>
      </c>
      <c r="AE8" s="64" t="s">
        <v>132</v>
      </c>
      <c r="AF8" s="41">
        <f>MEDIAN(R14:R15,R19:R20,R22:R23)</f>
        <v>1.2307692307692308</v>
      </c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0.72727272727272729</v>
      </c>
      <c r="S9" s="74">
        <f t="shared" si="4"/>
        <v>5</v>
      </c>
      <c r="T9" s="75">
        <f>Table1[[#This Row],[Finishes]]/($Q$5-Table1[[#This Row],[Missed Games]])</f>
        <v>0.45454545454545453</v>
      </c>
      <c r="U9" s="74">
        <f t="shared" si="5"/>
        <v>3</v>
      </c>
      <c r="V9" s="75">
        <f>Table1[[#This Row],[Midranges]]/($Q$5-Table1[[#This Row],[Missed Games]])</f>
        <v>0.27272727272727271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3.631876702442205E-2</v>
      </c>
      <c r="AC9" s="109">
        <f t="shared" si="8"/>
        <v>8.8681744704220515E-3</v>
      </c>
      <c r="AE9" s="64" t="s">
        <v>133</v>
      </c>
      <c r="AF9" s="41">
        <f>MEDIAN(R9,R11:R13,R21)</f>
        <v>0.72727272727272729</v>
      </c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25</v>
      </c>
      <c r="R10" s="69">
        <f>Table1[[#This Row],[Points]]/($Q$5-Table1[[#This Row],[Missed Games]])</f>
        <v>2.5</v>
      </c>
      <c r="S10" s="70">
        <f t="shared" si="4"/>
        <v>25</v>
      </c>
      <c r="T10" s="71">
        <f>Table1[[#This Row],[Finishes]]/($Q$5-Table1[[#This Row],[Missed Games]])</f>
        <v>2.5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0.12484576164645078</v>
      </c>
      <c r="AC10" s="109">
        <f t="shared" si="8"/>
        <v>3.2768360804507901E-3</v>
      </c>
      <c r="AE10" s="64" t="s">
        <v>134</v>
      </c>
      <c r="AF10" s="41">
        <f>MEDIAN(R8,R10,R16:R18)</f>
        <v>1.0909090909090908</v>
      </c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38</v>
      </c>
      <c r="R11" s="73">
        <f>Table1[[#This Row],[Points]]/($Q$5-Table1[[#This Row],[Missed Games]])</f>
        <v>2.9230769230769229</v>
      </c>
      <c r="S11" s="74">
        <f t="shared" si="4"/>
        <v>35</v>
      </c>
      <c r="T11" s="75">
        <f>Table1[[#This Row],[Finishes]]/($Q$5-Table1[[#This Row],[Missed Games]])</f>
        <v>2.6923076923076925</v>
      </c>
      <c r="U11" s="74">
        <f t="shared" si="5"/>
        <v>3</v>
      </c>
      <c r="V11" s="75">
        <f>Table1[[#This Row],[Midranges]]/($Q$5-Table1[[#This Row],[Missed Games]])</f>
        <v>0.23076923076923078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0.14597350592508093</v>
      </c>
      <c r="AC11" s="109">
        <f t="shared" si="8"/>
        <v>2.0483067137080951E-2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25</v>
      </c>
      <c r="R12" s="73">
        <f>Table1[[#This Row],[Points]]/($Q$5-Table1[[#This Row],[Missed Games]])</f>
        <v>1.9230769230769231</v>
      </c>
      <c r="S12" s="74">
        <f t="shared" si="4"/>
        <v>7</v>
      </c>
      <c r="T12" s="75">
        <f>Table1[[#This Row],[Finishes]]/($Q$5-Table1[[#This Row],[Missed Games]])</f>
        <v>0.53846153846153844</v>
      </c>
      <c r="U12" s="74">
        <f t="shared" si="5"/>
        <v>12</v>
      </c>
      <c r="V12" s="75">
        <f>Table1[[#This Row],[Midranges]]/($Q$5-Table1[[#This Row],[Missed Games]])</f>
        <v>0.92307692307692313</v>
      </c>
      <c r="W12" s="74">
        <f t="shared" si="6"/>
        <v>3</v>
      </c>
      <c r="X12" s="75">
        <f>Table1[[#This Row],[Threes]]/($Q$5-Table1[[#This Row],[Missed Games]])</f>
        <v>0.23076923076923078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8.4510977114520533E-2</v>
      </c>
      <c r="AC12" s="109">
        <f t="shared" si="8"/>
        <v>2.9608784164520542E-2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7</v>
      </c>
      <c r="R13" s="73">
        <f>Table1[[#This Row],[Points]]/($Q$5-Table1[[#This Row],[Missed Games]])</f>
        <v>0.7</v>
      </c>
      <c r="S13" s="74">
        <f t="shared" si="4"/>
        <v>4</v>
      </c>
      <c r="T13" s="75">
        <f>Table1[[#This Row],[Finishes]]/($Q$5-Table1[[#This Row],[Missed Games]])</f>
        <v>0.4</v>
      </c>
      <c r="U13" s="74">
        <f t="shared" si="5"/>
        <v>3</v>
      </c>
      <c r="V13" s="75">
        <f>Table1[[#This Row],[Midranges]]/($Q$5-Table1[[#This Row],[Missed Games]])</f>
        <v>0.3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3.495681326100622E-2</v>
      </c>
      <c r="AC13" s="109">
        <f t="shared" si="8"/>
        <v>-6.7003538352993761E-2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18</v>
      </c>
      <c r="R14" s="77">
        <f>Table1[[#This Row],[Points]]/($Q$5-Table1[[#This Row],[Missed Games]])</f>
        <v>1.3846153846153846</v>
      </c>
      <c r="S14" s="78">
        <f t="shared" si="4"/>
        <v>4</v>
      </c>
      <c r="T14" s="79">
        <f>Table1[[#This Row],[Finishes]]/($Q$5-Table1[[#This Row],[Missed Games]])</f>
        <v>0.30769230769230771</v>
      </c>
      <c r="U14" s="78">
        <f t="shared" si="5"/>
        <v>2</v>
      </c>
      <c r="V14" s="79">
        <f>Table1[[#This Row],[Midranges]]/($Q$5-Table1[[#This Row],[Missed Games]])</f>
        <v>0.15384615384615385</v>
      </c>
      <c r="W14" s="78">
        <f t="shared" si="6"/>
        <v>6</v>
      </c>
      <c r="X14" s="79">
        <f>Table1[[#This Row],[Threes]]/($Q$5-Table1[[#This Row],[Missed Games]])</f>
        <v>0.46153846153846156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4.6096896607920289E-2</v>
      </c>
      <c r="AC14" s="109">
        <f t="shared" si="8"/>
        <v>6.8807565459202899E-3</v>
      </c>
      <c r="AE14" s="64"/>
      <c r="AI14" s="66"/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18</v>
      </c>
      <c r="R15" s="77">
        <f>Table1[[#This Row],[Points]]/($Q$5-Table1[[#This Row],[Missed Games]])</f>
        <v>1.3846153846153846</v>
      </c>
      <c r="S15" s="78">
        <f t="shared" si="4"/>
        <v>6</v>
      </c>
      <c r="T15" s="79">
        <f>Table1[[#This Row],[Finishes]]/($Q$5-Table1[[#This Row],[Missed Games]])</f>
        <v>0.46153846153846156</v>
      </c>
      <c r="U15" s="78">
        <f t="shared" si="5"/>
        <v>12</v>
      </c>
      <c r="V15" s="79">
        <f>Table1[[#This Row],[Midranges]]/($Q$5-Table1[[#This Row],[Missed Games]])</f>
        <v>0.92307692307692313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6.914534491188043E-2</v>
      </c>
      <c r="AC15" s="109">
        <f t="shared" si="8"/>
        <v>-5.6345093876119551E-2</v>
      </c>
      <c r="AE15" s="64"/>
      <c r="AI15" s="66"/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29</v>
      </c>
      <c r="R16" s="69">
        <f>Table1[[#This Row],[Points]]/($Q$5-Table1[[#This Row],[Missed Games]])</f>
        <v>2.4166666666666665</v>
      </c>
      <c r="S16" s="70">
        <f t="shared" si="4"/>
        <v>7</v>
      </c>
      <c r="T16" s="71">
        <f>Table1[[#This Row],[Finishes]]/($Q$5-Table1[[#This Row],[Missed Games]])</f>
        <v>0.58333333333333337</v>
      </c>
      <c r="U16" s="70">
        <f t="shared" si="5"/>
        <v>22</v>
      </c>
      <c r="V16" s="71">
        <f>Table1[[#This Row],[Midranges]]/($Q$5-Table1[[#This Row],[Missed Games]])</f>
        <v>1.8333333333333333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0.12068423625823575</v>
      </c>
      <c r="AC16" s="109">
        <f t="shared" si="8"/>
        <v>2.2645397866235761E-2</v>
      </c>
      <c r="AE16" s="64"/>
      <c r="AI16" s="66"/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11</v>
      </c>
      <c r="R17" s="69">
        <f>Table1[[#This Row],[Points]]/($Q$5-Table1[[#This Row],[Missed Games]])</f>
        <v>0.91666666666666663</v>
      </c>
      <c r="S17" s="70">
        <f t="shared" si="4"/>
        <v>1</v>
      </c>
      <c r="T17" s="71">
        <f>Table1[[#This Row],[Finishes]]/($Q$5-Table1[[#This Row],[Missed Games]])</f>
        <v>8.3333333333333329E-2</v>
      </c>
      <c r="U17" s="70">
        <f t="shared" si="5"/>
        <v>10</v>
      </c>
      <c r="V17" s="71">
        <f>Table1[[#This Row],[Midranges]]/($Q$5-Table1[[#This Row],[Missed Games]])</f>
        <v>0.83333333333333337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4.5776779270365289E-2</v>
      </c>
      <c r="AC17" s="109">
        <f t="shared" si="8"/>
        <v>2.6169213160365291E-2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12</v>
      </c>
      <c r="R18" s="69">
        <f>Table1[[#This Row],[Points]]/($Q$5-Table1[[#This Row],[Missed Games]])</f>
        <v>1.0909090909090908</v>
      </c>
      <c r="S18" s="70">
        <f t="shared" si="4"/>
        <v>8</v>
      </c>
      <c r="T18" s="71">
        <f>Table1[[#This Row],[Finishes]]/($Q$5-Table1[[#This Row],[Missed Games]])</f>
        <v>0.72727272727272729</v>
      </c>
      <c r="U18" s="70">
        <f t="shared" si="5"/>
        <v>2</v>
      </c>
      <c r="V18" s="71">
        <f>Table1[[#This Row],[Midranges]]/($Q$5-Table1[[#This Row],[Missed Games]])</f>
        <v>0.18181818181818182</v>
      </c>
      <c r="W18" s="70">
        <f t="shared" si="6"/>
        <v>1</v>
      </c>
      <c r="X18" s="71">
        <f>Table1[[#This Row],[Threes]]/($Q$5-Table1[[#This Row],[Missed Games]])</f>
        <v>9.0909090909090912E-2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4.9938304658580311E-2</v>
      </c>
      <c r="AC18" s="109">
        <f t="shared" si="8"/>
        <v>1.0722164596580312E-2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14</v>
      </c>
      <c r="R19" s="77">
        <f>Table1[[#This Row],[Points]]/($Q$5-Table1[[#This Row],[Missed Games]])</f>
        <v>1.0769230769230769</v>
      </c>
      <c r="S19" s="78">
        <f t="shared" si="4"/>
        <v>7</v>
      </c>
      <c r="T19" s="79">
        <f>Table1[[#This Row],[Finishes]]/($Q$5-Table1[[#This Row],[Missed Games]])</f>
        <v>0.53846153846153844</v>
      </c>
      <c r="U19" s="78">
        <f t="shared" si="5"/>
        <v>7</v>
      </c>
      <c r="V19" s="79">
        <f>Table1[[#This Row],[Midranges]]/($Q$5-Table1[[#This Row],[Missed Games]])</f>
        <v>0.53846153846153844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5.3779712709240333E-2</v>
      </c>
      <c r="AC19" s="109">
        <f t="shared" si="8"/>
        <v>1.4563572647240335E-2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25</v>
      </c>
      <c r="R20" s="77">
        <f>Table1[[#This Row],[Points]]/($Q$5-Table1[[#This Row],[Missed Games]])</f>
        <v>2.5</v>
      </c>
      <c r="S20" s="78">
        <f t="shared" si="4"/>
        <v>17</v>
      </c>
      <c r="T20" s="79">
        <f>Table1[[#This Row],[Finishes]]/($Q$5-Table1[[#This Row],[Missed Games]])</f>
        <v>1.7</v>
      </c>
      <c r="U20" s="78">
        <f t="shared" si="5"/>
        <v>2</v>
      </c>
      <c r="V20" s="79">
        <f>Table1[[#This Row],[Midranges]]/($Q$5-Table1[[#This Row],[Missed Games]])</f>
        <v>0.2</v>
      </c>
      <c r="W20" s="78">
        <f t="shared" si="6"/>
        <v>3</v>
      </c>
      <c r="X20" s="79">
        <f>Table1[[#This Row],[Threes]]/($Q$5-Table1[[#This Row],[Missed Games]])</f>
        <v>0.3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0.10986427024887667</v>
      </c>
      <c r="AC20" s="109">
        <f t="shared" si="8"/>
        <v>-1.9547681761123301E-2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0.15384615384615385</v>
      </c>
      <c r="S21" s="74">
        <f t="shared" si="4"/>
        <v>2</v>
      </c>
      <c r="T21" s="75">
        <f>Table1[[#This Row],[Finishes]]/($Q$5-Table1[[#This Row],[Missed Games]])</f>
        <v>0.15384615384615385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7.682816101320049E-3</v>
      </c>
      <c r="AC21" s="109">
        <f t="shared" si="8"/>
        <v>-1.976777645267995E-2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7</v>
      </c>
      <c r="R22" s="77">
        <f>Table1[[#This Row],[Points]]/($Q$5-Table1[[#This Row],[Missed Games]])</f>
        <v>0.53846153846153844</v>
      </c>
      <c r="S22" s="78">
        <f t="shared" si="4"/>
        <v>4</v>
      </c>
      <c r="T22" s="79">
        <f>Table1[[#This Row],[Finishes]]/($Q$5-Table1[[#This Row],[Missed Games]])</f>
        <v>0.30769230769230771</v>
      </c>
      <c r="U22" s="78">
        <f t="shared" si="5"/>
        <v>3</v>
      </c>
      <c r="V22" s="79">
        <f>Table1[[#This Row],[Midranges]]/($Q$5-Table1[[#This Row],[Missed Games]])</f>
        <v>0.23076923076923078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2.6889856354620174E-2</v>
      </c>
      <c r="AC22" s="109">
        <f t="shared" si="8"/>
        <v>3.3607770226201789E-3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0.33333333333333331</v>
      </c>
      <c r="S23" s="78">
        <f t="shared" si="4"/>
        <v>3</v>
      </c>
      <c r="T23" s="79">
        <f>Table1[[#This Row],[Finishes]]/($Q$5-Table1[[#This Row],[Missed Games]])</f>
        <v>0.25</v>
      </c>
      <c r="U23" s="78">
        <f t="shared" si="5"/>
        <v>1</v>
      </c>
      <c r="V23" s="79">
        <f>Table1[[#This Row],[Midranges]]/($Q$5-Table1[[#This Row],[Missed Games]])</f>
        <v>8.3333333333333329E-2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1.6646101552860105E-2</v>
      </c>
      <c r="AC23" s="109">
        <f t="shared" si="8"/>
        <v>4.8815618868601075E-3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187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186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28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21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29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137</v>
      </c>
      <c r="K46" s="41">
        <f>J46/Q5</f>
        <v>10.538461538461538</v>
      </c>
      <c r="L46" s="55">
        <f>J46/SUM($J$46:$J$48)</f>
        <v>0.57805907172995785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87</v>
      </c>
      <c r="K47" s="41">
        <f>J47/Q5</f>
        <v>6.6923076923076925</v>
      </c>
      <c r="L47" s="55">
        <f t="shared" ref="L47:L48" si="24">J47/SUM($J$46:$J$48)</f>
        <v>0.36708860759493672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" t="s">
        <v>225</v>
      </c>
      <c r="AB47" s="24">
        <v>3</v>
      </c>
      <c r="AC47" s="40"/>
      <c r="AD47" s="40"/>
      <c r="AE47" s="40"/>
      <c r="AF47" s="40"/>
      <c r="AG47" s="40"/>
      <c r="AH47" s="40"/>
      <c r="AI47" s="40"/>
      <c r="AJ47" s="40"/>
    </row>
    <row r="48" spans="8:36" ht="14.25" customHeight="1" x14ac:dyDescent="0.45">
      <c r="I48" s="33" t="s">
        <v>11</v>
      </c>
      <c r="J48" s="42">
        <f>SUM(Table1[Threes])</f>
        <v>13</v>
      </c>
      <c r="K48" s="41">
        <f>J48/Q5</f>
        <v>1</v>
      </c>
      <c r="L48" s="55">
        <f t="shared" si="24"/>
        <v>5.4852320675105488E-2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5"/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5">Q49/(Q$46-Y49)</f>
        <v>0.5</v>
      </c>
      <c r="S49" s="27">
        <f>'0205'!S4+'0305'!S4</f>
        <v>1</v>
      </c>
      <c r="T49" s="28">
        <f t="shared" ref="T49:T63" si="26">S49/($Q$46-Y49)</f>
        <v>0.5</v>
      </c>
      <c r="U49" s="27">
        <f>'0205'!T4+'0305'!T4</f>
        <v>0</v>
      </c>
      <c r="V49" s="28">
        <f t="shared" ref="V49:V63" si="27">U49/($Q$46-Y49)</f>
        <v>0</v>
      </c>
      <c r="W49" s="27">
        <f>'0205'!U4+'0305'!U4</f>
        <v>0</v>
      </c>
      <c r="X49" s="28">
        <f t="shared" ref="X49:X63" si="28">W49/($Q$46-Y49)</f>
        <v>0</v>
      </c>
      <c r="Y49" s="40">
        <v>0</v>
      </c>
      <c r="AA49" s="31" t="s">
        <v>97</v>
      </c>
      <c r="AB49" s="32" t="s">
        <v>8</v>
      </c>
      <c r="AC49" s="31" t="s">
        <v>98</v>
      </c>
      <c r="AD49" s="33" t="s">
        <v>9</v>
      </c>
      <c r="AE49" s="34" t="s">
        <v>93</v>
      </c>
      <c r="AF49" s="35" t="s">
        <v>10</v>
      </c>
      <c r="AG49" s="34" t="s">
        <v>93</v>
      </c>
      <c r="AH49" s="33" t="s">
        <v>11</v>
      </c>
      <c r="AI49" s="34" t="s">
        <v>93</v>
      </c>
      <c r="AJ49" s="5" t="s">
        <v>160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5"/>
        <v>4</v>
      </c>
      <c r="S50" s="27">
        <f>'0205'!S5+'0305'!S5</f>
        <v>8</v>
      </c>
      <c r="T50" s="28">
        <f t="shared" si="26"/>
        <v>4</v>
      </c>
      <c r="U50" s="27">
        <f>'0205'!T5+'0305'!T5</f>
        <v>0</v>
      </c>
      <c r="V50" s="28">
        <f t="shared" si="27"/>
        <v>0</v>
      </c>
      <c r="W50" s="27">
        <f>'0205'!U5+'0305'!U5</f>
        <v>0</v>
      </c>
      <c r="X50" s="28">
        <f t="shared" si="28"/>
        <v>0</v>
      </c>
      <c r="Y50" s="40">
        <v>0</v>
      </c>
      <c r="AA50" s="30" t="s">
        <v>55</v>
      </c>
      <c r="AB50" s="44">
        <f>'2205'!$R3+'2305'!$R3+'2405'!$R3</f>
        <v>0</v>
      </c>
      <c r="AC50" s="29">
        <f t="shared" ref="AC50:AC65" si="29">AB50/(AB$47-AJ50)</f>
        <v>0</v>
      </c>
      <c r="AD50" s="27">
        <f>'2205'!$S3+'2305'!$S3+'2405'!$S3</f>
        <v>0</v>
      </c>
      <c r="AE50" s="28">
        <f>AD50/($AB$47-AJ50)</f>
        <v>0</v>
      </c>
      <c r="AF50" s="27">
        <f>'2205'!$T3+'2305'!$T3+'2405'!$T3</f>
        <v>0</v>
      </c>
      <c r="AG50" s="28">
        <f>AF50/(AB$47-AJ50)</f>
        <v>0</v>
      </c>
      <c r="AH50" s="27">
        <f>'2205'!$U3+'2305'!$U3+'2405'!$U3</f>
        <v>0</v>
      </c>
      <c r="AI50" s="28">
        <f>AH50/(AB$47-AJ50)</f>
        <v>0</v>
      </c>
      <c r="AJ50" s="40">
        <v>0</v>
      </c>
    </row>
    <row r="51" spans="8:36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5"/>
        <v>2</v>
      </c>
      <c r="S51" s="27">
        <f>'0205'!S6+'0305'!S6</f>
        <v>4</v>
      </c>
      <c r="T51" s="28">
        <f t="shared" si="26"/>
        <v>2</v>
      </c>
      <c r="U51" s="27">
        <f>'0205'!T6+'0305'!T6</f>
        <v>0</v>
      </c>
      <c r="V51" s="28">
        <f t="shared" si="27"/>
        <v>0</v>
      </c>
      <c r="W51" s="27">
        <f>'0205'!U6+'0305'!U6</f>
        <v>0</v>
      </c>
      <c r="X51" s="28">
        <f t="shared" si="28"/>
        <v>0</v>
      </c>
      <c r="Y51" s="40">
        <v>0</v>
      </c>
      <c r="AA51" s="30" t="s">
        <v>59</v>
      </c>
      <c r="AB51" s="44">
        <f>'2205'!$R4+'2305'!$R4+'2405'!$R4</f>
        <v>0</v>
      </c>
      <c r="AC51" s="29">
        <f t="shared" si="29"/>
        <v>0</v>
      </c>
      <c r="AD51" s="27">
        <f>'2205'!$S4+'2305'!$S4+'2405'!$S4</f>
        <v>0</v>
      </c>
      <c r="AE51" s="28">
        <f t="shared" ref="AE51:AE65" si="30">AD51/($AB$47-AJ51)</f>
        <v>0</v>
      </c>
      <c r="AF51" s="27">
        <f>'2205'!$T4+'2305'!$T4+'2405'!$T4</f>
        <v>0</v>
      </c>
      <c r="AG51" s="28">
        <f t="shared" ref="AG51:AG65" si="31">AF51/(AB$47-AJ51)</f>
        <v>0</v>
      </c>
      <c r="AH51" s="27">
        <f>'2205'!$U4+'2305'!$U4+'2405'!$U4</f>
        <v>0</v>
      </c>
      <c r="AI51" s="28">
        <f t="shared" ref="AI51:AI65" si="32">AH51/(AB$47-AJ51)</f>
        <v>0</v>
      </c>
      <c r="AJ51" s="40">
        <v>1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5"/>
        <v>1.5</v>
      </c>
      <c r="S52" s="27">
        <f>'0205'!S7+'0305'!S7</f>
        <v>0</v>
      </c>
      <c r="T52" s="28">
        <f t="shared" si="26"/>
        <v>0</v>
      </c>
      <c r="U52" s="27">
        <f>'0205'!T7+'0305'!T7</f>
        <v>3</v>
      </c>
      <c r="V52" s="28">
        <f t="shared" si="27"/>
        <v>1.5</v>
      </c>
      <c r="W52" s="27">
        <f>'0205'!U7+'0305'!U7</f>
        <v>0</v>
      </c>
      <c r="X52" s="28">
        <f t="shared" si="28"/>
        <v>0</v>
      </c>
      <c r="Y52" s="40">
        <v>0</v>
      </c>
      <c r="AA52" s="30" t="s">
        <v>62</v>
      </c>
      <c r="AB52" s="44">
        <f>'2205'!$R5+'2305'!$R5+'2405'!$R5</f>
        <v>7</v>
      </c>
      <c r="AC52" s="29">
        <f t="shared" si="29"/>
        <v>2.3333333333333335</v>
      </c>
      <c r="AD52" s="27">
        <f>'2205'!$S5+'2305'!$S5+'2405'!$S5</f>
        <v>7</v>
      </c>
      <c r="AE52" s="28">
        <f t="shared" si="30"/>
        <v>2.3333333333333335</v>
      </c>
      <c r="AF52" s="27">
        <f>'2205'!$T5+'2305'!$T5+'2405'!$T5</f>
        <v>0</v>
      </c>
      <c r="AG52" s="28">
        <f t="shared" si="31"/>
        <v>0</v>
      </c>
      <c r="AH52" s="27">
        <f>'2205'!$U5+'2305'!$U5+'2405'!$U5</f>
        <v>0</v>
      </c>
      <c r="AI52" s="28">
        <f t="shared" si="32"/>
        <v>0</v>
      </c>
      <c r="AJ52" s="40">
        <v>0</v>
      </c>
    </row>
    <row r="53" spans="8:36" ht="14.25" customHeight="1" x14ac:dyDescent="0.45">
      <c r="H53" s="33" t="s">
        <v>192</v>
      </c>
      <c r="I53" s="98" t="s">
        <v>191</v>
      </c>
      <c r="J53" s="66">
        <f>'Statistics LG'!S31</f>
        <v>0.4264705882352941</v>
      </c>
      <c r="K53" s="66">
        <f>'Statistics LG'!X31</f>
        <v>0.47142857142857142</v>
      </c>
      <c r="L53" s="66">
        <f>AVERAGE(J53:K53)</f>
        <v>0.44894957983193273</v>
      </c>
      <c r="P53" s="30" t="s">
        <v>71</v>
      </c>
      <c r="Q53" s="44">
        <f>'0205'!R8+'0305'!R8</f>
        <v>1</v>
      </c>
      <c r="R53" s="29">
        <f t="shared" si="25"/>
        <v>0.5</v>
      </c>
      <c r="S53" s="27">
        <f>'0205'!S8+'0305'!S8</f>
        <v>0</v>
      </c>
      <c r="T53" s="28">
        <f t="shared" si="26"/>
        <v>0</v>
      </c>
      <c r="U53" s="27">
        <f>'0205'!T8+'0305'!T8</f>
        <v>1</v>
      </c>
      <c r="V53" s="28">
        <f t="shared" si="27"/>
        <v>0.5</v>
      </c>
      <c r="W53" s="27">
        <f>'0205'!U8+'0305'!U8</f>
        <v>0</v>
      </c>
      <c r="X53" s="28">
        <f t="shared" si="28"/>
        <v>0</v>
      </c>
      <c r="Y53" s="40">
        <v>0</v>
      </c>
      <c r="AA53" s="30" t="s">
        <v>65</v>
      </c>
      <c r="AB53" s="44">
        <f>'2205'!$R6+'2305'!$R6+'2405'!$R6</f>
        <v>2</v>
      </c>
      <c r="AC53" s="29">
        <f t="shared" si="29"/>
        <v>0.66666666666666663</v>
      </c>
      <c r="AD53" s="27">
        <f>'2205'!$S6+'2305'!$S6+'2405'!$S6</f>
        <v>2</v>
      </c>
      <c r="AE53" s="28">
        <f t="shared" si="30"/>
        <v>0.66666666666666663</v>
      </c>
      <c r="AF53" s="27">
        <f>'2205'!$T6+'2305'!$T6+'2405'!$T6</f>
        <v>0</v>
      </c>
      <c r="AG53" s="28">
        <f t="shared" si="31"/>
        <v>0</v>
      </c>
      <c r="AH53" s="27">
        <f>'2205'!$U6+'2305'!$U6+'2405'!$U6</f>
        <v>0</v>
      </c>
      <c r="AI53" s="28">
        <f t="shared" si="32"/>
        <v>0</v>
      </c>
      <c r="AJ53" s="40">
        <v>0</v>
      </c>
    </row>
    <row r="54" spans="8:36" ht="14.25" customHeight="1" x14ac:dyDescent="0.45">
      <c r="H54" s="33" t="s">
        <v>193</v>
      </c>
      <c r="I54" s="66">
        <f>1-'Statistics LG'!S31</f>
        <v>0.57352941176470584</v>
      </c>
      <c r="J54" s="98" t="s">
        <v>191</v>
      </c>
      <c r="K54" s="66">
        <f>'Statistics WW'!R31</f>
        <v>0.44736842105263158</v>
      </c>
      <c r="L54" s="66">
        <f>AVERAGE(I54:K54)</f>
        <v>0.51044891640866874</v>
      </c>
      <c r="P54" s="30" t="s">
        <v>75</v>
      </c>
      <c r="Q54" s="44">
        <f>'0205'!R9+'0305'!R9</f>
        <v>5</v>
      </c>
      <c r="R54" s="29">
        <f t="shared" si="25"/>
        <v>2.5</v>
      </c>
      <c r="S54" s="27">
        <f>'0205'!S9+'0305'!S9</f>
        <v>0</v>
      </c>
      <c r="T54" s="28">
        <f t="shared" si="26"/>
        <v>0</v>
      </c>
      <c r="U54" s="27">
        <f>'0205'!T9+'0305'!T9</f>
        <v>1</v>
      </c>
      <c r="V54" s="28">
        <f t="shared" si="27"/>
        <v>0.5</v>
      </c>
      <c r="W54" s="27">
        <f>'0205'!U9+'0305'!U9</f>
        <v>2</v>
      </c>
      <c r="X54" s="28">
        <f t="shared" si="28"/>
        <v>1</v>
      </c>
      <c r="Y54" s="40">
        <v>0</v>
      </c>
      <c r="AA54" s="30" t="s">
        <v>68</v>
      </c>
      <c r="AB54" s="44">
        <f>'2205'!$R7+'2305'!$R7+'2405'!$R7</f>
        <v>1</v>
      </c>
      <c r="AC54" s="29">
        <f t="shared" si="29"/>
        <v>0.33333333333333331</v>
      </c>
      <c r="AD54" s="27">
        <f>'2205'!$S7+'2305'!$S7+'2405'!$S7</f>
        <v>1</v>
      </c>
      <c r="AE54" s="28">
        <f t="shared" si="30"/>
        <v>0.33333333333333331</v>
      </c>
      <c r="AF54" s="27">
        <f>'2205'!$T7+'2305'!$T7+'2405'!$T7</f>
        <v>0</v>
      </c>
      <c r="AG54" s="28">
        <f t="shared" si="31"/>
        <v>0</v>
      </c>
      <c r="AH54" s="27">
        <f>'2205'!$U7+'2305'!$U7+'2405'!$U7</f>
        <v>0</v>
      </c>
      <c r="AI54" s="28">
        <f t="shared" si="32"/>
        <v>0</v>
      </c>
      <c r="AJ54" s="40">
        <v>0</v>
      </c>
    </row>
    <row r="55" spans="8:36" ht="14.25" customHeight="1" x14ac:dyDescent="0.45">
      <c r="H55" s="33" t="s">
        <v>194</v>
      </c>
      <c r="I55" s="66">
        <f>1-K53</f>
        <v>0.52857142857142858</v>
      </c>
      <c r="J55" s="66">
        <f>1-K54</f>
        <v>0.55263157894736836</v>
      </c>
      <c r="K55" s="98" t="s">
        <v>191</v>
      </c>
      <c r="L55" s="66">
        <f>AVERAGE(I55:K55)</f>
        <v>0.54060150375939853</v>
      </c>
      <c r="P55" s="30" t="s">
        <v>78</v>
      </c>
      <c r="Q55" s="44">
        <f>'0205'!R10+'0305'!R10</f>
        <v>3</v>
      </c>
      <c r="R55" s="29">
        <f t="shared" si="25"/>
        <v>1.5</v>
      </c>
      <c r="S55" s="27">
        <f>'0205'!S10+'0305'!S10</f>
        <v>1</v>
      </c>
      <c r="T55" s="28">
        <f t="shared" si="26"/>
        <v>0.5</v>
      </c>
      <c r="U55" s="27">
        <f>'0205'!T10+'0305'!T10</f>
        <v>2</v>
      </c>
      <c r="V55" s="28">
        <f t="shared" si="27"/>
        <v>1</v>
      </c>
      <c r="W55" s="27">
        <f>'0205'!U10+'0305'!U10</f>
        <v>0</v>
      </c>
      <c r="X55" s="28">
        <f t="shared" si="28"/>
        <v>0</v>
      </c>
      <c r="Y55" s="40">
        <v>0</v>
      </c>
      <c r="AA55" s="30" t="s">
        <v>71</v>
      </c>
      <c r="AB55" s="44">
        <f>'2205'!$R8+'2305'!$R8+'2405'!$R8</f>
        <v>2</v>
      </c>
      <c r="AC55" s="29">
        <f t="shared" si="29"/>
        <v>0.66666666666666663</v>
      </c>
      <c r="AD55" s="27">
        <f>'2205'!$S8+'2305'!$S8+'2405'!$S8</f>
        <v>1</v>
      </c>
      <c r="AE55" s="28">
        <f t="shared" si="30"/>
        <v>0.33333333333333331</v>
      </c>
      <c r="AF55" s="27">
        <f>'2205'!$T8+'2305'!$T8+'2405'!$T8</f>
        <v>1</v>
      </c>
      <c r="AG55" s="28">
        <f t="shared" si="31"/>
        <v>0.33333333333333331</v>
      </c>
      <c r="AH55" s="27">
        <f>'2205'!$U8+'2305'!$U8+'2405'!$U8</f>
        <v>0</v>
      </c>
      <c r="AI55" s="28">
        <f t="shared" si="32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5"/>
        <v>2.5</v>
      </c>
      <c r="S56" s="27">
        <f>'0205'!S11+'0305'!S11</f>
        <v>2</v>
      </c>
      <c r="T56" s="28">
        <f t="shared" si="26"/>
        <v>1</v>
      </c>
      <c r="U56" s="27">
        <f>'0205'!T11+'0305'!T11</f>
        <v>3</v>
      </c>
      <c r="V56" s="28">
        <f t="shared" si="27"/>
        <v>1.5</v>
      </c>
      <c r="W56" s="27">
        <f>'0205'!U11+'0305'!U11</f>
        <v>0</v>
      </c>
      <c r="X56" s="28">
        <f t="shared" si="28"/>
        <v>0</v>
      </c>
      <c r="Y56" s="40">
        <v>0</v>
      </c>
      <c r="AA56" s="30" t="s">
        <v>75</v>
      </c>
      <c r="AB56" s="44">
        <f>'2205'!$R9+'2305'!$R9+'2405'!$R9</f>
        <v>3</v>
      </c>
      <c r="AC56" s="29">
        <f t="shared" si="29"/>
        <v>1</v>
      </c>
      <c r="AD56" s="27">
        <f>'2205'!$S9+'2305'!$S9+'2405'!$S9</f>
        <v>0</v>
      </c>
      <c r="AE56" s="28">
        <f t="shared" si="30"/>
        <v>0</v>
      </c>
      <c r="AF56" s="27">
        <f>'2205'!$T9+'2305'!$T9+'2405'!$T9</f>
        <v>1</v>
      </c>
      <c r="AG56" s="28">
        <f t="shared" si="31"/>
        <v>0.33333333333333331</v>
      </c>
      <c r="AH56" s="27">
        <f>'2205'!$U9+'2305'!$U9+'2405'!$U9</f>
        <v>1</v>
      </c>
      <c r="AI56" s="28">
        <f t="shared" si="32"/>
        <v>0.33333333333333331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5"/>
        <v>2</v>
      </c>
      <c r="S57" s="27">
        <f>'0205'!S12+'0305'!S12</f>
        <v>1</v>
      </c>
      <c r="T57" s="28">
        <f t="shared" si="26"/>
        <v>0.5</v>
      </c>
      <c r="U57" s="27">
        <f>'0205'!T12+'0305'!T12</f>
        <v>3</v>
      </c>
      <c r="V57" s="28">
        <f t="shared" si="27"/>
        <v>1.5</v>
      </c>
      <c r="W57" s="27">
        <f>'0205'!U12+'0305'!U12</f>
        <v>0</v>
      </c>
      <c r="X57" s="28">
        <f t="shared" si="28"/>
        <v>0</v>
      </c>
      <c r="Y57" s="40">
        <v>0</v>
      </c>
      <c r="AA57" s="30" t="s">
        <v>78</v>
      </c>
      <c r="AB57" s="44">
        <f>'2205'!$R10+'2305'!$R10+'2405'!$R10</f>
        <v>2</v>
      </c>
      <c r="AC57" s="29">
        <f t="shared" si="29"/>
        <v>0.66666666666666663</v>
      </c>
      <c r="AD57" s="27">
        <f>'2205'!$S10+'2305'!$S10+'2405'!$S10</f>
        <v>0</v>
      </c>
      <c r="AE57" s="28">
        <f t="shared" si="30"/>
        <v>0</v>
      </c>
      <c r="AF57" s="27">
        <f>'2205'!$T10+'2305'!$T10+'2405'!$T10</f>
        <v>2</v>
      </c>
      <c r="AG57" s="28">
        <f t="shared" si="31"/>
        <v>0.66666666666666663</v>
      </c>
      <c r="AH57" s="27">
        <f>'2205'!$U10+'2305'!$U10+'2405'!$U10</f>
        <v>0</v>
      </c>
      <c r="AI57" s="28">
        <f t="shared" si="32"/>
        <v>0</v>
      </c>
      <c r="AJ57" s="40">
        <v>0</v>
      </c>
    </row>
    <row r="58" spans="8:36" ht="14.25" customHeight="1" x14ac:dyDescent="0.45">
      <c r="P58" s="30" t="s">
        <v>187</v>
      </c>
      <c r="Q58" s="44">
        <f>'0205'!R13+'0305'!R13</f>
        <v>3</v>
      </c>
      <c r="R58" s="29">
        <f t="shared" si="25"/>
        <v>1.5</v>
      </c>
      <c r="S58" s="27">
        <f>'0205'!S13+'0305'!S13</f>
        <v>3</v>
      </c>
      <c r="T58" s="28">
        <f t="shared" si="26"/>
        <v>1.5</v>
      </c>
      <c r="U58" s="27">
        <f>'0205'!T13+'0305'!T13</f>
        <v>0</v>
      </c>
      <c r="V58" s="28">
        <f t="shared" si="27"/>
        <v>0</v>
      </c>
      <c r="W58" s="27">
        <f>'0205'!U13+'0305'!U13</f>
        <v>0</v>
      </c>
      <c r="X58" s="28">
        <f t="shared" si="28"/>
        <v>0</v>
      </c>
      <c r="Y58" s="40">
        <v>0</v>
      </c>
      <c r="AA58" s="30" t="s">
        <v>80</v>
      </c>
      <c r="AB58" s="44">
        <f>'2205'!$R11+'2305'!$R11+'2405'!$R11</f>
        <v>6</v>
      </c>
      <c r="AC58" s="29">
        <f t="shared" si="29"/>
        <v>2</v>
      </c>
      <c r="AD58" s="27">
        <f>'2205'!$S11+'2305'!$S11+'2405'!$S11</f>
        <v>1</v>
      </c>
      <c r="AE58" s="28">
        <f t="shared" si="30"/>
        <v>0.33333333333333331</v>
      </c>
      <c r="AF58" s="27">
        <f>'2205'!$T11+'2305'!$T11+'2405'!$T11</f>
        <v>5</v>
      </c>
      <c r="AG58" s="28">
        <f t="shared" si="31"/>
        <v>1.6666666666666667</v>
      </c>
      <c r="AH58" s="27">
        <f>'2205'!$U11+'2305'!$U11+'2405'!$U11</f>
        <v>0</v>
      </c>
      <c r="AI58" s="28">
        <f t="shared" si="32"/>
        <v>0</v>
      </c>
      <c r="AJ58" s="40">
        <v>0</v>
      </c>
    </row>
    <row r="59" spans="8:36" ht="14.25" customHeight="1" x14ac:dyDescent="0.45">
      <c r="P59" s="30" t="s">
        <v>186</v>
      </c>
      <c r="Q59" s="44">
        <f>'0205'!R14+'0305'!R14</f>
        <v>2</v>
      </c>
      <c r="R59" s="29">
        <f t="shared" si="25"/>
        <v>1</v>
      </c>
      <c r="S59" s="27">
        <f>'0205'!S14+'0305'!S14</f>
        <v>2</v>
      </c>
      <c r="T59" s="28">
        <f t="shared" si="26"/>
        <v>1</v>
      </c>
      <c r="U59" s="27">
        <f>'0205'!T14+'0305'!T14</f>
        <v>0</v>
      </c>
      <c r="V59" s="28">
        <f t="shared" si="27"/>
        <v>0</v>
      </c>
      <c r="W59" s="27">
        <f>'0205'!U14+'0305'!U14</f>
        <v>0</v>
      </c>
      <c r="X59" s="28">
        <f t="shared" si="28"/>
        <v>0</v>
      </c>
      <c r="Y59" s="40">
        <v>0</v>
      </c>
      <c r="AA59" s="30" t="s">
        <v>81</v>
      </c>
      <c r="AB59" s="44">
        <f>'2205'!$R12+'2305'!$R12+'2405'!$R12</f>
        <v>3</v>
      </c>
      <c r="AC59" s="29">
        <f t="shared" si="29"/>
        <v>1.5</v>
      </c>
      <c r="AD59" s="27">
        <f>'2205'!$S12+'2305'!$S12+'2405'!$S12</f>
        <v>0</v>
      </c>
      <c r="AE59" s="28">
        <f t="shared" si="30"/>
        <v>0</v>
      </c>
      <c r="AF59" s="27">
        <f>'2205'!$T12+'2305'!$T12+'2405'!$T12</f>
        <v>3</v>
      </c>
      <c r="AG59" s="28">
        <f t="shared" si="31"/>
        <v>1.5</v>
      </c>
      <c r="AH59" s="27">
        <f>'2205'!$U12+'2305'!$U12+'2405'!$U12</f>
        <v>0</v>
      </c>
      <c r="AI59" s="28">
        <f t="shared" si="32"/>
        <v>0</v>
      </c>
      <c r="AJ59" s="40">
        <v>1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5"/>
        <v>6</v>
      </c>
      <c r="S60" s="27">
        <f>'0205'!S15+'0305'!S15</f>
        <v>4</v>
      </c>
      <c r="T60" s="28">
        <f t="shared" si="26"/>
        <v>4</v>
      </c>
      <c r="U60" s="27">
        <f>'0205'!T15+'0305'!T15</f>
        <v>0</v>
      </c>
      <c r="V60" s="28">
        <f t="shared" si="27"/>
        <v>0</v>
      </c>
      <c r="W60" s="27">
        <f>'0205'!U15+'0305'!U15</f>
        <v>1</v>
      </c>
      <c r="X60" s="28">
        <f t="shared" si="28"/>
        <v>1</v>
      </c>
      <c r="Y60" s="40">
        <v>1</v>
      </c>
      <c r="AA60" s="30" t="s">
        <v>187</v>
      </c>
      <c r="AB60" s="44">
        <f>'2205'!$R13+'2305'!$R13+'2405'!$R13</f>
        <v>1</v>
      </c>
      <c r="AC60" s="29">
        <f t="shared" si="29"/>
        <v>0.33333333333333331</v>
      </c>
      <c r="AD60" s="27">
        <f>'2205'!$S13+'2305'!$S13+'2405'!$S13</f>
        <v>0</v>
      </c>
      <c r="AE60" s="28">
        <f t="shared" si="30"/>
        <v>0</v>
      </c>
      <c r="AF60" s="27">
        <f>'2205'!$T13+'2305'!$T13+'2405'!$T13</f>
        <v>1</v>
      </c>
      <c r="AG60" s="28">
        <f t="shared" si="31"/>
        <v>0.33333333333333331</v>
      </c>
      <c r="AH60" s="27">
        <f>'2205'!$U13+'2305'!$U13+'2405'!$U13</f>
        <v>0</v>
      </c>
      <c r="AI60" s="28">
        <f t="shared" si="32"/>
        <v>0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5"/>
        <v>0</v>
      </c>
      <c r="S61" s="27">
        <f>'0205'!S16+'0305'!S16</f>
        <v>0</v>
      </c>
      <c r="T61" s="28">
        <f t="shared" si="26"/>
        <v>0</v>
      </c>
      <c r="U61" s="27">
        <f>'0205'!T16+'0305'!T16</f>
        <v>0</v>
      </c>
      <c r="V61" s="28">
        <f t="shared" si="27"/>
        <v>0</v>
      </c>
      <c r="W61" s="27">
        <f>'0205'!U16+'0305'!U16</f>
        <v>0</v>
      </c>
      <c r="X61" s="28">
        <f t="shared" si="28"/>
        <v>0</v>
      </c>
      <c r="Y61" s="40">
        <v>0</v>
      </c>
      <c r="AA61" s="30" t="s">
        <v>186</v>
      </c>
      <c r="AB61" s="44">
        <f>'2205'!$R14+'2305'!$R14+'2405'!$R14</f>
        <v>5</v>
      </c>
      <c r="AC61" s="29">
        <f t="shared" si="29"/>
        <v>1.6666666666666667</v>
      </c>
      <c r="AD61" s="27">
        <f>'2205'!$S14+'2305'!$S14+'2405'!$S14</f>
        <v>2</v>
      </c>
      <c r="AE61" s="28">
        <f t="shared" si="30"/>
        <v>0.66666666666666663</v>
      </c>
      <c r="AF61" s="27">
        <f>'2205'!$T14+'2305'!$T14+'2405'!$T14</f>
        <v>3</v>
      </c>
      <c r="AG61" s="28">
        <f t="shared" si="31"/>
        <v>1</v>
      </c>
      <c r="AH61" s="27">
        <f>'2205'!$U14+'2305'!$U14+'2405'!$U14</f>
        <v>0</v>
      </c>
      <c r="AI61" s="28">
        <f t="shared" si="32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5"/>
        <v>0</v>
      </c>
      <c r="S62" s="27">
        <f>'0205'!S17+'0305'!S17</f>
        <v>0</v>
      </c>
      <c r="T62" s="28">
        <f t="shared" si="26"/>
        <v>0</v>
      </c>
      <c r="U62" s="27">
        <f>'0205'!T17+'0305'!T17</f>
        <v>0</v>
      </c>
      <c r="V62" s="28">
        <f t="shared" si="27"/>
        <v>0</v>
      </c>
      <c r="W62" s="27">
        <f>'0205'!U17+'0305'!U17</f>
        <v>0</v>
      </c>
      <c r="X62" s="28">
        <f t="shared" si="28"/>
        <v>0</v>
      </c>
      <c r="Y62" s="40">
        <v>0</v>
      </c>
      <c r="AA62" s="30" t="s">
        <v>85</v>
      </c>
      <c r="AB62" s="44">
        <f>'2205'!$R15+'2305'!$R15+'2405'!$R15</f>
        <v>8</v>
      </c>
      <c r="AC62" s="29">
        <f t="shared" si="29"/>
        <v>2.6666666666666665</v>
      </c>
      <c r="AD62" s="27">
        <f>'2205'!$S15+'2305'!$S15+'2405'!$S15</f>
        <v>4</v>
      </c>
      <c r="AE62" s="28">
        <f t="shared" si="30"/>
        <v>1.3333333333333333</v>
      </c>
      <c r="AF62" s="27">
        <f>'2205'!$T15+'2305'!$T15+'2405'!$T15</f>
        <v>2</v>
      </c>
      <c r="AG62" s="28">
        <f t="shared" si="31"/>
        <v>0.66666666666666663</v>
      </c>
      <c r="AH62" s="27">
        <f>'2205'!$U15+'2305'!$U15+'2405'!$U15</f>
        <v>1</v>
      </c>
      <c r="AI62" s="28">
        <f t="shared" si="32"/>
        <v>0.33333333333333331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5"/>
        <v>1</v>
      </c>
      <c r="S63" s="27">
        <f>'0205'!S18+'0305'!S18</f>
        <v>2</v>
      </c>
      <c r="T63" s="28">
        <f t="shared" si="26"/>
        <v>1</v>
      </c>
      <c r="U63" s="27">
        <f>'0205'!T18+'0305'!T18</f>
        <v>0</v>
      </c>
      <c r="V63" s="28">
        <f t="shared" si="27"/>
        <v>0</v>
      </c>
      <c r="W63" s="27">
        <f>'0205'!U18+'0305'!U18</f>
        <v>0</v>
      </c>
      <c r="X63" s="28">
        <f t="shared" si="28"/>
        <v>0</v>
      </c>
      <c r="Y63" s="40">
        <v>0</v>
      </c>
      <c r="AA63" s="30" t="s">
        <v>86</v>
      </c>
      <c r="AB63" s="44">
        <f>'2205'!$R16+'2305'!$R16+'2405'!$R16</f>
        <v>0</v>
      </c>
      <c r="AC63" s="29">
        <f t="shared" si="29"/>
        <v>0</v>
      </c>
      <c r="AD63" s="27">
        <f>'2205'!$S16+'2305'!$S16+'2405'!$S16</f>
        <v>0</v>
      </c>
      <c r="AE63" s="28">
        <f t="shared" si="30"/>
        <v>0</v>
      </c>
      <c r="AF63" s="27">
        <f>'2205'!$T16+'2305'!$T16+'2405'!$T16</f>
        <v>0</v>
      </c>
      <c r="AG63" s="28">
        <f t="shared" si="31"/>
        <v>0</v>
      </c>
      <c r="AH63" s="27">
        <f>'2205'!$U16+'2305'!$U16+'2405'!$U16</f>
        <v>0</v>
      </c>
      <c r="AI63" s="28">
        <f t="shared" si="32"/>
        <v>0</v>
      </c>
      <c r="AJ63" s="40">
        <v>0</v>
      </c>
    </row>
    <row r="64" spans="8:36" ht="14.25" customHeight="1" x14ac:dyDescent="0.45">
      <c r="P64" s="13"/>
      <c r="Q64" s="15"/>
      <c r="R64" s="15"/>
      <c r="S64" s="15"/>
      <c r="AA64" s="30" t="s">
        <v>87</v>
      </c>
      <c r="AB64" s="44">
        <f>'2205'!$R17+'2305'!$R17+'2405'!$R17</f>
        <v>1</v>
      </c>
      <c r="AC64" s="29">
        <f t="shared" si="29"/>
        <v>0.33333333333333331</v>
      </c>
      <c r="AD64" s="27">
        <f>'2205'!$S17+'2305'!$S17+'2405'!$S17</f>
        <v>1</v>
      </c>
      <c r="AE64" s="28">
        <f t="shared" si="30"/>
        <v>0.33333333333333331</v>
      </c>
      <c r="AF64" s="27">
        <f>'2205'!$T17+'2305'!$T17+'2405'!$T17</f>
        <v>0</v>
      </c>
      <c r="AG64" s="28">
        <f t="shared" si="31"/>
        <v>0</v>
      </c>
      <c r="AH64" s="27">
        <f>'2205'!$U17+'2305'!$U17+'2405'!$U17</f>
        <v>0</v>
      </c>
      <c r="AI64" s="28">
        <f t="shared" si="32"/>
        <v>0</v>
      </c>
      <c r="AJ64" s="40">
        <v>0</v>
      </c>
    </row>
    <row r="65" spans="8:36" ht="14.25" customHeight="1" x14ac:dyDescent="0.45">
      <c r="P65" s="52" t="s">
        <v>188</v>
      </c>
      <c r="Q65">
        <v>3</v>
      </c>
      <c r="AA65" s="52" t="s">
        <v>107</v>
      </c>
      <c r="AB65" s="44">
        <f>'2205'!$R18+'2305'!$R18+'2405'!$R18</f>
        <v>0</v>
      </c>
      <c r="AC65" s="29">
        <f t="shared" si="29"/>
        <v>0</v>
      </c>
      <c r="AD65" s="27">
        <f>'2205'!$S18+'2305'!$S18+'2405'!$S18</f>
        <v>0</v>
      </c>
      <c r="AE65" s="28">
        <f t="shared" si="30"/>
        <v>0</v>
      </c>
      <c r="AF65" s="27">
        <f>'2205'!$T18+'2305'!$T18+'2405'!$T18</f>
        <v>0</v>
      </c>
      <c r="AG65" s="28">
        <f t="shared" si="31"/>
        <v>0</v>
      </c>
      <c r="AH65" s="27">
        <f>'2205'!$U18+'2305'!$U18+'2405'!$U18</f>
        <v>0</v>
      </c>
      <c r="AI65" s="28">
        <f t="shared" si="32"/>
        <v>0</v>
      </c>
      <c r="AJ65" s="40">
        <v>1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</row>
    <row r="74" spans="8:36" ht="14.25" customHeight="1" x14ac:dyDescent="0.45">
      <c r="J74" s="33" t="s">
        <v>224</v>
      </c>
      <c r="P74" s="30" t="s">
        <v>78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187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186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</row>
    <row r="81" spans="7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</row>
    <row r="82" spans="7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</row>
    <row r="83" spans="7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7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25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25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25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25" ht="14.25" customHeight="1" x14ac:dyDescent="0.45"/>
    <row r="90" spans="7:25" ht="14.25" customHeight="1" x14ac:dyDescent="0.45"/>
    <row r="91" spans="7:25" ht="14.25" customHeight="1" x14ac:dyDescent="0.45"/>
    <row r="92" spans="7:25" ht="14.25" customHeight="1" x14ac:dyDescent="0.45">
      <c r="G92" t="s">
        <v>232</v>
      </c>
    </row>
    <row r="93" spans="7:25" ht="14.25" customHeight="1" x14ac:dyDescent="0.45">
      <c r="H93">
        <v>1</v>
      </c>
      <c r="I93" s="40">
        <v>2</v>
      </c>
      <c r="J93" s="40">
        <v>3</v>
      </c>
      <c r="K93" s="40">
        <v>4</v>
      </c>
      <c r="L93" s="40">
        <v>5</v>
      </c>
      <c r="M93" s="40">
        <v>6</v>
      </c>
      <c r="N93" s="40">
        <v>7</v>
      </c>
      <c r="O93" s="40">
        <v>8</v>
      </c>
      <c r="P93" s="40">
        <v>9</v>
      </c>
      <c r="Q93" s="40">
        <v>10</v>
      </c>
      <c r="R93" s="40">
        <v>11</v>
      </c>
      <c r="S93" s="40">
        <v>12</v>
      </c>
      <c r="T93" s="40">
        <v>13</v>
      </c>
    </row>
    <row r="94" spans="7:25" ht="14.25" customHeight="1" x14ac:dyDescent="0.45">
      <c r="G94" s="134" t="s">
        <v>55</v>
      </c>
      <c r="H94" s="42">
        <f>'2404'!$R3</f>
        <v>0</v>
      </c>
      <c r="I94" s="42">
        <f>'2604'!$R3</f>
        <v>1</v>
      </c>
      <c r="J94" s="42">
        <f>'0205'!$R3</f>
        <v>0</v>
      </c>
      <c r="K94" s="42">
        <f>'0305'!$R3</f>
        <v>0</v>
      </c>
      <c r="L94" s="42">
        <f>'0805'!$R3</f>
        <v>1</v>
      </c>
      <c r="M94" s="42">
        <f>'0905'!$R3</f>
        <v>2</v>
      </c>
      <c r="N94" s="42">
        <f>'1005'!$R3</f>
        <v>1</v>
      </c>
      <c r="O94" s="42">
        <f>'1505'!$R3</f>
        <v>0</v>
      </c>
      <c r="P94" s="42">
        <f>'1605'!$R3</f>
        <v>1</v>
      </c>
      <c r="Q94" s="42">
        <f>'1705'!$R3</f>
        <v>1</v>
      </c>
      <c r="R94" s="42">
        <f>'2205'!$R3</f>
        <v>0</v>
      </c>
      <c r="S94" s="42">
        <f>'2305'!$R3</f>
        <v>0</v>
      </c>
      <c r="T94" s="42">
        <f>'2405'!$R3</f>
        <v>0</v>
      </c>
      <c r="U94" cm="1">
        <f t="array" ref="U94:V94">LINEST(H94:T94)</f>
        <v>-2.1978021978021976E-2</v>
      </c>
      <c r="V94">
        <v>0.69230769230769229</v>
      </c>
    </row>
    <row r="95" spans="7:25" ht="14.25" customHeight="1" x14ac:dyDescent="0.45">
      <c r="G95" s="135" t="s">
        <v>59</v>
      </c>
      <c r="H95" s="42">
        <f>'2404'!$R4</f>
        <v>0</v>
      </c>
      <c r="I95" s="42">
        <f>'2604'!$R4</f>
        <v>0</v>
      </c>
      <c r="J95" s="42">
        <f>'0205'!$R4</f>
        <v>0</v>
      </c>
      <c r="K95" s="42">
        <f>'0305'!$R4</f>
        <v>1</v>
      </c>
      <c r="L95" s="42">
        <f>'0805'!$R4</f>
        <v>1</v>
      </c>
      <c r="M95" s="42">
        <f>'0905'!$R4</f>
        <v>2</v>
      </c>
      <c r="N95" s="42">
        <f>'1005'!$R4</f>
        <v>1</v>
      </c>
      <c r="O95" s="42">
        <f>'1505'!$R4</f>
        <v>2</v>
      </c>
      <c r="P95" s="42">
        <f>'1605'!$R4</f>
        <v>0</v>
      </c>
      <c r="Q95" s="42">
        <f>'1705'!$R4</f>
        <v>1</v>
      </c>
      <c r="R95" s="42">
        <f>'2205'!$R4</f>
        <v>0</v>
      </c>
      <c r="S95" s="42">
        <f>'2305'!$R4</f>
        <v>0</v>
      </c>
      <c r="T95" s="42">
        <f>'2405'!$R4</f>
        <v>0</v>
      </c>
      <c r="U95" s="40" cm="1">
        <f t="array" ref="U95:V95">LINEST(H95:T95)</f>
        <v>-1.0989010989011E-2</v>
      </c>
      <c r="V95">
        <v>0.6923076923076924</v>
      </c>
    </row>
    <row r="96" spans="7:25" ht="14.25" customHeight="1" x14ac:dyDescent="0.45">
      <c r="G96" s="134" t="s">
        <v>62</v>
      </c>
      <c r="H96" s="42">
        <f>'2404'!$R5</f>
        <v>3</v>
      </c>
      <c r="I96" s="42">
        <f>'2604'!$R5</f>
        <v>0</v>
      </c>
      <c r="J96" s="42">
        <f>'0205'!$R5</f>
        <v>2</v>
      </c>
      <c r="K96" s="42">
        <f>'0305'!$R5</f>
        <v>6</v>
      </c>
      <c r="L96" s="42">
        <f>'0805'!$R5</f>
        <v>2</v>
      </c>
      <c r="M96" s="42">
        <f>'0905'!$R5</f>
        <v>0</v>
      </c>
      <c r="N96" s="42">
        <f>'1005'!$R5</f>
        <v>0</v>
      </c>
      <c r="O96" s="42">
        <f>'1505'!$R5</f>
        <v>0</v>
      </c>
      <c r="P96" s="42">
        <f>'1605'!$R5</f>
        <v>4</v>
      </c>
      <c r="Q96" s="42">
        <f>'1705'!$R5</f>
        <v>1</v>
      </c>
      <c r="R96" s="42">
        <f>'2205'!$R5</f>
        <v>4</v>
      </c>
      <c r="S96" s="42">
        <f>'2305'!$R5</f>
        <v>1</v>
      </c>
      <c r="T96" s="42">
        <f>'2405'!$R5</f>
        <v>2</v>
      </c>
      <c r="U96" s="40" cm="1">
        <f t="array" ref="U96:V96">LINEST(H96:T96)</f>
        <v>-2.1978021978021928E-2</v>
      </c>
      <c r="V96">
        <v>2.0769230769230766</v>
      </c>
    </row>
    <row r="97" spans="7:22" ht="14.25" customHeight="1" x14ac:dyDescent="0.45">
      <c r="G97" s="135" t="s">
        <v>65</v>
      </c>
      <c r="H97" s="42">
        <f>'2404'!$R6</f>
        <v>1</v>
      </c>
      <c r="I97" s="42">
        <f>'2604'!$R6</f>
        <v>2</v>
      </c>
      <c r="J97" s="42">
        <f>'0205'!$R6</f>
        <v>2</v>
      </c>
      <c r="K97" s="42">
        <f>'0305'!$R6</f>
        <v>2</v>
      </c>
      <c r="L97" s="42">
        <f>'0805'!$R6</f>
        <v>1</v>
      </c>
      <c r="M97" s="42">
        <f>'0905'!$R6</f>
        <v>12</v>
      </c>
      <c r="N97" s="42">
        <f>'1005'!$R6</f>
        <v>6</v>
      </c>
      <c r="O97" s="42">
        <f>'1505'!$R6</f>
        <v>4</v>
      </c>
      <c r="P97" s="42">
        <f>'1605'!$R6</f>
        <v>5</v>
      </c>
      <c r="Q97" s="42">
        <f>'1705'!$R6</f>
        <v>1</v>
      </c>
      <c r="R97" s="42">
        <f>'2205'!$R6</f>
        <v>0</v>
      </c>
      <c r="S97" s="42">
        <f>'2305'!$R6</f>
        <v>2</v>
      </c>
      <c r="T97" s="42">
        <f>'2405'!$R6</f>
        <v>0</v>
      </c>
      <c r="U97" s="40" cm="1">
        <f t="array" ref="U97:V97">LINEST(H97:T97)</f>
        <v>-9.3406593406593394E-2</v>
      </c>
      <c r="V97">
        <v>3.5769230769230766</v>
      </c>
    </row>
    <row r="98" spans="7:22" ht="14.25" customHeight="1" x14ac:dyDescent="0.45">
      <c r="G98" s="135" t="s">
        <v>68</v>
      </c>
      <c r="H98" s="42">
        <f>'2404'!$R7</f>
        <v>0</v>
      </c>
      <c r="I98" s="42">
        <f>'2604'!$R7</f>
        <v>1</v>
      </c>
      <c r="J98" s="42">
        <f>'0205'!$R7</f>
        <v>2</v>
      </c>
      <c r="K98" s="42">
        <f>'0305'!$R7</f>
        <v>1</v>
      </c>
      <c r="L98" s="42">
        <f>'0805'!$R7</f>
        <v>4</v>
      </c>
      <c r="M98" s="42">
        <f>'0905'!$R7</f>
        <v>4</v>
      </c>
      <c r="N98" s="42">
        <f>'1005'!$R7</f>
        <v>3</v>
      </c>
      <c r="O98" s="42">
        <f>'1505'!$R7</f>
        <v>5</v>
      </c>
      <c r="P98" s="42">
        <f>'1605'!$R7</f>
        <v>4</v>
      </c>
      <c r="Q98" s="42">
        <f>'1705'!$R7</f>
        <v>0</v>
      </c>
      <c r="R98" s="42">
        <f>'2205'!$R7</f>
        <v>1</v>
      </c>
      <c r="S98" s="42">
        <f>'2305'!$R7</f>
        <v>0</v>
      </c>
      <c r="T98" s="42">
        <f>'2405'!$R7</f>
        <v>0</v>
      </c>
      <c r="U98" s="40" cm="1">
        <f t="array" ref="U98:V98">LINEST(H98:T98)</f>
        <v>-6.0439560439560412E-2</v>
      </c>
      <c r="V98">
        <v>2.3461538461538458</v>
      </c>
    </row>
    <row r="99" spans="7:22" ht="14.25" customHeight="1" x14ac:dyDescent="0.45">
      <c r="G99" s="135" t="s">
        <v>71</v>
      </c>
      <c r="H99" s="42">
        <f>'2404'!$R8</f>
        <v>2</v>
      </c>
      <c r="I99" s="42">
        <f>'2604'!$R8</f>
        <v>0</v>
      </c>
      <c r="J99" s="42">
        <f>'0205'!$R8</f>
        <v>1</v>
      </c>
      <c r="K99" s="42">
        <f>'0305'!$R8</f>
        <v>0</v>
      </c>
      <c r="L99" s="42">
        <f>'0805'!$R8</f>
        <v>0</v>
      </c>
      <c r="M99" s="42">
        <f>'0905'!$R8</f>
        <v>0</v>
      </c>
      <c r="N99" s="42">
        <f>'1005'!$R8</f>
        <v>0</v>
      </c>
      <c r="O99" s="42">
        <f>'1505'!$R8</f>
        <v>2</v>
      </c>
      <c r="P99" s="42">
        <f>'1605'!$R8</f>
        <v>0</v>
      </c>
      <c r="Q99" s="42">
        <f>'1705'!$R8</f>
        <v>0</v>
      </c>
      <c r="R99" s="42">
        <f>'2205'!$R8</f>
        <v>0</v>
      </c>
      <c r="S99" s="42">
        <f>'2305'!$R8</f>
        <v>2</v>
      </c>
      <c r="T99" s="42">
        <f>'2405'!$R8</f>
        <v>0</v>
      </c>
      <c r="U99" s="40" cm="1">
        <f t="array" ref="U99:V99">LINEST(H99:T99)</f>
        <v>-2.1978021978021969E-2</v>
      </c>
      <c r="V99">
        <v>0.69230769230769229</v>
      </c>
    </row>
    <row r="100" spans="7:22" ht="14.25" customHeight="1" x14ac:dyDescent="0.45">
      <c r="G100" s="86" t="s">
        <v>75</v>
      </c>
      <c r="H100" s="42">
        <f>'2404'!$R9</f>
        <v>0</v>
      </c>
      <c r="I100" s="42">
        <f>'2604'!$R9</f>
        <v>0</v>
      </c>
      <c r="J100" s="42">
        <f>'0205'!$R9</f>
        <v>3</v>
      </c>
      <c r="K100" s="42">
        <f>'0305'!$R9</f>
        <v>2</v>
      </c>
      <c r="L100" s="42">
        <f>'0805'!$R9</f>
        <v>0</v>
      </c>
      <c r="M100" s="42">
        <f>'0905'!$R9</f>
        <v>0</v>
      </c>
      <c r="N100" s="42">
        <f>'1005'!$R9</f>
        <v>4</v>
      </c>
      <c r="O100" s="42">
        <f>'1505'!$R9</f>
        <v>3</v>
      </c>
      <c r="P100" s="42">
        <f>'1605'!$R9</f>
        <v>2</v>
      </c>
      <c r="Q100" s="42">
        <f>'1705'!$R9</f>
        <v>1</v>
      </c>
      <c r="R100" s="42">
        <f>'2205'!$R9</f>
        <v>0</v>
      </c>
      <c r="S100" s="42">
        <f>'2305'!$R9</f>
        <v>1</v>
      </c>
      <c r="T100" s="42">
        <f>'2405'!$R9</f>
        <v>2</v>
      </c>
      <c r="U100" s="40" cm="1">
        <f t="array" ref="U100:V100">LINEST(H100:T100)</f>
        <v>4.9450549450549497E-2</v>
      </c>
      <c r="V100">
        <v>1.0384615384615381</v>
      </c>
    </row>
    <row r="101" spans="7:22" ht="14.25" customHeight="1" x14ac:dyDescent="0.45">
      <c r="G101" s="86" t="s">
        <v>78</v>
      </c>
      <c r="H101" s="42">
        <f>'2404'!$R10</f>
        <v>0</v>
      </c>
      <c r="I101" s="42">
        <f>'2604'!$R10</f>
        <v>0</v>
      </c>
      <c r="J101" s="42">
        <f>'0205'!$R10</f>
        <v>0</v>
      </c>
      <c r="K101" s="42">
        <f>'0305'!$R10</f>
        <v>3</v>
      </c>
      <c r="L101" s="42">
        <f>'0805'!$R10</f>
        <v>1</v>
      </c>
      <c r="M101" s="42">
        <f>'0905'!$R10</f>
        <v>2</v>
      </c>
      <c r="N101" s="42">
        <f>'1005'!$R10</f>
        <v>7</v>
      </c>
      <c r="O101" s="42">
        <f>'1505'!$R10</f>
        <v>0</v>
      </c>
      <c r="P101" s="42">
        <f>'1605'!$R10</f>
        <v>0</v>
      </c>
      <c r="Q101" s="42">
        <f>'1705'!$R10</f>
        <v>3</v>
      </c>
      <c r="R101" s="42">
        <f>'2205'!$R10</f>
        <v>0</v>
      </c>
      <c r="S101" s="42">
        <f>'2305'!$R10</f>
        <v>2</v>
      </c>
      <c r="T101" s="42">
        <f>'2405'!$R10</f>
        <v>0</v>
      </c>
      <c r="U101" s="40" cm="1">
        <f t="array" ref="U101:V101">LINEST(H101:T101)</f>
        <v>3.296703296703303E-2</v>
      </c>
      <c r="V101">
        <v>1.1538461538461533</v>
      </c>
    </row>
    <row r="102" spans="7:22" ht="14.25" customHeight="1" x14ac:dyDescent="0.45">
      <c r="G102" s="134" t="s">
        <v>80</v>
      </c>
      <c r="H102" s="42">
        <f>'2404'!$R11</f>
        <v>2</v>
      </c>
      <c r="I102" s="42">
        <f>'2604'!$R11</f>
        <v>0</v>
      </c>
      <c r="J102" s="42">
        <f>'0205'!$R11</f>
        <v>3</v>
      </c>
      <c r="K102" s="42">
        <f>'0305'!$R11</f>
        <v>2</v>
      </c>
      <c r="L102" s="42">
        <f>'0805'!$R11</f>
        <v>3</v>
      </c>
      <c r="M102" s="42">
        <f>'0905'!$R11</f>
        <v>4</v>
      </c>
      <c r="N102" s="42">
        <f>'1005'!$R11</f>
        <v>2</v>
      </c>
      <c r="O102" s="42">
        <f>'1505'!$R11</f>
        <v>1</v>
      </c>
      <c r="P102" s="42">
        <f>'1605'!$R11</f>
        <v>5</v>
      </c>
      <c r="Q102" s="42">
        <f>'1705'!$R11</f>
        <v>1</v>
      </c>
      <c r="R102" s="42">
        <f>'2205'!$R11</f>
        <v>5</v>
      </c>
      <c r="S102" s="42">
        <f>'2305'!$R11</f>
        <v>0</v>
      </c>
      <c r="T102" s="42">
        <f>'2405'!$R11</f>
        <v>1</v>
      </c>
      <c r="U102" s="40" cm="1">
        <f t="array" ref="U102:V102">LINEST(H102:T102)</f>
        <v>3.2918082333792727E-17</v>
      </c>
      <c r="V102">
        <v>2.2307692307692304</v>
      </c>
    </row>
    <row r="103" spans="7:22" ht="14.25" customHeight="1" x14ac:dyDescent="0.45">
      <c r="G103" s="134" t="s">
        <v>81</v>
      </c>
      <c r="H103" s="42">
        <f>'2404'!$R12</f>
        <v>0</v>
      </c>
      <c r="I103" s="42">
        <f>'2604'!$R12</f>
        <v>0</v>
      </c>
      <c r="J103" s="42">
        <f>'0205'!$R12</f>
        <v>2</v>
      </c>
      <c r="K103" s="42">
        <f>'0305'!$R12</f>
        <v>2</v>
      </c>
      <c r="L103" s="42">
        <f>'0805'!$R12</f>
        <v>1</v>
      </c>
      <c r="M103" s="42">
        <f>'0905'!$R12</f>
        <v>1</v>
      </c>
      <c r="N103" s="42">
        <f>'1005'!$R12</f>
        <v>0</v>
      </c>
      <c r="O103" s="42">
        <f>'1505'!$R12</f>
        <v>0</v>
      </c>
      <c r="P103" s="42">
        <f>'1605'!$R12</f>
        <v>2</v>
      </c>
      <c r="Q103" s="42">
        <f>'1705'!$R12</f>
        <v>0</v>
      </c>
      <c r="R103" s="42">
        <f>'2205'!$R12</f>
        <v>2</v>
      </c>
      <c r="S103" s="42">
        <f>'2305'!$R12</f>
        <v>0</v>
      </c>
      <c r="T103" s="42">
        <f>'2405'!$R12</f>
        <v>1</v>
      </c>
      <c r="U103" s="40" cm="1">
        <f t="array" ref="U103:V103">LINEST(H103:T103)</f>
        <v>5.4945054945055105E-3</v>
      </c>
      <c r="V103">
        <v>0.8076923076923076</v>
      </c>
    </row>
    <row r="104" spans="7:22" ht="14.25" customHeight="1" x14ac:dyDescent="0.45">
      <c r="G104" s="134" t="s">
        <v>187</v>
      </c>
      <c r="H104" s="42">
        <f>'2404'!$R13</f>
        <v>2</v>
      </c>
      <c r="I104" s="42">
        <f>'2604'!$R13</f>
        <v>2</v>
      </c>
      <c r="J104" s="42">
        <f>'0205'!$R13</f>
        <v>1</v>
      </c>
      <c r="K104" s="42">
        <f>'0305'!$R13</f>
        <v>2</v>
      </c>
      <c r="L104" s="42">
        <f>'0805'!$R13</f>
        <v>0</v>
      </c>
      <c r="M104" s="42">
        <f>'0905'!$R13</f>
        <v>0</v>
      </c>
      <c r="N104" s="42">
        <f>'1005'!$R13</f>
        <v>0</v>
      </c>
      <c r="O104" s="42">
        <f>'1505'!$R13</f>
        <v>0</v>
      </c>
      <c r="P104" s="42">
        <f>'1605'!$R13</f>
        <v>2</v>
      </c>
      <c r="Q104" s="42">
        <f>'1705'!$R13</f>
        <v>2</v>
      </c>
      <c r="R104" s="42">
        <f>'2205'!$R13</f>
        <v>1</v>
      </c>
      <c r="S104" s="42">
        <f>'2305'!$R13</f>
        <v>0</v>
      </c>
      <c r="T104" s="42">
        <f>'2405'!$R13</f>
        <v>0</v>
      </c>
      <c r="U104" s="40" cm="1">
        <f t="array" ref="U104:V104">LINEST(H104:T104)</f>
        <v>-9.8901098901098897E-2</v>
      </c>
      <c r="V104">
        <v>1.6153846153846154</v>
      </c>
    </row>
    <row r="105" spans="7:22" ht="14.25" customHeight="1" x14ac:dyDescent="0.45">
      <c r="G105" s="86" t="s">
        <v>186</v>
      </c>
      <c r="H105" s="42">
        <f>'2404'!$R14</f>
        <v>0</v>
      </c>
      <c r="I105" s="42">
        <f>'2604'!$R14</f>
        <v>0</v>
      </c>
      <c r="J105" s="42">
        <f>'0205'!$R14</f>
        <v>1</v>
      </c>
      <c r="K105" s="42">
        <f>'0305'!$R14</f>
        <v>1</v>
      </c>
      <c r="L105" s="42">
        <f>'0805'!$R14</f>
        <v>0</v>
      </c>
      <c r="M105" s="42">
        <f>'0905'!$R14</f>
        <v>2</v>
      </c>
      <c r="N105" s="42">
        <f>'1005'!$R14</f>
        <v>1</v>
      </c>
      <c r="O105" s="42">
        <f>'1505'!$R14</f>
        <v>1</v>
      </c>
      <c r="P105" s="42">
        <f>'1605'!$R14</f>
        <v>2</v>
      </c>
      <c r="Q105" s="42">
        <f>'1705'!$R14</f>
        <v>1</v>
      </c>
      <c r="R105" s="42">
        <f>'2205'!$R14</f>
        <v>1</v>
      </c>
      <c r="S105" s="42">
        <f>'2305'!$R14</f>
        <v>3</v>
      </c>
      <c r="T105" s="42">
        <f>'2405'!$R14</f>
        <v>1</v>
      </c>
      <c r="U105" s="40" cm="1">
        <f t="array" ref="U105:V105">LINEST(H105:T105)</f>
        <v>0.1318681318681319</v>
      </c>
      <c r="V105">
        <v>0.15384615384615352</v>
      </c>
    </row>
    <row r="106" spans="7:22" ht="14.25" customHeight="1" x14ac:dyDescent="0.45">
      <c r="G106" s="86" t="s">
        <v>85</v>
      </c>
      <c r="H106" s="42">
        <f>'2404'!$R15</f>
        <v>3</v>
      </c>
      <c r="I106" s="42">
        <f>'2604'!$R15</f>
        <v>1</v>
      </c>
      <c r="J106" s="42">
        <f>'0205'!$R15</f>
        <v>6</v>
      </c>
      <c r="K106" s="42">
        <f>'0305'!$R15</f>
        <v>0</v>
      </c>
      <c r="L106" s="42">
        <f>'0805'!$R15</f>
        <v>4</v>
      </c>
      <c r="M106" s="42">
        <f>'0905'!$R15</f>
        <v>0</v>
      </c>
      <c r="N106" s="42">
        <f>'1005'!$R15</f>
        <v>0</v>
      </c>
      <c r="O106" s="42">
        <f>'1505'!$R15</f>
        <v>0</v>
      </c>
      <c r="P106" s="42">
        <f>'1605'!$R15</f>
        <v>2</v>
      </c>
      <c r="Q106" s="42">
        <f>'1705'!$R15</f>
        <v>1</v>
      </c>
      <c r="R106" s="42">
        <f>'2205'!$R15</f>
        <v>2</v>
      </c>
      <c r="S106" s="42">
        <f>'2305'!$R15</f>
        <v>4</v>
      </c>
      <c r="T106" s="42">
        <f>'2405'!$R15</f>
        <v>2</v>
      </c>
      <c r="U106" s="40" cm="1">
        <f t="array" ref="U106:V106">LINEST(H106:T106)</f>
        <v>-4.3956043956043939E-2</v>
      </c>
      <c r="V106">
        <v>2.2307692307692308</v>
      </c>
    </row>
    <row r="107" spans="7:22" ht="14.25" customHeight="1" x14ac:dyDescent="0.45">
      <c r="G107" s="135" t="s">
        <v>86</v>
      </c>
      <c r="H107" s="42">
        <f>'2404'!$R16</f>
        <v>0</v>
      </c>
      <c r="I107" s="42">
        <f>'2604'!$R16</f>
        <v>0</v>
      </c>
      <c r="J107" s="42">
        <f>'0205'!$R16</f>
        <v>0</v>
      </c>
      <c r="K107" s="42">
        <f>'0305'!$R16</f>
        <v>0</v>
      </c>
      <c r="L107" s="42">
        <f>'0805'!$R16</f>
        <v>0</v>
      </c>
      <c r="M107" s="42">
        <f>'0905'!$R16</f>
        <v>1</v>
      </c>
      <c r="N107" s="42">
        <f>'1005'!$R16</f>
        <v>0</v>
      </c>
      <c r="O107" s="42">
        <f>'1505'!$R16</f>
        <v>1</v>
      </c>
      <c r="P107" s="42">
        <f>'1605'!$R16</f>
        <v>0</v>
      </c>
      <c r="Q107" s="42">
        <f>'1705'!$R16</f>
        <v>0</v>
      </c>
      <c r="R107" s="42">
        <f>'2205'!$R16</f>
        <v>0</v>
      </c>
      <c r="S107" s="42">
        <f>'2305'!$R16</f>
        <v>0</v>
      </c>
      <c r="T107" s="42">
        <f>'2405'!$R16</f>
        <v>0</v>
      </c>
      <c r="U107" s="40" cm="1">
        <f t="array" ref="U107:V107">LINEST(H107:T107)</f>
        <v>-3.0860702187930682E-18</v>
      </c>
      <c r="V107">
        <v>0.15384615384615388</v>
      </c>
    </row>
    <row r="108" spans="7:22" ht="14.25" customHeight="1" x14ac:dyDescent="0.45">
      <c r="G108" s="86" t="s">
        <v>87</v>
      </c>
      <c r="H108" s="42">
        <f>'2404'!$R17</f>
        <v>0</v>
      </c>
      <c r="I108" s="42">
        <f>'2604'!$R17</f>
        <v>1</v>
      </c>
      <c r="J108" s="42">
        <f>'0205'!$R17</f>
        <v>0</v>
      </c>
      <c r="K108" s="42">
        <f>'0305'!$R17</f>
        <v>0</v>
      </c>
      <c r="L108" s="42">
        <f>'0805'!$R17</f>
        <v>0</v>
      </c>
      <c r="M108" s="42">
        <f>'0905'!$R17</f>
        <v>1</v>
      </c>
      <c r="N108" s="42">
        <f>'1005'!$R17</f>
        <v>2</v>
      </c>
      <c r="O108" s="42">
        <f>'1505'!$R17</f>
        <v>2</v>
      </c>
      <c r="P108" s="42">
        <f>'1605'!$R17</f>
        <v>0</v>
      </c>
      <c r="Q108" s="42">
        <f>'1705'!$R17</f>
        <v>0</v>
      </c>
      <c r="R108" s="42">
        <f>'2205'!$R17</f>
        <v>0</v>
      </c>
      <c r="S108" s="42">
        <f>'2305'!$R17</f>
        <v>1</v>
      </c>
      <c r="T108" s="42">
        <f>'2405'!$R17</f>
        <v>0</v>
      </c>
      <c r="U108" s="40" cm="1">
        <f t="array" ref="U108:V108">LINEST(H108:T108)</f>
        <v>5.4945054945055027E-3</v>
      </c>
      <c r="V108">
        <v>0.49999999999999989</v>
      </c>
    </row>
    <row r="109" spans="7:22" ht="14.25" customHeight="1" x14ac:dyDescent="0.45">
      <c r="G109" s="86" t="s">
        <v>107</v>
      </c>
      <c r="H109" s="42">
        <f>'2404'!$R18</f>
        <v>0</v>
      </c>
      <c r="I109" s="42">
        <f>'2604'!$R18</f>
        <v>1</v>
      </c>
      <c r="J109" s="42">
        <f>'0205'!$R18</f>
        <v>0</v>
      </c>
      <c r="K109" s="42">
        <f>'0305'!$R18</f>
        <v>2</v>
      </c>
      <c r="L109" s="42">
        <f>'0805'!$R18</f>
        <v>0</v>
      </c>
      <c r="M109" s="42">
        <f>'0905'!$R18</f>
        <v>0</v>
      </c>
      <c r="N109" s="42">
        <f>'1005'!$R18</f>
        <v>0</v>
      </c>
      <c r="O109" s="42">
        <f>'1505'!$R18</f>
        <v>1</v>
      </c>
      <c r="P109" s="42">
        <f>'1605'!$R18</f>
        <v>0</v>
      </c>
      <c r="Q109" s="42">
        <f>'1705'!$R18</f>
        <v>0</v>
      </c>
      <c r="R109" s="42">
        <f>'2205'!$R18</f>
        <v>0</v>
      </c>
      <c r="S109" s="42">
        <f>'2305'!$R18</f>
        <v>0</v>
      </c>
      <c r="T109" s="42">
        <f>'2405'!$R18</f>
        <v>0</v>
      </c>
      <c r="U109" s="40" cm="1">
        <f t="array" ref="U109:V109">LINEST(H109:T109)</f>
        <v>-5.4945054945054944E-2</v>
      </c>
      <c r="V109">
        <v>0.69230769230769229</v>
      </c>
    </row>
    <row r="110" spans="7:22" ht="14.25" customHeight="1" x14ac:dyDescent="0.45"/>
    <row r="111" spans="7:22" ht="14.25" customHeight="1" x14ac:dyDescent="0.45"/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11:AE23">
    <cfRule type="cellIs" dxfId="10" priority="11" operator="lessThan">
      <formula>$AE$6</formula>
    </cfRule>
    <cfRule type="cellIs" dxfId="9" priority="12" operator="greaterThan">
      <formula>$AE$6</formula>
    </cfRule>
  </conditionalFormatting>
  <conditionalFormatting sqref="AC8:AC23">
    <cfRule type="cellIs" dxfId="8" priority="3" operator="lessThan">
      <formula>0</formula>
    </cfRule>
    <cfRule type="cellIs" dxfId="7" priority="4" operator="greaterThan">
      <formula>0</formula>
    </cfRule>
  </conditionalFormatting>
  <conditionalFormatting sqref="U94:U109">
    <cfRule type="cellIs" dxfId="6" priority="2" operator="greaterThan">
      <formula>0</formula>
    </cfRule>
  </conditionalFormatting>
  <conditionalFormatting sqref="U94:U109">
    <cfRule type="cellIs" dxfId="0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A3" sqref="A3:F16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13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186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77</v>
      </c>
      <c r="I4" s="1">
        <f>SUM(C4:C30)</f>
        <v>80</v>
      </c>
      <c r="J4" s="1">
        <f>SUM(D4:D30)</f>
        <v>28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28" t="s">
        <v>85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28" t="s">
        <v>85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0.15384615384615385</v>
      </c>
      <c r="AF4" s="61">
        <f>'2404'!AC3+'2604'!AC3+'0205'!AC3+'0305'!AC3+'0805'!AC3+'0905'!AC3+'1005'!AC3+'1505'!AC3+'1605'!AC3+'1705'!AC3+'2205'!AC3</f>
        <v>2</v>
      </c>
      <c r="AG4" s="101">
        <f>Table2[[#This Row],[Finishes]]/($AE$2-Table2[[#This Row],[DNP]])</f>
        <v>0.15384615384615385</v>
      </c>
      <c r="AH4" s="61">
        <f>'2404'!AD3+'2604'!AD3+'0205'!AD3+'0305'!AD3+'0805'!AD3+'0905'!AD3+'1005'!AD3+'1505'!AD3+'1605'!AD3+'1705'!AD3+'2205'!AD3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0.38461538461538458</v>
      </c>
      <c r="AO4" s="55">
        <f>Table2[[#This Row],[Avg P]]/(Table2[[#This Row],[Avg P]]+AN4)</f>
        <v>0.28571428571428575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30" t="s">
        <v>169</v>
      </c>
      <c r="V5" s="130" t="s">
        <v>171</v>
      </c>
      <c r="X5" s="17">
        <f>COUNTIF('2604'!$X$4:$X$26,"LG/5M")</f>
        <v>2</v>
      </c>
      <c r="Y5" s="17">
        <f>COUNTIF('2604'!$Z$4:$Z$26,"5M/LG")</f>
        <v>1</v>
      </c>
      <c r="Z5" s="130" t="s">
        <v>170</v>
      </c>
      <c r="AA5" s="130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0.18181818181818182</v>
      </c>
      <c r="AF5" s="61">
        <f>'2404'!AC4+'2604'!AC4+'0205'!AC4+'0305'!AC4+'0805'!AC4+'0905'!AC4+'1005'!AC4+'1505'!AC4+'1605'!AC4+'1705'!AC4+'2205'!AC4</f>
        <v>2</v>
      </c>
      <c r="AG5" s="101">
        <f>Table2[[#This Row],[Finishes]]/($AE$2-Table2[[#This Row],[DNP]])</f>
        <v>0.18181818181818182</v>
      </c>
      <c r="AH5" s="61">
        <f>'2404'!AD4+'2604'!AD4+'0205'!AD4+'0305'!AD4+'0805'!AD4+'0905'!AD4+'1005'!AD4+'1505'!AD4+'1605'!AD4+'1705'!AD4+'2205'!AD4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</f>
        <v>0</v>
      </c>
      <c r="AK5" s="62">
        <f>Table2[[#This Row],[Threes]]/($AE$2-Table2[[#This Row],[DNP]])</f>
        <v>0</v>
      </c>
      <c r="AL5" s="89">
        <f>'Stats Global'!Z9</f>
        <v>2</v>
      </c>
      <c r="AN5" s="41">
        <f>'Stats Global'!R9-Table2[[#This Row],[Avg P]]</f>
        <v>0.54545454545454541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28" t="s">
        <v>85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28" t="s">
        <v>176</v>
      </c>
      <c r="AA6" s="128" t="s">
        <v>177</v>
      </c>
      <c r="AC6" s="3" t="s">
        <v>38</v>
      </c>
      <c r="AD6" s="59">
        <f>Table2[[#This Row],[Finishes]]+Table2[[#This Row],[Midranges]]+Table2[[#This Row],[Threes]]+Table2[[#This Row],[Threes]]</f>
        <v>18</v>
      </c>
      <c r="AE6" s="60">
        <f>Table2[[#This Row],[Points]]/($AE$2-Table2[[#This Row],[DNP]])</f>
        <v>1.8</v>
      </c>
      <c r="AF6" s="61">
        <f>'2404'!AC5+'2604'!AC5+'0205'!AC5+'0305'!AC5+'0805'!AC5+'0905'!AC5+'1005'!AC5+'1505'!AC5+'1605'!AC5+'1705'!AC5+'2205'!AC5</f>
        <v>18</v>
      </c>
      <c r="AG6" s="101">
        <f>Table2[[#This Row],[Finishes]]/($AE$2-Table2[[#This Row],[DNP]])</f>
        <v>1.8</v>
      </c>
      <c r="AH6" s="61">
        <f>'2404'!AD5+'2604'!AD5+'0205'!AD5+'0305'!AD5+'0805'!AD5+'0905'!AD5+'1005'!AD5+'1505'!AD5+'1605'!AD5+'1705'!AD5+'2205'!AD5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0.7</v>
      </c>
      <c r="AO6" s="55">
        <f>Table2[[#This Row],[Avg P]]/(Table2[[#This Row],[Avg P]]+AN6)</f>
        <v>0.72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28" t="s">
        <v>169</v>
      </c>
      <c r="V7" s="128" t="s">
        <v>180</v>
      </c>
      <c r="X7" s="17">
        <f>COUNTIF('0305'!$X$4:$X$26,"LG/5M")</f>
        <v>3</v>
      </c>
      <c r="Y7" s="17">
        <f>COUNTIF('0305'!$Z$4:$Z$26,"5M/LG")</f>
        <v>6</v>
      </c>
      <c r="Z7" s="128" t="s">
        <v>78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22</v>
      </c>
      <c r="AE7" s="60">
        <f>Table2[[#This Row],[Points]]/($AE$2-Table2[[#This Row],[DNP]])</f>
        <v>1.6923076923076923</v>
      </c>
      <c r="AF7" s="61">
        <f>'2404'!AC6+'2604'!AC6+'0205'!AC6+'0305'!AC6+'0805'!AC6+'0905'!AC6+'1005'!AC6+'1505'!AC6+'1605'!AC6+'1705'!AC6+'2205'!AC6</f>
        <v>20</v>
      </c>
      <c r="AG7" s="101">
        <f>Table2[[#This Row],[Finishes]]/($AE$2-Table2[[#This Row],[DNP]])</f>
        <v>1.5384615384615385</v>
      </c>
      <c r="AH7" s="61">
        <f>'2404'!AD6+'2604'!AD6+'0205'!AD6+'0305'!AD6+'0805'!AD6+'0905'!AD6+'1005'!AD6+'1505'!AD6+'1605'!AD6+'1705'!AD6+'2205'!AD6</f>
        <v>2</v>
      </c>
      <c r="AI7" s="101">
        <f>Table2[[#This Row],[Midranges]]/($AE$2-Table2[[#This Row],[DNP]])</f>
        <v>0.15384615384615385</v>
      </c>
      <c r="AJ7" s="61">
        <f>'2404'!AE6+'2604'!AE6+'0205'!AE6+'0305'!AE6+'0805'!AE6+'0905'!AE6+'1005'!AE6+'1505'!AE6+'1605'!AE6+'1705'!AE6+'2205'!AE6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1.2307692307692306</v>
      </c>
      <c r="AO7" s="55">
        <f>Table2[[#This Row],[Avg P]]/(Table2[[#This Row],[Avg P]]+AN7)</f>
        <v>0.57894736842105265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28" t="s">
        <v>85</v>
      </c>
      <c r="V8" s="128" t="s">
        <v>189</v>
      </c>
      <c r="X8" s="17">
        <f>COUNTIF('0805'!$X$4:$X$26,"LG/5M")</f>
        <v>1</v>
      </c>
      <c r="Y8" s="17">
        <f>COUNTIF('0805'!$Z$4:$Z$26,"5M/LG")</f>
        <v>4</v>
      </c>
      <c r="Z8" s="128" t="s">
        <v>78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1</v>
      </c>
      <c r="AF8" s="61">
        <f>'2404'!AC7+'2604'!AC7+'0205'!AC7+'0305'!AC7+'0805'!AC7+'0905'!AC7+'1005'!AC7+'1505'!AC7+'1605'!AC7+'1705'!AC7+'2205'!AC7</f>
        <v>6</v>
      </c>
      <c r="AG8" s="101">
        <f>Table2[[#This Row],[Finishes]]/($AE$2-Table2[[#This Row],[DNP]])</f>
        <v>0.46153846153846156</v>
      </c>
      <c r="AH8" s="61">
        <f>'2404'!AD7+'2604'!AD7+'0205'!AD7+'0305'!AD7+'0805'!AD7+'0905'!AD7+'1005'!AD7+'1505'!AD7+'1605'!AD7+'1705'!AD7+'2205'!AD7</f>
        <v>5</v>
      </c>
      <c r="AI8" s="101">
        <f>Table2[[#This Row],[Midranges]]/($AE$2-Table2[[#This Row],[DNP]])</f>
        <v>0.38461538461538464</v>
      </c>
      <c r="AJ8" s="61">
        <f>'2404'!AE7+'2604'!AE7+'0205'!AE7+'0305'!AE7+'0805'!AE7+'0905'!AE7+'1005'!AE7+'1505'!AE7+'1605'!AE7+'1705'!AE7+'2205'!AE7</f>
        <v>1</v>
      </c>
      <c r="AK8" s="62">
        <f>Table2[[#This Row],[Threes]]/($AE$2-Table2[[#This Row],[DNP]])</f>
        <v>7.6923076923076927E-2</v>
      </c>
      <c r="AL8" s="89">
        <f>'Stats Global'!Z12</f>
        <v>0</v>
      </c>
      <c r="AN8" s="41">
        <f>'Stats Global'!R12-Table2[[#This Row],[Avg P]]</f>
        <v>0.92307692307692313</v>
      </c>
      <c r="AO8" s="55">
        <f>Table2[[#This Row],[Avg P]]/(Table2[[#This Row],[Avg P]]+AN8)</f>
        <v>0.52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28" t="s">
        <v>78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28" t="s">
        <v>195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</v>
      </c>
      <c r="AF9" s="61">
        <f>'2404'!AC8+'2604'!AC8+'0205'!AC8+'0305'!AC8+'0805'!AC8+'0905'!AC8+'1005'!AC8+'1505'!AC8+'1605'!AC8+'1705'!AC8+'2205'!AC8</f>
        <v>1</v>
      </c>
      <c r="AG9" s="101">
        <f>Table2[[#This Row],[Finishes]]/($AE$2-Table2[[#This Row],[DNP]])</f>
        <v>0.1</v>
      </c>
      <c r="AH9" s="61">
        <f>'2404'!AD8+'2604'!AD8+'0205'!AD8+'0305'!AD8+'0805'!AD8+'0905'!AD8+'1005'!AD8+'1505'!AD8+'1605'!AD8+'1705'!AD8+'2205'!AD8</f>
        <v>1</v>
      </c>
      <c r="AI9" s="101">
        <f>Table2[[#This Row],[Midranges]]/($AE$2-Table2[[#This Row],[DNP]])</f>
        <v>0.1</v>
      </c>
      <c r="AJ9" s="61">
        <f>'2404'!AE8+'2604'!AE8+'0205'!AE8+'0305'!AE8+'0805'!AE8+'0905'!AE8+'1005'!AE8+'1505'!AE8+'1605'!AE8+'1705'!AE8+'2205'!AE8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0.49999999999999994</v>
      </c>
      <c r="AO9" s="55">
        <f>Table2[[#This Row],[Avg P]]/(Table2[[#This Row],[Avg P]]+AN9)</f>
        <v>0.28571428571428575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28" t="s">
        <v>78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28" t="s">
        <v>78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7</v>
      </c>
      <c r="AE10" s="116">
        <f>Table2[[#This Row],[Points]]/($AE$2-Table2[[#This Row],[DNP]])</f>
        <v>0.53846153846153844</v>
      </c>
      <c r="AF10" s="117">
        <f>'2404'!AC9+'2604'!AC9+'0205'!AC9+'0305'!AC9+'0805'!AC9+'0905'!AC9+'1005'!AC9+'1505'!AC9+'1605'!AC9+'1705'!AC9+'2205'!AC9</f>
        <v>1</v>
      </c>
      <c r="AG10" s="118">
        <f>Table2[[#This Row],[Finishes]]/($AE$2-Table2[[#This Row],[DNP]])</f>
        <v>7.6923076923076927E-2</v>
      </c>
      <c r="AH10" s="117">
        <f>'2404'!AD9+'2604'!AD9+'0205'!AD9+'0305'!AD9+'0805'!AD9+'0905'!AD9+'1005'!AD9+'1505'!AD9+'1605'!AD9+'1705'!AD9+'2205'!AD9</f>
        <v>0</v>
      </c>
      <c r="AI10" s="118">
        <f>Table2[[#This Row],[Midranges]]/($AE$2-Table2[[#This Row],[DNP]])</f>
        <v>0</v>
      </c>
      <c r="AJ10" s="117">
        <f>'2404'!AE9+'2604'!AE9+'0205'!AE9+'0305'!AE9+'0805'!AE9+'0905'!AE9+'1005'!AE9+'1505'!AE9+'1605'!AE9+'1705'!AE9+'2205'!AE9</f>
        <v>3</v>
      </c>
      <c r="AK10" s="119">
        <f>Table2[[#This Row],[Threes]]/($AE$2-Table2[[#This Row],[DNP]])</f>
        <v>0.23076923076923078</v>
      </c>
      <c r="AL10" s="120">
        <f>'Stats Global'!Z14</f>
        <v>0</v>
      </c>
      <c r="AN10" s="121">
        <f>'Stats Global'!R14-Table2[[#This Row],[Avg P]]</f>
        <v>0.84615384615384615</v>
      </c>
      <c r="AO10" s="123">
        <f>Table2[[#This Row],[Avg P]]/(Table2[[#This Row],[Avg P]]+AN10)</f>
        <v>0.3888888888888889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28"/>
      <c r="V11" s="128"/>
      <c r="X11" s="17">
        <f>COUNTIF('1505'!$X$4:$X$40,"LG/5M")</f>
        <v>4</v>
      </c>
      <c r="Y11" s="17">
        <f>COUNTIF('1505'!$Z$4:$Z$40,"5M/LG")</f>
        <v>0</v>
      </c>
      <c r="Z11" s="128"/>
      <c r="AA11" s="128"/>
      <c r="AC11" s="114" t="s">
        <v>56</v>
      </c>
      <c r="AD11" s="115">
        <f>Table2[[#This Row],[Finishes]]+Table2[[#This Row],[Midranges]]+Table2[[#This Row],[Threes]]+Table2[[#This Row],[Threes]]</f>
        <v>7</v>
      </c>
      <c r="AE11" s="116">
        <f>Table2[[#This Row],[Points]]/($AE$2-Table2[[#This Row],[DNP]])</f>
        <v>0.53846153846153844</v>
      </c>
      <c r="AF11" s="117">
        <f>'2404'!AC10+'2604'!AC10+'0205'!AC10+'0305'!AC10+'0805'!AC10+'0905'!AC10+'1005'!AC10+'1505'!AC10+'1605'!AC10+'1705'!AC10+'2205'!AC10</f>
        <v>2</v>
      </c>
      <c r="AG11" s="118">
        <f>Table2[[#This Row],[Finishes]]/($AE$2-Table2[[#This Row],[DNP]])</f>
        <v>0.15384615384615385</v>
      </c>
      <c r="AH11" s="117">
        <f>'2404'!AD10+'2604'!AD10+'0205'!AD10+'0305'!AD10+'0805'!AD10+'0905'!AD10+'1005'!AD10+'1505'!AD10+'1605'!AD10+'1705'!AD10+'2205'!AD10</f>
        <v>5</v>
      </c>
      <c r="AI11" s="118">
        <f>Table2[[#This Row],[Midranges]]/($AE$2-Table2[[#This Row],[DNP]])</f>
        <v>0.38461538461538464</v>
      </c>
      <c r="AJ11" s="117">
        <f>'2404'!AE10+'2604'!AE10+'0205'!AE10+'0305'!AE10+'0805'!AE10+'0905'!AE10+'1005'!AE10+'1505'!AE10+'1605'!AE10+'1705'!AE10+'2205'!AE10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0.84615384615384615</v>
      </c>
      <c r="AO11" s="123">
        <f>Table2[[#This Row],[Avg P]]/(Table2[[#This Row],[Avg P]]+AN11)</f>
        <v>0.3888888888888889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28"/>
      <c r="V12" s="128"/>
      <c r="X12" s="17">
        <f>COUNTIF('1605'!$X$4:$X$40,"LG/5M")</f>
        <v>3</v>
      </c>
      <c r="Y12" s="17">
        <f>COUNTIF('1605'!$Z$4:$Z$40,"5M/LG")</f>
        <v>6</v>
      </c>
      <c r="Z12" s="128"/>
      <c r="AA12" s="128"/>
      <c r="AC12" s="3" t="s">
        <v>60</v>
      </c>
      <c r="AD12" s="59">
        <f>Table2[[#This Row],[Finishes]]+Table2[[#This Row],[Midranges]]+Table2[[#This Row],[Threes]]+Table2[[#This Row],[Threes]]</f>
        <v>10</v>
      </c>
      <c r="AE12" s="60">
        <f>Table2[[#This Row],[Points]]/($AE$2-Table2[[#This Row],[DNP]])</f>
        <v>0.83333333333333337</v>
      </c>
      <c r="AF12" s="61">
        <f>'2404'!AC11+'2604'!AC11+'0205'!AC11+'0305'!AC11+'0805'!AC11+'0905'!AC11+'1005'!AC11+'1505'!AC11+'1605'!AC11+'1705'!AC11+'2205'!AC11</f>
        <v>2</v>
      </c>
      <c r="AG12" s="101">
        <f>Table2[[#This Row],[Finishes]]/($AE$2-Table2[[#This Row],[DNP]])</f>
        <v>0.16666666666666666</v>
      </c>
      <c r="AH12" s="61">
        <f>'2404'!AD11+'2604'!AD11+'0205'!AD11+'0305'!AD11+'0805'!AD11+'0905'!AD11+'1005'!AD11+'1505'!AD11+'1605'!AD11+'1705'!AD11+'2205'!AD11</f>
        <v>8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'2404'!AE11+'2604'!AE11+'0205'!AE11+'0305'!AE11+'0805'!AE11+'0905'!AE11+'1005'!AE11+'1505'!AE11+'1605'!AE11+'1705'!AE11+'2205'!AE11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1.583333333333333</v>
      </c>
      <c r="AO12" s="55">
        <f>Table2[[#This Row],[Avg P]]/(Table2[[#This Row],[Avg P]]+AN12)</f>
        <v>0.34482758620689657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222</v>
      </c>
      <c r="F13" t="s">
        <v>56</v>
      </c>
      <c r="I13" s="1" t="s">
        <v>117</v>
      </c>
      <c r="J13" s="18" cm="1">
        <f t="array" ref="J13">SUM(B4:B7/SUM(B4:C7))</f>
        <v>0.48837209302325585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28"/>
      <c r="V13" s="128"/>
      <c r="X13" s="17">
        <f>COUNTIF('1705'!$X$4:$X$40,"LG/5M")</f>
        <v>3</v>
      </c>
      <c r="Y13" s="17">
        <f>COUNTIF('1705'!$Z$4:$Z$40,"5M/LG")</f>
        <v>3</v>
      </c>
      <c r="Z13" s="128"/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0.25</v>
      </c>
      <c r="AF13" s="61">
        <f>'2404'!AC12+'2604'!AC12+'0205'!AC12+'0305'!AC12+'0805'!AC12+'0905'!AC12+'1005'!AC12+'1505'!AC12+'1605'!AC12+'1705'!AC12+'2205'!AC12</f>
        <v>1</v>
      </c>
      <c r="AG13" s="101">
        <f>Table2[[#This Row],[Finishes]]/($AE$2-Table2[[#This Row],[DNP]])</f>
        <v>8.3333333333333329E-2</v>
      </c>
      <c r="AH13" s="61">
        <f>'2404'!AD12+'2604'!AD12+'0205'!AD12+'0305'!AD12+'0805'!AD12+'0905'!AD12+'1005'!AD12+'1505'!AD12+'1605'!AD12+'1705'!AD12+'2205'!AD12</f>
        <v>2</v>
      </c>
      <c r="AI13" s="101">
        <f>Table2[[#This Row],[Midranges]]/($AE$2-Table2[[#This Row],[DNP]])</f>
        <v>0.16666666666666666</v>
      </c>
      <c r="AJ13" s="61">
        <f>'2404'!AE12+'2604'!AE12+'0205'!AE12+'0305'!AE12+'0805'!AE12+'0905'!AE12+'1005'!AE12+'1505'!AE12+'1605'!AE12+'1705'!AE12+'2205'!AE12</f>
        <v>0</v>
      </c>
      <c r="AK13" s="62">
        <f>Table2[[#This Row],[Threes]]/($AE$2-Table2[[#This Row],[DNP]])</f>
        <v>0</v>
      </c>
      <c r="AL13" s="89">
        <f>'Stats Global'!Z17</f>
        <v>1</v>
      </c>
      <c r="AN13" s="41">
        <f>'Stats Global'!R17-Table2[[#This Row],[Avg P]]</f>
        <v>0.66666666666666663</v>
      </c>
      <c r="AO13" s="55">
        <f>Table2[[#This Row],[Avg P]]/(Table2[[#This Row],[Avg P]]+AN13)</f>
        <v>0.27272727272727276</v>
      </c>
    </row>
    <row r="14" spans="1:41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206</v>
      </c>
      <c r="F14" t="s">
        <v>226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28"/>
      <c r="V14" s="128"/>
      <c r="X14" s="17">
        <f>COUNTIF('2205'!$X$4:$X$40,"LG/5M")</f>
        <v>1</v>
      </c>
      <c r="Y14" s="17">
        <f>COUNTIF('2205'!$Z$4:$Z$40,"5M/LG")</f>
        <v>6</v>
      </c>
      <c r="Z14" s="128"/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0.36363636363636365</v>
      </c>
      <c r="AF14" s="89">
        <f>'2404'!AC13+'2604'!AC13+'0205'!AC13+'0305'!AC13+'0805'!AC13+'0905'!AC13+'1005'!AC13+'1505'!AC13+'1605'!AC13+'1705'!AC13+'2205'!AC13</f>
        <v>3</v>
      </c>
      <c r="AG14" s="102">
        <f>Table2[[#This Row],[Finishes]]/($AE$2-Table2[[#This Row],[DNP]])</f>
        <v>0.27272727272727271</v>
      </c>
      <c r="AH14" s="89">
        <f>'2404'!AD13+'2604'!AD13+'0205'!AD13+'0305'!AD13+'0805'!AD13+'0905'!AD13+'1005'!AD13+'1505'!AD13+'1605'!AD13+'1705'!AD13+'2205'!AD13</f>
        <v>1</v>
      </c>
      <c r="AI14" s="102">
        <f>Table2[[#This Row],[Midranges]]/($AE$2-Table2[[#This Row],[DNP]])</f>
        <v>9.0909090909090912E-2</v>
      </c>
      <c r="AJ14" s="89">
        <f>'2404'!AE13+'2604'!AE13+'0205'!AE13+'0305'!AE13+'0805'!AE13+'0905'!AE13+'1005'!AE13+'1505'!AE13+'1605'!AE13+'1705'!AE13+'2205'!AE13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0.72727272727272718</v>
      </c>
      <c r="AO14" s="55">
        <f>Table2[[#This Row],[Avg P]]/(Table2[[#This Row],[Avg P]]+AN14)</f>
        <v>0.33333333333333337</v>
      </c>
    </row>
    <row r="15" spans="1:41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/>
      <c r="T15" s="17"/>
      <c r="U15" s="128"/>
      <c r="V15" s="128"/>
      <c r="X15" s="17"/>
      <c r="Y15" s="17"/>
      <c r="Z15" s="128"/>
      <c r="AA15" s="128"/>
      <c r="AC15" s="114" t="s">
        <v>69</v>
      </c>
      <c r="AD15" s="120">
        <f>Table2[[#This Row],[Finishes]]+Table2[[#This Row],[Midranges]]+Table2[[#This Row],[Threes]]+Table2[[#This Row],[Threes]]</f>
        <v>5</v>
      </c>
      <c r="AE15" s="116">
        <f>Table2[[#This Row],[Points]]/($AE$2-Table2[[#This Row],[DNP]])</f>
        <v>0.38461538461538464</v>
      </c>
      <c r="AF15" s="120">
        <f>'2404'!AC14+'2604'!AC14+'0205'!AC14+'0305'!AC14+'0805'!AC14+'0905'!AC14+'1005'!AC14+'1505'!AC14+'1605'!AC14+'1705'!AC14+'2205'!AC14</f>
        <v>4</v>
      </c>
      <c r="AG15" s="121">
        <f>Table2[[#This Row],[Finishes]]/($AE$2-Table2[[#This Row],[DNP]])</f>
        <v>0.30769230769230771</v>
      </c>
      <c r="AH15" s="120">
        <f>'2404'!AD14+'2604'!AD14+'0205'!AD14+'0305'!AD14+'0805'!AD14+'0905'!AD14+'1005'!AD14+'1505'!AD14+'1605'!AD14+'1705'!AD14+'2205'!AD14</f>
        <v>1</v>
      </c>
      <c r="AI15" s="121">
        <f>Table2[[#This Row],[Midranges]]/($AE$2-Table2[[#This Row],[DNP]])</f>
        <v>7.6923076923076927E-2</v>
      </c>
      <c r="AJ15" s="120">
        <f>'2404'!AE14+'2604'!AE14+'0205'!AE14+'0305'!AE14+'0805'!AE14+'0905'!AE14+'1005'!AE14+'1505'!AE14+'1605'!AE14+'1705'!AE14+'2205'!AE14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0.69230769230769229</v>
      </c>
      <c r="AO15" s="123">
        <f>Table2[[#This Row],[Avg P]]/(Table2[[#This Row],[Avg P]]+AN15)</f>
        <v>0.35714285714285721</v>
      </c>
    </row>
    <row r="16" spans="1:41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202</v>
      </c>
      <c r="F16" t="s">
        <v>230</v>
      </c>
      <c r="L16" s="128"/>
      <c r="M16" s="128"/>
      <c r="N16" s="128"/>
      <c r="O16" s="128"/>
      <c r="P16" s="128"/>
      <c r="Q16" s="128"/>
      <c r="S16" s="17"/>
      <c r="T16" s="17"/>
      <c r="U16" s="128"/>
      <c r="V16" s="128"/>
      <c r="X16" s="17"/>
      <c r="Y16" s="17"/>
      <c r="Z16" s="128"/>
      <c r="AA16" s="128"/>
      <c r="AC16" s="114" t="s">
        <v>72</v>
      </c>
      <c r="AD16" s="120">
        <f>Table2[[#This Row],[Finishes]]+Table2[[#This Row],[Midranges]]+Table2[[#This Row],[Threes]]+Table2[[#This Row],[Threes]]</f>
        <v>9</v>
      </c>
      <c r="AE16" s="116">
        <f>Table2[[#This Row],[Points]]/($AE$2-Table2[[#This Row],[DNP]])</f>
        <v>0.9</v>
      </c>
      <c r="AF16" s="120">
        <f>'2404'!AC15+'2604'!AC15+'0205'!AC15+'0305'!AC15+'0805'!AC15+'0905'!AC15+'1005'!AC15+'1505'!AC15+'1605'!AC15+'1705'!AC15+'2205'!AC15</f>
        <v>7</v>
      </c>
      <c r="AG16" s="121">
        <f>Table2[[#This Row],[Finishes]]/($AE$2-Table2[[#This Row],[DNP]])</f>
        <v>0.7</v>
      </c>
      <c r="AH16" s="120">
        <f>'2404'!AD15+'2604'!AD15+'0205'!AD15+'0305'!AD15+'0805'!AD15+'0905'!AD15+'1005'!AD15+'1505'!AD15+'1605'!AD15+'1705'!AD15+'2205'!AD15</f>
        <v>0</v>
      </c>
      <c r="AI16" s="121">
        <f>Table2[[#This Row],[Midranges]]/($AE$2-Table2[[#This Row],[DNP]])</f>
        <v>0</v>
      </c>
      <c r="AJ16" s="120">
        <f>'2404'!AE15+'2604'!AE15+'0205'!AE15+'0305'!AE15+'0805'!AE15+'0905'!AE15+'1005'!AE15+'1505'!AE15+'1605'!AE15+'1705'!AE15+'2205'!AE15</f>
        <v>1</v>
      </c>
      <c r="AK16" s="122">
        <f>Table2[[#This Row],[Threes]]/($AE$2-Table2[[#This Row],[DNP]])</f>
        <v>0.1</v>
      </c>
      <c r="AL16" s="120">
        <f>'Stats Global'!Z20</f>
        <v>3</v>
      </c>
      <c r="AN16" s="121">
        <f>'Stats Global'!R20-Table2[[#This Row],[Avg P]]</f>
        <v>1.6</v>
      </c>
      <c r="AO16" s="123">
        <f>Table2[[#This Row],[Avg P]]/(Table2[[#This Row],[Avg P]]+AN16)</f>
        <v>0.36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7.6923076923076927E-2</v>
      </c>
      <c r="AF17" s="89">
        <f>'2404'!AC16+'2604'!AC16+'0205'!AC16+'0305'!AC16+'0805'!AC16+'0905'!AC16+'1005'!AC16+'1505'!AC16+'1605'!AC16+'1705'!AC16+'2205'!AC16</f>
        <v>1</v>
      </c>
      <c r="AG17" s="102">
        <f>Table2[[#This Row],[Finishes]]/($AE$2-Table2[[#This Row],[DNP]])</f>
        <v>7.6923076923076927E-2</v>
      </c>
      <c r="AH17" s="89">
        <f>'2404'!AD16+'2604'!AD16+'0205'!AD16+'0305'!AD16+'0805'!AD16+'0905'!AD16+'1005'!AD16+'1505'!AD16+'1605'!AD16+'1705'!AD16+'2205'!AD16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7.6923076923076927E-2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2</v>
      </c>
      <c r="AE18" s="116">
        <f>Table2[[#This Row],[Points]]/($AE$2-Table2[[#This Row],[DNP]])</f>
        <v>0.15384615384615385</v>
      </c>
      <c r="AF18" s="120">
        <f>'2404'!AC17+'2604'!AC17+'0205'!AC17+'0305'!AC17+'0805'!AC17+'0905'!AC17+'1005'!AC17+'1505'!AC17+'1605'!AC17+'1705'!AC17+'2205'!AC17</f>
        <v>1</v>
      </c>
      <c r="AG18" s="121">
        <f>Table2[[#This Row],[Finishes]]/($AE$2-Table2[[#This Row],[DNP]])</f>
        <v>7.6923076923076927E-2</v>
      </c>
      <c r="AH18" s="120">
        <f>'2404'!AD17+'2604'!AD17+'0205'!AD17+'0305'!AD17+'0805'!AD17+'0905'!AD17+'1005'!AD17+'1505'!AD17+'1605'!AD17+'1705'!AD17+'2205'!AD17</f>
        <v>1</v>
      </c>
      <c r="AI18" s="121">
        <f>Table2[[#This Row],[Midranges]]/($AE$2-Table2[[#This Row],[DNP]])</f>
        <v>7.6923076923076927E-2</v>
      </c>
      <c r="AJ18" s="120">
        <f>'2404'!AE17+'2604'!AE17+'0205'!AE17+'0305'!AE17+'0805'!AE17+'0905'!AE17+'1005'!AE17+'1505'!AE17+'1605'!AE17+'1705'!AE17+'2205'!AE17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0.38461538461538458</v>
      </c>
      <c r="AO18" s="123">
        <f>Table2[[#This Row],[Avg P]]/(Table2[[#This Row],[Avg P]]+AN18)</f>
        <v>0.28571428571428575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0.25</v>
      </c>
      <c r="AF19" s="120">
        <f>'2404'!AC18+'2604'!AC18+'0205'!AC18+'0305'!AC18+'0805'!AC18+'0905'!AC18+'1005'!AC18+'1505'!AC18+'1605'!AC18+'1705'!AC18+'2205'!AC18</f>
        <v>3</v>
      </c>
      <c r="AG19" s="121">
        <f>Table2[[#This Row],[Finishes]]/($AE$2-Table2[[#This Row],[DNP]])</f>
        <v>0.25</v>
      </c>
      <c r="AH19" s="120">
        <f>'2404'!AD18+'2604'!AD18+'0205'!AD18+'0305'!AD18+'0805'!AD18+'0905'!AD18+'1005'!AD18+'1505'!AD18+'1605'!AD18+'1705'!AD18+'2205'!AD18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</f>
        <v>0</v>
      </c>
      <c r="AK19" s="122">
        <f>Table2[[#This Row],[Threes]]/($AE$2-Table2[[#This Row],[DNP]])</f>
        <v>0</v>
      </c>
      <c r="AL19" s="120">
        <f>'Stats Global'!Z23</f>
        <v>1</v>
      </c>
      <c r="AN19" s="121">
        <f>'Stats Global'!R23-Table2[[#This Row],[Avg P]]</f>
        <v>8.3333333333333315E-2</v>
      </c>
      <c r="AO19" s="123">
        <f>Table2[[#This Row],[Avg P]]/(Table2[[#This Row],[Avg P]]+AN19)</f>
        <v>0.75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184</v>
      </c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0">SUM(S4:S29)</f>
        <v>29</v>
      </c>
      <c r="T30" s="17">
        <f t="shared" si="0"/>
        <v>39</v>
      </c>
      <c r="U30" s="128"/>
      <c r="V30" s="128"/>
      <c r="X30" s="17">
        <f t="shared" ref="X30:Y30" si="1">SUM(X4:X29)</f>
        <v>33</v>
      </c>
      <c r="Y30" s="17">
        <f t="shared" si="1"/>
        <v>37</v>
      </c>
      <c r="Z30" s="128"/>
      <c r="AA30" s="128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0.4264705882352941</v>
      </c>
      <c r="X31" s="22">
        <f>X30/(Y30+X30)</f>
        <v>0.47142857142857142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"PartA":[77,80],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6.6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"PartB":[25,"Angus Walker",17,"Angus Walker",12,"William Kim",6,"Clarrie Jones"],</v>
      </c>
      <c r="R33" t="s">
        <v>197</v>
      </c>
      <c r="T33" s="42">
        <f>MAX('Stats Global'!Q14:Q15,'Stats Global'!Q19:Q20,'Stats Global'!Q22:Q23)</f>
        <v>25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3.2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"PartC":[6.6,3.2,2.1,0.7,5.9,6.2],</v>
      </c>
      <c r="R34" t="s">
        <v>198</v>
      </c>
      <c r="T34" s="42">
        <f>MAX('Stats Global'!S14:S15,'Stats Global'!S19:S20,'Stats Global'!S22:S23)</f>
        <v>17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2.1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"PartD":[29,39,42.6,33,37,47.1],</v>
      </c>
      <c r="R35" t="s">
        <v>199</v>
      </c>
      <c r="T35" s="42">
        <f>MAX('Stats Global'!U14:U15,'Stats Global'!U19:U20,'Stats Global'!U22:U23)</f>
        <v>12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6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5.9</v>
      </c>
    </row>
    <row r="37" spans="12:34" ht="14.25" customHeight="1" x14ac:dyDescent="0.45">
      <c r="V37">
        <f>ROUND(I4/COUNT(B4:B40),1)</f>
        <v>6.2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8" priority="1" operator="lessThan">
      <formula>0.3333</formula>
    </cfRule>
    <cfRule type="cellIs" dxfId="17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A3" sqref="A3:F1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77</v>
      </c>
      <c r="I4" s="24">
        <f>SUM(C4:C30)</f>
        <v>81</v>
      </c>
      <c r="J4" s="24">
        <f>SUM(D4:D30)</f>
        <v>21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28"/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28"/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28"/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28"/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28"/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28"/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28"/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28"/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28"/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28"/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206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28"/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228</v>
      </c>
      <c r="F15" s="40" t="s">
        <v>228</v>
      </c>
      <c r="L15" s="128"/>
      <c r="M15" s="128"/>
      <c r="N15" s="128"/>
      <c r="O15" s="128"/>
      <c r="P15" s="128"/>
      <c r="R15" s="17"/>
      <c r="S15" s="17"/>
      <c r="T15" s="128"/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206</v>
      </c>
      <c r="F16" s="40" t="s">
        <v>206</v>
      </c>
      <c r="L16" s="128"/>
      <c r="M16" s="128"/>
      <c r="N16" s="128"/>
      <c r="O16" s="128"/>
      <c r="P16" s="128"/>
      <c r="R16" s="17"/>
      <c r="S16" s="17"/>
      <c r="T16" s="128"/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0">SUM(R4:R29)</f>
        <v>34</v>
      </c>
      <c r="S30" s="17">
        <f t="shared" si="0"/>
        <v>42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0.44736842105263158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"PartA":[77,81],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6.2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"PartB":[38,"Rudy Hoschke",35,"Rudy Hoschke",12,"Michael Iffland",1,"Michael Iffland"],</v>
      </c>
      <c r="R33" s="40" t="s">
        <v>197</v>
      </c>
      <c r="T33" s="42">
        <f>MAX('Stats Global'!Q9,'Stats Global'!Q11:Q13,'Stats Global'!Q21)</f>
        <v>38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"PartC":[6.2,4.1,1.6,0.23,5.9,6.2],</v>
      </c>
      <c r="R34" s="40" t="s">
        <v>198</v>
      </c>
      <c r="T34" s="42">
        <f>MAX('Stats Global'!S9,'Stats Global'!S11:S13,'Stats Global'!S21)</f>
        <v>35</v>
      </c>
      <c r="U34" s="40" t="s">
        <v>44</v>
      </c>
      <c r="V34" s="64">
        <f>ROUND(SUM('Stats Global'!U9,'Stats Global'!U11:U13,'Stats Global'!U21)/COUNT(B4:B40),1)</f>
        <v>1.6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"PartD":[39,29,57.4,34,42,44.7],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5.9</v>
      </c>
    </row>
    <row r="37" spans="12:22" ht="14.25" customHeight="1" x14ac:dyDescent="0.45">
      <c r="V37" s="40">
        <f>ROUND(I4/COUNT(B4:B40),1)</f>
        <v>6.2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A3" sqref="A3:F1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187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84</v>
      </c>
      <c r="H4" s="24">
        <f>SUM(C4:C30)</f>
        <v>77</v>
      </c>
      <c r="I4" s="24">
        <f>SUM(D4:D30)</f>
        <v>29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206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223</v>
      </c>
      <c r="F13" s="40" t="s">
        <v>212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227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206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231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"PartA":[84,77],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6.5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"PartB":[29,"Samuel McConaghy",25,"Alexander Galt",22,"Samuel McConaghy",1,"N/A"],</v>
      </c>
      <c r="Q33" s="40" t="s">
        <v>197</v>
      </c>
      <c r="S33" s="42">
        <f>MAX('Stats Global'!Q8,'Stats Global'!Q10,'Stats Global'!Q16:Q18)</f>
        <v>29</v>
      </c>
      <c r="T33" s="40" t="s">
        <v>60</v>
      </c>
      <c r="U33" s="64">
        <f>ROUND(SUM('Stats Global'!S8,'Stats Global'!S10,'Stats Global'!S16:S18)/COUNT(B4:B40),1)</f>
        <v>3.3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"PartC":[6.5,3.3,3,0.1,6.5,5.9],</v>
      </c>
      <c r="Q34" s="40" t="s">
        <v>198</v>
      </c>
      <c r="S34" s="42">
        <f>MAX('Stats Global'!S8,'Stats Global'!S10,'Stats Global'!S16:S18)</f>
        <v>25</v>
      </c>
      <c r="T34" s="40" t="s">
        <v>38</v>
      </c>
      <c r="U34" s="64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"PartD":[37,33,52.9,42,34,55.3],</v>
      </c>
      <c r="Q35" s="40" t="s">
        <v>199</v>
      </c>
      <c r="S35" s="42">
        <f>MAX('Stats Global'!U8,'Stats Global'!U10,'Stats Global'!U16:U18)</f>
        <v>22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6.5</v>
      </c>
    </row>
    <row r="37" spans="11:21" ht="14.25" customHeight="1" x14ac:dyDescent="0.45">
      <c r="U37" s="40">
        <f>ROUND(H4/COUNT(B4:B40),1)</f>
        <v>5.9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3" t="s">
        <v>159</v>
      </c>
      <c r="R41" s="133"/>
      <c r="S41" s="13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3"/>
      <c r="R42" s="133"/>
      <c r="S42" s="13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173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>
      <selection activeCell="I10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topLeftCell="A22" workbookViewId="0">
      <selection activeCell="Q43" sqref="Q43:Q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2023-05-25T02:10:45Z</dcterms:modified>
</cp:coreProperties>
</file>