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BA8B29B2-9D5F-4F41-93F9-D26B02F1E369}" xr6:coauthVersionLast="47" xr6:coauthVersionMax="47" xr10:uidLastSave="{00000000-0000-0000-0000-000000000000}"/>
  <bookViews>
    <workbookView xWindow="-98" yWindow="-98" windowWidth="22695" windowHeight="14595" firstSheet="1" activeTab="1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8" i="3" l="1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Q9" i="4"/>
  <c r="R9" i="4"/>
  <c r="V9" i="4"/>
  <c r="W9" i="4"/>
  <c r="P9" i="5"/>
  <c r="Q9" i="5"/>
  <c r="AF12" i="4"/>
  <c r="AF4" i="4"/>
  <c r="AF5" i="4"/>
  <c r="AF6" i="4"/>
  <c r="AF7" i="4"/>
  <c r="AF8" i="4"/>
  <c r="AF9" i="4"/>
  <c r="AF10" i="4"/>
  <c r="AF11" i="4"/>
  <c r="AF13" i="4"/>
  <c r="AF14" i="4"/>
  <c r="AF15" i="4"/>
  <c r="AF16" i="4"/>
  <c r="AF17" i="4"/>
  <c r="AF18" i="4"/>
  <c r="AF19" i="4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D19" i="4" s="1"/>
  <c r="AE17" i="14"/>
  <c r="AD17" i="14"/>
  <c r="AC17" i="14"/>
  <c r="AD18" i="4" s="1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H13" i="4" s="1"/>
  <c r="AD12" i="14"/>
  <c r="AC12" i="14"/>
  <c r="AE11" i="14"/>
  <c r="AH12" i="4" s="1"/>
  <c r="AD11" i="14"/>
  <c r="AC11" i="14"/>
  <c r="AD12" i="4" s="1"/>
  <c r="AE10" i="14"/>
  <c r="AD10" i="14"/>
  <c r="AC10" i="14"/>
  <c r="AD11" i="4" s="1"/>
  <c r="AE9" i="14"/>
  <c r="AD9" i="14"/>
  <c r="AC9" i="14"/>
  <c r="AD10" i="4" s="1"/>
  <c r="AE8" i="14"/>
  <c r="AD8" i="14"/>
  <c r="AC8" i="14"/>
  <c r="AE7" i="14"/>
  <c r="AD7" i="14"/>
  <c r="AC7" i="14"/>
  <c r="AE6" i="14"/>
  <c r="AH7" i="4" s="1"/>
  <c r="AD6" i="14"/>
  <c r="AC6" i="14"/>
  <c r="AD7" i="4" s="1"/>
  <c r="AE5" i="14"/>
  <c r="AD5" i="14"/>
  <c r="AC5" i="14"/>
  <c r="AE4" i="14"/>
  <c r="AH5" i="4" s="1"/>
  <c r="AD4" i="14"/>
  <c r="AC4" i="14"/>
  <c r="AE3" i="14"/>
  <c r="AH4" i="4" s="1"/>
  <c r="AD3" i="14"/>
  <c r="AC3" i="14"/>
  <c r="AD4" i="4" s="1"/>
  <c r="AH6" i="4"/>
  <c r="AH8" i="4"/>
  <c r="AH9" i="4"/>
  <c r="AH10" i="4"/>
  <c r="AH11" i="4"/>
  <c r="AH14" i="4"/>
  <c r="AH15" i="4"/>
  <c r="AH16" i="4"/>
  <c r="AH17" i="4"/>
  <c r="AH18" i="4"/>
  <c r="AH19" i="4"/>
  <c r="AD5" i="4"/>
  <c r="AD6" i="4"/>
  <c r="AD8" i="4"/>
  <c r="AD9" i="4"/>
  <c r="AD13" i="4"/>
  <c r="AD14" i="4"/>
  <c r="AD15" i="4"/>
  <c r="AD16" i="4"/>
  <c r="AD17" i="4"/>
  <c r="Q43" i="14"/>
  <c r="C10" i="3"/>
  <c r="F10" i="3"/>
  <c r="D10" i="3"/>
  <c r="B10" i="3"/>
  <c r="W68" i="3"/>
  <c r="X68" i="3" s="1"/>
  <c r="W69" i="3"/>
  <c r="X69" i="3" s="1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X82" i="3" s="1"/>
  <c r="W67" i="3"/>
  <c r="U68" i="3"/>
  <c r="U69" i="3"/>
  <c r="U70" i="3"/>
  <c r="U71" i="3"/>
  <c r="U72" i="3"/>
  <c r="U73" i="3"/>
  <c r="U74" i="3"/>
  <c r="U75" i="3"/>
  <c r="V75" i="3" s="1"/>
  <c r="U76" i="3"/>
  <c r="U77" i="3"/>
  <c r="U78" i="3"/>
  <c r="V78" i="3" s="1"/>
  <c r="U79" i="3"/>
  <c r="U80" i="3"/>
  <c r="U81" i="3"/>
  <c r="U82" i="3"/>
  <c r="U67" i="3"/>
  <c r="S68" i="3"/>
  <c r="S69" i="3"/>
  <c r="U10" i="3" s="1"/>
  <c r="S70" i="3"/>
  <c r="S71" i="3"/>
  <c r="S72" i="3"/>
  <c r="S73" i="3"/>
  <c r="S74" i="3"/>
  <c r="S75" i="3"/>
  <c r="T75" i="3" s="1"/>
  <c r="S76" i="3"/>
  <c r="S77" i="3"/>
  <c r="U18" i="3" s="1"/>
  <c r="S78" i="3"/>
  <c r="S79" i="3"/>
  <c r="T79" i="3" s="1"/>
  <c r="S80" i="3"/>
  <c r="S81" i="3"/>
  <c r="S82" i="3"/>
  <c r="S67" i="3"/>
  <c r="Q68" i="3"/>
  <c r="Q9" i="3" s="1"/>
  <c r="Q69" i="3"/>
  <c r="Q70" i="3"/>
  <c r="Q71" i="3"/>
  <c r="Q72" i="3"/>
  <c r="Q73" i="3"/>
  <c r="R73" i="3" s="1"/>
  <c r="Q74" i="3"/>
  <c r="Q15" i="3" s="1"/>
  <c r="Q75" i="3"/>
  <c r="R75" i="3" s="1"/>
  <c r="Q76" i="3"/>
  <c r="Q17" i="3" s="1"/>
  <c r="Q77" i="3"/>
  <c r="Q78" i="3"/>
  <c r="Q79" i="3"/>
  <c r="Q80" i="3"/>
  <c r="Q81" i="3"/>
  <c r="Q82" i="3"/>
  <c r="R82" i="3" s="1"/>
  <c r="Q67" i="3"/>
  <c r="R67" i="3" s="1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Q5" i="3"/>
  <c r="U8" i="3"/>
  <c r="U9" i="3"/>
  <c r="U11" i="3"/>
  <c r="U12" i="3"/>
  <c r="U13" i="3"/>
  <c r="U14" i="3"/>
  <c r="U15" i="3"/>
  <c r="U17" i="3"/>
  <c r="U19" i="3"/>
  <c r="U20" i="3"/>
  <c r="U21" i="3"/>
  <c r="U22" i="3"/>
  <c r="U23" i="3"/>
  <c r="S8" i="3"/>
  <c r="S9" i="3"/>
  <c r="S11" i="3"/>
  <c r="S12" i="3"/>
  <c r="S13" i="3"/>
  <c r="S14" i="3"/>
  <c r="S15" i="3"/>
  <c r="S17" i="3"/>
  <c r="S19" i="3"/>
  <c r="S20" i="3"/>
  <c r="S21" i="3"/>
  <c r="S22" i="3"/>
  <c r="S23" i="3"/>
  <c r="Q8" i="3"/>
  <c r="Q10" i="3"/>
  <c r="Q11" i="3"/>
  <c r="Q12" i="3"/>
  <c r="Q13" i="3"/>
  <c r="Q14" i="3"/>
  <c r="Q18" i="3"/>
  <c r="Q19" i="3"/>
  <c r="Q20" i="3"/>
  <c r="Q21" i="3"/>
  <c r="Q22" i="3"/>
  <c r="X70" i="3"/>
  <c r="X71" i="3"/>
  <c r="X73" i="3"/>
  <c r="X75" i="3"/>
  <c r="X76" i="3"/>
  <c r="X77" i="3"/>
  <c r="V70" i="3"/>
  <c r="V73" i="3"/>
  <c r="V77" i="3"/>
  <c r="V80" i="3"/>
  <c r="V81" i="3"/>
  <c r="V67" i="3"/>
  <c r="T70" i="3"/>
  <c r="T71" i="3"/>
  <c r="T76" i="3"/>
  <c r="T77" i="3"/>
  <c r="T78" i="3"/>
  <c r="T67" i="3"/>
  <c r="R70" i="3"/>
  <c r="R72" i="3"/>
  <c r="R78" i="3"/>
  <c r="R80" i="3"/>
  <c r="R81" i="3"/>
  <c r="V82" i="3"/>
  <c r="T82" i="3"/>
  <c r="X81" i="3"/>
  <c r="T81" i="3"/>
  <c r="X80" i="3"/>
  <c r="T80" i="3"/>
  <c r="X79" i="3"/>
  <c r="V79" i="3"/>
  <c r="R79" i="3"/>
  <c r="X78" i="3"/>
  <c r="R77" i="3"/>
  <c r="V76" i="3"/>
  <c r="R76" i="3"/>
  <c r="X74" i="3"/>
  <c r="V74" i="3"/>
  <c r="T74" i="3"/>
  <c r="T73" i="3"/>
  <c r="X72" i="3"/>
  <c r="V72" i="3"/>
  <c r="T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Q8" i="5" s="1"/>
  <c r="Y4" i="13"/>
  <c r="P8" i="5" s="1"/>
  <c r="X4" i="13"/>
  <c r="V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E10" i="3" l="1"/>
  <c r="T69" i="3"/>
  <c r="S18" i="3"/>
  <c r="S10" i="3"/>
  <c r="S16" i="3"/>
  <c r="U16" i="3"/>
  <c r="R74" i="3"/>
  <c r="R68" i="3"/>
  <c r="Q16" i="3"/>
  <c r="Q23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Q8" i="4"/>
  <c r="B8" i="5"/>
  <c r="R8" i="4"/>
  <c r="D9" i="3"/>
  <c r="E9" i="3" s="1"/>
  <c r="F9" i="3"/>
  <c r="W8" i="4"/>
  <c r="B8" i="4"/>
  <c r="H7" i="4" s="1"/>
  <c r="B8" i="6"/>
  <c r="AG18" i="4"/>
  <c r="AI18" i="4"/>
  <c r="AG16" i="4"/>
  <c r="AE19" i="4"/>
  <c r="AE14" i="4"/>
  <c r="AI16" i="4"/>
  <c r="AG19" i="4"/>
  <c r="AE18" i="4"/>
  <c r="AE16" i="4"/>
  <c r="AG14" i="4"/>
  <c r="AE17" i="4"/>
  <c r="AI19" i="4"/>
  <c r="AI14" i="4"/>
  <c r="AG17" i="4"/>
  <c r="AI17" i="4"/>
  <c r="AG15" i="4"/>
  <c r="AI15" i="4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W7" i="4"/>
  <c r="R4" i="11"/>
  <c r="R15" i="11"/>
  <c r="N5" i="11"/>
  <c r="C7" i="5"/>
  <c r="Q7" i="4"/>
  <c r="P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O3" i="14" l="1"/>
  <c r="D9" i="4" s="1"/>
  <c r="AB18" i="4"/>
  <c r="AC18" i="4" s="1"/>
  <c r="AB19" i="4"/>
  <c r="AC19" i="4" s="1"/>
  <c r="AB16" i="4"/>
  <c r="AC16" i="4" s="1"/>
  <c r="AB14" i="4"/>
  <c r="AC14" i="4" s="1"/>
  <c r="AB17" i="4"/>
  <c r="AC17" i="4" s="1"/>
  <c r="AB15" i="4"/>
  <c r="AC15" i="4" s="1"/>
  <c r="AE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AG4" i="4"/>
  <c r="AG5" i="4"/>
  <c r="AG6" i="4"/>
  <c r="AG7" i="4"/>
  <c r="AG9" i="4"/>
  <c r="AG11" i="4"/>
  <c r="AG13" i="4"/>
  <c r="AE6" i="4"/>
  <c r="AE8" i="4"/>
  <c r="AE9" i="4"/>
  <c r="AE10" i="4"/>
  <c r="AE11" i="4"/>
  <c r="AE12" i="4"/>
  <c r="Q43" i="9"/>
  <c r="AI5" i="4"/>
  <c r="AI6" i="4"/>
  <c r="AI7" i="4"/>
  <c r="AI8" i="4"/>
  <c r="AI9" i="4"/>
  <c r="AI10" i="4"/>
  <c r="AI11" i="4"/>
  <c r="AI12" i="4"/>
  <c r="AI13" i="4"/>
  <c r="AI4" i="4"/>
  <c r="U3" i="8"/>
  <c r="U23" i="8" s="1"/>
  <c r="AG8" i="4"/>
  <c r="AG10" i="4"/>
  <c r="AG12" i="4"/>
  <c r="S3" i="8"/>
  <c r="S23" i="8" s="1"/>
  <c r="Q43" i="8"/>
  <c r="Z8" i="3"/>
  <c r="Z9" i="3"/>
  <c r="Z11" i="3"/>
  <c r="Z12" i="3"/>
  <c r="Z14" i="3"/>
  <c r="Z15" i="3"/>
  <c r="Z16" i="3"/>
  <c r="Z17" i="3"/>
  <c r="Z18" i="3"/>
  <c r="Z19" i="3"/>
  <c r="Z21" i="3"/>
  <c r="Z22" i="3"/>
  <c r="Z23" i="3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V6" i="4"/>
  <c r="R12" i="10"/>
  <c r="R11" i="10"/>
  <c r="R6" i="4"/>
  <c r="U33" i="10"/>
  <c r="N3" i="9"/>
  <c r="V5" i="4"/>
  <c r="V30" i="4" s="1"/>
  <c r="N5" i="9"/>
  <c r="O4" i="9" s="1"/>
  <c r="D5" i="6" s="1"/>
  <c r="R8" i="9"/>
  <c r="R16" i="9"/>
  <c r="R36" i="9" s="1"/>
  <c r="B5" i="5"/>
  <c r="R5" i="4"/>
  <c r="R30" i="4" s="1"/>
  <c r="U33" i="9"/>
  <c r="AB7" i="4"/>
  <c r="AC7" i="4" s="1"/>
  <c r="AB11" i="4"/>
  <c r="AC11" i="4" s="1"/>
  <c r="AB4" i="4"/>
  <c r="AC4" i="4" s="1"/>
  <c r="AB13" i="4"/>
  <c r="AC13" i="4" s="1"/>
  <c r="AB5" i="4"/>
  <c r="AC5" i="4" s="1"/>
  <c r="AB6" i="4"/>
  <c r="AC6" i="4" s="1"/>
  <c r="AB12" i="4"/>
  <c r="AC12" i="4" s="1"/>
  <c r="AE7" i="4"/>
  <c r="AB10" i="4"/>
  <c r="AC10" i="4" s="1"/>
  <c r="AE13" i="4"/>
  <c r="AE5" i="4"/>
  <c r="AB9" i="4"/>
  <c r="AC9" i="4" s="1"/>
  <c r="AE4" i="4"/>
  <c r="AB8" i="4"/>
  <c r="AC8" i="4" s="1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R10" i="9"/>
  <c r="R30" i="9" s="1"/>
  <c r="Q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Q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F4" i="5" s="1"/>
  <c r="R8" i="10"/>
  <c r="R14" i="10"/>
  <c r="D7" i="3"/>
  <c r="R39" i="3"/>
  <c r="T31" i="3"/>
  <c r="V39" i="3"/>
  <c r="V31" i="3"/>
  <c r="F4" i="6"/>
  <c r="G4" i="5"/>
  <c r="I6" i="3"/>
  <c r="R16" i="10"/>
  <c r="R5" i="10"/>
  <c r="R3" i="10"/>
  <c r="R4" i="10"/>
  <c r="R15" i="10"/>
  <c r="G4" i="4"/>
  <c r="D6" i="3"/>
  <c r="F6" i="3"/>
  <c r="N4" i="8"/>
  <c r="N5" i="8"/>
  <c r="O5" i="8" s="1"/>
  <c r="D4" i="5" s="1"/>
  <c r="O4" i="8"/>
  <c r="D4" i="6" s="1"/>
  <c r="P30" i="5"/>
  <c r="G4" i="6"/>
  <c r="Q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H13" i="4" a="1"/>
  <c r="H13" i="4" s="1"/>
  <c r="H6" i="4"/>
  <c r="H6" i="5"/>
  <c r="H13" i="5" a="1"/>
  <c r="H13" i="5" s="1"/>
  <c r="H6" i="6"/>
  <c r="H13" i="6" a="1"/>
  <c r="H13" i="6" s="1"/>
  <c r="E7" i="3"/>
  <c r="T9" i="3"/>
  <c r="O3" i="9"/>
  <c r="D5" i="4" s="1"/>
  <c r="O5" i="9"/>
  <c r="D5" i="5" s="1"/>
  <c r="R35" i="3"/>
  <c r="F4" i="4"/>
  <c r="Q30" i="4"/>
  <c r="Q31" i="4" s="1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H4" i="6" s="1"/>
  <c r="J43" i="3" s="1"/>
  <c r="R30" i="3"/>
  <c r="O5" i="10"/>
  <c r="D6" i="5" s="1"/>
  <c r="Q47" i="10"/>
  <c r="E6" i="3"/>
  <c r="J6" i="3"/>
  <c r="J7" i="3" s="1"/>
  <c r="V31" i="4"/>
  <c r="K53" i="3" s="1"/>
  <c r="I55" i="3" s="1"/>
  <c r="P31" i="5"/>
  <c r="K54" i="3" s="1"/>
  <c r="J55" i="3" s="1"/>
  <c r="O5" i="7"/>
  <c r="E5" i="3"/>
  <c r="O3" i="7"/>
  <c r="O4" i="7"/>
  <c r="L55" i="3" l="1"/>
  <c r="I54" i="3"/>
  <c r="L54" i="3" s="1"/>
  <c r="J53" i="3"/>
  <c r="L53" i="3" s="1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H4" i="4"/>
  <c r="J41" i="3" s="1"/>
  <c r="H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7" i="2" l="1"/>
  <c r="E26" i="2" s="1"/>
  <c r="AC10" i="3"/>
  <c r="AE10" i="3" s="1"/>
  <c r="AL6" i="4"/>
  <c r="AM6" i="4" s="1"/>
  <c r="AC20" i="3"/>
  <c r="AE20" i="3" s="1"/>
  <c r="AL16" i="4"/>
  <c r="AC13" i="3"/>
  <c r="AE13" i="3" s="1"/>
  <c r="AL9" i="4"/>
  <c r="AM9" i="4" s="1"/>
  <c r="AC16" i="3"/>
  <c r="AE16" i="3" s="1"/>
  <c r="AL12" i="4"/>
  <c r="AM12" i="4" s="1"/>
  <c r="AC22" i="3"/>
  <c r="AE22" i="3" s="1"/>
  <c r="AL18" i="4"/>
  <c r="E13" i="2"/>
  <c r="E32" i="2" s="1"/>
  <c r="E18" i="2"/>
  <c r="E37" i="2" s="1"/>
  <c r="AC18" i="3"/>
  <c r="AE18" i="3" s="1"/>
  <c r="AL14" i="4"/>
  <c r="AM14" i="4" s="1"/>
  <c r="AC14" i="3"/>
  <c r="AE14" i="3" s="1"/>
  <c r="AL10" i="4"/>
  <c r="AC23" i="3"/>
  <c r="AE23" i="3" s="1"/>
  <c r="AL19" i="4"/>
  <c r="AC12" i="3"/>
  <c r="AE12" i="3" s="1"/>
  <c r="AL8" i="4"/>
  <c r="AM8" i="4" s="1"/>
  <c r="AC9" i="3"/>
  <c r="AE9" i="3" s="1"/>
  <c r="AL5" i="4"/>
  <c r="AM5" i="4" s="1"/>
  <c r="AC21" i="3"/>
  <c r="AE21" i="3" s="1"/>
  <c r="AL17" i="4"/>
  <c r="AM17" i="4" s="1"/>
  <c r="D13" i="2"/>
  <c r="AC15" i="3"/>
  <c r="AE15" i="3" s="1"/>
  <c r="AL11" i="4"/>
  <c r="AC11" i="3"/>
  <c r="AE11" i="3" s="1"/>
  <c r="AL7" i="4"/>
  <c r="AM7" i="4" s="1"/>
  <c r="AC17" i="3"/>
  <c r="AE17" i="3" s="1"/>
  <c r="AL13" i="4"/>
  <c r="AM13" i="4" s="1"/>
  <c r="AC19" i="3"/>
  <c r="AE19" i="3" s="1"/>
  <c r="AL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C8" i="3" l="1"/>
  <c r="AE8" i="3" s="1"/>
  <c r="AL4" i="4"/>
  <c r="AM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<sst xmlns="http://schemas.openxmlformats.org/spreadsheetml/2006/main" count="1406" uniqueCount="198">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</sst>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1"/>
    <xf numFmtId="9" fontId="2" fillId="0" borderId="0" applyFont="0" applyFill="0" applyBorder="0" applyAlignment="0" applyProtection="0"/>
  </cellStyleXfs>
  <cellXfs count="120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2" fontId="4" fillId="0" borderId="0" xfId="0" applyNumberFormat="1" applyFont="1"/>
    <xf numFmtId="164" fontId="6" fillId="0" borderId="0" xfId="0" applyNumberFormat="1" applyFont="1"/>
    <xf numFmtId="0" fontId="5" fillId="0" borderId="0" xfId="0" applyFont="1" applyAlignment="1"/>
    <xf numFmtId="0" fontId="5" fillId="0" borderId="1" xfId="0" applyFont="1" applyBorder="1"/>
    <xf numFmtId="2" fontId="4" fillId="0" borderId="1" xfId="0" applyNumberFormat="1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4" fillId="2" borderId="1" xfId="0" applyFont="1" applyFill="1" applyBorder="1"/>
    <xf numFmtId="164" fontId="4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0" fontId="7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2" fillId="0" borderId="0" xfId="0" applyFont="1"/>
    <xf numFmtId="16" fontId="2" fillId="0" borderId="0" xfId="0" applyNumberFormat="1" applyFont="1"/>
    <xf numFmtId="16" fontId="2" fillId="0" borderId="0" xfId="0" applyNumberFormat="1" applyFont="1" applyAlignment="1"/>
    <xf numFmtId="1" fontId="2" fillId="0" borderId="0" xfId="0" applyNumberFormat="1" applyFont="1" applyAlignment="1"/>
    <xf numFmtId="0" fontId="2" fillId="3" borderId="0" xfId="0" applyFont="1" applyFill="1"/>
    <xf numFmtId="2" fontId="4" fillId="3" borderId="0" xfId="0" applyNumberFormat="1" applyFont="1" applyFill="1"/>
    <xf numFmtId="0" fontId="2" fillId="3" borderId="0" xfId="0" applyFont="1" applyFill="1" applyAlignment="1"/>
    <xf numFmtId="0" fontId="8" fillId="3" borderId="0" xfId="0" applyFont="1" applyFill="1"/>
    <xf numFmtId="0" fontId="8" fillId="0" borderId="0" xfId="0" applyFo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16" fontId="0" fillId="0" borderId="0" xfId="0" applyNumberFormat="1" applyFont="1" applyAlignment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4" xfId="0" applyFont="1" applyFill="1" applyBorder="1" applyAlignment="1"/>
    <xf numFmtId="0" fontId="9" fillId="0" borderId="4" xfId="0" applyFont="1" applyFill="1" applyBorder="1" applyAlignment="1"/>
    <xf numFmtId="0" fontId="5" fillId="0" borderId="5" xfId="0" applyFont="1" applyFill="1" applyBorder="1"/>
    <xf numFmtId="0" fontId="12" fillId="0" borderId="1" xfId="1" applyNumberFormat="1"/>
    <xf numFmtId="0" fontId="4" fillId="4" borderId="1" xfId="0" applyFont="1" applyFill="1" applyBorder="1"/>
    <xf numFmtId="0" fontId="12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4" fillId="2" borderId="1" xfId="0" applyFont="1" applyFill="1" applyBorder="1"/>
    <xf numFmtId="0" fontId="14" fillId="0" borderId="0" xfId="0" applyFont="1"/>
    <xf numFmtId="9" fontId="0" fillId="0" borderId="0" xfId="2" applyFont="1" applyAlignment="1"/>
    <xf numFmtId="0" fontId="8" fillId="0" borderId="0" xfId="0" applyFont="1" applyFill="1"/>
    <xf numFmtId="0" fontId="8" fillId="0" borderId="0" xfId="0" applyFont="1" applyFill="1" applyAlignment="1"/>
    <xf numFmtId="0" fontId="9" fillId="0" borderId="0" xfId="0" applyFont="1" applyFill="1" applyAlignment="1"/>
    <xf numFmtId="1" fontId="0" fillId="0" borderId="0" xfId="0" quotePrefix="1" applyNumberFormat="1" applyFont="1" applyFill="1" applyAlignment="1"/>
    <xf numFmtId="2" fontId="4" fillId="0" borderId="0" xfId="0" applyNumberFormat="1" applyFont="1" applyFill="1"/>
    <xf numFmtId="1" fontId="2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9" fillId="0" borderId="5" xfId="0" applyFont="1" applyFill="1" applyBorder="1" applyAlignment="1"/>
    <xf numFmtId="0" fontId="9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0" xfId="0" applyFont="1"/>
    <xf numFmtId="165" fontId="4" fillId="0" borderId="0" xfId="0" applyNumberFormat="1" applyFont="1"/>
    <xf numFmtId="9" fontId="0" fillId="0" borderId="0" xfId="0" applyNumberFormat="1" applyFont="1" applyAlignment="1"/>
    <xf numFmtId="0" fontId="12" fillId="0" borderId="1" xfId="1" applyNumberFormat="1"/>
    <xf numFmtId="1" fontId="0" fillId="5" borderId="2" xfId="0" quotePrefix="1" applyNumberFormat="1" applyFont="1" applyFill="1" applyBorder="1" applyAlignment="1"/>
    <xf numFmtId="2" fontId="4" fillId="5" borderId="2" xfId="0" applyNumberFormat="1" applyFont="1" applyFill="1" applyBorder="1"/>
    <xf numFmtId="1" fontId="2" fillId="5" borderId="2" xfId="0" applyNumberFormat="1" applyFont="1" applyFill="1" applyBorder="1" applyAlignment="1"/>
    <xf numFmtId="0" fontId="2" fillId="5" borderId="2" xfId="0" applyFont="1" applyFill="1" applyBorder="1"/>
    <xf numFmtId="1" fontId="0" fillId="6" borderId="2" xfId="0" quotePrefix="1" applyNumberFormat="1" applyFont="1" applyFill="1" applyBorder="1" applyAlignment="1"/>
    <xf numFmtId="2" fontId="4" fillId="6" borderId="2" xfId="0" applyNumberFormat="1" applyFont="1" applyFill="1" applyBorder="1"/>
    <xf numFmtId="1" fontId="2" fillId="6" borderId="2" xfId="0" applyNumberFormat="1" applyFont="1" applyFill="1" applyBorder="1" applyAlignment="1"/>
    <xf numFmtId="0" fontId="2" fillId="6" borderId="2" xfId="0" applyFont="1" applyFill="1" applyBorder="1"/>
    <xf numFmtId="1" fontId="0" fillId="7" borderId="2" xfId="0" quotePrefix="1" applyNumberFormat="1" applyFont="1" applyFill="1" applyBorder="1" applyAlignment="1"/>
    <xf numFmtId="2" fontId="4" fillId="7" borderId="2" xfId="0" applyNumberFormat="1" applyFont="1" applyFill="1" applyBorder="1"/>
    <xf numFmtId="1" fontId="2" fillId="7" borderId="2" xfId="0" applyNumberFormat="1" applyFont="1" applyFill="1" applyBorder="1" applyAlignment="1"/>
    <xf numFmtId="0" fontId="2" fillId="7" borderId="2" xfId="0" applyFont="1" applyFill="1" applyBorder="1"/>
    <xf numFmtId="0" fontId="2" fillId="5" borderId="2" xfId="0" applyFont="1" applyFill="1" applyBorder="1" applyAlignment="1"/>
    <xf numFmtId="1" fontId="4" fillId="5" borderId="2" xfId="0" applyNumberFormat="1" applyFont="1" applyFill="1" applyBorder="1"/>
    <xf numFmtId="0" fontId="2" fillId="6" borderId="2" xfId="0" applyFont="1" applyFill="1" applyBorder="1" applyAlignment="1"/>
    <xf numFmtId="1" fontId="4" fillId="6" borderId="2" xfId="0" applyNumberFormat="1" applyFont="1" applyFill="1" applyBorder="1"/>
    <xf numFmtId="0" fontId="2" fillId="7" borderId="2" xfId="0" applyFont="1" applyFill="1" applyBorder="1" applyAlignment="1"/>
    <xf numFmtId="1" fontId="4" fillId="7" borderId="2" xfId="0" applyNumberFormat="1" applyFont="1" applyFill="1" applyBorder="1"/>
    <xf numFmtId="0" fontId="0" fillId="7" borderId="2" xfId="0" applyFont="1" applyFill="1" applyBorder="1" applyAlignment="1"/>
    <xf numFmtId="0" fontId="4" fillId="0" borderId="1" xfId="0" applyFont="1" applyFill="1" applyBorder="1"/>
    <xf numFmtId="9" fontId="4" fillId="0" borderId="0" xfId="0" applyNumberFormat="1" applyFont="1" applyFill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2" fillId="8" borderId="0" xfId="0" applyFont="1" applyFill="1" applyAlignment="1"/>
    <xf numFmtId="1" fontId="0" fillId="8" borderId="0" xfId="0" applyNumberFormat="1" applyFont="1" applyFill="1" applyAlignment="1"/>
    <xf numFmtId="2" fontId="4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4" fillId="8" borderId="0" xfId="0" applyNumberFormat="1" applyFont="1" applyFill="1"/>
    <xf numFmtId="1" fontId="2" fillId="8" borderId="0" xfId="0" applyNumberFormat="1" applyFont="1" applyFill="1" applyAlignment="1"/>
    <xf numFmtId="0" fontId="2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" fillId="0" borderId="0" xfId="0" applyFont="1" applyAlignment="1"/>
    <xf numFmtId="0" fontId="13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0.49565217391304345</c:v>
                </c:pt>
                <c:pt idx="1">
                  <c:v>0.29565217391304349</c:v>
                </c:pt>
                <c:pt idx="2">
                  <c:v>0.20869565217391303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0" headerRowBorderDxfId="29" tableBorderDxfId="28" totalsRowBorderDxfId="27">
  <autoFilter ref="P7:Z23" xr:uid="{598ECA3B-99B4-4CAB-8F81-5D711AA5A7FC}"/>
  <tableColumns count="11">
    <tableColumn id="1" xr3:uid="{9B036617-5450-4894-9268-827D2E0914FF}" name="Scoring" dataDxfId="26"/>
    <tableColumn id="2" xr3:uid="{6662CE93-E9C4-47DE-9476-E46126825B0A}" name="Points" dataDxfId="25">
      <calculatedColumnFormula>Q29+Q48+Q67</calculatedColumnFormula>
    </tableColumn>
    <tableColumn id="3" xr3:uid="{8FDDFCB0-2692-4EB0-948C-7B877263B55B}" name="Average" dataDxfId="24">
      <calculatedColumnFormula>Table1[[#This Row],[Points]]/($Q$5-Table1[[#This Row],[Missed Games]])</calculatedColumnFormula>
    </tableColumn>
    <tableColumn id="4" xr3:uid="{CC3F9B31-1857-48FB-A18B-CBC82C117BF4}" name="Finishes" dataDxfId="23">
      <calculatedColumnFormula>S29+S48+S67</calculatedColumnFormula>
    </tableColumn>
    <tableColumn id="5" xr3:uid="{5F324C66-956D-4EDC-870F-8EDE96C328C8}" name="Averages" dataDxfId="22">
      <calculatedColumnFormula>Table1[[#This Row],[Finishes]]/($Q$5-Table1[[#This Row],[Missed Games]])</calculatedColumnFormula>
    </tableColumn>
    <tableColumn id="6" xr3:uid="{80C6E15E-675D-4F58-AA26-27226F1CE373}" name="Midranges" dataDxfId="21">
      <calculatedColumnFormula>U29+U48+S67</calculatedColumnFormula>
    </tableColumn>
    <tableColumn id="7" xr3:uid="{8E7E6B37-23A0-4556-8839-B9D7834E3E68}" name="Averages2" dataDxfId="20">
      <calculatedColumnFormula>Table1[[#This Row],[Midranges]]/($Q$5-Table1[[#This Row],[Missed Games]])</calculatedColumnFormula>
    </tableColumn>
    <tableColumn id="8" xr3:uid="{8B28715D-E310-4E1F-B9F0-F58F7C70E830}" name="Threes" dataDxfId="0">
      <calculatedColumnFormula>W29+W48+W67</calculatedColumnFormula>
    </tableColumn>
    <tableColumn id="9" xr3:uid="{E0C0BF1C-40E8-4137-8E0F-BB238D651DAE}" name="Averages3" dataDxfId="19">
      <calculatedColumnFormula>Table1[[#This Row],[Threes]]/($Q$5-Table1[[#This Row],[Missed Games]])</calculatedColumnFormula>
    </tableColumn>
    <tableColumn id="10" xr3:uid="{1C75F230-74E0-47EE-BF13-C22289FE0F87}" name="Team" dataDxfId="18"/>
    <tableColumn id="11" xr3:uid="{E167D7FA-56F9-4571-B292-FF3869585F59}" name="Missed Games" dataDxfId="17">
      <calculatedColumnFormula>Y29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J19" totalsRowShown="0" headerRowDxfId="12" dataDxfId="11">
  <autoFilter ref="AA3:AJ19" xr:uid="{587B90AE-8257-4DD1-B916-54A097BDCDB9}"/>
  <tableColumns count="10">
    <tableColumn id="1" xr3:uid="{9C18B4B0-9A37-408A-98B5-B414F029A26A}" name="Scoring" dataDxfId="10"/>
    <tableColumn id="2" xr3:uid="{CC6666B6-FDFB-4B1A-846E-17C28664C92E}" name="Points" dataDxfId="9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8">
      <calculatedColumnFormula>Table2[[#This Row],[Points]]/$AC$2</calculatedColumnFormula>
    </tableColumn>
    <tableColumn id="4" xr3:uid="{FA85A798-E688-4A4F-A92F-2DD56D710025}" name="Finishes" dataDxfId="7">
      <calculatedColumnFormula>'2404'!AC3+'2604'!AC3+'0205'!AC3+'0305'!AC3+'0805'!AC3+'0905'!AC3</calculatedColumnFormula>
    </tableColumn>
    <tableColumn id="5" xr3:uid="{14C722B6-CCC7-4AA5-A077-4781282133B0}" name="Avg F" dataDxfId="6">
      <calculatedColumnFormula>Table2[[#This Row],[Finishes]]/$AC$2</calculatedColumnFormula>
    </tableColumn>
    <tableColumn id="6" xr3:uid="{1E54054E-9F21-4987-99FC-EF35338EC708}" name="Midranges" dataDxfId="5">
      <calculatedColumnFormula>'2404'!AD3+'2604'!AD3+'0205'!AD3+'0305'!AD3+'0805'!AD3+'0905'!AD3</calculatedColumnFormula>
    </tableColumn>
    <tableColumn id="7" xr3:uid="{3BC984C2-EE5E-43C7-8014-7F0DA5F9EB7A}" name="Avg M" dataDxfId="4">
      <calculatedColumnFormula>Table2[[#This Row],[Midranges]]/$AC$2</calculatedColumnFormula>
    </tableColumn>
    <tableColumn id="8" xr3:uid="{9FAC1FFA-039C-4124-88C5-1A3BE26F7F04}" name="Threes" dataDxfId="3">
      <calculatedColumnFormula>'2404'!AE3+'2604'!AE3+'0205'!AE3+'0305'!AE3+'0805'!AE3+'0905'!AE3</calculatedColumnFormula>
    </tableColumn>
    <tableColumn id="9" xr3:uid="{44E19C86-A8F7-4165-82A8-E143251937CE}" name="Avg 3" dataDxfId="2">
      <calculatedColumnFormula>Table2[[#This Row],[Threes]]/$AC$2</calculatedColumnFormula>
    </tableColumn>
    <tableColumn id="10" xr3:uid="{DA5CCBEE-C42A-4EE7-8A28-4BA362276422}" name="DNP" dataDxfId="1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abSelected="1" zoomScale="85" zoomScaleNormal="85" workbookViewId="0">
      <selection activeCell="L22" sqref="L22:L29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0.66666666666666663</v>
      </c>
      <c r="E3" s="1">
        <f>'Stats Global'!Q8</f>
        <v>4</v>
      </c>
      <c r="F3" s="14">
        <f>'Stats Global'!T8</f>
        <v>0.16666666666666666</v>
      </c>
      <c r="G3" s="24">
        <f>'Stats Global'!S8</f>
        <v>1</v>
      </c>
      <c r="H3" s="14">
        <f>'Stats Global'!V8</f>
        <v>0.33333333333333331</v>
      </c>
      <c r="I3" s="24">
        <f>'Stats Global'!U8</f>
        <v>2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</v>
      </c>
      <c r="E4" s="24">
        <f>'Stats Global'!Q9</f>
        <v>4</v>
      </c>
      <c r="F4" s="14">
        <f>'Stats Global'!T9</f>
        <v>0.8</v>
      </c>
      <c r="G4" s="24">
        <f>'Stats Global'!S9</f>
        <v>4</v>
      </c>
      <c r="H4" s="14">
        <f>'Stats Global'!V9</f>
        <v>0.6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0.4</v>
      </c>
      <c r="I5" s="24">
        <f>'Stats Global'!U10</f>
        <v>2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3.3333333333333335</v>
      </c>
      <c r="E6" s="24">
        <f>'Stats Global'!Q11</f>
        <v>20</v>
      </c>
      <c r="F6" s="14">
        <f>'Stats Global'!T11</f>
        <v>3.1666666666666665</v>
      </c>
      <c r="G6" s="24">
        <f>'Stats Global'!S11</f>
        <v>19</v>
      </c>
      <c r="H6" s="14">
        <f>'Stats Global'!V11</f>
        <v>2</v>
      </c>
      <c r="I6" s="24">
        <f>'Stats Global'!U11</f>
        <v>12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</v>
      </c>
      <c r="E7" s="24">
        <f>'Stats Global'!Q12</f>
        <v>12</v>
      </c>
      <c r="F7" s="14">
        <f>'Stats Global'!T12</f>
        <v>0.5</v>
      </c>
      <c r="G7" s="24">
        <f>'Stats Global'!S12</f>
        <v>3</v>
      </c>
      <c r="H7" s="14">
        <f>'Stats Global'!V12</f>
        <v>0.83333333333333337</v>
      </c>
      <c r="I7" s="24">
        <f>'Stats Global'!U12</f>
        <v>5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0.83333333333333337</v>
      </c>
      <c r="E9" s="24">
        <f>'Stats Global'!Q14</f>
        <v>5</v>
      </c>
      <c r="F9" s="14">
        <f>'Stats Global'!T14</f>
        <v>0</v>
      </c>
      <c r="G9" s="24">
        <f>'Stats Global'!S14</f>
        <v>0</v>
      </c>
      <c r="H9" s="14">
        <f>'Stats Global'!V14</f>
        <v>0.16666666666666666</v>
      </c>
      <c r="I9" s="24">
        <f>'Stats Global'!U14</f>
        <v>1</v>
      </c>
      <c r="J9" s="14">
        <f>'Stats Global'!X14</f>
        <v>0.33333333333333331</v>
      </c>
      <c r="K9" s="24">
        <f>'Stats Global'!W14</f>
        <v>2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</v>
      </c>
      <c r="E10" s="24">
        <f>'Stats Global'!Q15</f>
        <v>6</v>
      </c>
      <c r="F10" s="14">
        <f>'Stats Global'!T15</f>
        <v>0.33333333333333331</v>
      </c>
      <c r="G10" s="24">
        <f>'Stats Global'!S15</f>
        <v>2</v>
      </c>
      <c r="H10" s="14">
        <f>'Stats Global'!V15</f>
        <v>0.5</v>
      </c>
      <c r="I10" s="24">
        <f>'Stats Global'!U15</f>
        <v>3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2.8</v>
      </c>
      <c r="E11" s="24">
        <f>'Stats Global'!Q16</f>
        <v>14</v>
      </c>
      <c r="F11" s="14">
        <f>'Stats Global'!T16</f>
        <v>0.6</v>
      </c>
      <c r="G11" s="24">
        <f>'Stats Global'!S16</f>
        <v>3</v>
      </c>
      <c r="H11" s="14">
        <f>'Stats Global'!V16</f>
        <v>0.8</v>
      </c>
      <c r="I11" s="24">
        <f>'Stats Global'!U16</f>
        <v>4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1</v>
      </c>
      <c r="E12" s="24">
        <f>'Stats Global'!Q17</f>
        <v>6</v>
      </c>
      <c r="F12" s="14">
        <f>'Stats Global'!T17</f>
        <v>0.16666666666666666</v>
      </c>
      <c r="G12" s="24">
        <f>'Stats Global'!S17</f>
        <v>1</v>
      </c>
      <c r="H12" s="14">
        <f>'Stats Global'!V17</f>
        <v>0.5</v>
      </c>
      <c r="I12" s="24">
        <f>'Stats Global'!U17</f>
        <v>3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1.1666666666666667</v>
      </c>
      <c r="E13" s="24">
        <f>'Stats Global'!Q18</f>
        <v>7</v>
      </c>
      <c r="F13" s="14">
        <f>'Stats Global'!T18</f>
        <v>1.1666666666666667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0.66666666666666663</v>
      </c>
      <c r="E14" s="24">
        <f>'Stats Global'!Q19</f>
        <v>4</v>
      </c>
      <c r="F14" s="14">
        <f>'Stats Global'!T19</f>
        <v>0.5</v>
      </c>
      <c r="G14" s="24">
        <f>'Stats Global'!S19</f>
        <v>3</v>
      </c>
      <c r="H14" s="14">
        <f>'Stats Global'!V19</f>
        <v>0.16666666666666666</v>
      </c>
      <c r="I14" s="24">
        <f>'Stats Global'!U19</f>
        <v>1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0.5</v>
      </c>
      <c r="I15" s="24">
        <f>'Stats Global'!U20</f>
        <v>2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0.16666666666666666</v>
      </c>
      <c r="E16" s="24">
        <f>'Stats Global'!Q21</f>
        <v>1</v>
      </c>
      <c r="F16" s="14">
        <f>'Stats Global'!T21</f>
        <v>0.16666666666666666</v>
      </c>
      <c r="G16" s="24">
        <f>'Stats Global'!S21</f>
        <v>1</v>
      </c>
      <c r="H16" s="14">
        <f>'Stats Global'!V21</f>
        <v>0.16666666666666666</v>
      </c>
      <c r="I16" s="24">
        <f>'Stats Global'!U21</f>
        <v>1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0.33333333333333331</v>
      </c>
      <c r="E17" s="24">
        <f>'Stats Global'!Q22</f>
        <v>2</v>
      </c>
      <c r="F17" s="14">
        <f>'Stats Global'!T22</f>
        <v>0.33333333333333331</v>
      </c>
      <c r="G17" s="24">
        <f>'Stats Global'!S22</f>
        <v>2</v>
      </c>
      <c r="H17" s="14">
        <f>'Stats Global'!V22</f>
        <v>0.16666666666666666</v>
      </c>
      <c r="I17" s="24">
        <f>'Stats Global'!U22</f>
        <v>1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0.5</v>
      </c>
      <c r="E18" s="24">
        <f>'Stats Global'!Q23</f>
        <v>3</v>
      </c>
      <c r="F18" s="14">
        <f>'Stats Global'!T23</f>
        <v>0.5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19" t="s">
        <v>159</v>
      </c>
      <c r="M20" s="119"/>
      <c r="N20" s="119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19"/>
      <c r="M21" s="119"/>
      <c r="N21" s="119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"0.67",</v>
      </c>
      <c r="E22" s="41" t="str">
        <f t="shared" ref="E22:K22" si="2">CHAR(34)&amp;E3&amp;CHAR(34)&amp;","</f>
        <v>"4",</v>
      </c>
      <c r="F22" s="41" t="str">
        <f>CHAR(34)&amp;ROUND(F3,2)&amp;CHAR(34)&amp;","</f>
        <v>"0.17",</v>
      </c>
      <c r="G22" s="41" t="str">
        <f t="shared" si="2"/>
        <v>"1",</v>
      </c>
      <c r="H22" s="41" t="str">
        <f>CHAR(34)&amp;ROUND(H3,2)&amp;CHAR(34)&amp;","</f>
        <v>"0.33",</v>
      </c>
      <c r="I22" s="41" t="str">
        <f t="shared" si="2"/>
        <v>"2",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"PPG":["0.67","0.8","2.6","3.33","2","0.75","0.83","1","2.8","1","1.17","0.67","3.5","0.17","0.33","0.5",],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"0.8",</v>
      </c>
      <c r="E23" s="41" t="str">
        <f t="shared" ref="E23:K23" si="4">CHAR(34)&amp;E4&amp;CHAR(34)&amp;","</f>
        <v>"4",</v>
      </c>
      <c r="F23" s="41" t="str">
        <f t="shared" ref="F23:F37" si="5">CHAR(34)&amp;ROUND(F4,2)&amp;CHAR(34)&amp;","</f>
        <v>"0.8",</v>
      </c>
      <c r="G23" s="41" t="str">
        <f t="shared" si="4"/>
        <v>"4",</v>
      </c>
      <c r="H23" s="41" t="str">
        <f t="shared" ref="H23:H37" si="6">CHAR(34)&amp;ROUND(H4,2)&amp;CHAR(34)&amp;","</f>
        <v>"0.6",</v>
      </c>
      <c r="I23" s="41" t="str">
        <f t="shared" si="4"/>
        <v>"3",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"TP":["4","4","13","20","12","3","5","6","14","6","7","4","14","1","2","3"],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"0.4",</v>
      </c>
      <c r="I24" s="41" t="str">
        <f t="shared" si="8"/>
        <v>"2",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"FPG":["0.17","0.8","2.6","3.17","0.5","0.5","0","0.33","0.6","0.17","1.17","0.5","2.5","0.17","0.33","0.5",],</v>
      </c>
      <c r="X24" s="40" t="s">
        <v>107</v>
      </c>
    </row>
    <row r="25" spans="2:24" ht="14.25" customHeight="1" x14ac:dyDescent="0.45">
      <c r="D25" s="41" t="str">
        <f t="shared" si="3"/>
        <v>"3.33",</v>
      </c>
      <c r="E25" s="41" t="str">
        <f t="shared" ref="E25:K25" si="9">CHAR(34)&amp;E6&amp;CHAR(34)&amp;","</f>
        <v>"20",</v>
      </c>
      <c r="F25" s="41" t="str">
        <f t="shared" si="5"/>
        <v>"3.17",</v>
      </c>
      <c r="G25" s="41" t="str">
        <f t="shared" si="9"/>
        <v>"19",</v>
      </c>
      <c r="H25" s="41" t="str">
        <f t="shared" si="6"/>
        <v>"2",</v>
      </c>
      <c r="I25" s="41" t="str">
        <f t="shared" si="9"/>
        <v>"12",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"TF":["1","4","13","19","3","2","0","2","3","1","7","3","10","1","2","3"],</v>
      </c>
    </row>
    <row r="26" spans="2:24" ht="14.25" customHeight="1" x14ac:dyDescent="0.45">
      <c r="D26" s="41" t="str">
        <f t="shared" si="3"/>
        <v>"2",</v>
      </c>
      <c r="E26" s="41" t="str">
        <f t="shared" ref="E26:K26" si="10">CHAR(34)&amp;E7&amp;CHAR(34)&amp;","</f>
        <v>"12",</v>
      </c>
      <c r="F26" s="41" t="str">
        <f t="shared" si="5"/>
        <v>"0.5",</v>
      </c>
      <c r="G26" s="41" t="str">
        <f t="shared" si="10"/>
        <v>"3",</v>
      </c>
      <c r="H26" s="41" t="str">
        <f t="shared" si="6"/>
        <v>"0.83",</v>
      </c>
      <c r="I26" s="41" t="str">
        <f t="shared" si="10"/>
        <v>"5",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"MPG":["0.33","0.6","0.4","2","0.83","0.25","0.17","0.5","0.8","0.5","0","0.17","0.5","0.17","0.17","0",],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"TM":["2","3","2","12","5","1","1","3","4","3","0","1","2","1","1","0"],</v>
      </c>
    </row>
    <row r="28" spans="2:24" ht="14.25" customHeight="1" x14ac:dyDescent="0.45">
      <c r="D28" s="41" t="str">
        <f t="shared" si="3"/>
        <v>"0.83",</v>
      </c>
      <c r="E28" s="41" t="str">
        <f t="shared" ref="E28:K28" si="12">CHAR(34)&amp;E9&amp;CHAR(34)&amp;","</f>
        <v>"5",</v>
      </c>
      <c r="F28" s="41" t="str">
        <f t="shared" si="5"/>
        <v>"0",</v>
      </c>
      <c r="G28" s="41" t="str">
        <f t="shared" si="12"/>
        <v>"0",</v>
      </c>
      <c r="H28" s="41" t="str">
        <f t="shared" si="6"/>
        <v>"0.17",</v>
      </c>
      <c r="I28" s="41" t="str">
        <f t="shared" si="12"/>
        <v>"1",</v>
      </c>
      <c r="J28" s="41" t="str">
        <f t="shared" si="7"/>
        <v>"0.33",</v>
      </c>
      <c r="K28" s="41" t="str">
        <f t="shared" si="12"/>
        <v>"2",</v>
      </c>
      <c r="L28" t="str">
        <f>J21&amp;":["&amp;J22&amp;J23&amp;J24&amp;J25&amp;J26&amp;J27&amp;J28&amp;J29&amp;J30&amp;J31&amp;J32&amp;J33&amp;J34&amp;J35&amp;J36&amp;J37&amp;"],"</f>
        <v>"TPG":["0","0","0","0","0","0","0.33","0","0","0","0","0","0.5","0","0","0",],</v>
      </c>
    </row>
    <row r="29" spans="2:24" ht="14.25" customHeight="1" x14ac:dyDescent="0.45">
      <c r="D29" s="41" t="str">
        <f t="shared" si="3"/>
        <v>"1",</v>
      </c>
      <c r="E29" s="41" t="str">
        <f t="shared" ref="E29:K29" si="13">CHAR(34)&amp;E10&amp;CHAR(34)&amp;","</f>
        <v>"6",</v>
      </c>
      <c r="F29" s="41" t="str">
        <f t="shared" si="5"/>
        <v>"0.33",</v>
      </c>
      <c r="G29" s="41" t="str">
        <f t="shared" si="13"/>
        <v>"2",</v>
      </c>
      <c r="H29" s="41" t="str">
        <f t="shared" si="6"/>
        <v>"0.5",</v>
      </c>
      <c r="I29" s="41" t="str">
        <f t="shared" si="13"/>
        <v>"3",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"TT":["0","0","0","0","0","0","2","0","0","0","0","0","2","0","0","0"],</v>
      </c>
    </row>
    <row r="30" spans="2:24" ht="14.25" customHeight="1" x14ac:dyDescent="0.45">
      <c r="C30" s="41"/>
      <c r="D30" s="41" t="str">
        <f t="shared" si="3"/>
        <v>"2.8",</v>
      </c>
      <c r="E30" s="41" t="str">
        <f t="shared" ref="E30:K30" si="14">CHAR(34)&amp;E11&amp;CHAR(34)&amp;","</f>
        <v>"14",</v>
      </c>
      <c r="F30" s="41" t="str">
        <f t="shared" si="5"/>
        <v>"0.6",</v>
      </c>
      <c r="G30" s="41" t="str">
        <f t="shared" si="14"/>
        <v>"3",</v>
      </c>
      <c r="H30" s="41" t="str">
        <f t="shared" si="6"/>
        <v>"0.8",</v>
      </c>
      <c r="I30" s="41" t="str">
        <f t="shared" si="14"/>
        <v>"4",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"1",</v>
      </c>
      <c r="E31" s="41" t="str">
        <f t="shared" ref="E31:K31" si="15">CHAR(34)&amp;E12&amp;CHAR(34)&amp;","</f>
        <v>"6",</v>
      </c>
      <c r="F31" s="41" t="str">
        <f t="shared" si="5"/>
        <v>"0.17",</v>
      </c>
      <c r="G31" s="41" t="str">
        <f t="shared" si="15"/>
        <v>"1",</v>
      </c>
      <c r="H31" s="41" t="str">
        <f t="shared" si="6"/>
        <v>"0.5",</v>
      </c>
      <c r="I31" s="41" t="str">
        <f t="shared" si="15"/>
        <v>"3",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"1.17",</v>
      </c>
      <c r="E32" s="41" t="str">
        <f t="shared" ref="E32:K32" si="16">CHAR(34)&amp;E13&amp;CHAR(34)&amp;","</f>
        <v>"7",</v>
      </c>
      <c r="F32" s="41" t="str">
        <f t="shared" si="5"/>
        <v>"1.17",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"0.67",</v>
      </c>
      <c r="E33" s="41" t="str">
        <f t="shared" ref="E33:K33" si="17">CHAR(34)&amp;E14&amp;CHAR(34)&amp;","</f>
        <v>"4",</v>
      </c>
      <c r="F33" s="41" t="str">
        <f t="shared" si="5"/>
        <v>"0.5",</v>
      </c>
      <c r="G33" s="41" t="str">
        <f t="shared" si="17"/>
        <v>"3",</v>
      </c>
      <c r="H33" s="41" t="str">
        <f t="shared" si="6"/>
        <v>"0.17",</v>
      </c>
      <c r="I33" s="41" t="str">
        <f t="shared" si="17"/>
        <v>"1",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"0.5",</v>
      </c>
      <c r="I34" s="41" t="str">
        <f t="shared" si="18"/>
        <v>"2",</v>
      </c>
      <c r="J34" s="41" t="str">
        <f t="shared" si="7"/>
        <v>"0.5",</v>
      </c>
      <c r="K34" s="41" t="str">
        <f t="shared" si="18"/>
        <v>"2",</v>
      </c>
    </row>
    <row r="35" spans="3:11" ht="14.25" customHeight="1" x14ac:dyDescent="0.45">
      <c r="C35" s="41"/>
      <c r="D35" s="41" t="str">
        <f t="shared" si="3"/>
        <v>"0.17",</v>
      </c>
      <c r="E35" s="41" t="str">
        <f t="shared" ref="E35:K35" si="19">CHAR(34)&amp;E16&amp;CHAR(34)&amp;","</f>
        <v>"1",</v>
      </c>
      <c r="F35" s="41" t="str">
        <f t="shared" si="5"/>
        <v>"0.17",</v>
      </c>
      <c r="G35" s="41" t="str">
        <f t="shared" si="19"/>
        <v>"1",</v>
      </c>
      <c r="H35" s="41" t="str">
        <f t="shared" si="6"/>
        <v>"0.17",</v>
      </c>
      <c r="I35" s="41" t="str">
        <f t="shared" si="19"/>
        <v>"1",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"0.33",</v>
      </c>
      <c r="E36" s="41" t="str">
        <f t="shared" ref="E36:K36" si="20">CHAR(34)&amp;E17&amp;CHAR(34)&amp;","</f>
        <v>"2",</v>
      </c>
      <c r="F36" s="41" t="str">
        <f t="shared" si="5"/>
        <v>"0.33",</v>
      </c>
      <c r="G36" s="41" t="str">
        <f t="shared" si="20"/>
        <v>"2",</v>
      </c>
      <c r="H36" s="41" t="str">
        <f t="shared" si="6"/>
        <v>"0.17",</v>
      </c>
      <c r="I36" s="41" t="str">
        <f t="shared" si="20"/>
        <v>"1",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"0.5",</v>
      </c>
      <c r="E37" s="41" t="str">
        <f t="shared" ref="E37:K37" si="21">CHAR(34)&amp;E18&amp;CHAR(34)</f>
        <v>"3"</v>
      </c>
      <c r="F37" s="41" t="str">
        <f t="shared" si="5"/>
        <v>"0.5",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W11" sqref="W11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</f>
        <v>6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19.166666666666668</v>
      </c>
      <c r="J6" s="1">
        <f t="shared" si="1"/>
        <v>9.5</v>
      </c>
      <c r="K6" s="1">
        <f t="shared" si="1"/>
        <v>5.666666666666667</v>
      </c>
      <c r="L6" s="1">
        <f t="shared" si="1"/>
        <v>4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0.49565217391304345</v>
      </c>
      <c r="K7" s="8">
        <f t="shared" si="2"/>
        <v>0.29565217391304349</v>
      </c>
      <c r="L7" s="8">
        <f t="shared" si="2"/>
        <v>0.20869565217391303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B7" s="68"/>
      <c r="AC7" s="5" t="s">
        <v>179</v>
      </c>
      <c r="AD7" s="71" t="s">
        <v>180</v>
      </c>
      <c r="AE7" s="33" t="s">
        <v>181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7" t="s">
        <v>55</v>
      </c>
      <c r="Q8" s="75">
        <f t="shared" ref="Q8:Q23" si="3">Q29+Q48+Q67</f>
        <v>4</v>
      </c>
      <c r="R8" s="76">
        <f>Table1[[#This Row],[Points]]/($Q$5-Table1[[#This Row],[Missed Games]])</f>
        <v>0.66666666666666663</v>
      </c>
      <c r="S8" s="77">
        <f t="shared" ref="S8:S23" si="4">S29+S48+S67</f>
        <v>1</v>
      </c>
      <c r="T8" s="78">
        <f>Table1[[#This Row],[Finishes]]/($Q$5-Table1[[#This Row],[Missed Games]])</f>
        <v>0.16666666666666666</v>
      </c>
      <c r="U8" s="77">
        <f t="shared" ref="U8:U23" si="5">U29+U48+S67</f>
        <v>2</v>
      </c>
      <c r="V8" s="78">
        <f>Table1[[#This Row],[Midranges]]/($Q$5-Table1[[#This Row],[Missed Games]])</f>
        <v>0.33333333333333331</v>
      </c>
      <c r="W8" s="77">
        <f t="shared" ref="W8:W23" si="6">W29+W48+W67</f>
        <v>0</v>
      </c>
      <c r="X8" s="78">
        <f>Table1[[#This Row],[Threes]]/($Q$5-Table1[[#This Row],[Missed Games]])</f>
        <v>0</v>
      </c>
      <c r="Y8" s="87" t="s">
        <v>34</v>
      </c>
      <c r="Z8" s="88">
        <f t="shared" ref="Z8:Z23" si="7">Y29</f>
        <v>0</v>
      </c>
      <c r="AB8" s="69" t="s">
        <v>55</v>
      </c>
      <c r="AC8" s="66">
        <f>Table1[[#This Row],[Average]]/$I$6</f>
        <v>3.4782608695652167E-2</v>
      </c>
      <c r="AD8" s="72">
        <v>4.7</v>
      </c>
      <c r="AE8" s="66">
        <f>AC8-AD8</f>
        <v>-4.6652173913043482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9" t="s">
        <v>59</v>
      </c>
      <c r="Q9" s="79">
        <f t="shared" si="3"/>
        <v>4</v>
      </c>
      <c r="R9" s="80">
        <f>Table1[[#This Row],[Points]]/($Q$5-Table1[[#This Row],[Missed Games]])</f>
        <v>0.8</v>
      </c>
      <c r="S9" s="81">
        <f t="shared" si="4"/>
        <v>4</v>
      </c>
      <c r="T9" s="82">
        <f>Table1[[#This Row],[Finishes]]/($Q$5-Table1[[#This Row],[Missed Games]])</f>
        <v>0.8</v>
      </c>
      <c r="U9" s="81">
        <f t="shared" si="5"/>
        <v>3</v>
      </c>
      <c r="V9" s="82">
        <f>Table1[[#This Row],[Midranges]]/($Q$5-Table1[[#This Row],[Missed Games]])</f>
        <v>0.6</v>
      </c>
      <c r="W9" s="81">
        <f t="shared" si="6"/>
        <v>0</v>
      </c>
      <c r="X9" s="82">
        <f>Table1[[#This Row],[Threes]]/($Q$5-Table1[[#This Row],[Missed Games]])</f>
        <v>0</v>
      </c>
      <c r="Y9" s="89" t="s">
        <v>39</v>
      </c>
      <c r="Z9" s="90">
        <f t="shared" si="7"/>
        <v>1</v>
      </c>
      <c r="AB9" s="69" t="s">
        <v>59</v>
      </c>
      <c r="AC9" s="66">
        <f>Table1[[#This Row],[Average]]/$I$6*300</f>
        <v>12.521739130434781</v>
      </c>
      <c r="AD9" s="72">
        <v>8.1999999999999993</v>
      </c>
      <c r="AE9" s="66">
        <f t="shared" ref="AE9:AE23" si="8">AC9-AD9</f>
        <v>4.3217391304347821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7" t="s">
        <v>62</v>
      </c>
      <c r="Q10" s="75">
        <f t="shared" si="3"/>
        <v>13</v>
      </c>
      <c r="R10" s="76">
        <f>Table1[[#This Row],[Points]]/($Q$5-Table1[[#This Row],[Missed Games]])</f>
        <v>2.6</v>
      </c>
      <c r="S10" s="77">
        <f t="shared" si="4"/>
        <v>13</v>
      </c>
      <c r="T10" s="78">
        <f>Table1[[#This Row],[Finishes]]/($Q$5-Table1[[#This Row],[Missed Games]])</f>
        <v>2.6</v>
      </c>
      <c r="U10" s="77">
        <f t="shared" si="5"/>
        <v>2</v>
      </c>
      <c r="V10" s="78">
        <f>Table1[[#This Row],[Midranges]]/($Q$5-Table1[[#This Row],[Missed Games]])</f>
        <v>0.4</v>
      </c>
      <c r="W10" s="77">
        <f t="shared" si="6"/>
        <v>0</v>
      </c>
      <c r="X10" s="78">
        <f>Table1[[#This Row],[Threes]]/($Q$5-Table1[[#This Row],[Missed Games]])</f>
        <v>0</v>
      </c>
      <c r="Y10" s="87" t="s">
        <v>34</v>
      </c>
      <c r="Z10" s="88">
        <v>1</v>
      </c>
      <c r="AB10" s="69" t="s">
        <v>62</v>
      </c>
      <c r="AC10" s="66">
        <f>Table1[[#This Row],[Average]]/$I$6*300</f>
        <v>40.695652173913039</v>
      </c>
      <c r="AD10" s="72">
        <v>39.4</v>
      </c>
      <c r="AE10" s="66">
        <f t="shared" si="8"/>
        <v>1.2956521739130409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4"/>
      <c r="P11" s="89" t="s">
        <v>65</v>
      </c>
      <c r="Q11" s="79">
        <f t="shared" si="3"/>
        <v>20</v>
      </c>
      <c r="R11" s="80">
        <f>Table1[[#This Row],[Points]]/($Q$5-Table1[[#This Row],[Missed Games]])</f>
        <v>3.3333333333333335</v>
      </c>
      <c r="S11" s="81">
        <f t="shared" si="4"/>
        <v>19</v>
      </c>
      <c r="T11" s="82">
        <f>Table1[[#This Row],[Finishes]]/($Q$5-Table1[[#This Row],[Missed Games]])</f>
        <v>3.1666666666666665</v>
      </c>
      <c r="U11" s="81">
        <f t="shared" si="5"/>
        <v>12</v>
      </c>
      <c r="V11" s="82">
        <f>Table1[[#This Row],[Midranges]]/($Q$5-Table1[[#This Row],[Missed Games]])</f>
        <v>2</v>
      </c>
      <c r="W11" s="81">
        <f t="shared" si="6"/>
        <v>0</v>
      </c>
      <c r="X11" s="82">
        <f>Table1[[#This Row],[Threes]]/($Q$5-Table1[[#This Row],[Missed Games]])</f>
        <v>0</v>
      </c>
      <c r="Y11" s="89" t="s">
        <v>39</v>
      </c>
      <c r="Z11" s="90">
        <f t="shared" si="7"/>
        <v>0</v>
      </c>
      <c r="AB11" s="69" t="s">
        <v>65</v>
      </c>
      <c r="AC11" s="66">
        <f>Table1[[#This Row],[Average]]/$I$6*300</f>
        <v>52.173913043478258</v>
      </c>
      <c r="AD11" s="72">
        <v>37.4</v>
      </c>
      <c r="AE11" s="66">
        <f t="shared" si="8"/>
        <v>14.77391304347826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3"/>
        <v>12</v>
      </c>
      <c r="R12" s="80">
        <f>Table1[[#This Row],[Points]]/($Q$5-Table1[[#This Row],[Missed Games]])</f>
        <v>2</v>
      </c>
      <c r="S12" s="81">
        <f t="shared" si="4"/>
        <v>3</v>
      </c>
      <c r="T12" s="82">
        <f>Table1[[#This Row],[Finishes]]/($Q$5-Table1[[#This Row],[Missed Games]])</f>
        <v>0.5</v>
      </c>
      <c r="U12" s="81">
        <f t="shared" si="5"/>
        <v>5</v>
      </c>
      <c r="V12" s="82">
        <f>Table1[[#This Row],[Midranges]]/($Q$5-Table1[[#This Row],[Missed Games]])</f>
        <v>0.83333333333333337</v>
      </c>
      <c r="W12" s="81">
        <f t="shared" si="6"/>
        <v>0</v>
      </c>
      <c r="X12" s="82">
        <f>Table1[[#This Row],[Threes]]/($Q$5-Table1[[#This Row],[Missed Games]])</f>
        <v>0</v>
      </c>
      <c r="Y12" s="89" t="s">
        <v>39</v>
      </c>
      <c r="Z12" s="90">
        <f t="shared" si="7"/>
        <v>0</v>
      </c>
      <c r="AB12" s="69" t="s">
        <v>68</v>
      </c>
      <c r="AC12" s="66">
        <f>Table1[[#This Row],[Average]]/$I$6*300</f>
        <v>31.304347826086953</v>
      </c>
      <c r="AD12" s="72">
        <v>19.8</v>
      </c>
      <c r="AE12" s="66">
        <f t="shared" si="8"/>
        <v>11.504347826086953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3"/>
        <v>3</v>
      </c>
      <c r="R13" s="80">
        <f>Table1[[#This Row],[Points]]/($Q$5-Table1[[#This Row],[Missed Games]])</f>
        <v>0.75</v>
      </c>
      <c r="S13" s="81">
        <f t="shared" si="4"/>
        <v>2</v>
      </c>
      <c r="T13" s="82">
        <f>Table1[[#This Row],[Finishes]]/($Q$5-Table1[[#This Row],[Missed Games]])</f>
        <v>0.5</v>
      </c>
      <c r="U13" s="81">
        <f t="shared" si="5"/>
        <v>1</v>
      </c>
      <c r="V13" s="82">
        <f>Table1[[#This Row],[Midranges]]/($Q$5-Table1[[#This Row],[Missed Games]])</f>
        <v>0.25</v>
      </c>
      <c r="W13" s="81">
        <f t="shared" si="6"/>
        <v>0</v>
      </c>
      <c r="X13" s="82">
        <f>Table1[[#This Row],[Threes]]/($Q$5-Table1[[#This Row],[Missed Games]])</f>
        <v>0</v>
      </c>
      <c r="Y13" s="89" t="s">
        <v>39</v>
      </c>
      <c r="Z13" s="90">
        <v>2</v>
      </c>
      <c r="AB13" s="69" t="s">
        <v>71</v>
      </c>
      <c r="AC13" s="66">
        <f>Table1[[#This Row],[Average]]/$I$6*300</f>
        <v>11.739130434782608</v>
      </c>
      <c r="AD13" s="72">
        <v>30.4</v>
      </c>
      <c r="AE13" s="66">
        <f t="shared" si="8"/>
        <v>-18.660869565217389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3"/>
        <v>5</v>
      </c>
      <c r="R14" s="84">
        <f>Table1[[#This Row],[Points]]/($Q$5-Table1[[#This Row],[Missed Games]])</f>
        <v>0.83333333333333337</v>
      </c>
      <c r="S14" s="85">
        <f t="shared" si="4"/>
        <v>0</v>
      </c>
      <c r="T14" s="86">
        <f>Table1[[#This Row],[Finishes]]/($Q$5-Table1[[#This Row],[Missed Games]])</f>
        <v>0</v>
      </c>
      <c r="U14" s="85">
        <f t="shared" si="5"/>
        <v>1</v>
      </c>
      <c r="V14" s="86">
        <f>Table1[[#This Row],[Midranges]]/($Q$5-Table1[[#This Row],[Missed Games]])</f>
        <v>0.16666666666666666</v>
      </c>
      <c r="W14" s="85">
        <f t="shared" si="6"/>
        <v>2</v>
      </c>
      <c r="X14" s="86">
        <f>Table1[[#This Row],[Threes]]/($Q$5-Table1[[#This Row],[Missed Games]])</f>
        <v>0.33333333333333331</v>
      </c>
      <c r="Y14" s="91" t="s">
        <v>57</v>
      </c>
      <c r="Z14" s="92">
        <f t="shared" si="7"/>
        <v>0</v>
      </c>
      <c r="AB14" s="69" t="s">
        <v>75</v>
      </c>
      <c r="AC14" s="66">
        <f>Table1[[#This Row],[Average]]/$I$6*300</f>
        <v>13.043478260869565</v>
      </c>
      <c r="AD14" s="72">
        <v>11.7</v>
      </c>
      <c r="AE14" s="66">
        <f t="shared" si="8"/>
        <v>1.3434782608695652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3"/>
        <v>6</v>
      </c>
      <c r="R15" s="84">
        <f>Table1[[#This Row],[Points]]/($Q$5-Table1[[#This Row],[Missed Games]])</f>
        <v>1</v>
      </c>
      <c r="S15" s="85">
        <f t="shared" si="4"/>
        <v>2</v>
      </c>
      <c r="T15" s="86">
        <f>Table1[[#This Row],[Finishes]]/($Q$5-Table1[[#This Row],[Missed Games]])</f>
        <v>0.33333333333333331</v>
      </c>
      <c r="U15" s="85">
        <f t="shared" si="5"/>
        <v>3</v>
      </c>
      <c r="V15" s="86">
        <f>Table1[[#This Row],[Midranges]]/($Q$5-Table1[[#This Row],[Missed Games]])</f>
        <v>0.5</v>
      </c>
      <c r="W15" s="85">
        <f t="shared" si="6"/>
        <v>0</v>
      </c>
      <c r="X15" s="86">
        <f>Table1[[#This Row],[Threes]]/($Q$5-Table1[[#This Row],[Missed Games]])</f>
        <v>0</v>
      </c>
      <c r="Y15" s="91" t="s">
        <v>57</v>
      </c>
      <c r="Z15" s="92">
        <f t="shared" si="7"/>
        <v>0</v>
      </c>
      <c r="AB15" s="69" t="s">
        <v>78</v>
      </c>
      <c r="AC15" s="66">
        <f>Table1[[#This Row],[Average]]/$I$6*300</f>
        <v>15.652173913043477</v>
      </c>
      <c r="AD15" s="72">
        <v>37.4</v>
      </c>
      <c r="AE15" s="66">
        <f t="shared" si="8"/>
        <v>-21.747826086956522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3"/>
        <v>14</v>
      </c>
      <c r="R16" s="76">
        <f>Table1[[#This Row],[Points]]/($Q$5-Table1[[#This Row],[Missed Games]])</f>
        <v>2.8</v>
      </c>
      <c r="S16" s="77">
        <f t="shared" si="4"/>
        <v>3</v>
      </c>
      <c r="T16" s="78">
        <f>Table1[[#This Row],[Finishes]]/($Q$5-Table1[[#This Row],[Missed Games]])</f>
        <v>0.6</v>
      </c>
      <c r="U16" s="77">
        <f t="shared" si="5"/>
        <v>4</v>
      </c>
      <c r="V16" s="78">
        <f>Table1[[#This Row],[Midranges]]/($Q$5-Table1[[#This Row],[Missed Games]])</f>
        <v>0.8</v>
      </c>
      <c r="W16" s="77">
        <f t="shared" si="6"/>
        <v>0</v>
      </c>
      <c r="X16" s="78">
        <f>Table1[[#This Row],[Threes]]/($Q$5-Table1[[#This Row],[Missed Games]])</f>
        <v>0</v>
      </c>
      <c r="Y16" s="87" t="s">
        <v>34</v>
      </c>
      <c r="Z16" s="88">
        <f t="shared" si="7"/>
        <v>1</v>
      </c>
      <c r="AB16" s="69" t="s">
        <v>80</v>
      </c>
      <c r="AC16" s="66">
        <f>Table1[[#This Row],[Average]]/$I$6*300</f>
        <v>43.826086956521735</v>
      </c>
      <c r="AD16" s="72">
        <v>29.2</v>
      </c>
      <c r="AE16" s="66">
        <f t="shared" si="8"/>
        <v>14.626086956521736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3"/>
        <v>6</v>
      </c>
      <c r="R17" s="76">
        <f>Table1[[#This Row],[Points]]/($Q$5-Table1[[#This Row],[Missed Games]])</f>
        <v>1</v>
      </c>
      <c r="S17" s="77">
        <f t="shared" si="4"/>
        <v>1</v>
      </c>
      <c r="T17" s="78">
        <f>Table1[[#This Row],[Finishes]]/($Q$5-Table1[[#This Row],[Missed Games]])</f>
        <v>0.16666666666666666</v>
      </c>
      <c r="U17" s="77">
        <f t="shared" si="5"/>
        <v>3</v>
      </c>
      <c r="V17" s="78">
        <f>Table1[[#This Row],[Midranges]]/($Q$5-Table1[[#This Row],[Missed Games]])</f>
        <v>0.5</v>
      </c>
      <c r="W17" s="77">
        <f t="shared" si="6"/>
        <v>0</v>
      </c>
      <c r="X17" s="78">
        <f>Table1[[#This Row],[Threes]]/($Q$5-Table1[[#This Row],[Missed Games]])</f>
        <v>0</v>
      </c>
      <c r="Y17" s="87" t="s">
        <v>34</v>
      </c>
      <c r="Z17" s="88">
        <f t="shared" si="7"/>
        <v>0</v>
      </c>
      <c r="AB17" s="69" t="s">
        <v>81</v>
      </c>
      <c r="AC17" s="66">
        <f>Table1[[#This Row],[Average]]/$I$6*300</f>
        <v>15.652173913043477</v>
      </c>
      <c r="AD17" s="72">
        <v>5.8</v>
      </c>
      <c r="AE17" s="66">
        <f t="shared" si="8"/>
        <v>9.852173913043476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189</v>
      </c>
      <c r="Q18" s="75">
        <f t="shared" si="3"/>
        <v>7</v>
      </c>
      <c r="R18" s="76">
        <f>Table1[[#This Row],[Points]]/($Q$5-Table1[[#This Row],[Missed Games]])</f>
        <v>1.1666666666666667</v>
      </c>
      <c r="S18" s="77">
        <f t="shared" si="4"/>
        <v>7</v>
      </c>
      <c r="T18" s="78">
        <f>Table1[[#This Row],[Finishes]]/($Q$5-Table1[[#This Row],[Missed Games]])</f>
        <v>1.1666666666666667</v>
      </c>
      <c r="U18" s="77">
        <f t="shared" si="5"/>
        <v>0</v>
      </c>
      <c r="V18" s="78">
        <f>Table1[[#This Row],[Midranges]]/($Q$5-Table1[[#This Row],[Missed Games]])</f>
        <v>0</v>
      </c>
      <c r="W18" s="77">
        <f t="shared" si="6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7"/>
        <v>0</v>
      </c>
      <c r="AB18" s="69" t="s">
        <v>189</v>
      </c>
      <c r="AC18" s="66">
        <f>Table1[[#This Row],[Average]]/$I$6*300</f>
        <v>18.260869565217391</v>
      </c>
      <c r="AD18" s="72">
        <v>11.7</v>
      </c>
      <c r="AE18" s="66">
        <f t="shared" si="8"/>
        <v>6.5608695652173914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188</v>
      </c>
      <c r="Q19" s="83">
        <f t="shared" si="3"/>
        <v>4</v>
      </c>
      <c r="R19" s="84">
        <f>Table1[[#This Row],[Points]]/($Q$5-Table1[[#This Row],[Missed Games]])</f>
        <v>0.66666666666666663</v>
      </c>
      <c r="S19" s="85">
        <f t="shared" si="4"/>
        <v>3</v>
      </c>
      <c r="T19" s="86">
        <f>Table1[[#This Row],[Finishes]]/($Q$5-Table1[[#This Row],[Missed Games]])</f>
        <v>0.5</v>
      </c>
      <c r="U19" s="85">
        <f t="shared" si="5"/>
        <v>1</v>
      </c>
      <c r="V19" s="86">
        <f>Table1[[#This Row],[Midranges]]/($Q$5-Table1[[#This Row],[Missed Games]])</f>
        <v>0.16666666666666666</v>
      </c>
      <c r="W19" s="85">
        <f t="shared" si="6"/>
        <v>0</v>
      </c>
      <c r="X19" s="86">
        <f>Table1[[#This Row],[Threes]]/($Q$5-Table1[[#This Row],[Missed Games]])</f>
        <v>0</v>
      </c>
      <c r="Y19" s="91" t="s">
        <v>57</v>
      </c>
      <c r="Z19" s="92">
        <f t="shared" si="7"/>
        <v>0</v>
      </c>
      <c r="AB19" s="69" t="s">
        <v>188</v>
      </c>
      <c r="AC19" s="66">
        <f>Table1[[#This Row],[Average]]/$I$6*300</f>
        <v>10.434782608695651</v>
      </c>
      <c r="AD19" s="72">
        <v>16.5</v>
      </c>
      <c r="AE19" s="66">
        <f t="shared" si="8"/>
        <v>-6.0652173913043494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3"/>
        <v>14</v>
      </c>
      <c r="R20" s="84">
        <f>Table1[[#This Row],[Points]]/($Q$5-Table1[[#This Row],[Missed Games]])</f>
        <v>3.5</v>
      </c>
      <c r="S20" s="85">
        <f t="shared" si="4"/>
        <v>10</v>
      </c>
      <c r="T20" s="86">
        <f>Table1[[#This Row],[Finishes]]/($Q$5-Table1[[#This Row],[Missed Games]])</f>
        <v>2.5</v>
      </c>
      <c r="U20" s="85">
        <f t="shared" si="5"/>
        <v>2</v>
      </c>
      <c r="V20" s="86">
        <f>Table1[[#This Row],[Midranges]]/($Q$5-Table1[[#This Row],[Missed Games]])</f>
        <v>0.5</v>
      </c>
      <c r="W20" s="85">
        <f t="shared" si="6"/>
        <v>2</v>
      </c>
      <c r="X20" s="86">
        <f>Table1[[#This Row],[Threes]]/($Q$5-Table1[[#This Row],[Missed Games]])</f>
        <v>0.5</v>
      </c>
      <c r="Y20" s="91" t="s">
        <v>57</v>
      </c>
      <c r="Z20" s="92">
        <v>2</v>
      </c>
      <c r="AB20" s="69" t="s">
        <v>85</v>
      </c>
      <c r="AC20" s="66">
        <f>Table1[[#This Row],[Average]]/$I$6*300</f>
        <v>54.782608695652172</v>
      </c>
      <c r="AD20" s="72">
        <v>39.700000000000003</v>
      </c>
      <c r="AE20" s="66">
        <f t="shared" si="8"/>
        <v>15.082608695652169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3"/>
        <v>1</v>
      </c>
      <c r="R21" s="80">
        <f>Table1[[#This Row],[Points]]/($Q$5-Table1[[#This Row],[Missed Games]])</f>
        <v>0.16666666666666666</v>
      </c>
      <c r="S21" s="81">
        <f t="shared" si="4"/>
        <v>1</v>
      </c>
      <c r="T21" s="82">
        <f>Table1[[#This Row],[Finishes]]/($Q$5-Table1[[#This Row],[Missed Games]])</f>
        <v>0.16666666666666666</v>
      </c>
      <c r="U21" s="81">
        <f t="shared" si="5"/>
        <v>1</v>
      </c>
      <c r="V21" s="82">
        <f>Table1[[#This Row],[Midranges]]/($Q$5-Table1[[#This Row],[Missed Games]])</f>
        <v>0.16666666666666666</v>
      </c>
      <c r="W21" s="81">
        <f t="shared" si="6"/>
        <v>0</v>
      </c>
      <c r="X21" s="82">
        <f>Table1[[#This Row],[Threes]]/($Q$5-Table1[[#This Row],[Missed Games]])</f>
        <v>0</v>
      </c>
      <c r="Y21" s="89" t="s">
        <v>39</v>
      </c>
      <c r="Z21" s="90">
        <f t="shared" si="7"/>
        <v>0</v>
      </c>
      <c r="AB21" s="69" t="s">
        <v>86</v>
      </c>
      <c r="AC21" s="66">
        <f>Table1[[#This Row],[Average]]/$I$6*300</f>
        <v>2.6086956521739126</v>
      </c>
      <c r="AD21" s="72">
        <v>8.1999999999999993</v>
      </c>
      <c r="AE21" s="66">
        <f t="shared" si="8"/>
        <v>-5.5913043478260871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3"/>
        <v>2</v>
      </c>
      <c r="R22" s="84">
        <f>Table1[[#This Row],[Points]]/($Q$5-Table1[[#This Row],[Missed Games]])</f>
        <v>0.33333333333333331</v>
      </c>
      <c r="S22" s="85">
        <f t="shared" si="4"/>
        <v>2</v>
      </c>
      <c r="T22" s="86">
        <f>Table1[[#This Row],[Finishes]]/($Q$5-Table1[[#This Row],[Missed Games]])</f>
        <v>0.33333333333333331</v>
      </c>
      <c r="U22" s="85">
        <f t="shared" si="5"/>
        <v>1</v>
      </c>
      <c r="V22" s="86">
        <f>Table1[[#This Row],[Midranges]]/($Q$5-Table1[[#This Row],[Missed Games]])</f>
        <v>0.16666666666666666</v>
      </c>
      <c r="W22" s="85">
        <f t="shared" si="6"/>
        <v>0</v>
      </c>
      <c r="X22" s="86">
        <f>Table1[[#This Row],[Threes]]/($Q$5-Table1[[#This Row],[Missed Games]])</f>
        <v>0</v>
      </c>
      <c r="Y22" s="91" t="s">
        <v>57</v>
      </c>
      <c r="Z22" s="92">
        <f t="shared" si="7"/>
        <v>0</v>
      </c>
      <c r="AB22" s="69" t="s">
        <v>87</v>
      </c>
      <c r="AC22" s="66">
        <f>Table1[[#This Row],[Average]]/$I$6*300</f>
        <v>5.2173913043478253</v>
      </c>
      <c r="AD22" s="72">
        <v>7</v>
      </c>
      <c r="AE22" s="66">
        <f t="shared" si="8"/>
        <v>-1.7826086956521747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3"/>
        <v>3</v>
      </c>
      <c r="R23" s="84">
        <f>Table1[[#This Row],[Points]]/($Q$5-Table1[[#This Row],[Missed Games]])</f>
        <v>0.5</v>
      </c>
      <c r="S23" s="85">
        <f t="shared" si="4"/>
        <v>3</v>
      </c>
      <c r="T23" s="86">
        <f>Table1[[#This Row],[Finishes]]/($Q$5-Table1[[#This Row],[Missed Games]])</f>
        <v>0.5</v>
      </c>
      <c r="U23" s="85">
        <f t="shared" si="5"/>
        <v>0</v>
      </c>
      <c r="V23" s="86">
        <f>Table1[[#This Row],[Midranges]]/($Q$5-Table1[[#This Row],[Missed Games]])</f>
        <v>0</v>
      </c>
      <c r="W23" s="85">
        <f t="shared" si="6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7"/>
        <v>0</v>
      </c>
      <c r="AB23" s="70" t="s">
        <v>107</v>
      </c>
      <c r="AC23" s="66">
        <f>Table1[[#This Row],[Average]]/$I$6*300</f>
        <v>7.8260869565217384</v>
      </c>
      <c r="AD23" s="72">
        <v>3.5</v>
      </c>
      <c r="AE23" s="66">
        <f t="shared" si="8"/>
        <v>4.3260869565217384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9">Q30/(Q$26-Y30)</f>
        <v>0</v>
      </c>
      <c r="S30" s="27">
        <f>'2404'!S4+'2604'!S4</f>
        <v>0</v>
      </c>
      <c r="T30" s="28">
        <f t="shared" ref="T30:T44" si="10">S30/($Q$26-Y30)</f>
        <v>0</v>
      </c>
      <c r="U30" s="27">
        <f>'2404'!T4+'2604'!T4</f>
        <v>0</v>
      </c>
      <c r="V30" s="28">
        <f t="shared" ref="V30:V44" si="11">U30/($Q$26-Y30)</f>
        <v>0</v>
      </c>
      <c r="W30" s="27">
        <f>'2404'!U4+'2604'!U4</f>
        <v>0</v>
      </c>
      <c r="X30" s="28">
        <f t="shared" ref="X30:X44" si="12">W30/($Q$26-Y30)</f>
        <v>0</v>
      </c>
      <c r="Y30" s="40">
        <v>1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9"/>
        <v>1.5</v>
      </c>
      <c r="S31" s="27">
        <f>'2404'!S5+'2604'!S5</f>
        <v>3</v>
      </c>
      <c r="T31" s="28">
        <f t="shared" si="10"/>
        <v>1.5</v>
      </c>
      <c r="U31" s="27">
        <f>'2404'!T5+'2604'!T5</f>
        <v>0</v>
      </c>
      <c r="V31" s="28">
        <f t="shared" si="11"/>
        <v>0</v>
      </c>
      <c r="W31" s="27">
        <f>'2404'!U5+'2604'!U5</f>
        <v>0</v>
      </c>
      <c r="X31" s="28">
        <f t="shared" si="12"/>
        <v>0</v>
      </c>
      <c r="Y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9"/>
        <v>1.5</v>
      </c>
      <c r="S32" s="27">
        <f>'2404'!S6+'2604'!S6</f>
        <v>3</v>
      </c>
      <c r="T32" s="28">
        <f t="shared" si="10"/>
        <v>1.5</v>
      </c>
      <c r="U32" s="27">
        <f>'2404'!T6+'2604'!T6</f>
        <v>0</v>
      </c>
      <c r="V32" s="28">
        <f t="shared" si="11"/>
        <v>0</v>
      </c>
      <c r="W32" s="27">
        <f>'2404'!U6+'2604'!U6</f>
        <v>0</v>
      </c>
      <c r="X32" s="28">
        <f t="shared" si="12"/>
        <v>0</v>
      </c>
      <c r="Y32" s="40">
        <v>0</v>
      </c>
    </row>
    <row r="33" spans="9:27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9"/>
        <v>0.5</v>
      </c>
      <c r="S33" s="27">
        <f>'2404'!S7+'2604'!S7</f>
        <v>1</v>
      </c>
      <c r="T33" s="28">
        <f t="shared" si="10"/>
        <v>0.5</v>
      </c>
      <c r="U33" s="27">
        <f>'2404'!T7+'2604'!T7</f>
        <v>0</v>
      </c>
      <c r="V33" s="28">
        <f t="shared" si="11"/>
        <v>0</v>
      </c>
      <c r="W33" s="27">
        <f>'2404'!U7+'2604'!U7</f>
        <v>0</v>
      </c>
      <c r="X33" s="28">
        <f t="shared" si="12"/>
        <v>0</v>
      </c>
      <c r="Y33" s="40">
        <v>0</v>
      </c>
    </row>
    <row r="34" spans="9:27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9"/>
        <v>1</v>
      </c>
      <c r="S34" s="27">
        <f>'2404'!S8+'2604'!S8</f>
        <v>2</v>
      </c>
      <c r="T34" s="28">
        <f t="shared" si="10"/>
        <v>1</v>
      </c>
      <c r="U34" s="27">
        <f>'2404'!T8+'2604'!T8</f>
        <v>0</v>
      </c>
      <c r="V34" s="28">
        <f t="shared" si="11"/>
        <v>0</v>
      </c>
      <c r="W34" s="27">
        <f>'2404'!U8+'2604'!U8</f>
        <v>0</v>
      </c>
      <c r="X34" s="28">
        <f t="shared" si="12"/>
        <v>0</v>
      </c>
      <c r="Y34" s="40">
        <v>0</v>
      </c>
    </row>
    <row r="35" spans="9:27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9"/>
        <v>0</v>
      </c>
      <c r="S35" s="27">
        <f>'2404'!S9+'2604'!S9</f>
        <v>0</v>
      </c>
      <c r="T35" s="28">
        <f t="shared" si="10"/>
        <v>0</v>
      </c>
      <c r="U35" s="27">
        <f>'2404'!T9+'2604'!T9</f>
        <v>0</v>
      </c>
      <c r="V35" s="28">
        <f t="shared" si="11"/>
        <v>0</v>
      </c>
      <c r="W35" s="27">
        <f>'2404'!U9+'2604'!U9</f>
        <v>0</v>
      </c>
      <c r="X35" s="28">
        <f t="shared" si="12"/>
        <v>0</v>
      </c>
      <c r="Y35" s="40">
        <v>0</v>
      </c>
    </row>
    <row r="36" spans="9:27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9"/>
        <v>0</v>
      </c>
      <c r="S36" s="27">
        <f>'2404'!S10+'2604'!S10</f>
        <v>0</v>
      </c>
      <c r="T36" s="28">
        <f t="shared" si="10"/>
        <v>0</v>
      </c>
      <c r="U36" s="27">
        <f>'2404'!T10+'2604'!T10</f>
        <v>0</v>
      </c>
      <c r="V36" s="28">
        <f t="shared" si="11"/>
        <v>0</v>
      </c>
      <c r="W36" s="27">
        <f>'2404'!U10+'2604'!U10</f>
        <v>0</v>
      </c>
      <c r="X36" s="28">
        <f t="shared" si="12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9"/>
        <v>2</v>
      </c>
      <c r="S37" s="27">
        <f>'2404'!S11+'2604'!S11</f>
        <v>1</v>
      </c>
      <c r="T37" s="28">
        <f t="shared" si="10"/>
        <v>1</v>
      </c>
      <c r="U37" s="27">
        <f>'2404'!T11+'2604'!T11</f>
        <v>1</v>
      </c>
      <c r="V37" s="28">
        <f t="shared" si="11"/>
        <v>1</v>
      </c>
      <c r="W37" s="27">
        <f>'2404'!U11+'2604'!U11</f>
        <v>0</v>
      </c>
      <c r="X37" s="28">
        <f t="shared" si="12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9"/>
        <v>0</v>
      </c>
      <c r="S38" s="27">
        <f>'2404'!S12+'2604'!S12</f>
        <v>0</v>
      </c>
      <c r="T38" s="28">
        <f t="shared" si="10"/>
        <v>0</v>
      </c>
      <c r="U38" s="27">
        <f>'2404'!T12+'2604'!T12</f>
        <v>0</v>
      </c>
      <c r="V38" s="28">
        <f t="shared" si="11"/>
        <v>0</v>
      </c>
      <c r="W38" s="27">
        <f>'2404'!U12+'2604'!U12</f>
        <v>0</v>
      </c>
      <c r="X38" s="28">
        <f t="shared" si="12"/>
        <v>0</v>
      </c>
      <c r="Y38" s="40">
        <v>0</v>
      </c>
    </row>
    <row r="39" spans="9:27" ht="14.25" customHeight="1" x14ac:dyDescent="0.45">
      <c r="P39" s="30" t="s">
        <v>189</v>
      </c>
      <c r="Q39" s="44">
        <f>'2404'!R13+'2604'!R13</f>
        <v>4</v>
      </c>
      <c r="R39" s="29">
        <f t="shared" si="9"/>
        <v>2</v>
      </c>
      <c r="S39" s="27">
        <f>'2404'!S13+'2604'!S13</f>
        <v>4</v>
      </c>
      <c r="T39" s="28">
        <f t="shared" si="10"/>
        <v>2</v>
      </c>
      <c r="U39" s="27">
        <f>'2404'!T13+'2604'!T13</f>
        <v>0</v>
      </c>
      <c r="V39" s="28">
        <f t="shared" si="11"/>
        <v>0</v>
      </c>
      <c r="W39" s="27">
        <f>'2404'!U13+'2604'!U13</f>
        <v>0</v>
      </c>
      <c r="X39" s="28">
        <f t="shared" si="12"/>
        <v>0</v>
      </c>
      <c r="Y39" s="40">
        <v>0</v>
      </c>
      <c r="Z39" s="12"/>
      <c r="AA39" s="12"/>
    </row>
    <row r="40" spans="9:27" ht="14.25" customHeight="1" x14ac:dyDescent="0.45">
      <c r="I40" s="33" t="s">
        <v>155</v>
      </c>
      <c r="P40" s="30" t="s">
        <v>188</v>
      </c>
      <c r="Q40" s="44">
        <f>'2404'!R14+'2604'!R14</f>
        <v>0</v>
      </c>
      <c r="R40" s="29">
        <f t="shared" si="9"/>
        <v>0</v>
      </c>
      <c r="S40" s="27">
        <f>'2404'!S14+'2604'!S14</f>
        <v>0</v>
      </c>
      <c r="T40" s="28">
        <f t="shared" si="10"/>
        <v>0</v>
      </c>
      <c r="U40" s="27">
        <f>'2404'!T14+'2604'!T14</f>
        <v>0</v>
      </c>
      <c r="V40" s="28">
        <f t="shared" si="11"/>
        <v>0</v>
      </c>
      <c r="W40" s="27">
        <f>'2404'!U14+'2604'!U14</f>
        <v>0</v>
      </c>
      <c r="X40" s="28">
        <f t="shared" si="12"/>
        <v>0</v>
      </c>
      <c r="Y40" s="40">
        <v>0</v>
      </c>
    </row>
    <row r="41" spans="9:27" ht="14.25" customHeight="1" x14ac:dyDescent="0.45">
      <c r="I41" s="33" t="s">
        <v>132</v>
      </c>
      <c r="J41">
        <f>'Statistics LG'!H4</f>
        <v>11</v>
      </c>
      <c r="P41" s="30" t="s">
        <v>85</v>
      </c>
      <c r="Q41" s="44">
        <f>'2404'!R15+'2604'!R15</f>
        <v>4</v>
      </c>
      <c r="R41" s="29">
        <f t="shared" si="9"/>
        <v>2</v>
      </c>
      <c r="S41" s="27">
        <f>'2404'!S15+'2604'!S15</f>
        <v>4</v>
      </c>
      <c r="T41" s="28">
        <f t="shared" si="10"/>
        <v>2</v>
      </c>
      <c r="U41" s="27">
        <f>'2404'!T15+'2604'!T15</f>
        <v>0</v>
      </c>
      <c r="V41" s="28">
        <f t="shared" si="11"/>
        <v>0</v>
      </c>
      <c r="W41" s="27">
        <f>'2404'!U15+'2604'!U15</f>
        <v>0</v>
      </c>
      <c r="X41" s="28">
        <f t="shared" si="12"/>
        <v>0</v>
      </c>
      <c r="Y41" s="40">
        <v>0</v>
      </c>
    </row>
    <row r="42" spans="9:27" ht="14.25" customHeight="1" x14ac:dyDescent="0.45">
      <c r="I42" s="33" t="s">
        <v>133</v>
      </c>
      <c r="J42">
        <f>'Statistics WW'!H4</f>
        <v>9</v>
      </c>
      <c r="P42" s="30" t="s">
        <v>86</v>
      </c>
      <c r="Q42" s="44">
        <f>'2404'!R16+'2604'!R16</f>
        <v>0</v>
      </c>
      <c r="R42" s="29">
        <f t="shared" si="9"/>
        <v>0</v>
      </c>
      <c r="S42" s="27">
        <f>'2404'!S16+'2604'!S16</f>
        <v>0</v>
      </c>
      <c r="T42" s="28">
        <f t="shared" si="10"/>
        <v>0</v>
      </c>
      <c r="U42" s="27">
        <f>'2404'!T16+'2604'!T16</f>
        <v>0</v>
      </c>
      <c r="V42" s="28">
        <f t="shared" si="11"/>
        <v>0</v>
      </c>
      <c r="W42" s="27">
        <f>'2404'!U16+'2604'!U16</f>
        <v>0</v>
      </c>
      <c r="X42" s="28">
        <f t="shared" si="12"/>
        <v>0</v>
      </c>
      <c r="Y42" s="40">
        <v>0</v>
      </c>
    </row>
    <row r="43" spans="9:27" ht="14.25" customHeight="1" x14ac:dyDescent="0.45">
      <c r="I43" s="33" t="s">
        <v>134</v>
      </c>
      <c r="J43">
        <f>'Statistics 5M'!H4</f>
        <v>16</v>
      </c>
      <c r="P43" s="30" t="s">
        <v>87</v>
      </c>
      <c r="Q43" s="44">
        <f>'2404'!R17+'2604'!R17</f>
        <v>1</v>
      </c>
      <c r="R43" s="29">
        <f t="shared" si="9"/>
        <v>0.5</v>
      </c>
      <c r="S43" s="27">
        <f>'2404'!S17+'2604'!S17</f>
        <v>1</v>
      </c>
      <c r="T43" s="28">
        <f t="shared" si="10"/>
        <v>0.5</v>
      </c>
      <c r="U43" s="27">
        <f>'2404'!T17+'2604'!T17</f>
        <v>0</v>
      </c>
      <c r="V43" s="28">
        <f t="shared" si="11"/>
        <v>0</v>
      </c>
      <c r="W43" s="27">
        <f>'2404'!U17+'2604'!U17</f>
        <v>0</v>
      </c>
      <c r="X43" s="28">
        <f t="shared" si="12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9"/>
        <v>0.5</v>
      </c>
      <c r="S44" s="27">
        <f>'2404'!S18+'2604'!S18</f>
        <v>1</v>
      </c>
      <c r="T44" s="28">
        <f t="shared" si="10"/>
        <v>0.5</v>
      </c>
      <c r="U44" s="27">
        <f>'2404'!T18+'2604'!T18</f>
        <v>0</v>
      </c>
      <c r="V44" s="28">
        <f t="shared" si="11"/>
        <v>0</v>
      </c>
      <c r="W44" s="27">
        <f>'2404'!U18+'2604'!U18</f>
        <v>0</v>
      </c>
      <c r="X44" s="28">
        <f t="shared" si="12"/>
        <v>0</v>
      </c>
      <c r="Y44" s="40">
        <v>0</v>
      </c>
    </row>
    <row r="45" spans="9:27" ht="14.25" customHeight="1" x14ac:dyDescent="0.45">
      <c r="I45" s="33" t="s">
        <v>160</v>
      </c>
    </row>
    <row r="46" spans="9:27" ht="14.25" customHeight="1" x14ac:dyDescent="0.45">
      <c r="I46" s="33" t="s">
        <v>9</v>
      </c>
      <c r="J46" s="42">
        <f>SUM(Table1[Finishes])</f>
        <v>74</v>
      </c>
      <c r="K46">
        <f>J46/Q5</f>
        <v>12.333333333333334</v>
      </c>
      <c r="L46" s="57">
        <f>J46/SUM($J$46:$J$48)</f>
        <v>0.62184873949579833</v>
      </c>
      <c r="P46" s="65" t="s">
        <v>176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41</v>
      </c>
      <c r="K47">
        <f>Q5</f>
        <v>6</v>
      </c>
      <c r="L47" s="57">
        <f t="shared" ref="L47:L48" si="13">J47/SUM($J$46:$J$48)</f>
        <v>0.34453781512605042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27" ht="14.25" customHeight="1" x14ac:dyDescent="0.45">
      <c r="I48" s="33" t="s">
        <v>11</v>
      </c>
      <c r="J48" s="42">
        <f>SUM(Table1[Threes])</f>
        <v>4</v>
      </c>
      <c r="K48">
        <f>J48/Q5</f>
        <v>0.66666666666666663</v>
      </c>
      <c r="L48" s="57">
        <f t="shared" si="13"/>
        <v>3.3613445378151259E-2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4">Q49/(Q$46-Y49)</f>
        <v>0.5</v>
      </c>
      <c r="S49" s="27">
        <f>'0205'!S4+'0305'!S4</f>
        <v>1</v>
      </c>
      <c r="T49" s="28">
        <f t="shared" ref="T49:T63" si="15">S49/($Q$46-Y49)</f>
        <v>0.5</v>
      </c>
      <c r="U49" s="27">
        <f>'0205'!T4+'0305'!T4</f>
        <v>0</v>
      </c>
      <c r="V49" s="28">
        <f t="shared" ref="V49:V63" si="16">U49/($Q$46-Y49)</f>
        <v>0</v>
      </c>
      <c r="W49" s="27">
        <f>'0205'!U4+'0305'!U4</f>
        <v>0</v>
      </c>
      <c r="X49" s="28">
        <f t="shared" ref="X49:X63" si="17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4"/>
        <v>4</v>
      </c>
      <c r="S50" s="27">
        <f>'0205'!S5+'0305'!S5</f>
        <v>8</v>
      </c>
      <c r="T50" s="28">
        <f t="shared" si="15"/>
        <v>4</v>
      </c>
      <c r="U50" s="27">
        <f>'0205'!T5+'0305'!T5</f>
        <v>0</v>
      </c>
      <c r="V50" s="28">
        <f t="shared" si="16"/>
        <v>0</v>
      </c>
      <c r="W50" s="27">
        <f>'0205'!U5+'0305'!U5</f>
        <v>0</v>
      </c>
      <c r="X50" s="28">
        <f t="shared" si="17"/>
        <v>0</v>
      </c>
      <c r="Y50" s="40">
        <v>0</v>
      </c>
    </row>
    <row r="51" spans="8:25" ht="14.25" customHeight="1" x14ac:dyDescent="0.45">
      <c r="I51" s="33" t="s">
        <v>192</v>
      </c>
      <c r="P51" s="30" t="s">
        <v>65</v>
      </c>
      <c r="Q51" s="44">
        <f>'0205'!R6+'0305'!R6</f>
        <v>4</v>
      </c>
      <c r="R51" s="29">
        <f t="shared" si="14"/>
        <v>2</v>
      </c>
      <c r="S51" s="27">
        <f>'0205'!S6+'0305'!S6</f>
        <v>4</v>
      </c>
      <c r="T51" s="28">
        <f t="shared" si="15"/>
        <v>2</v>
      </c>
      <c r="U51" s="27">
        <f>'0205'!T6+'0305'!T6</f>
        <v>0</v>
      </c>
      <c r="V51" s="28">
        <f t="shared" si="16"/>
        <v>0</v>
      </c>
      <c r="W51" s="27">
        <f>'0205'!U6+'0305'!U6</f>
        <v>0</v>
      </c>
      <c r="X51" s="28">
        <f t="shared" si="17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4"/>
        <v>1.5</v>
      </c>
      <c r="S52" s="27">
        <f>'0205'!S7+'0305'!S7</f>
        <v>0</v>
      </c>
      <c r="T52" s="28">
        <f t="shared" si="15"/>
        <v>0</v>
      </c>
      <c r="U52" s="27">
        <f>'0205'!T7+'0305'!T7</f>
        <v>3</v>
      </c>
      <c r="V52" s="28">
        <f t="shared" si="16"/>
        <v>1.5</v>
      </c>
      <c r="W52" s="27">
        <f>'0205'!U7+'0305'!U7</f>
        <v>0</v>
      </c>
      <c r="X52" s="28">
        <f t="shared" si="17"/>
        <v>0</v>
      </c>
      <c r="Y52" s="40">
        <v>0</v>
      </c>
    </row>
    <row r="53" spans="8:25" ht="14.25" customHeight="1" x14ac:dyDescent="0.45">
      <c r="H53" s="33" t="s">
        <v>194</v>
      </c>
      <c r="I53" s="117" t="s">
        <v>193</v>
      </c>
      <c r="J53" s="73">
        <f>'Statistics LG'!Q31</f>
        <v>0.42857142857142855</v>
      </c>
      <c r="K53" s="73">
        <f>'Statistics LG'!V31</f>
        <v>0.41666666666666669</v>
      </c>
      <c r="L53" s="73">
        <f>AVERAGE(J53:K53)</f>
        <v>0.42261904761904762</v>
      </c>
      <c r="P53" s="30" t="s">
        <v>71</v>
      </c>
      <c r="Q53" s="44">
        <f>'0205'!R8+'0305'!R8</f>
        <v>1</v>
      </c>
      <c r="R53" s="29">
        <f t="shared" si="14"/>
        <v>0.5</v>
      </c>
      <c r="S53" s="27">
        <f>'0205'!S8+'0305'!S8</f>
        <v>0</v>
      </c>
      <c r="T53" s="28">
        <f t="shared" si="15"/>
        <v>0</v>
      </c>
      <c r="U53" s="27">
        <f>'0205'!T8+'0305'!T8</f>
        <v>1</v>
      </c>
      <c r="V53" s="28">
        <f t="shared" si="16"/>
        <v>0.5</v>
      </c>
      <c r="W53" s="27">
        <f>'0205'!U8+'0305'!U8</f>
        <v>0</v>
      </c>
      <c r="X53" s="28">
        <f t="shared" si="17"/>
        <v>0</v>
      </c>
      <c r="Y53" s="40">
        <v>0</v>
      </c>
    </row>
    <row r="54" spans="8:25" ht="14.25" customHeight="1" x14ac:dyDescent="0.45">
      <c r="H54" s="33" t="s">
        <v>195</v>
      </c>
      <c r="I54" s="73">
        <f>1-'Statistics LG'!Q31</f>
        <v>0.5714285714285714</v>
      </c>
      <c r="J54" s="117" t="s">
        <v>193</v>
      </c>
      <c r="K54" s="73">
        <f>'Statistics WW'!P31</f>
        <v>0.45454545454545453</v>
      </c>
      <c r="L54" s="73">
        <f>AVERAGE(I54:K54)</f>
        <v>0.51298701298701299</v>
      </c>
      <c r="P54" s="30" t="s">
        <v>75</v>
      </c>
      <c r="Q54" s="44">
        <f>'0205'!R9+'0305'!R9</f>
        <v>5</v>
      </c>
      <c r="R54" s="29">
        <f t="shared" si="14"/>
        <v>2.5</v>
      </c>
      <c r="S54" s="27">
        <f>'0205'!S9+'0305'!S9</f>
        <v>0</v>
      </c>
      <c r="T54" s="28">
        <f t="shared" si="15"/>
        <v>0</v>
      </c>
      <c r="U54" s="27">
        <f>'0205'!T9+'0305'!T9</f>
        <v>1</v>
      </c>
      <c r="V54" s="28">
        <f t="shared" si="16"/>
        <v>0.5</v>
      </c>
      <c r="W54" s="27">
        <f>'0205'!U9+'0305'!U9</f>
        <v>2</v>
      </c>
      <c r="X54" s="28">
        <f t="shared" si="17"/>
        <v>1</v>
      </c>
      <c r="Y54" s="40">
        <v>0</v>
      </c>
    </row>
    <row r="55" spans="8:25" ht="14.25" customHeight="1" x14ac:dyDescent="0.45">
      <c r="H55" s="33" t="s">
        <v>196</v>
      </c>
      <c r="I55" s="73">
        <f>1-K53</f>
        <v>0.58333333333333326</v>
      </c>
      <c r="J55" s="73">
        <f>1-K54</f>
        <v>0.54545454545454541</v>
      </c>
      <c r="K55" s="117" t="s">
        <v>193</v>
      </c>
      <c r="L55" s="73">
        <f>AVERAGE(I55:K55)</f>
        <v>0.56439393939393934</v>
      </c>
      <c r="P55" s="30" t="s">
        <v>78</v>
      </c>
      <c r="Q55" s="44">
        <f>'0205'!R10+'0305'!R10</f>
        <v>3</v>
      </c>
      <c r="R55" s="29">
        <f t="shared" si="14"/>
        <v>1.5</v>
      </c>
      <c r="S55" s="27">
        <f>'0205'!S10+'0305'!S10</f>
        <v>1</v>
      </c>
      <c r="T55" s="28">
        <f t="shared" si="15"/>
        <v>0.5</v>
      </c>
      <c r="U55" s="27">
        <f>'0205'!T10+'0305'!T10</f>
        <v>2</v>
      </c>
      <c r="V55" s="28">
        <f t="shared" si="16"/>
        <v>1</v>
      </c>
      <c r="W55" s="27">
        <f>'0205'!U10+'0305'!U10</f>
        <v>0</v>
      </c>
      <c r="X55" s="28">
        <f t="shared" si="17"/>
        <v>0</v>
      </c>
      <c r="Y55" s="40">
        <v>0</v>
      </c>
    </row>
    <row r="56" spans="8:25" ht="14.25" customHeight="1" x14ac:dyDescent="0.45">
      <c r="L56" s="118"/>
      <c r="M56" s="118"/>
      <c r="P56" s="30" t="s">
        <v>80</v>
      </c>
      <c r="Q56" s="44">
        <f>'0205'!R11+'0305'!R11</f>
        <v>5</v>
      </c>
      <c r="R56" s="29">
        <f t="shared" si="14"/>
        <v>2.5</v>
      </c>
      <c r="S56" s="27">
        <f>'0205'!S11+'0305'!S11</f>
        <v>2</v>
      </c>
      <c r="T56" s="28">
        <f t="shared" si="15"/>
        <v>1</v>
      </c>
      <c r="U56" s="27">
        <f>'0205'!T11+'0305'!T11</f>
        <v>3</v>
      </c>
      <c r="V56" s="28">
        <f t="shared" si="16"/>
        <v>1.5</v>
      </c>
      <c r="W56" s="27">
        <f>'0205'!U11+'0305'!U11</f>
        <v>0</v>
      </c>
      <c r="X56" s="28">
        <f t="shared" si="17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4"/>
        <v>2</v>
      </c>
      <c r="S57" s="27">
        <f>'0205'!S12+'0305'!S12</f>
        <v>1</v>
      </c>
      <c r="T57" s="28">
        <f t="shared" si="15"/>
        <v>0.5</v>
      </c>
      <c r="U57" s="27">
        <f>'0205'!T12+'0305'!T12</f>
        <v>3</v>
      </c>
      <c r="V57" s="28">
        <f t="shared" si="16"/>
        <v>1.5</v>
      </c>
      <c r="W57" s="27">
        <f>'0205'!U12+'0305'!U12</f>
        <v>0</v>
      </c>
      <c r="X57" s="28">
        <f t="shared" si="17"/>
        <v>0</v>
      </c>
      <c r="Y57" s="40">
        <v>0</v>
      </c>
    </row>
    <row r="58" spans="8:25" ht="14.25" customHeight="1" x14ac:dyDescent="0.45">
      <c r="P58" s="30" t="s">
        <v>189</v>
      </c>
      <c r="Q58" s="44">
        <f>'0205'!R13+'0305'!R13</f>
        <v>3</v>
      </c>
      <c r="R58" s="29">
        <f t="shared" si="14"/>
        <v>1.5</v>
      </c>
      <c r="S58" s="27">
        <f>'0205'!S13+'0305'!S13</f>
        <v>3</v>
      </c>
      <c r="T58" s="28">
        <f t="shared" si="15"/>
        <v>1.5</v>
      </c>
      <c r="U58" s="27">
        <f>'0205'!T13+'0305'!T13</f>
        <v>0</v>
      </c>
      <c r="V58" s="28">
        <f t="shared" si="16"/>
        <v>0</v>
      </c>
      <c r="W58" s="27">
        <f>'0205'!U13+'0305'!U13</f>
        <v>0</v>
      </c>
      <c r="X58" s="28">
        <f t="shared" si="17"/>
        <v>0</v>
      </c>
      <c r="Y58" s="40">
        <v>0</v>
      </c>
    </row>
    <row r="59" spans="8:25" ht="14.25" customHeight="1" x14ac:dyDescent="0.45">
      <c r="P59" s="30" t="s">
        <v>188</v>
      </c>
      <c r="Q59" s="44">
        <f>'0205'!R14+'0305'!R14</f>
        <v>2</v>
      </c>
      <c r="R59" s="29">
        <f t="shared" si="14"/>
        <v>1</v>
      </c>
      <c r="S59" s="27">
        <f>'0205'!S14+'0305'!S14</f>
        <v>2</v>
      </c>
      <c r="T59" s="28">
        <f t="shared" si="15"/>
        <v>1</v>
      </c>
      <c r="U59" s="27">
        <f>'0205'!T14+'0305'!T14</f>
        <v>0</v>
      </c>
      <c r="V59" s="28">
        <f t="shared" si="16"/>
        <v>0</v>
      </c>
      <c r="W59" s="27">
        <f>'0205'!U14+'0305'!U14</f>
        <v>0</v>
      </c>
      <c r="X59" s="28">
        <f t="shared" si="17"/>
        <v>0</v>
      </c>
      <c r="Y59" s="40">
        <v>0</v>
      </c>
    </row>
    <row r="60" spans="8:25" ht="14.25" customHeight="1" x14ac:dyDescent="0.45">
      <c r="P60" s="30" t="s">
        <v>85</v>
      </c>
      <c r="Q60" s="44">
        <f>'0205'!R15+'0305'!R15</f>
        <v>6</v>
      </c>
      <c r="R60" s="29">
        <f t="shared" si="14"/>
        <v>6</v>
      </c>
      <c r="S60" s="27">
        <f>'0205'!S15+'0305'!S15</f>
        <v>4</v>
      </c>
      <c r="T60" s="28">
        <f t="shared" si="15"/>
        <v>4</v>
      </c>
      <c r="U60" s="27">
        <f>'0205'!T15+'0305'!T15</f>
        <v>0</v>
      </c>
      <c r="V60" s="28">
        <f t="shared" si="16"/>
        <v>0</v>
      </c>
      <c r="W60" s="27">
        <f>'0205'!U15+'0305'!U15</f>
        <v>1</v>
      </c>
      <c r="X60" s="28">
        <f t="shared" si="17"/>
        <v>1</v>
      </c>
      <c r="Y60" s="40">
        <v>1</v>
      </c>
    </row>
    <row r="61" spans="8:25" ht="14.25" customHeight="1" x14ac:dyDescent="0.45">
      <c r="P61" s="30" t="s">
        <v>86</v>
      </c>
      <c r="Q61" s="44">
        <f>'0205'!R16+'0305'!R16</f>
        <v>0</v>
      </c>
      <c r="R61" s="29">
        <f t="shared" si="14"/>
        <v>0</v>
      </c>
      <c r="S61" s="27">
        <f>'0205'!S16+'0305'!S16</f>
        <v>0</v>
      </c>
      <c r="T61" s="28">
        <f t="shared" si="15"/>
        <v>0</v>
      </c>
      <c r="U61" s="27">
        <f>'0205'!T16+'0305'!T16</f>
        <v>0</v>
      </c>
      <c r="V61" s="28">
        <f t="shared" si="16"/>
        <v>0</v>
      </c>
      <c r="W61" s="27">
        <f>'0205'!U16+'0305'!U16</f>
        <v>0</v>
      </c>
      <c r="X61" s="28">
        <f t="shared" si="17"/>
        <v>0</v>
      </c>
      <c r="Y61" s="40">
        <v>0</v>
      </c>
    </row>
    <row r="62" spans="8:25" ht="14.25" customHeight="1" x14ac:dyDescent="0.45">
      <c r="P62" s="30" t="s">
        <v>87</v>
      </c>
      <c r="Q62" s="44">
        <f>'0205'!R17+'0305'!R17</f>
        <v>0</v>
      </c>
      <c r="R62" s="29">
        <f t="shared" si="14"/>
        <v>0</v>
      </c>
      <c r="S62" s="27">
        <f>'0205'!S17+'0305'!S17</f>
        <v>0</v>
      </c>
      <c r="T62" s="28">
        <f t="shared" si="15"/>
        <v>0</v>
      </c>
      <c r="U62" s="27">
        <f>'0205'!T17+'0305'!T17</f>
        <v>0</v>
      </c>
      <c r="V62" s="28">
        <f t="shared" si="16"/>
        <v>0</v>
      </c>
      <c r="W62" s="27">
        <f>'0205'!U17+'0305'!U17</f>
        <v>0</v>
      </c>
      <c r="X62" s="28">
        <f t="shared" si="17"/>
        <v>0</v>
      </c>
      <c r="Y62" s="40">
        <v>0</v>
      </c>
    </row>
    <row r="63" spans="8:25" ht="14.25" customHeight="1" x14ac:dyDescent="0.45">
      <c r="P63" s="53" t="s">
        <v>107</v>
      </c>
      <c r="Q63" s="44">
        <f>'0205'!R18+'0305'!R18</f>
        <v>2</v>
      </c>
      <c r="R63" s="29">
        <f t="shared" si="14"/>
        <v>1</v>
      </c>
      <c r="S63" s="27">
        <f>'0205'!S18+'0305'!S18</f>
        <v>2</v>
      </c>
      <c r="T63" s="28">
        <f t="shared" si="15"/>
        <v>1</v>
      </c>
      <c r="U63" s="27">
        <f>'0205'!T18+'0305'!T18</f>
        <v>0</v>
      </c>
      <c r="V63" s="28">
        <f t="shared" si="16"/>
        <v>0</v>
      </c>
      <c r="W63" s="27">
        <f>'0205'!U18+'0305'!U18</f>
        <v>0</v>
      </c>
      <c r="X63" s="28">
        <f t="shared" si="17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190</v>
      </c>
      <c r="Q65">
        <v>2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'0805'!$R3+'0905'!$R3</f>
        <v>3</v>
      </c>
      <c r="R67" s="29">
        <f t="shared" ref="R67:R82" si="18">Q67/(Q$65-Y67)</f>
        <v>1.5</v>
      </c>
      <c r="S67" s="27">
        <f>'0805'!$S3+'0905'!$S3</f>
        <v>1</v>
      </c>
      <c r="T67" s="28">
        <f t="shared" ref="T67:T82" si="19">S67/($Q$65-Y67)</f>
        <v>0.5</v>
      </c>
      <c r="U67" s="27">
        <f>'0805'!$T3+'0905'!$T3</f>
        <v>2</v>
      </c>
      <c r="V67" s="28">
        <f t="shared" ref="V67:V82" si="20">U67/($Q$65-Y67)</f>
        <v>1</v>
      </c>
      <c r="W67" s="27">
        <f>'0805'!$U3+'0905'!$U3</f>
        <v>0</v>
      </c>
      <c r="X67" s="28">
        <f t="shared" ref="X67:X82" si="21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</f>
        <v>3</v>
      </c>
      <c r="R68" s="29">
        <f t="shared" si="18"/>
        <v>1.5</v>
      </c>
      <c r="S68" s="27">
        <f>'0805'!$S4+'0905'!$S4</f>
        <v>3</v>
      </c>
      <c r="T68" s="28">
        <f t="shared" si="19"/>
        <v>1.5</v>
      </c>
      <c r="U68" s="27">
        <f>'0805'!$T4+'0905'!$T4</f>
        <v>0</v>
      </c>
      <c r="V68" s="28">
        <f t="shared" si="20"/>
        <v>0</v>
      </c>
      <c r="W68" s="27">
        <f>'0805'!$U4+'0905'!$U4</f>
        <v>0</v>
      </c>
      <c r="X68" s="28">
        <f t="shared" si="21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</f>
        <v>2</v>
      </c>
      <c r="R69" s="29">
        <f t="shared" si="18"/>
        <v>2</v>
      </c>
      <c r="S69" s="27">
        <f>'0805'!$S5+'0905'!$S5</f>
        <v>2</v>
      </c>
      <c r="T69" s="28">
        <f t="shared" si="19"/>
        <v>2</v>
      </c>
      <c r="U69" s="27">
        <f>'0805'!$T5+'0905'!$T5</f>
        <v>0</v>
      </c>
      <c r="V69" s="28">
        <f t="shared" si="20"/>
        <v>0</v>
      </c>
      <c r="W69" s="27">
        <f>'0805'!$U5+'0905'!$U5</f>
        <v>0</v>
      </c>
      <c r="X69" s="28">
        <f t="shared" si="21"/>
        <v>0</v>
      </c>
      <c r="Y69" s="40">
        <v>1</v>
      </c>
    </row>
    <row r="70" spans="16:25" ht="14.25" customHeight="1" x14ac:dyDescent="0.45">
      <c r="P70" s="30" t="s">
        <v>65</v>
      </c>
      <c r="Q70" s="44">
        <f>'0805'!$R6+'0905'!$R6</f>
        <v>13</v>
      </c>
      <c r="R70" s="29">
        <f t="shared" si="18"/>
        <v>6.5</v>
      </c>
      <c r="S70" s="27">
        <f>'0805'!$S6+'0905'!$S6</f>
        <v>12</v>
      </c>
      <c r="T70" s="28">
        <f t="shared" si="19"/>
        <v>6</v>
      </c>
      <c r="U70" s="27">
        <f>'0805'!$T6+'0905'!$T6</f>
        <v>1</v>
      </c>
      <c r="V70" s="28">
        <f t="shared" si="20"/>
        <v>0.5</v>
      </c>
      <c r="W70" s="27">
        <f>'0805'!$U6+'0905'!$U6</f>
        <v>0</v>
      </c>
      <c r="X70" s="28">
        <f t="shared" si="21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</f>
        <v>8</v>
      </c>
      <c r="R71" s="29">
        <f t="shared" si="18"/>
        <v>4</v>
      </c>
      <c r="S71" s="27">
        <f>'0805'!$S7+'0905'!$S7</f>
        <v>2</v>
      </c>
      <c r="T71" s="28">
        <f t="shared" si="19"/>
        <v>1</v>
      </c>
      <c r="U71" s="27">
        <f>'0805'!$T7+'0905'!$T7</f>
        <v>6</v>
      </c>
      <c r="V71" s="28">
        <f t="shared" si="20"/>
        <v>3</v>
      </c>
      <c r="W71" s="27">
        <f>'0805'!$U7+'0905'!$U7</f>
        <v>0</v>
      </c>
      <c r="X71" s="28">
        <f t="shared" si="21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</f>
        <v>0</v>
      </c>
      <c r="R72" s="29" t="e">
        <f t="shared" si="18"/>
        <v>#DIV/0!</v>
      </c>
      <c r="S72" s="27">
        <f>'0805'!$S8+'0905'!$S8</f>
        <v>0</v>
      </c>
      <c r="T72" s="28" t="e">
        <f t="shared" si="19"/>
        <v>#DIV/0!</v>
      </c>
      <c r="U72" s="27">
        <f>'0805'!$T8+'0905'!$T8</f>
        <v>0</v>
      </c>
      <c r="V72" s="28" t="e">
        <f t="shared" si="20"/>
        <v>#DIV/0!</v>
      </c>
      <c r="W72" s="27">
        <f>'0805'!$U8+'0905'!$U8</f>
        <v>0</v>
      </c>
      <c r="X72" s="28" t="e">
        <f t="shared" si="21"/>
        <v>#DIV/0!</v>
      </c>
      <c r="Y72" s="40">
        <v>2</v>
      </c>
    </row>
    <row r="73" spans="16:25" ht="14.25" customHeight="1" x14ac:dyDescent="0.45">
      <c r="P73" s="30" t="s">
        <v>75</v>
      </c>
      <c r="Q73" s="44">
        <f>'0805'!$R9+'0905'!$R9</f>
        <v>0</v>
      </c>
      <c r="R73" s="29">
        <f t="shared" si="18"/>
        <v>0</v>
      </c>
      <c r="S73" s="27">
        <f>'0805'!$S9+'0905'!$S9</f>
        <v>0</v>
      </c>
      <c r="T73" s="28">
        <f t="shared" si="19"/>
        <v>0</v>
      </c>
      <c r="U73" s="27">
        <f>'0805'!$T9+'0905'!$T9</f>
        <v>0</v>
      </c>
      <c r="V73" s="28">
        <f t="shared" si="20"/>
        <v>0</v>
      </c>
      <c r="W73" s="27">
        <f>'0805'!$U9+'0905'!$U9</f>
        <v>0</v>
      </c>
      <c r="X73" s="28">
        <f t="shared" si="21"/>
        <v>0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</f>
        <v>3</v>
      </c>
      <c r="R74" s="29">
        <f t="shared" si="18"/>
        <v>1.5</v>
      </c>
      <c r="S74" s="27">
        <f>'0805'!$S10+'0905'!$S10</f>
        <v>1</v>
      </c>
      <c r="T74" s="28">
        <f t="shared" si="19"/>
        <v>0.5</v>
      </c>
      <c r="U74" s="27">
        <f>'0805'!$T10+'0905'!$T10</f>
        <v>2</v>
      </c>
      <c r="V74" s="28">
        <f t="shared" si="20"/>
        <v>1</v>
      </c>
      <c r="W74" s="27">
        <f>'0805'!$U10+'0905'!$U10</f>
        <v>0</v>
      </c>
      <c r="X74" s="28">
        <f t="shared" si="21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</f>
        <v>7</v>
      </c>
      <c r="R75" s="29">
        <f t="shared" si="18"/>
        <v>3.5</v>
      </c>
      <c r="S75" s="27">
        <f>'0805'!$S11+'0905'!$S11</f>
        <v>0</v>
      </c>
      <c r="T75" s="28">
        <f t="shared" si="19"/>
        <v>0</v>
      </c>
      <c r="U75" s="27">
        <f>'0805'!$T11+'0905'!$T11</f>
        <v>7</v>
      </c>
      <c r="V75" s="28">
        <f t="shared" si="20"/>
        <v>3.5</v>
      </c>
      <c r="W75" s="27">
        <f>'0805'!$U11+'0905'!$U11</f>
        <v>0</v>
      </c>
      <c r="X75" s="28">
        <f t="shared" si="21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</f>
        <v>2</v>
      </c>
      <c r="R76" s="29">
        <f t="shared" si="18"/>
        <v>1</v>
      </c>
      <c r="S76" s="27">
        <f>'0805'!$S12+'0905'!$S12</f>
        <v>0</v>
      </c>
      <c r="T76" s="28">
        <f t="shared" si="19"/>
        <v>0</v>
      </c>
      <c r="U76" s="27">
        <f>'0805'!$T12+'0905'!$T12</f>
        <v>2</v>
      </c>
      <c r="V76" s="28">
        <f t="shared" si="20"/>
        <v>1</v>
      </c>
      <c r="W76" s="27">
        <f>'0805'!$U12+'0905'!$U12</f>
        <v>0</v>
      </c>
      <c r="X76" s="28">
        <f t="shared" si="21"/>
        <v>0</v>
      </c>
      <c r="Y76" s="40">
        <v>0</v>
      </c>
    </row>
    <row r="77" spans="16:25" ht="14.25" customHeight="1" x14ac:dyDescent="0.45">
      <c r="P77" s="30" t="s">
        <v>189</v>
      </c>
      <c r="Q77" s="44">
        <f>'0805'!$R13+'0905'!$R13</f>
        <v>0</v>
      </c>
      <c r="R77" s="29">
        <f t="shared" si="18"/>
        <v>0</v>
      </c>
      <c r="S77" s="27">
        <f>'0805'!$S13+'0905'!$S13</f>
        <v>0</v>
      </c>
      <c r="T77" s="28">
        <f t="shared" si="19"/>
        <v>0</v>
      </c>
      <c r="U77" s="27">
        <f>'0805'!$T13+'0905'!$T13</f>
        <v>0</v>
      </c>
      <c r="V77" s="28">
        <f t="shared" si="20"/>
        <v>0</v>
      </c>
      <c r="W77" s="27">
        <f>'0805'!$U13+'0905'!$U13</f>
        <v>0</v>
      </c>
      <c r="X77" s="28">
        <f t="shared" si="21"/>
        <v>0</v>
      </c>
      <c r="Y77" s="40">
        <v>0</v>
      </c>
    </row>
    <row r="78" spans="16:25" ht="14.25" customHeight="1" x14ac:dyDescent="0.45">
      <c r="P78" s="30" t="s">
        <v>188</v>
      </c>
      <c r="Q78" s="44">
        <f>'0805'!$R14+'0905'!$R14</f>
        <v>2</v>
      </c>
      <c r="R78" s="29">
        <f t="shared" si="18"/>
        <v>1</v>
      </c>
      <c r="S78" s="27">
        <f>'0805'!$S14+'0905'!$S14</f>
        <v>1</v>
      </c>
      <c r="T78" s="28">
        <f t="shared" si="19"/>
        <v>0.5</v>
      </c>
      <c r="U78" s="27">
        <f>'0805'!$T14+'0905'!$T14</f>
        <v>1</v>
      </c>
      <c r="V78" s="28">
        <f t="shared" si="20"/>
        <v>0.5</v>
      </c>
      <c r="W78" s="27">
        <f>'0805'!$U14+'0905'!$U14</f>
        <v>0</v>
      </c>
      <c r="X78" s="28">
        <f t="shared" si="21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</f>
        <v>4</v>
      </c>
      <c r="R79" s="29">
        <f t="shared" si="18"/>
        <v>4</v>
      </c>
      <c r="S79" s="27">
        <f>'0805'!$S15+'0905'!$S15</f>
        <v>2</v>
      </c>
      <c r="T79" s="28">
        <f t="shared" si="19"/>
        <v>2</v>
      </c>
      <c r="U79" s="27">
        <f>'0805'!$T15+'0905'!$T15</f>
        <v>0</v>
      </c>
      <c r="V79" s="28">
        <f t="shared" si="20"/>
        <v>0</v>
      </c>
      <c r="W79" s="27">
        <f>'0805'!$U15+'0905'!$U15</f>
        <v>1</v>
      </c>
      <c r="X79" s="28">
        <f t="shared" si="21"/>
        <v>1</v>
      </c>
      <c r="Y79" s="40">
        <v>1</v>
      </c>
    </row>
    <row r="80" spans="16:25" ht="14.25" customHeight="1" x14ac:dyDescent="0.45">
      <c r="P80" s="30" t="s">
        <v>86</v>
      </c>
      <c r="Q80" s="44">
        <f>'0805'!$R16+'0905'!$R16</f>
        <v>1</v>
      </c>
      <c r="R80" s="29">
        <f t="shared" si="18"/>
        <v>0.5</v>
      </c>
      <c r="S80" s="27">
        <f>'0805'!$S16+'0905'!$S16</f>
        <v>1</v>
      </c>
      <c r="T80" s="28">
        <f t="shared" si="19"/>
        <v>0.5</v>
      </c>
      <c r="U80" s="27">
        <f>'0805'!$T16+'0905'!$T16</f>
        <v>0</v>
      </c>
      <c r="V80" s="28">
        <f t="shared" si="20"/>
        <v>0</v>
      </c>
      <c r="W80" s="27">
        <f>'0805'!$U16+'0905'!$U16</f>
        <v>0</v>
      </c>
      <c r="X80" s="28">
        <f t="shared" si="21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</f>
        <v>1</v>
      </c>
      <c r="R81" s="29">
        <f t="shared" si="18"/>
        <v>0.5</v>
      </c>
      <c r="S81" s="27">
        <f>'0805'!$S17+'0905'!$S17</f>
        <v>1</v>
      </c>
      <c r="T81" s="28">
        <f t="shared" si="19"/>
        <v>0.5</v>
      </c>
      <c r="U81" s="27">
        <f>'0805'!$T17+'0905'!$T17</f>
        <v>0</v>
      </c>
      <c r="V81" s="28">
        <f t="shared" si="20"/>
        <v>0</v>
      </c>
      <c r="W81" s="27">
        <f>'0805'!$U17+'0905'!$U17</f>
        <v>0</v>
      </c>
      <c r="X81" s="28">
        <f t="shared" si="21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</f>
        <v>0</v>
      </c>
      <c r="R82" s="29">
        <f t="shared" si="18"/>
        <v>0</v>
      </c>
      <c r="S82" s="27">
        <f>'0805'!$S18+'0905'!$S18</f>
        <v>0</v>
      </c>
      <c r="T82" s="28">
        <f t="shared" si="19"/>
        <v>0</v>
      </c>
      <c r="U82" s="27">
        <f>'0805'!$T18+'0905'!$T18</f>
        <v>0</v>
      </c>
      <c r="V82" s="28">
        <f t="shared" si="20"/>
        <v>0</v>
      </c>
      <c r="W82" s="27">
        <f>'0805'!$U18+'0905'!$U18</f>
        <v>0</v>
      </c>
      <c r="X82" s="28">
        <f t="shared" si="21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1" type="noConversion"/>
  <conditionalFormatting sqref="AE8:AE23">
    <cfRule type="cellIs" dxfId="32" priority="1" operator="lessThan">
      <formula>0</formula>
    </cfRule>
    <cfRule type="cellIs" dxfId="31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1000"/>
  <sheetViews>
    <sheetView topLeftCell="J1" zoomScale="70" zoomScaleNormal="70" workbookViewId="0">
      <selection activeCell="Q10" sqref="Q1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39" ht="14.35" customHeight="1" x14ac:dyDescent="0.45"/>
    <row r="2" spans="1:39" ht="14.35" customHeight="1" x14ac:dyDescent="0.45">
      <c r="B2" s="5" t="s">
        <v>136</v>
      </c>
      <c r="L2" s="1" t="s">
        <v>99</v>
      </c>
      <c r="Q2" s="1" t="s">
        <v>100</v>
      </c>
      <c r="V2" s="1" t="s">
        <v>101</v>
      </c>
      <c r="AA2" t="s">
        <v>163</v>
      </c>
      <c r="AC2">
        <v>6</v>
      </c>
    </row>
    <row r="3" spans="1:39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188</v>
      </c>
      <c r="N3" s="1" t="s">
        <v>87</v>
      </c>
      <c r="O3" s="1" t="s">
        <v>149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58" t="s">
        <v>97</v>
      </c>
      <c r="AB3" s="58" t="s">
        <v>8</v>
      </c>
      <c r="AC3" s="58" t="s">
        <v>167</v>
      </c>
      <c r="AD3" s="59" t="s">
        <v>9</v>
      </c>
      <c r="AE3" s="60" t="s">
        <v>164</v>
      </c>
      <c r="AF3" s="60" t="s">
        <v>10</v>
      </c>
      <c r="AG3" s="60" t="s">
        <v>165</v>
      </c>
      <c r="AH3" s="59" t="s">
        <v>11</v>
      </c>
      <c r="AI3" s="60" t="s">
        <v>166</v>
      </c>
      <c r="AJ3" s="60" t="s">
        <v>184</v>
      </c>
      <c r="AL3" t="s">
        <v>185</v>
      </c>
      <c r="AM3" t="s">
        <v>96</v>
      </c>
    </row>
    <row r="4" spans="1:39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30</v>
      </c>
      <c r="G4" s="1">
        <f t="shared" si="0"/>
        <v>41</v>
      </c>
      <c r="H4" s="1">
        <f t="shared" si="0"/>
        <v>11</v>
      </c>
      <c r="J4" s="17">
        <v>1</v>
      </c>
      <c r="K4" s="51"/>
      <c r="L4" s="51"/>
      <c r="M4" s="17"/>
      <c r="N4" s="17"/>
      <c r="O4" s="51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3" t="s">
        <v>33</v>
      </c>
      <c r="AB4" s="61">
        <f>Table2[[#This Row],[Finishes]]+Table2[[#This Row],[Midranges]]+Table2[[#This Row],[Threes]]+Table2[[#This Row],[Threes]]</f>
        <v>1</v>
      </c>
      <c r="AC4" s="62">
        <f>Table2[[#This Row],[Points]]/$AC$2</f>
        <v>0.16666666666666666</v>
      </c>
      <c r="AD4" s="63">
        <f>'2404'!AC3+'2604'!AC3+'0205'!AC3+'0305'!AC3+'0805'!AC3+'0905'!AC3</f>
        <v>1</v>
      </c>
      <c r="AE4" s="64">
        <f>Table2[[#This Row],[Finishes]]/$AC$2</f>
        <v>0.16666666666666666</v>
      </c>
      <c r="AF4" s="63">
        <f>'2404'!AD3+'2604'!AD3+'0205'!AD3+'0305'!AD3+'0805'!AD3+'0905'!AD3</f>
        <v>0</v>
      </c>
      <c r="AG4" s="64">
        <f>Table2[[#This Row],[Midranges]]/$AC$2</f>
        <v>0</v>
      </c>
      <c r="AH4" s="63">
        <f>'2404'!AE3+'2604'!AE3+'0205'!AE3+'0305'!AE3+'0805'!AE3+'0905'!AE3</f>
        <v>0</v>
      </c>
      <c r="AI4" s="64">
        <f>Table2[[#This Row],[Threes]]/$AC$2</f>
        <v>0</v>
      </c>
      <c r="AJ4" s="97">
        <f>'Stats Global'!Z8</f>
        <v>0</v>
      </c>
      <c r="AL4" s="41">
        <f>'Stats Global'!R8-Table2[[#This Row],[Avg P]]</f>
        <v>0.5</v>
      </c>
      <c r="AM4" s="57">
        <f>Table2[[#This Row],[Avg P]]/(Table2[[#This Row],[Avg P]]+AL4)</f>
        <v>0.25</v>
      </c>
    </row>
    <row r="5" spans="1:39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1"/>
      <c r="L5" s="51"/>
      <c r="M5" s="17"/>
      <c r="N5" s="17">
        <v>1</v>
      </c>
      <c r="O5" s="51">
        <v>1</v>
      </c>
      <c r="Q5" s="17">
        <f>COUNTIF('2604'!$X$4:$X$26,"LG/WW")</f>
        <v>1</v>
      </c>
      <c r="R5" s="17">
        <f>COUNTIF('2604'!$Y$4:$Y$26,"WW/LG")</f>
        <v>2</v>
      </c>
      <c r="S5" s="55" t="s">
        <v>170</v>
      </c>
      <c r="T5" s="55" t="s">
        <v>172</v>
      </c>
      <c r="V5" s="17">
        <f>COUNTIF('2604'!$X$4:$X$26,"LG/5M")</f>
        <v>2</v>
      </c>
      <c r="W5" s="17">
        <f>COUNTIF('2604'!$Z$4:$Z$26,"5M/LG")</f>
        <v>1</v>
      </c>
      <c r="X5" s="55" t="s">
        <v>171</v>
      </c>
      <c r="Y5" s="55" t="s">
        <v>189</v>
      </c>
      <c r="AA5" s="3" t="s">
        <v>36</v>
      </c>
      <c r="AB5" s="61">
        <f>Table2[[#This Row],[Finishes]]+Table2[[#This Row],[Midranges]]+Table2[[#This Row],[Threes]]+Table2[[#This Row],[Threes]]</f>
        <v>2</v>
      </c>
      <c r="AC5" s="62">
        <f>Table2[[#This Row],[Points]]/$AC$2</f>
        <v>0.33333333333333331</v>
      </c>
      <c r="AD5" s="63">
        <f>'2404'!AC4+'2604'!AC4+'0205'!AC4+'0305'!AC4+'0805'!AC4+'0905'!AC4</f>
        <v>2</v>
      </c>
      <c r="AE5" s="64">
        <f>Table2[[#This Row],[Finishes]]/$AC$2</f>
        <v>0.33333333333333331</v>
      </c>
      <c r="AF5" s="63">
        <f>'2404'!AD4+'2604'!AD4+'0205'!AD4+'0305'!AD4+'0805'!AD4+'0905'!AD4</f>
        <v>0</v>
      </c>
      <c r="AG5" s="64">
        <f>Table2[[#This Row],[Midranges]]/$AC$2</f>
        <v>0</v>
      </c>
      <c r="AH5" s="63">
        <f>'2404'!AE4+'2604'!AE4+'0205'!AE4+'0305'!AE4+'0805'!AE4+'0905'!AE4</f>
        <v>0</v>
      </c>
      <c r="AI5" s="64">
        <f>Table2[[#This Row],[Threes]]/$AC$2</f>
        <v>0</v>
      </c>
      <c r="AJ5" s="97">
        <f>'Stats Global'!Z9</f>
        <v>1</v>
      </c>
      <c r="AL5" s="41">
        <f>'Stats Global'!R9-Table2[[#This Row],[Avg P]]</f>
        <v>0.46666666666666673</v>
      </c>
      <c r="AM5" s="57">
        <f>Table2[[#This Row],[Avg P]]/(Table2[[#This Row],[Avg P]]+AL5)</f>
        <v>0.41666666666666663</v>
      </c>
    </row>
    <row r="6" spans="1:39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1"/>
      <c r="L6" s="51">
        <v>1</v>
      </c>
      <c r="M6" s="17">
        <v>1</v>
      </c>
      <c r="N6" s="17"/>
      <c r="O6" s="51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177</v>
      </c>
      <c r="Y6" s="17" t="s">
        <v>178</v>
      </c>
      <c r="AA6" s="3" t="s">
        <v>38</v>
      </c>
      <c r="AB6" s="61">
        <f>Table2[[#This Row],[Finishes]]+Table2[[#This Row],[Midranges]]+Table2[[#This Row],[Threes]]+Table2[[#This Row],[Threes]]</f>
        <v>10</v>
      </c>
      <c r="AC6" s="62">
        <f>Table2[[#This Row],[Points]]/$AC$2</f>
        <v>1.6666666666666667</v>
      </c>
      <c r="AD6" s="63">
        <f>'2404'!AC5+'2604'!AC5+'0205'!AC5+'0305'!AC5+'0805'!AC5+'0905'!AC5</f>
        <v>10</v>
      </c>
      <c r="AE6" s="64">
        <f>Table2[[#This Row],[Finishes]]/$AC$2</f>
        <v>1.6666666666666667</v>
      </c>
      <c r="AF6" s="63">
        <f>'2404'!AD5+'2604'!AD5+'0205'!AD5+'0305'!AD5+'0805'!AD5+'0905'!AD5</f>
        <v>0</v>
      </c>
      <c r="AG6" s="64">
        <f>Table2[[#This Row],[Midranges]]/$AC$2</f>
        <v>0</v>
      </c>
      <c r="AH6" s="63">
        <f>'2404'!AE5+'2604'!AE5+'0205'!AE5+'0305'!AE5+'0805'!AE5+'0905'!AE5</f>
        <v>0</v>
      </c>
      <c r="AI6" s="64">
        <f>Table2[[#This Row],[Threes]]/$AC$2</f>
        <v>0</v>
      </c>
      <c r="AJ6" s="97">
        <f>'Stats Global'!Z10</f>
        <v>1</v>
      </c>
      <c r="AL6" s="41">
        <f>'Stats Global'!R10-Table2[[#This Row],[Avg P]]</f>
        <v>0.93333333333333335</v>
      </c>
      <c r="AM6" s="57">
        <f>Table2[[#This Row],[Avg P]]/(Table2[[#This Row],[Avg P]]+AL6)</f>
        <v>0.64102564102564108</v>
      </c>
    </row>
    <row r="7" spans="1:39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0.48717948717948717</v>
      </c>
      <c r="J7" s="17"/>
      <c r="K7" s="17">
        <v>1</v>
      </c>
      <c r="L7" s="17">
        <v>1</v>
      </c>
      <c r="M7" s="17">
        <v>1</v>
      </c>
      <c r="N7" s="17"/>
      <c r="O7" s="51">
        <v>1</v>
      </c>
      <c r="Q7" s="17">
        <f>COUNTIF('0305'!$X$4:$X$26,"LG/WW")</f>
        <v>4</v>
      </c>
      <c r="R7" s="17">
        <f>COUNTIF('0305'!$Y$4:$Y$26,"WW/LG")</f>
        <v>2</v>
      </c>
      <c r="S7" s="17" t="s">
        <v>170</v>
      </c>
      <c r="T7" s="17" t="s">
        <v>182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3" t="s">
        <v>44</v>
      </c>
      <c r="AB7" s="61">
        <f>Table2[[#This Row],[Finishes]]+Table2[[#This Row],[Midranges]]+Table2[[#This Row],[Threes]]+Table2[[#This Row],[Threes]]</f>
        <v>12</v>
      </c>
      <c r="AC7" s="62">
        <f>Table2[[#This Row],[Points]]/$AC$2</f>
        <v>2</v>
      </c>
      <c r="AD7" s="63">
        <f>'2404'!AC6+'2604'!AC6+'0205'!AC6+'0305'!AC6+'0805'!AC6+'0905'!AC6</f>
        <v>12</v>
      </c>
      <c r="AE7" s="64">
        <f>Table2[[#This Row],[Finishes]]/$AC$2</f>
        <v>2</v>
      </c>
      <c r="AF7" s="63">
        <f>'2404'!AD6+'2604'!AD6+'0205'!AD6+'0305'!AD6+'0805'!AD6+'0905'!AD6</f>
        <v>0</v>
      </c>
      <c r="AG7" s="64">
        <f>Table2[[#This Row],[Midranges]]/$AC$2</f>
        <v>0</v>
      </c>
      <c r="AH7" s="63">
        <f>'2404'!AE6+'2604'!AE6+'0205'!AE6+'0305'!AE6+'0805'!AE6+'0905'!AE6</f>
        <v>0</v>
      </c>
      <c r="AI7" s="64">
        <f>Table2[[#This Row],[Threes]]/$AC$2</f>
        <v>0</v>
      </c>
      <c r="AJ7" s="97">
        <f>'Stats Global'!Z11</f>
        <v>0</v>
      </c>
      <c r="AL7" s="41">
        <f>'Stats Global'!R11-Table2[[#This Row],[Avg P]]</f>
        <v>1.3333333333333335</v>
      </c>
      <c r="AM7" s="57">
        <f>Table2[[#This Row],[Avg P]]/(Table2[[#This Row],[Avg P]]+AL7)</f>
        <v>0.6</v>
      </c>
    </row>
    <row r="8" spans="1:39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G8" s="1" t="s">
        <v>112</v>
      </c>
      <c r="H8" s="18"/>
      <c r="J8" s="17">
        <v>1</v>
      </c>
      <c r="K8" s="17">
        <v>1</v>
      </c>
      <c r="L8" s="17"/>
      <c r="M8" s="17"/>
      <c r="N8" s="17"/>
      <c r="O8" s="51"/>
      <c r="Q8" s="17">
        <f>COUNTIF('0805'!$X$4:$X$26,"LG/WW")</f>
        <v>3</v>
      </c>
      <c r="R8" s="17">
        <f>COUNTIF('0805'!$Y$4:$Y$26,"WW/LG")</f>
        <v>2</v>
      </c>
      <c r="S8" s="17" t="s">
        <v>85</v>
      </c>
      <c r="T8" s="17" t="s">
        <v>191</v>
      </c>
      <c r="V8" s="17">
        <f>COUNTIF('0805'!$X$4:$X$26,"LG/5M")</f>
        <v>1</v>
      </c>
      <c r="W8" s="17">
        <f>COUNTIF('0805'!$Z$4:$Z$26,"5M/LG")</f>
        <v>4</v>
      </c>
      <c r="X8" s="17" t="s">
        <v>78</v>
      </c>
      <c r="Y8" s="17" t="s">
        <v>62</v>
      </c>
      <c r="AA8" s="3" t="s">
        <v>46</v>
      </c>
      <c r="AB8" s="61">
        <f>Table2[[#This Row],[Finishes]]+Table2[[#This Row],[Midranges]]+Table2[[#This Row],[Threes]]+Table2[[#This Row],[Threes]]</f>
        <v>6</v>
      </c>
      <c r="AC8" s="62">
        <f>Table2[[#This Row],[Points]]/$AC$2</f>
        <v>1</v>
      </c>
      <c r="AD8" s="63">
        <f>'2404'!AC7+'2604'!AC7+'0205'!AC7+'0305'!AC7+'0805'!AC7+'0905'!AC7</f>
        <v>2</v>
      </c>
      <c r="AE8" s="64">
        <f>Table2[[#This Row],[Finishes]]/$AC$2</f>
        <v>0.33333333333333331</v>
      </c>
      <c r="AF8" s="63">
        <f>'2404'!AD7+'2604'!AD7+'0205'!AD7+'0305'!AD7+'0805'!AD7+'0905'!AD7</f>
        <v>4</v>
      </c>
      <c r="AG8" s="64">
        <f>Table2[[#This Row],[Midranges]]/$AC$2</f>
        <v>0.66666666666666663</v>
      </c>
      <c r="AH8" s="63">
        <f>'2404'!AE7+'2604'!AE7+'0205'!AE7+'0305'!AE7+'0805'!AE7+'0905'!AE7</f>
        <v>0</v>
      </c>
      <c r="AI8" s="64">
        <f>Table2[[#This Row],[Threes]]/$AC$2</f>
        <v>0</v>
      </c>
      <c r="AJ8" s="97">
        <f>'Stats Global'!Z12</f>
        <v>0</v>
      </c>
      <c r="AL8" s="41">
        <f>'Stats Global'!R12-Table2[[#This Row],[Avg P]]</f>
        <v>1</v>
      </c>
      <c r="AM8" s="57">
        <f>Table2[[#This Row],[Avg P]]/(Table2[[#This Row],[Avg P]]+AL8)</f>
        <v>0.5</v>
      </c>
    </row>
    <row r="9" spans="1:39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G9" s="1" t="s">
        <v>113</v>
      </c>
      <c r="H9" s="18"/>
      <c r="J9" s="17"/>
      <c r="K9" s="17">
        <v>1</v>
      </c>
      <c r="L9" s="17"/>
      <c r="M9" s="17">
        <v>1</v>
      </c>
      <c r="N9" s="17">
        <v>1</v>
      </c>
      <c r="O9" s="51"/>
      <c r="Q9" s="17">
        <f>COUNTIF('0905'!$X$4:$X$40,"LG/WW")</f>
        <v>1</v>
      </c>
      <c r="R9" s="17">
        <f>COUNTIF('0905'!$Y$4:$Y$40,"WW/LG")</f>
        <v>11</v>
      </c>
      <c r="S9" s="17" t="s">
        <v>78</v>
      </c>
      <c r="T9" s="17" t="s">
        <v>65</v>
      </c>
      <c r="V9" s="17">
        <f>COUNTIF('0905'!$X$4:$X$40,"LG/5M")</f>
        <v>4</v>
      </c>
      <c r="W9" s="17">
        <f>COUNTIF('0905'!$Z$4:$Z$40,"5M/LG")</f>
        <v>2</v>
      </c>
      <c r="X9" s="17" t="s">
        <v>197</v>
      </c>
      <c r="Y9" s="17" t="s">
        <v>170</v>
      </c>
      <c r="AA9" s="3" t="s">
        <v>51</v>
      </c>
      <c r="AB9" s="61">
        <f>Table2[[#This Row],[Finishes]]+Table2[[#This Row],[Midranges]]+Table2[[#This Row],[Threes]]+Table2[[#This Row],[Threes]]</f>
        <v>0</v>
      </c>
      <c r="AC9" s="62">
        <f>Table2[[#This Row],[Points]]/$AC$2</f>
        <v>0</v>
      </c>
      <c r="AD9" s="63">
        <f>'2404'!AC8+'2604'!AC8+'0205'!AC8+'0305'!AC8+'0805'!AC8+'0905'!AC8</f>
        <v>0</v>
      </c>
      <c r="AE9" s="64">
        <f>Table2[[#This Row],[Finishes]]/$AC$2</f>
        <v>0</v>
      </c>
      <c r="AF9" s="63">
        <f>'2404'!AD8+'2604'!AD8+'0205'!AD8+'0305'!AD8+'0805'!AD8+'0905'!AD8</f>
        <v>0</v>
      </c>
      <c r="AG9" s="64">
        <f>Table2[[#This Row],[Midranges]]/$AC$2</f>
        <v>0</v>
      </c>
      <c r="AH9" s="63">
        <f>'2404'!AE8+'2604'!AE8+'0205'!AE8+'0305'!AE8+'0805'!AE8+'0905'!AE8</f>
        <v>0</v>
      </c>
      <c r="AI9" s="64">
        <f>Table2[[#This Row],[Threes]]/$AC$2</f>
        <v>0</v>
      </c>
      <c r="AJ9" s="97">
        <f>'Stats Global'!Z13</f>
        <v>2</v>
      </c>
      <c r="AL9" s="41">
        <f>'Stats Global'!R13-Table2[[#This Row],[Avg P]]</f>
        <v>0.75</v>
      </c>
      <c r="AM9" s="57">
        <f>Table2[[#This Row],[Avg P]]/(Table2[[#This Row],[Avg P]]+AL9)</f>
        <v>0</v>
      </c>
    </row>
    <row r="10" spans="1:39" ht="14.35" customHeight="1" x14ac:dyDescent="0.45">
      <c r="A10" s="4"/>
      <c r="B10" s="16"/>
      <c r="C10" s="16"/>
      <c r="D10" s="16"/>
      <c r="G10" s="1" t="s">
        <v>114</v>
      </c>
      <c r="H10" s="18"/>
      <c r="J10" s="17"/>
      <c r="K10" s="17"/>
      <c r="L10" s="17"/>
      <c r="M10" s="17"/>
      <c r="N10" s="17"/>
      <c r="O10" s="51"/>
      <c r="Q10" s="17"/>
      <c r="R10" s="17"/>
      <c r="S10" s="17"/>
      <c r="T10" s="17"/>
      <c r="V10" s="17"/>
      <c r="W10" s="17"/>
      <c r="X10" s="17"/>
      <c r="Y10" s="17"/>
      <c r="AA10" s="98" t="s">
        <v>53</v>
      </c>
      <c r="AB10" s="103">
        <f>Table2[[#This Row],[Finishes]]+Table2[[#This Row],[Midranges]]+Table2[[#This Row],[Threes]]+Table2[[#This Row],[Threes]]</f>
        <v>0</v>
      </c>
      <c r="AC10" s="104">
        <f>Table2[[#This Row],[Points]]/$AC$2</f>
        <v>0</v>
      </c>
      <c r="AD10" s="105">
        <f>'2404'!AC9+'2604'!AC9+'0205'!AC9+'0305'!AC9+'0805'!AC9+'0905'!AC9</f>
        <v>0</v>
      </c>
      <c r="AE10" s="106">
        <f>Table2[[#This Row],[Finishes]]/$AC$2</f>
        <v>0</v>
      </c>
      <c r="AF10" s="105">
        <f>'2404'!AD9+'2604'!AD9+'0205'!AD9+'0305'!AD9+'0805'!AD9+'0905'!AD9</f>
        <v>0</v>
      </c>
      <c r="AG10" s="106">
        <f>Table2[[#This Row],[Midranges]]/$AC$2</f>
        <v>0</v>
      </c>
      <c r="AH10" s="105">
        <f>'2404'!AE9+'2604'!AE9+'0205'!AE9+'0305'!AE9+'0805'!AE9+'0905'!AE9</f>
        <v>0</v>
      </c>
      <c r="AI10" s="106">
        <f>Table2[[#This Row],[Threes]]/$AC$2</f>
        <v>0</v>
      </c>
      <c r="AJ10" s="99">
        <f>'Stats Global'!Z14</f>
        <v>0</v>
      </c>
      <c r="AL10" s="107">
        <f>'Stats Global'!R14-Table2[[#This Row],[Avg P]]</f>
        <v>0.83333333333333337</v>
      </c>
      <c r="AM10" s="108"/>
    </row>
    <row r="11" spans="1:39" ht="14.3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98" t="s">
        <v>56</v>
      </c>
      <c r="AB11" s="103">
        <f>Table2[[#This Row],[Finishes]]+Table2[[#This Row],[Midranges]]+Table2[[#This Row],[Threes]]+Table2[[#This Row],[Threes]]</f>
        <v>0</v>
      </c>
      <c r="AC11" s="104">
        <f>Table2[[#This Row],[Points]]/$AC$2</f>
        <v>0</v>
      </c>
      <c r="AD11" s="105">
        <f>'2404'!AC10+'2604'!AC10+'0205'!AC10+'0305'!AC10+'0805'!AC10+'0905'!AC10</f>
        <v>0</v>
      </c>
      <c r="AE11" s="106">
        <f>Table2[[#This Row],[Finishes]]/$AC$2</f>
        <v>0</v>
      </c>
      <c r="AF11" s="105">
        <f>'2404'!AD10+'2604'!AD10+'0205'!AD10+'0305'!AD10+'0805'!AD10+'0905'!AD10</f>
        <v>0</v>
      </c>
      <c r="AG11" s="106">
        <f>Table2[[#This Row],[Midranges]]/$AC$2</f>
        <v>0</v>
      </c>
      <c r="AH11" s="105">
        <f>'2404'!AE10+'2604'!AE10+'0205'!AE10+'0305'!AE10+'0805'!AE10+'0905'!AE10</f>
        <v>0</v>
      </c>
      <c r="AI11" s="106">
        <f>Table2[[#This Row],[Threes]]/$AC$2</f>
        <v>0</v>
      </c>
      <c r="AJ11" s="99">
        <f>'Stats Global'!Z15</f>
        <v>0</v>
      </c>
      <c r="AL11" s="107">
        <f>'Stats Global'!R15-Table2[[#This Row],[Avg P]]</f>
        <v>1</v>
      </c>
      <c r="AM11" s="108"/>
    </row>
    <row r="12" spans="1:39" ht="14.3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3" t="s">
        <v>60</v>
      </c>
      <c r="AB12" s="61">
        <f>Table2[[#This Row],[Finishes]]+Table2[[#This Row],[Midranges]]+Table2[[#This Row],[Threes]]+Table2[[#This Row],[Threes]]</f>
        <v>4</v>
      </c>
      <c r="AC12" s="62">
        <f>Table2[[#This Row],[Points]]/$AC$2</f>
        <v>0.66666666666666663</v>
      </c>
      <c r="AD12" s="63">
        <f>'2404'!AC11+'2604'!AC11+'0205'!AC11+'0305'!AC11+'0805'!AC11+'0905'!AC11</f>
        <v>0</v>
      </c>
      <c r="AE12" s="64">
        <f>Table2[[#This Row],[Finishes]]/$AC$2</f>
        <v>0</v>
      </c>
      <c r="AF12" s="63">
        <f>'2404'!AD11+'2604'!AD11+'0205'!AD11+'0305'!AD11+'0805'!AD11+'0905'!AD11</f>
        <v>4</v>
      </c>
      <c r="AG12" s="64">
        <f>Table2[[#This Row],[Midranges]]/$AC$2</f>
        <v>0.66666666666666663</v>
      </c>
      <c r="AH12" s="63">
        <f>'2404'!AE11+'2604'!AE11+'0205'!AE11+'0305'!AE11+'0805'!AE11+'0905'!AE11</f>
        <v>0</v>
      </c>
      <c r="AI12" s="64">
        <f>Table2[[#This Row],[Threes]]/$AC$2</f>
        <v>0</v>
      </c>
      <c r="AJ12" s="97">
        <f>'Stats Global'!Z16</f>
        <v>1</v>
      </c>
      <c r="AL12" s="41">
        <f>'Stats Global'!R16-Table2[[#This Row],[Avg P]]</f>
        <v>2.1333333333333333</v>
      </c>
      <c r="AM12" s="57">
        <f>Table2[[#This Row],[Avg P]]/(Table2[[#This Row],[Avg P]]+AL12)</f>
        <v>0.23809523809523811</v>
      </c>
    </row>
    <row r="13" spans="1:39" ht="14.3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3" t="s">
        <v>63</v>
      </c>
      <c r="AB13" s="61">
        <f>Table2[[#This Row],[Finishes]]+Table2[[#This Row],[Midranges]]+Table2[[#This Row],[Threes]]+Table2[[#This Row],[Threes]]</f>
        <v>3</v>
      </c>
      <c r="AC13" s="62">
        <f>Table2[[#This Row],[Points]]/$AC$2</f>
        <v>0.5</v>
      </c>
      <c r="AD13" s="63">
        <f>'2404'!AC12+'2604'!AC12+'0205'!AC12+'0305'!AC12+'0805'!AC12+'0905'!AC12</f>
        <v>1</v>
      </c>
      <c r="AE13" s="64">
        <f>Table2[[#This Row],[Finishes]]/$AC$2</f>
        <v>0.16666666666666666</v>
      </c>
      <c r="AF13" s="63">
        <f>'2404'!AD12+'2604'!AD12+'0205'!AD12+'0305'!AD12+'0805'!AD12+'0905'!AD12</f>
        <v>2</v>
      </c>
      <c r="AG13" s="64">
        <f>Table2[[#This Row],[Midranges]]/$AC$2</f>
        <v>0.33333333333333331</v>
      </c>
      <c r="AH13" s="63">
        <f>'2404'!AE12+'2604'!AE12+'0205'!AE12+'0305'!AE12+'0805'!AE12+'0905'!AE12</f>
        <v>0</v>
      </c>
      <c r="AI13" s="64">
        <f>Table2[[#This Row],[Threes]]/$AC$2</f>
        <v>0</v>
      </c>
      <c r="AJ13" s="97">
        <f>'Stats Global'!Z17</f>
        <v>0</v>
      </c>
      <c r="AL13" s="41">
        <f>'Stats Global'!R17-Table2[[#This Row],[Avg P]]</f>
        <v>0.5</v>
      </c>
      <c r="AM13" s="57">
        <f>Table2[[#This Row],[Avg P]]/(Table2[[#This Row],[Avg P]]+AL13)</f>
        <v>0.5</v>
      </c>
    </row>
    <row r="14" spans="1:39" ht="14.3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A14" s="3" t="s">
        <v>66</v>
      </c>
      <c r="AB14" s="97">
        <f>Table2[[#This Row],[Finishes]]+Table2[[#This Row],[Midranges]]+Table2[[#This Row],[Threes]]+Table2[[#This Row],[Threes]]</f>
        <v>3</v>
      </c>
      <c r="AC14" s="62">
        <f>Table2[[#This Row],[Points]]/$AC$2</f>
        <v>0.5</v>
      </c>
      <c r="AD14" s="97">
        <f>'2404'!AC13+'2604'!AC13+'0205'!AC13+'0305'!AC13+'0805'!AC13+'0905'!AC13</f>
        <v>3</v>
      </c>
      <c r="AE14" s="96">
        <f>Table2[[#This Row],[Finishes]]/$AC$2</f>
        <v>0.5</v>
      </c>
      <c r="AF14" s="97">
        <f>'2404'!AD13+'2604'!AD13+'0205'!AD13+'0305'!AD13+'0805'!AD13+'0905'!AD13</f>
        <v>0</v>
      </c>
      <c r="AG14" s="96">
        <f>Table2[[#This Row],[Midranges]]/$AC$2</f>
        <v>0</v>
      </c>
      <c r="AH14" s="97">
        <f>'2404'!AE13+'2604'!AE13+'0205'!AE13+'0305'!AE13+'0805'!AE13+'0905'!AE13</f>
        <v>0</v>
      </c>
      <c r="AI14" s="96">
        <f>Table2[[#This Row],[Threes]]/$AC$2</f>
        <v>0</v>
      </c>
      <c r="AJ14" s="97">
        <f>'Stats Global'!Z18</f>
        <v>0</v>
      </c>
      <c r="AL14" s="41">
        <f>'Stats Global'!R18-Table2[[#This Row],[Avg P]]</f>
        <v>0.66666666666666674</v>
      </c>
      <c r="AM14" s="57">
        <f>Table2[[#This Row],[Avg P]]/(Table2[[#This Row],[Avg P]]+AL14)</f>
        <v>0.42857142857142855</v>
      </c>
    </row>
    <row r="15" spans="1:39" ht="14.3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A15" s="98" t="s">
        <v>69</v>
      </c>
      <c r="AB15" s="99">
        <f>Table2[[#This Row],[Finishes]]+Table2[[#This Row],[Midranges]]+Table2[[#This Row],[Threes]]+Table2[[#This Row],[Threes]]</f>
        <v>0</v>
      </c>
      <c r="AC15" s="104">
        <f>Table2[[#This Row],[Points]]/$AC$2</f>
        <v>0</v>
      </c>
      <c r="AD15" s="99">
        <f>'2404'!AC14+'2604'!AC14+'0205'!AC14+'0305'!AC14+'0805'!AC14+'0905'!AC14</f>
        <v>0</v>
      </c>
      <c r="AE15" s="101">
        <f>Table2[[#This Row],[Finishes]]/$AC$2</f>
        <v>0</v>
      </c>
      <c r="AF15" s="99">
        <f>'2404'!AD14+'2604'!AD14+'0205'!AD14+'0305'!AD14+'0805'!AD14+'0905'!AD14</f>
        <v>0</v>
      </c>
      <c r="AG15" s="101">
        <f>Table2[[#This Row],[Midranges]]/$AC$2</f>
        <v>0</v>
      </c>
      <c r="AH15" s="99">
        <f>'2404'!AE14+'2604'!AE14+'0205'!AE14+'0305'!AE14+'0805'!AE14+'0905'!AE14</f>
        <v>0</v>
      </c>
      <c r="AI15" s="101">
        <f>Table2[[#This Row],[Threes]]/$AC$2</f>
        <v>0</v>
      </c>
      <c r="AJ15" s="99">
        <f>'Stats Global'!Z19</f>
        <v>0</v>
      </c>
      <c r="AL15" s="107">
        <f>'Stats Global'!R19-Table2[[#This Row],[Avg P]]</f>
        <v>0.66666666666666663</v>
      </c>
      <c r="AM15" s="108"/>
    </row>
    <row r="16" spans="1:39" ht="14.3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A16" s="98" t="s">
        <v>72</v>
      </c>
      <c r="AB16" s="99">
        <f>Table2[[#This Row],[Finishes]]+Table2[[#This Row],[Midranges]]+Table2[[#This Row],[Threes]]+Table2[[#This Row],[Threes]]</f>
        <v>0</v>
      </c>
      <c r="AC16" s="104">
        <f>Table2[[#This Row],[Points]]/$AC$2</f>
        <v>0</v>
      </c>
      <c r="AD16" s="99">
        <f>'2404'!AC15+'2604'!AC15+'0205'!AC15+'0305'!AC15+'0805'!AC15+'0905'!AC15</f>
        <v>0</v>
      </c>
      <c r="AE16" s="101">
        <f>Table2[[#This Row],[Finishes]]/$AC$2</f>
        <v>0</v>
      </c>
      <c r="AF16" s="99">
        <f>'2404'!AD15+'2604'!AD15+'0205'!AD15+'0305'!AD15+'0805'!AD15+'0905'!AD15</f>
        <v>0</v>
      </c>
      <c r="AG16" s="101">
        <f>Table2[[#This Row],[Midranges]]/$AC$2</f>
        <v>0</v>
      </c>
      <c r="AH16" s="99">
        <f>'2404'!AE15+'2604'!AE15+'0205'!AE15+'0305'!AE15+'0805'!AE15+'0905'!AE15</f>
        <v>0</v>
      </c>
      <c r="AI16" s="101">
        <f>Table2[[#This Row],[Threes]]/$AC$2</f>
        <v>0</v>
      </c>
      <c r="AJ16" s="99">
        <f>'Stats Global'!Z20</f>
        <v>2</v>
      </c>
      <c r="AL16" s="107">
        <f>'Stats Global'!R20-Table2[[#This Row],[Avg P]]</f>
        <v>3.5</v>
      </c>
      <c r="AM16" s="108"/>
    </row>
    <row r="17" spans="1:39" ht="14.3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A17" s="3" t="s">
        <v>76</v>
      </c>
      <c r="AB17" s="97">
        <f>Table2[[#This Row],[Finishes]]+Table2[[#This Row],[Midranges]]+Table2[[#This Row],[Threes]]+Table2[[#This Row],[Threes]]</f>
        <v>0</v>
      </c>
      <c r="AC17" s="62">
        <f>Table2[[#This Row],[Points]]/$AC$2</f>
        <v>0</v>
      </c>
      <c r="AD17" s="97">
        <f>'2404'!AC16+'2604'!AC16+'0205'!AC16+'0305'!AC16+'0805'!AC16+'0905'!AC16</f>
        <v>0</v>
      </c>
      <c r="AE17" s="96">
        <f>Table2[[#This Row],[Finishes]]/$AC$2</f>
        <v>0</v>
      </c>
      <c r="AF17" s="97">
        <f>'2404'!AD16+'2604'!AD16+'0205'!AD16+'0305'!AD16+'0805'!AD16+'0905'!AD16</f>
        <v>0</v>
      </c>
      <c r="AG17" s="96">
        <f>Table2[[#This Row],[Midranges]]/$AC$2</f>
        <v>0</v>
      </c>
      <c r="AH17" s="97">
        <f>'2404'!AE16+'2604'!AE16+'0205'!AE16+'0305'!AE16+'0805'!AE16+'0905'!AE16</f>
        <v>0</v>
      </c>
      <c r="AI17" s="96">
        <f>Table2[[#This Row],[Threes]]/$AC$2</f>
        <v>0</v>
      </c>
      <c r="AJ17" s="97">
        <f>'Stats Global'!Z21</f>
        <v>0</v>
      </c>
      <c r="AL17" s="41">
        <f>'Stats Global'!R21-Table2[[#This Row],[Avg P]]</f>
        <v>0.16666666666666666</v>
      </c>
      <c r="AM17" s="57">
        <f>Table2[[#This Row],[Avg P]]/(Table2[[#This Row],[Avg P]]+AL17)</f>
        <v>0</v>
      </c>
    </row>
    <row r="18" spans="1:39" ht="14.3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A18" s="98" t="s">
        <v>79</v>
      </c>
      <c r="AB18" s="99">
        <f>Table2[[#This Row],[Finishes]]+Table2[[#This Row],[Midranges]]+Table2[[#This Row],[Threes]]+Table2[[#This Row],[Threes]]</f>
        <v>0</v>
      </c>
      <c r="AC18" s="104">
        <f>Table2[[#This Row],[Points]]/$AC$2</f>
        <v>0</v>
      </c>
      <c r="AD18" s="99">
        <f>'2404'!AC17+'2604'!AC17+'0205'!AC17+'0305'!AC17+'0805'!AC17+'0905'!AC17</f>
        <v>0</v>
      </c>
      <c r="AE18" s="101">
        <f>Table2[[#This Row],[Finishes]]/$AC$2</f>
        <v>0</v>
      </c>
      <c r="AF18" s="99">
        <f>'2404'!AD17+'2604'!AD17+'0205'!AD17+'0305'!AD17+'0805'!AD17+'0905'!AD17</f>
        <v>0</v>
      </c>
      <c r="AG18" s="101">
        <f>Table2[[#This Row],[Midranges]]/$AC$2</f>
        <v>0</v>
      </c>
      <c r="AH18" s="99">
        <f>'2404'!AE17+'2604'!AE17+'0205'!AE17+'0305'!AE17+'0805'!AE17+'0905'!AE17</f>
        <v>0</v>
      </c>
      <c r="AI18" s="101">
        <f>Table2[[#This Row],[Threes]]/$AC$2</f>
        <v>0</v>
      </c>
      <c r="AJ18" s="99">
        <f>'Stats Global'!Z22</f>
        <v>0</v>
      </c>
      <c r="AL18" s="107">
        <f>'Stats Global'!R22-Table2[[#This Row],[Avg P]]</f>
        <v>0.33333333333333331</v>
      </c>
      <c r="AM18" s="108"/>
    </row>
    <row r="19" spans="1:39" ht="14.3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A19" s="102" t="s">
        <v>148</v>
      </c>
      <c r="AB19" s="99">
        <f>Table2[[#This Row],[Finishes]]+Table2[[#This Row],[Midranges]]+Table2[[#This Row],[Threes]]+Table2[[#This Row],[Threes]]</f>
        <v>0</v>
      </c>
      <c r="AC19" s="100">
        <f>Table2[[#This Row],[Points]]/$AC$2</f>
        <v>0</v>
      </c>
      <c r="AD19" s="99">
        <f>'2404'!AC18+'2604'!AC18+'0205'!AC18+'0305'!AC18+'0805'!AC18+'0905'!AC18</f>
        <v>0</v>
      </c>
      <c r="AE19" s="101">
        <f>Table2[[#This Row],[Finishes]]/$AC$2</f>
        <v>0</v>
      </c>
      <c r="AF19" s="99">
        <f>'2404'!AD18+'2604'!AD18+'0205'!AD18+'0305'!AD18+'0805'!AD18+'0905'!AD18</f>
        <v>0</v>
      </c>
      <c r="AG19" s="101">
        <f>Table2[[#This Row],[Midranges]]/$AC$2</f>
        <v>0</v>
      </c>
      <c r="AH19" s="99">
        <f>'2404'!AE18+'2604'!AE18+'0205'!AE18+'0305'!AE18+'0805'!AE18+'0905'!AE18</f>
        <v>0</v>
      </c>
      <c r="AI19" s="101">
        <f>Table2[[#This Row],[Threes]]/$AC$2</f>
        <v>0</v>
      </c>
      <c r="AJ19" s="99">
        <f>'Stats Global'!Z23</f>
        <v>0</v>
      </c>
      <c r="AL19" s="107">
        <f>'Stats Global'!R23-Table2[[#This Row],[Avg P]]</f>
        <v>0.5</v>
      </c>
      <c r="AM19" s="108"/>
    </row>
    <row r="20" spans="1:39" ht="14.3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9" ht="14.3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  <c r="AA21" t="s">
        <v>186</v>
      </c>
    </row>
    <row r="22" spans="1:39" ht="14.3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  <c r="AB22" s="40"/>
      <c r="AC22" s="40"/>
      <c r="AD22" s="40"/>
    </row>
    <row r="23" spans="1:39" ht="14.3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  <c r="AA23" s="114" t="s">
        <v>187</v>
      </c>
      <c r="AB23" s="115" t="s">
        <v>170</v>
      </c>
      <c r="AC23" s="116" t="s">
        <v>78</v>
      </c>
      <c r="AD23" s="115" t="s">
        <v>188</v>
      </c>
      <c r="AE23" s="116" t="s">
        <v>75</v>
      </c>
      <c r="AF23" s="115" t="s">
        <v>87</v>
      </c>
    </row>
    <row r="24" spans="1:39" ht="14.3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  <c r="AA24" s="109" t="s">
        <v>65</v>
      </c>
      <c r="AB24" s="110" t="s">
        <v>85</v>
      </c>
      <c r="AC24" s="111" t="s">
        <v>85</v>
      </c>
      <c r="AD24" s="110" t="s">
        <v>85</v>
      </c>
      <c r="AE24" s="111" t="s">
        <v>85</v>
      </c>
      <c r="AF24" s="110" t="s">
        <v>85</v>
      </c>
    </row>
    <row r="25" spans="1:39" ht="14.3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  <c r="AA25" s="109" t="s">
        <v>71</v>
      </c>
      <c r="AB25" s="110" t="s">
        <v>78</v>
      </c>
      <c r="AC25" s="111" t="s">
        <v>188</v>
      </c>
      <c r="AD25" s="110" t="s">
        <v>78</v>
      </c>
      <c r="AE25" s="111" t="s">
        <v>78</v>
      </c>
      <c r="AF25" s="110" t="s">
        <v>78</v>
      </c>
    </row>
    <row r="26" spans="1:39" ht="14.3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  <c r="AA26" s="109" t="s">
        <v>68</v>
      </c>
      <c r="AB26" s="112" t="s">
        <v>188</v>
      </c>
      <c r="AC26" s="113" t="s">
        <v>75</v>
      </c>
      <c r="AD26" s="112" t="s">
        <v>75</v>
      </c>
      <c r="AE26" s="113" t="s">
        <v>188</v>
      </c>
      <c r="AF26" s="112" t="s">
        <v>188</v>
      </c>
    </row>
    <row r="27" spans="1:39" ht="14.3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  <c r="AA27" s="109" t="s">
        <v>59</v>
      </c>
      <c r="AB27" s="112" t="s">
        <v>75</v>
      </c>
      <c r="AC27" s="113" t="s">
        <v>87</v>
      </c>
      <c r="AD27" s="112" t="s">
        <v>87</v>
      </c>
      <c r="AE27" s="113" t="s">
        <v>87</v>
      </c>
      <c r="AF27" s="112" t="s">
        <v>75</v>
      </c>
    </row>
    <row r="28" spans="1:39" ht="14.3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  <c r="AA28" s="109" t="s">
        <v>86</v>
      </c>
      <c r="AB28" s="112" t="s">
        <v>87</v>
      </c>
      <c r="AC28" s="113" t="s">
        <v>170</v>
      </c>
      <c r="AD28" s="112" t="s">
        <v>170</v>
      </c>
      <c r="AE28" s="113" t="s">
        <v>170</v>
      </c>
      <c r="AF28" s="112" t="s">
        <v>170</v>
      </c>
    </row>
    <row r="29" spans="1:39" ht="14.3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  <c r="AA29" s="111"/>
      <c r="AB29" s="110"/>
      <c r="AC29" s="111"/>
      <c r="AD29" s="110"/>
      <c r="AE29" s="111"/>
      <c r="AF29" s="110"/>
    </row>
    <row r="30" spans="1:39" ht="14.3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15</v>
      </c>
      <c r="R30" s="17">
        <f t="shared" si="1"/>
        <v>20</v>
      </c>
      <c r="S30" s="17"/>
      <c r="T30" s="17"/>
      <c r="V30" s="17">
        <f t="shared" ref="V30:W30" si="2">SUM(V4:V29)</f>
        <v>15</v>
      </c>
      <c r="W30" s="17">
        <f t="shared" si="2"/>
        <v>21</v>
      </c>
      <c r="X30" s="17"/>
      <c r="Y30" s="17"/>
      <c r="AA30" s="114" t="s">
        <v>187</v>
      </c>
      <c r="AB30" s="115" t="s">
        <v>170</v>
      </c>
      <c r="AC30" s="116" t="s">
        <v>78</v>
      </c>
      <c r="AD30" s="115" t="s">
        <v>188</v>
      </c>
      <c r="AE30" s="116" t="s">
        <v>75</v>
      </c>
      <c r="AF30" s="115" t="s">
        <v>87</v>
      </c>
    </row>
    <row r="31" spans="1:39" ht="14.35" customHeight="1" x14ac:dyDescent="0.45">
      <c r="I31" s="1"/>
      <c r="Q31" s="22">
        <f>Q30/(R30+Q30)</f>
        <v>0.42857142857142855</v>
      </c>
      <c r="V31" s="22">
        <f>V30/(W30+V30)</f>
        <v>0.41666666666666669</v>
      </c>
      <c r="AA31" s="111" t="s">
        <v>170</v>
      </c>
      <c r="AB31" s="110" t="s">
        <v>85</v>
      </c>
      <c r="AC31" s="111" t="s">
        <v>85</v>
      </c>
      <c r="AD31" s="110" t="s">
        <v>85</v>
      </c>
      <c r="AE31" s="111" t="s">
        <v>85</v>
      </c>
      <c r="AF31" s="110" t="s">
        <v>85</v>
      </c>
    </row>
    <row r="32" spans="1:39" ht="14.35" customHeight="1" x14ac:dyDescent="0.45">
      <c r="I32" s="1"/>
      <c r="J32" s="1"/>
      <c r="K32" s="1"/>
      <c r="L32" s="1"/>
      <c r="M32" s="1"/>
      <c r="N32" s="1"/>
      <c r="O32" s="1"/>
      <c r="V32" s="22"/>
      <c r="AA32" s="111" t="s">
        <v>62</v>
      </c>
      <c r="AB32" s="110" t="s">
        <v>78</v>
      </c>
      <c r="AC32" s="111" t="s">
        <v>188</v>
      </c>
      <c r="AD32" s="110" t="s">
        <v>78</v>
      </c>
      <c r="AE32" s="111" t="s">
        <v>78</v>
      </c>
      <c r="AF32" s="110" t="s">
        <v>78</v>
      </c>
    </row>
    <row r="33" spans="27:32" ht="14.35" customHeight="1" x14ac:dyDescent="0.45">
      <c r="AA33" s="111" t="s">
        <v>189</v>
      </c>
      <c r="AB33" s="110" t="s">
        <v>188</v>
      </c>
      <c r="AC33" s="111" t="s">
        <v>75</v>
      </c>
      <c r="AD33" s="110" t="s">
        <v>75</v>
      </c>
      <c r="AE33" s="111" t="s">
        <v>188</v>
      </c>
      <c r="AF33" s="110" t="s">
        <v>188</v>
      </c>
    </row>
    <row r="34" spans="27:32" ht="14.25" customHeight="1" x14ac:dyDescent="0.45">
      <c r="AA34" s="111" t="s">
        <v>55</v>
      </c>
      <c r="AB34" s="110" t="s">
        <v>87</v>
      </c>
      <c r="AC34" s="111" t="s">
        <v>170</v>
      </c>
      <c r="AD34" s="110" t="s">
        <v>170</v>
      </c>
      <c r="AE34" s="111" t="s">
        <v>170</v>
      </c>
      <c r="AF34" s="110" t="s">
        <v>170</v>
      </c>
    </row>
    <row r="35" spans="27:32" ht="14.25" customHeight="1" x14ac:dyDescent="0.45">
      <c r="AA35" s="111" t="s">
        <v>81</v>
      </c>
      <c r="AB35" s="110" t="s">
        <v>75</v>
      </c>
      <c r="AC35" s="111" t="s">
        <v>87</v>
      </c>
      <c r="AD35" s="110" t="s">
        <v>87</v>
      </c>
      <c r="AE35" s="111" t="s">
        <v>87</v>
      </c>
      <c r="AF35" s="110" t="s">
        <v>75</v>
      </c>
    </row>
    <row r="36" spans="27:32" ht="14.25" customHeight="1" x14ac:dyDescent="0.45"/>
    <row r="37" spans="27:32" ht="14.25" customHeight="1" x14ac:dyDescent="0.45"/>
    <row r="38" spans="27:32" ht="14.25" customHeight="1" x14ac:dyDescent="0.45"/>
    <row r="39" spans="27:32" ht="14.25" customHeight="1" x14ac:dyDescent="0.45"/>
    <row r="40" spans="27:32" ht="14.25" customHeight="1" x14ac:dyDescent="0.45"/>
    <row r="41" spans="27:32" ht="14.25" customHeight="1" x14ac:dyDescent="0.45"/>
    <row r="42" spans="27:32" ht="14.25" customHeight="1" x14ac:dyDescent="0.45"/>
    <row r="43" spans="27:32" ht="14.25" customHeight="1" x14ac:dyDescent="0.45"/>
    <row r="44" spans="27:32" ht="14.25" customHeight="1" x14ac:dyDescent="0.45"/>
    <row r="45" spans="27:32" ht="14.25" customHeight="1" x14ac:dyDescent="0.45"/>
    <row r="46" spans="27:32" ht="14.25" customHeight="1" x14ac:dyDescent="0.45"/>
    <row r="47" spans="27:32" ht="14.25" customHeight="1" x14ac:dyDescent="0.45"/>
    <row r="48" spans="27:3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M4:AM9 AM12:AM14 AM17">
    <cfRule type="cellIs" dxfId="16" priority="1" operator="lessThan">
      <formula>0.3333</formula>
    </cfRule>
    <cfRule type="cellIs" dxfId="15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AC4:AC9 AC12:AC14 AC17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AC4:AC9 AC12:AC14 AC17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Q9" sqref="Q9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40</v>
      </c>
      <c r="G4" s="24">
        <f t="shared" si="0"/>
        <v>39</v>
      </c>
      <c r="H4" s="24">
        <f t="shared" si="0"/>
        <v>9</v>
      </c>
      <c r="J4" s="17"/>
      <c r="K4" s="51">
        <v>1</v>
      </c>
      <c r="L4" s="51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1">
        <v>1</v>
      </c>
      <c r="L5" s="51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1">
        <v>1</v>
      </c>
      <c r="L6" s="51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G8" s="24" t="s">
        <v>112</v>
      </c>
      <c r="H8" s="18"/>
      <c r="J8" s="17">
        <v>2</v>
      </c>
      <c r="K8" s="17">
        <v>1</v>
      </c>
      <c r="L8" s="17"/>
      <c r="M8" s="17">
        <v>1</v>
      </c>
      <c r="N8" s="17"/>
      <c r="P8" s="17">
        <f>COUNTIF('0805'!$Y$4:$Y$26,"WW/5M")</f>
        <v>4</v>
      </c>
      <c r="Q8" s="17">
        <f>COUNTIF('0805'!$Z$4:$Z$26,"5M/WW")</f>
        <v>3</v>
      </c>
      <c r="R8" s="17"/>
      <c r="S8" s="17"/>
      <c r="T8" s="65"/>
      <c r="U8" s="94"/>
      <c r="V8" s="94"/>
      <c r="W8" s="94"/>
      <c r="X8" s="94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G9" s="24" t="s">
        <v>113</v>
      </c>
      <c r="H9" s="18"/>
      <c r="J9" s="17">
        <v>1</v>
      </c>
      <c r="K9" s="17">
        <v>3</v>
      </c>
      <c r="L9" s="17"/>
      <c r="M9" s="17">
        <v>1</v>
      </c>
      <c r="N9" s="17">
        <v>1</v>
      </c>
      <c r="P9" s="17">
        <f>COUNTIF('0905'!$Y$4:$Y$40,"WW/5M")</f>
        <v>8</v>
      </c>
      <c r="Q9" s="17">
        <f>COUNTIF('0905'!$Z$4:$Z$40,"5M/WW")</f>
        <v>5</v>
      </c>
      <c r="R9" s="17"/>
      <c r="S9" s="17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20</v>
      </c>
      <c r="Q30" s="17">
        <f t="shared" si="1"/>
        <v>24</v>
      </c>
      <c r="R30" s="17"/>
      <c r="S30" s="17"/>
      <c r="T30" s="65"/>
      <c r="U30" s="94"/>
      <c r="V30" s="94"/>
      <c r="W30" s="94"/>
      <c r="X30" s="94"/>
    </row>
    <row r="31" spans="1:24" ht="14.25" customHeight="1" x14ac:dyDescent="0.45">
      <c r="I31" s="24"/>
      <c r="P31" s="22">
        <f>P30/(Q30+P30)</f>
        <v>0.45454545454545453</v>
      </c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T32" s="65"/>
      <c r="U32" s="65"/>
      <c r="V32" s="95"/>
      <c r="W32" s="65"/>
      <c r="X32" s="65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O10" sqref="O1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L2" s="24" t="s">
        <v>99</v>
      </c>
      <c r="P2" s="64"/>
      <c r="Q2" s="65"/>
      <c r="R2" s="65"/>
      <c r="S2" s="65"/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153</v>
      </c>
      <c r="K3" s="24" t="s">
        <v>62</v>
      </c>
      <c r="L3" s="24" t="s">
        <v>189</v>
      </c>
      <c r="M3" s="24" t="s">
        <v>55</v>
      </c>
      <c r="N3" s="24" t="s">
        <v>81</v>
      </c>
      <c r="P3" s="64"/>
      <c r="Q3" s="64"/>
      <c r="R3" s="64"/>
      <c r="S3" s="64"/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45</v>
      </c>
      <c r="G4" s="24">
        <f t="shared" si="0"/>
        <v>35</v>
      </c>
      <c r="H4" s="24">
        <f t="shared" si="0"/>
        <v>16</v>
      </c>
      <c r="J4" s="17">
        <v>1</v>
      </c>
      <c r="K4" s="51">
        <v>1</v>
      </c>
      <c r="L4" s="51">
        <v>2</v>
      </c>
      <c r="M4" s="17"/>
      <c r="N4" s="17"/>
      <c r="P4" s="94"/>
      <c r="Q4" s="94"/>
      <c r="R4" s="94"/>
      <c r="S4" s="94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1"/>
      <c r="L5" s="51">
        <v>1</v>
      </c>
      <c r="M5" s="17">
        <v>1</v>
      </c>
      <c r="N5" s="17"/>
      <c r="P5" s="94"/>
      <c r="Q5" s="94"/>
      <c r="R5" s="94"/>
      <c r="S5" s="94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1"/>
      <c r="L6" s="51"/>
      <c r="M6" s="17"/>
      <c r="N6" s="17"/>
      <c r="P6" s="94"/>
      <c r="Q6" s="94"/>
      <c r="R6" s="94"/>
      <c r="S6" s="94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94"/>
      <c r="Q7" s="94"/>
      <c r="R7" s="94"/>
      <c r="S7" s="94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G8" s="24" t="s">
        <v>112</v>
      </c>
      <c r="H8" s="18"/>
      <c r="J8" s="17">
        <v>2</v>
      </c>
      <c r="K8" s="17">
        <v>1</v>
      </c>
      <c r="L8" s="17"/>
      <c r="M8" s="17">
        <v>1</v>
      </c>
      <c r="N8" s="17">
        <v>1</v>
      </c>
      <c r="P8" s="94"/>
      <c r="Q8" s="94"/>
      <c r="R8" s="94"/>
      <c r="S8" s="94"/>
      <c r="T8" s="65"/>
      <c r="U8" s="94"/>
      <c r="V8" s="94"/>
      <c r="W8" s="94"/>
      <c r="X8" s="94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G9" s="24" t="s">
        <v>113</v>
      </c>
      <c r="H9" s="18"/>
      <c r="J9" s="17"/>
      <c r="K9" s="17"/>
      <c r="L9" s="17"/>
      <c r="M9" s="17"/>
      <c r="N9" s="17"/>
      <c r="P9" s="94"/>
      <c r="Q9" s="94"/>
      <c r="R9" s="94"/>
      <c r="S9" s="94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>
        <v>1</v>
      </c>
      <c r="K10" s="17"/>
      <c r="L10" s="17"/>
      <c r="M10" s="17">
        <v>1</v>
      </c>
      <c r="N10" s="17">
        <v>1</v>
      </c>
      <c r="P10" s="94"/>
      <c r="Q10" s="94"/>
      <c r="R10" s="94"/>
      <c r="S10" s="94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94"/>
      <c r="Q11" s="94"/>
      <c r="R11" s="94"/>
      <c r="S11" s="94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94"/>
      <c r="Q12" s="94"/>
      <c r="R12" s="94"/>
      <c r="S12" s="94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94"/>
      <c r="Q13" s="94"/>
      <c r="R13" s="94"/>
      <c r="S13" s="94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94"/>
      <c r="Q14" s="94"/>
      <c r="R14" s="94"/>
      <c r="S14" s="94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94"/>
      <c r="Q15" s="94"/>
      <c r="R15" s="94"/>
      <c r="S15" s="94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94"/>
      <c r="Q16" s="94"/>
      <c r="R16" s="94"/>
      <c r="S16" s="94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94"/>
      <c r="Q17" s="94"/>
      <c r="R17" s="94"/>
      <c r="S17" s="94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94"/>
      <c r="Q18" s="94"/>
      <c r="R18" s="94"/>
      <c r="S18" s="94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94"/>
      <c r="Q19" s="94"/>
      <c r="R19" s="94"/>
      <c r="S19" s="94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94"/>
      <c r="Q20" s="94"/>
      <c r="R20" s="94"/>
      <c r="S20" s="94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94"/>
      <c r="Q21" s="94"/>
      <c r="R21" s="94"/>
      <c r="S21" s="94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94"/>
      <c r="Q22" s="94"/>
      <c r="R22" s="94"/>
      <c r="S22" s="94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94"/>
      <c r="Q23" s="94"/>
      <c r="R23" s="94"/>
      <c r="S23" s="94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94"/>
      <c r="Q24" s="94"/>
      <c r="R24" s="94"/>
      <c r="S24" s="94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94"/>
      <c r="Q25" s="94"/>
      <c r="R25" s="94"/>
      <c r="S25" s="94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94"/>
      <c r="Q26" s="94"/>
      <c r="R26" s="94"/>
      <c r="S26" s="94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94"/>
      <c r="Q27" s="94"/>
      <c r="R27" s="94"/>
      <c r="S27" s="94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94"/>
      <c r="Q28" s="94"/>
      <c r="R28" s="94"/>
      <c r="S28" s="94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94"/>
      <c r="Q29" s="94"/>
      <c r="R29" s="94"/>
      <c r="S29" s="94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24"/>
      <c r="P30" s="94"/>
      <c r="Q30" s="94"/>
      <c r="R30" s="94"/>
      <c r="S30" s="94"/>
      <c r="T30" s="65"/>
      <c r="U30" s="94"/>
      <c r="V30" s="94"/>
      <c r="W30" s="94"/>
      <c r="X30" s="94"/>
    </row>
    <row r="31" spans="1:24" ht="14.25" customHeight="1" x14ac:dyDescent="0.45">
      <c r="I31" s="24"/>
      <c r="P31" s="95"/>
      <c r="Q31" s="65"/>
      <c r="R31" s="65"/>
      <c r="S31" s="65"/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19" t="s">
        <v>159</v>
      </c>
      <c r="R41" s="119"/>
      <c r="S41" s="119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19"/>
      <c r="R42" s="119"/>
      <c r="S42" s="119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B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D1" zoomScale="85" zoomScaleNormal="85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E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G1" zoomScale="85" zoomScaleNormal="85" workbookViewId="0">
      <selection activeCell="AC5" sqref="AC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174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154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66</v>
      </c>
      <c r="F6" s="74" t="s">
        <v>154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154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154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154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154</v>
      </c>
      <c r="G13" s="74">
        <v>4</v>
      </c>
      <c r="H13" s="74">
        <v>3</v>
      </c>
      <c r="I13" s="74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154</v>
      </c>
      <c r="G14" s="74">
        <v>5</v>
      </c>
      <c r="H14" s="74">
        <v>3</v>
      </c>
      <c r="I14" s="74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154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69</v>
      </c>
      <c r="F16" s="74" t="s">
        <v>154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148</v>
      </c>
      <c r="F17" s="74" t="s">
        <v>154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154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154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154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66</v>
      </c>
      <c r="F24" s="74" t="s">
        <v>154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154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148</v>
      </c>
      <c r="F26" s="74" t="s">
        <v>154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zoomScale="70" zoomScaleNormal="70" workbookViewId="0">
      <selection activeCell="Q43" sqref="Q43:Q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zoomScale="85" zoomScaleNormal="85" workbookViewId="0">
      <selection activeCell="I7" sqref="I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19" t="s">
        <v>159</v>
      </c>
      <c r="R41" s="119"/>
      <c r="S41" s="119"/>
      <c r="T41" s="19"/>
      <c r="U41" s="19"/>
    </row>
    <row r="42" spans="2:26" ht="14.25" customHeight="1" x14ac:dyDescent="0.45">
      <c r="Q42" s="119"/>
      <c r="R42" s="119"/>
      <c r="S42" s="119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2023-05-09T04:45:14Z</dcterms:modified>
</cp:coreProperties>
</file>