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F124521C-E331-4644-AA66-2FCD6394E849}" xr6:coauthVersionLast="47" xr6:coauthVersionMax="47" xr10:uidLastSave="{00000000-0000-0000-0000-000000000000}"/>
  <bookViews>
    <workbookView xWindow="-98" yWindow="-98" windowWidth="22695" windowHeight="14595" firstSheet="3" activeTab="5" xr2:uid="{0ACBD913-B8D1-4126-BEA6-93AF1991B708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6" l="1"/>
  <c r="C19" i="6"/>
  <c r="B19" i="6"/>
  <c r="A19" i="6"/>
  <c r="D19" i="5"/>
  <c r="C19" i="5"/>
  <c r="B19" i="5"/>
  <c r="A19" i="5"/>
  <c r="D19" i="4"/>
  <c r="C19" i="4"/>
  <c r="B19" i="4"/>
  <c r="A19" i="4"/>
  <c r="AB68" i="3"/>
  <c r="AC68" i="3" s="1"/>
  <c r="AD68" i="3"/>
  <c r="AE68" i="3"/>
  <c r="AF68" i="3"/>
  <c r="AG68" i="3" s="1"/>
  <c r="AH68" i="3"/>
  <c r="AI68" i="3" s="1"/>
  <c r="AB69" i="3"/>
  <c r="AC69" i="3" s="1"/>
  <c r="AD69" i="3"/>
  <c r="AE69" i="3" s="1"/>
  <c r="AF69" i="3"/>
  <c r="AG69" i="3" s="1"/>
  <c r="AH69" i="3"/>
  <c r="AB70" i="3"/>
  <c r="AN7" i="4" s="1"/>
  <c r="AC70" i="3"/>
  <c r="AD70" i="3"/>
  <c r="AE70" i="3" s="1"/>
  <c r="AF70" i="3"/>
  <c r="AG70" i="3"/>
  <c r="AH70" i="3"/>
  <c r="AB71" i="3"/>
  <c r="AC71" i="3"/>
  <c r="AD71" i="3"/>
  <c r="AE71" i="3" s="1"/>
  <c r="AF71" i="3"/>
  <c r="AG71" i="3" s="1"/>
  <c r="AH71" i="3"/>
  <c r="AB72" i="3"/>
  <c r="AC72" i="3" s="1"/>
  <c r="AD72" i="3"/>
  <c r="AE72" i="3"/>
  <c r="AF72" i="3"/>
  <c r="AG72" i="3"/>
  <c r="AH72" i="3"/>
  <c r="AB73" i="3"/>
  <c r="AC73" i="3"/>
  <c r="AD73" i="3"/>
  <c r="AE73" i="3"/>
  <c r="AF73" i="3"/>
  <c r="AG73" i="3" s="1"/>
  <c r="AH73" i="3"/>
  <c r="AB74" i="3"/>
  <c r="AC74" i="3"/>
  <c r="AD74" i="3"/>
  <c r="AE74" i="3" s="1"/>
  <c r="AF74" i="3"/>
  <c r="AG74" i="3"/>
  <c r="AH74" i="3"/>
  <c r="AB75" i="3"/>
  <c r="AC75" i="3" s="1"/>
  <c r="AD75" i="3"/>
  <c r="AE75" i="3"/>
  <c r="AF75" i="3"/>
  <c r="AG75" i="3"/>
  <c r="AH75" i="3"/>
  <c r="AB76" i="3"/>
  <c r="AC76" i="3"/>
  <c r="AD76" i="3"/>
  <c r="AE76" i="3"/>
  <c r="AF76" i="3"/>
  <c r="AG76" i="3" s="1"/>
  <c r="AH76" i="3"/>
  <c r="AI76" i="3" s="1"/>
  <c r="AB77" i="3"/>
  <c r="AC77" i="3" s="1"/>
  <c r="AD77" i="3"/>
  <c r="AE77" i="3" s="1"/>
  <c r="AF77" i="3"/>
  <c r="AG77" i="3"/>
  <c r="AH77" i="3"/>
  <c r="AB78" i="3"/>
  <c r="AN15" i="4" s="1"/>
  <c r="AC78" i="3"/>
  <c r="AD78" i="3"/>
  <c r="AE78" i="3"/>
  <c r="AF78" i="3"/>
  <c r="AG78" i="3"/>
  <c r="AH78" i="3"/>
  <c r="AB79" i="3"/>
  <c r="AC79" i="3"/>
  <c r="AD79" i="3"/>
  <c r="AE79" i="3" s="1"/>
  <c r="AF79" i="3"/>
  <c r="AG79" i="3" s="1"/>
  <c r="AH79" i="3"/>
  <c r="AB80" i="3"/>
  <c r="AC80" i="3" s="1"/>
  <c r="AD80" i="3"/>
  <c r="AE80" i="3"/>
  <c r="AF80" i="3"/>
  <c r="AG80" i="3"/>
  <c r="AH80" i="3"/>
  <c r="AB81" i="3"/>
  <c r="AC81" i="3"/>
  <c r="AD81" i="3"/>
  <c r="AE81" i="3"/>
  <c r="AF81" i="3"/>
  <c r="AG81" i="3" s="1"/>
  <c r="AH81" i="3"/>
  <c r="AB82" i="3"/>
  <c r="AC82" i="3"/>
  <c r="AD82" i="3"/>
  <c r="AE82" i="3" s="1"/>
  <c r="AF82" i="3"/>
  <c r="AG82" i="3"/>
  <c r="AH82" i="3"/>
  <c r="AH67" i="3"/>
  <c r="AI67" i="3" s="1"/>
  <c r="AF67" i="3"/>
  <c r="AD67" i="3"/>
  <c r="AB67" i="3"/>
  <c r="AN4" i="4" s="1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9" i="4"/>
  <c r="AN10" i="4"/>
  <c r="AN11" i="4"/>
  <c r="AN12" i="4"/>
  <c r="AN13" i="4"/>
  <c r="AN16" i="4"/>
  <c r="AN17" i="4"/>
  <c r="AN18" i="4"/>
  <c r="AN19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2" i="3"/>
  <c r="AI73" i="3"/>
  <c r="AI74" i="3"/>
  <c r="AI77" i="3"/>
  <c r="AI78" i="3"/>
  <c r="AI79" i="3"/>
  <c r="AI80" i="3"/>
  <c r="AI81" i="3"/>
  <c r="AI82" i="3"/>
  <c r="AG67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C67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N14" i="4" l="1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5" l="1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T35" i="4"/>
  <c r="U35" i="4" s="1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T34" i="4" s="1"/>
  <c r="U34" i="4" s="1"/>
  <c r="V34" i="3"/>
  <c r="U13" i="3"/>
  <c r="T35" i="5" s="1"/>
  <c r="T31" i="3"/>
  <c r="V32" i="3"/>
  <c r="T42" i="3"/>
  <c r="U34" i="6"/>
  <c r="S35" i="6"/>
  <c r="V33" i="3"/>
  <c r="X43" i="3"/>
  <c r="T43" i="3"/>
  <c r="S22" i="3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V34" i="4" l="1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K33" i="6" s="1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I8" i="3" l="1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7" i="4"/>
  <c r="AQ7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U33" i="4" l="1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<sst xmlns="http://schemas.openxmlformats.org/spreadsheetml/2006/main" count="3144" uniqueCount="245">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</sst>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8" fillId="0" borderId="1"/>
    <xf numFmtId="9" fontId="8" fillId="0" borderId="0" applyFont="0" applyFill="0" applyBorder="0" applyAlignment="0" applyProtection="0"/>
  </cellStyleXfs>
  <cellXfs count="170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" fontId="10" fillId="0" borderId="0" xfId="0" applyNumberFormat="1" applyFont="1"/>
    <xf numFmtId="0" fontId="11" fillId="0" borderId="0" xfId="0" applyFont="1"/>
    <xf numFmtId="0" fontId="10" fillId="0" borderId="1" xfId="0" applyFont="1" applyBorder="1"/>
    <xf numFmtId="2" fontId="10" fillId="0" borderId="0" xfId="0" applyNumberFormat="1" applyFont="1"/>
    <xf numFmtId="164" fontId="12" fillId="0" borderId="0" xfId="0" applyNumberFormat="1" applyFont="1"/>
    <xf numFmtId="0" fontId="11" fillId="0" borderId="0" xfId="0" applyFont="1" applyAlignment="1"/>
    <xf numFmtId="0" fontId="11" fillId="0" borderId="1" xfId="0" applyFont="1" applyBorder="1"/>
    <xf numFmtId="2" fontId="10" fillId="0" borderId="1" xfId="0" applyNumberFormat="1" applyFont="1" applyBorder="1"/>
    <xf numFmtId="0" fontId="10" fillId="0" borderId="0" xfId="0" applyFont="1" applyAlignment="1">
      <alignment horizontal="center"/>
    </xf>
    <xf numFmtId="0" fontId="8" fillId="0" borderId="0" xfId="0" applyFont="1"/>
    <xf numFmtId="2" fontId="8" fillId="0" borderId="0" xfId="0" applyNumberFormat="1" applyFont="1"/>
    <xf numFmtId="165" fontId="8" fillId="0" borderId="0" xfId="0" applyNumberFormat="1" applyFont="1"/>
    <xf numFmtId="0" fontId="10" fillId="0" borderId="0" xfId="0" applyFont="1"/>
    <xf numFmtId="0" fontId="10" fillId="2" borderId="1" xfId="0" applyFont="1" applyFill="1" applyBorder="1"/>
    <xf numFmtId="164" fontId="10" fillId="0" borderId="0" xfId="0" applyNumberFormat="1" applyFont="1"/>
    <xf numFmtId="1" fontId="8" fillId="0" borderId="0" xfId="0" applyNumberFormat="1" applyFont="1"/>
    <xf numFmtId="1" fontId="10" fillId="0" borderId="0" xfId="0" applyNumberFormat="1" applyFont="1"/>
    <xf numFmtId="0" fontId="13" fillId="0" borderId="0" xfId="0" applyFont="1"/>
    <xf numFmtId="9" fontId="10" fillId="0" borderId="0" xfId="0" applyNumberFormat="1" applyFont="1"/>
    <xf numFmtId="10" fontId="10" fillId="0" borderId="0" xfId="0" applyNumberFormat="1" applyFont="1"/>
    <xf numFmtId="0" fontId="8" fillId="0" borderId="0" xfId="0" applyFont="1"/>
    <xf numFmtId="16" fontId="8" fillId="0" borderId="0" xfId="0" applyNumberFormat="1" applyFont="1"/>
    <xf numFmtId="16" fontId="8" fillId="0" borderId="0" xfId="0" applyNumberFormat="1" applyFont="1" applyAlignment="1"/>
    <xf numFmtId="1" fontId="8" fillId="0" borderId="0" xfId="0" applyNumberFormat="1" applyFont="1" applyAlignment="1"/>
    <xf numFmtId="0" fontId="8" fillId="3" borderId="0" xfId="0" applyFont="1" applyFill="1"/>
    <xf numFmtId="2" fontId="10" fillId="3" borderId="0" xfId="0" applyNumberFormat="1" applyFont="1" applyFill="1"/>
    <xf numFmtId="0" fontId="8" fillId="3" borderId="0" xfId="0" applyFont="1" applyFill="1" applyAlignment="1"/>
    <xf numFmtId="0" fontId="14" fillId="3" borderId="0" xfId="0" applyFont="1" applyFill="1"/>
    <xf numFmtId="0" fontId="14" fillId="0" borderId="0" xfId="0" applyFont="1"/>
    <xf numFmtId="0" fontId="14" fillId="0" borderId="0" xfId="0" applyFont="1" applyAlignment="1"/>
    <xf numFmtId="0" fontId="15" fillId="3" borderId="0" xfId="0" applyFont="1" applyFill="1" applyAlignment="1"/>
    <xf numFmtId="0" fontId="15" fillId="0" borderId="0" xfId="0" applyFont="1" applyAlignment="1"/>
    <xf numFmtId="16" fontId="0" fillId="0" borderId="0" xfId="0" applyNumberFormat="1" applyFont="1" applyAlignme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4" fillId="0" borderId="3" xfId="0" applyFont="1" applyFill="1" applyBorder="1"/>
    <xf numFmtId="0" fontId="14" fillId="0" borderId="4" xfId="0" applyFont="1" applyFill="1" applyBorder="1"/>
    <xf numFmtId="0" fontId="14" fillId="0" borderId="4" xfId="0" applyFont="1" applyFill="1" applyBorder="1" applyAlignment="1"/>
    <xf numFmtId="0" fontId="15" fillId="0" borderId="4" xfId="0" applyFont="1" applyFill="1" applyBorder="1" applyAlignment="1"/>
    <xf numFmtId="0" fontId="11" fillId="0" borderId="5" xfId="0" applyFont="1" applyFill="1" applyBorder="1"/>
    <xf numFmtId="0" fontId="18" fillId="0" borderId="1" xfId="1" applyNumberFormat="1"/>
    <xf numFmtId="0" fontId="18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0" fillId="0" borderId="0" xfId="0" applyFont="1"/>
    <xf numFmtId="9" fontId="0" fillId="0" borderId="0" xfId="2" applyFont="1" applyAlignment="1"/>
    <xf numFmtId="0" fontId="14" fillId="0" borderId="0" xfId="0" applyFont="1" applyFill="1"/>
    <xf numFmtId="0" fontId="14" fillId="0" borderId="0" xfId="0" applyFont="1" applyFill="1" applyAlignment="1"/>
    <xf numFmtId="0" fontId="15" fillId="0" borderId="0" xfId="0" applyFont="1" applyFill="1" applyAlignment="1"/>
    <xf numFmtId="1" fontId="0" fillId="0" borderId="0" xfId="0" quotePrefix="1" applyNumberFormat="1" applyFont="1" applyFill="1" applyAlignment="1"/>
    <xf numFmtId="2" fontId="10" fillId="0" borderId="0" xfId="0" applyNumberFormat="1" applyFont="1" applyFill="1"/>
    <xf numFmtId="1" fontId="8" fillId="0" borderId="0" xfId="0" applyNumberFormat="1" applyFont="1" applyFill="1" applyAlignment="1"/>
    <xf numFmtId="0" fontId="8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5" fillId="0" borderId="5" xfId="0" applyFont="1" applyFill="1" applyBorder="1" applyAlignment="1"/>
    <xf numFmtId="9" fontId="0" fillId="0" borderId="0" xfId="0" applyNumberFormat="1" applyFont="1" applyAlignment="1"/>
    <xf numFmtId="0" fontId="18" fillId="0" borderId="1" xfId="1" applyNumberFormat="1"/>
    <xf numFmtId="1" fontId="0" fillId="4" borderId="2" xfId="0" quotePrefix="1" applyNumberFormat="1" applyFont="1" applyFill="1" applyBorder="1" applyAlignment="1"/>
    <xf numFmtId="2" fontId="10" fillId="4" borderId="2" xfId="0" applyNumberFormat="1" applyFont="1" applyFill="1" applyBorder="1"/>
    <xf numFmtId="1" fontId="8" fillId="4" borderId="2" xfId="0" applyNumberFormat="1" applyFont="1" applyFill="1" applyBorder="1" applyAlignment="1"/>
    <xf numFmtId="0" fontId="8" fillId="4" borderId="2" xfId="0" applyFont="1" applyFill="1" applyBorder="1"/>
    <xf numFmtId="1" fontId="0" fillId="5" borderId="2" xfId="0" quotePrefix="1" applyNumberFormat="1" applyFont="1" applyFill="1" applyBorder="1" applyAlignment="1"/>
    <xf numFmtId="2" fontId="10" fillId="5" borderId="2" xfId="0" applyNumberFormat="1" applyFont="1" applyFill="1" applyBorder="1"/>
    <xf numFmtId="1" fontId="8" fillId="5" borderId="2" xfId="0" applyNumberFormat="1" applyFont="1" applyFill="1" applyBorder="1" applyAlignment="1"/>
    <xf numFmtId="0" fontId="8" fillId="5" borderId="2" xfId="0" applyFont="1" applyFill="1" applyBorder="1"/>
    <xf numFmtId="1" fontId="0" fillId="6" borderId="2" xfId="0" quotePrefix="1" applyNumberFormat="1" applyFont="1" applyFill="1" applyBorder="1" applyAlignment="1"/>
    <xf numFmtId="2" fontId="10" fillId="6" borderId="2" xfId="0" applyNumberFormat="1" applyFont="1" applyFill="1" applyBorder="1"/>
    <xf numFmtId="1" fontId="8" fillId="6" borderId="2" xfId="0" applyNumberFormat="1" applyFont="1" applyFill="1" applyBorder="1" applyAlignment="1"/>
    <xf numFmtId="0" fontId="8" fillId="6" borderId="2" xfId="0" applyFont="1" applyFill="1" applyBorder="1"/>
    <xf numFmtId="0" fontId="8" fillId="4" borderId="2" xfId="0" applyFont="1" applyFill="1" applyBorder="1" applyAlignment="1"/>
    <xf numFmtId="1" fontId="10" fillId="4" borderId="2" xfId="0" applyNumberFormat="1" applyFont="1" applyFill="1" applyBorder="1"/>
    <xf numFmtId="0" fontId="8" fillId="5" borderId="2" xfId="0" applyFont="1" applyFill="1" applyBorder="1" applyAlignment="1"/>
    <xf numFmtId="1" fontId="10" fillId="5" borderId="2" xfId="0" applyNumberFormat="1" applyFont="1" applyFill="1" applyBorder="1"/>
    <xf numFmtId="0" fontId="8" fillId="6" borderId="2" xfId="0" applyFont="1" applyFill="1" applyBorder="1" applyAlignment="1"/>
    <xf numFmtId="1" fontId="10" fillId="6" borderId="2" xfId="0" applyNumberFormat="1" applyFont="1" applyFill="1" applyBorder="1"/>
    <xf numFmtId="0" fontId="0" fillId="6" borderId="2" xfId="0" applyFont="1" applyFill="1" applyBorder="1" applyAlignment="1"/>
    <xf numFmtId="0" fontId="10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7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7" fillId="0" borderId="0" xfId="0" applyFont="1" applyAlignment="1"/>
    <xf numFmtId="0" fontId="18" fillId="0" borderId="1" xfId="1" applyNumberFormat="1"/>
    <xf numFmtId="2" fontId="8" fillId="0" borderId="0" xfId="0" applyNumberFormat="1" applyFont="1" applyFill="1"/>
    <xf numFmtId="2" fontId="0" fillId="0" borderId="0" xfId="0" applyNumberFormat="1" applyFont="1" applyFill="1" applyAlignment="1"/>
    <xf numFmtId="0" fontId="8" fillId="0" borderId="0" xfId="0" quotePrefix="1" applyFont="1"/>
    <xf numFmtId="0" fontId="20" fillId="0" borderId="1" xfId="0" applyFont="1" applyFill="1" applyBorder="1"/>
    <xf numFmtId="165" fontId="20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0" fillId="0" borderId="1" xfId="0" applyNumberFormat="1" applyFont="1" applyFill="1" applyBorder="1"/>
    <xf numFmtId="0" fontId="10" fillId="0" borderId="1" xfId="0" applyFont="1" applyFill="1" applyBorder="1" applyAlignment="1"/>
    <xf numFmtId="0" fontId="8" fillId="4" borderId="0" xfId="0" applyFont="1" applyFill="1" applyAlignment="1"/>
    <xf numFmtId="1" fontId="0" fillId="4" borderId="0" xfId="0" quotePrefix="1" applyNumberFormat="1" applyFont="1" applyFill="1" applyAlignment="1"/>
    <xf numFmtId="2" fontId="10" fillId="4" borderId="0" xfId="0" applyNumberFormat="1" applyFont="1" applyFill="1"/>
    <xf numFmtId="1" fontId="8" fillId="4" borderId="0" xfId="0" applyNumberFormat="1" applyFont="1" applyFill="1" applyAlignment="1"/>
    <xf numFmtId="2" fontId="8" fillId="4" borderId="0" xfId="0" applyNumberFormat="1" applyFont="1" applyFill="1"/>
    <xf numFmtId="0" fontId="8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0" fillId="4" borderId="0" xfId="0" applyNumberFormat="1" applyFont="1" applyFill="1" applyAlignment="1"/>
    <xf numFmtId="0" fontId="0" fillId="8" borderId="0" xfId="0" applyFont="1" applyFill="1" applyAlignment="1"/>
    <xf numFmtId="0" fontId="8" fillId="8" borderId="0" xfId="0" applyFont="1" applyFill="1"/>
    <xf numFmtId="0" fontId="10" fillId="9" borderId="1" xfId="0" applyFont="1" applyFill="1" applyBorder="1"/>
    <xf numFmtId="0" fontId="10" fillId="10" borderId="1" xfId="0" applyFont="1" applyFill="1" applyBorder="1"/>
    <xf numFmtId="0" fontId="20" fillId="9" borderId="1" xfId="0" applyFont="1" applyFill="1" applyBorder="1"/>
    <xf numFmtId="0" fontId="5" fillId="0" borderId="0" xfId="0" applyFont="1" applyAlignment="1"/>
    <xf numFmtId="16" fontId="6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4" fillId="4" borderId="2" xfId="0" applyFont="1" applyFill="1" applyBorder="1" applyAlignment="1"/>
    <xf numFmtId="0" fontId="4" fillId="5" borderId="2" xfId="0" applyFont="1" applyFill="1" applyBorder="1" applyAlignment="1"/>
    <xf numFmtId="0" fontId="4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0" fillId="9" borderId="1" xfId="2" applyFont="1" applyFill="1" applyBorder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" fontId="10" fillId="0" borderId="0" xfId="2" applyNumberFormat="1" applyFont="1"/>
    <xf numFmtId="0" fontId="3" fillId="0" borderId="0" xfId="0" applyFont="1" applyAlignment="1"/>
    <xf numFmtId="0" fontId="20" fillId="0" borderId="1" xfId="0" applyFont="1" applyFill="1" applyBorder="1" applyAlignment="1"/>
    <xf numFmtId="0" fontId="18" fillId="0" borderId="1" xfId="1" applyNumberFormat="1"/>
    <xf numFmtId="0" fontId="2" fillId="0" borderId="0" xfId="0" applyFont="1" applyAlignment="1"/>
    <xf numFmtId="0" fontId="0" fillId="11" borderId="0" xfId="0" applyFont="1" applyFill="1" applyAlignment="1"/>
    <xf numFmtId="0" fontId="14" fillId="11" borderId="0" xfId="0" applyFont="1" applyFill="1"/>
    <xf numFmtId="0" fontId="8" fillId="11" borderId="0" xfId="0" applyFont="1" applyFill="1" applyAlignment="1"/>
    <xf numFmtId="2" fontId="10" fillId="11" borderId="0" xfId="0" applyNumberFormat="1" applyFont="1" applyFill="1"/>
    <xf numFmtId="0" fontId="15" fillId="11" borderId="0" xfId="0" applyFont="1" applyFill="1" applyAlignment="1"/>
    <xf numFmtId="0" fontId="8" fillId="11" borderId="0" xfId="0" applyFont="1" applyFill="1"/>
    <xf numFmtId="0" fontId="8" fillId="0" borderId="0" xfId="0" applyFont="1" applyFill="1" applyAlignment="1"/>
    <xf numFmtId="0" fontId="19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2" fillId="13" borderId="7" xfId="0" applyFont="1" applyFill="1" applyBorder="1"/>
    <xf numFmtId="0" fontId="23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1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4" headerRowBorderDxfId="43" tableBorderDxfId="42" totalsRowBorderDxfId="41">
  <autoFilter ref="P7:AC23" xr:uid="{598ECA3B-99B4-4CAB-8F81-5D711AA5A7FC}"/>
  <tableColumns count="14">
    <tableColumn id="1" xr3:uid="{9B036617-5450-4894-9268-827D2E0914FF}" name="Scoring" dataDxfId="40"/>
    <tableColumn id="2" xr3:uid="{6662CE93-E9C4-47DE-9476-E46126825B0A}" name="Points" dataDxfId="39">
      <calculatedColumnFormula>Q29+Q48+Q67+AB29+AB48+AB67</calculatedColumnFormula>
    </tableColumn>
    <tableColumn id="3" xr3:uid="{8FDDFCB0-2692-4EB0-948C-7B877263B55B}" name="Average" dataDxfId="38">
      <calculatedColumnFormula>Table1[[#This Row],[Points]]/($Q$5-Table1[[#This Row],[Missed Games]])</calculatedColumnFormula>
    </tableColumn>
    <tableColumn id="4" xr3:uid="{CC3F9B31-1857-48FB-A18B-CBC82C117BF4}" name="Finishes" dataDxfId="37">
      <calculatedColumnFormula>S29+S48+S67+AD29+AD48+AD67</calculatedColumnFormula>
    </tableColumn>
    <tableColumn id="5" xr3:uid="{5F324C66-956D-4EDC-870F-8EDE96C328C8}" name="Averages" dataDxfId="36">
      <calculatedColumnFormula>Table1[[#This Row],[Finishes]]/($Q$5-Table1[[#This Row],[Missed Games]])</calculatedColumnFormula>
    </tableColumn>
    <tableColumn id="6" xr3:uid="{80C6E15E-675D-4F58-AA26-27226F1CE373}" name="Midranges" dataDxfId="35">
      <calculatedColumnFormula>U29+U48+U67+AF29+AF48+AF67</calculatedColumnFormula>
    </tableColumn>
    <tableColumn id="7" xr3:uid="{8E7E6B37-23A0-4556-8839-B9D7834E3E68}" name="Averages2" dataDxfId="34">
      <calculatedColumnFormula>Table1[[#This Row],[Midranges]]/($Q$5-Table1[[#This Row],[Missed Games]])</calculatedColumnFormula>
    </tableColumn>
    <tableColumn id="8" xr3:uid="{8B28715D-E310-4E1F-B9F0-F58F7C70E830}" name="Threes" dataDxfId="33">
      <calculatedColumnFormula>W29+W48+W67+AH29+AH48+AH67</calculatedColumnFormula>
    </tableColumn>
    <tableColumn id="9" xr3:uid="{E0C0BF1C-40E8-4137-8E0F-BB238D651DAE}" name="Averages3" dataDxfId="32">
      <calculatedColumnFormula>Table1[[#This Row],[Threes]]/($Q$5-Table1[[#This Row],[Missed Games]])</calculatedColumnFormula>
    </tableColumn>
    <tableColumn id="10" xr3:uid="{1C75F230-74E0-47EE-BF13-C22289FE0F87}" name="Team" dataDxfId="31"/>
    <tableColumn id="11" xr3:uid="{E167D7FA-56F9-4571-B292-FF3869585F59}" name="Missed Games" dataDxfId="30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19" dataDxfId="18">
  <autoFilter ref="AC3:AN19" xr:uid="{587B90AE-8257-4DD1-B916-54A097BDCDB9}"/>
  <tableColumns count="12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  <tableColumn id="12" xr3:uid="{742E8670-21C2-4869-AA29-5DA804B8B38D}" name="Finals" dataDxfId="7">
      <calculatedColumnFormula>'Finals 1'!AD3+'Finals 2'!AD3+'Finals 1'!AE3+'Finals 2'!AE3+'Finals 1'!AF3+'Finals 2'!AF3</calculatedColumnFormula>
    </tableColumn>
    <tableColumn id="11" xr3:uid="{F325370A-84E1-41B4-8F12-F0AC604FD02D}" name="Finals Other" dataDxfId="6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5" tableBorderDxfId="4" totalsRowBorderDxfId="3">
  <autoFilter ref="AS3:AU19" xr:uid="{0ED39273-60CB-41AA-AA4F-D6451E6D6C52}"/>
  <tableColumns count="3">
    <tableColumn id="1" xr3:uid="{8E192C0D-F91A-43F5-B05F-D7DED980557D}" name="Scoring" dataDxfId="2"/>
    <tableColumn id="2" xr3:uid="{98A07CA9-2201-49DA-9BBF-25BAE333D261}" name="Finals" dataDxfId="1"/>
    <tableColumn id="3" xr3:uid="{C47456D8-F4DE-4131-8DEA-B0CC10B5E74A}" name="Finals 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0.4375</v>
      </c>
      <c r="E3" s="1">
        <f>'Stats Global'!Q8</f>
        <v>7</v>
      </c>
      <c r="F3" s="14">
        <f>'Stats Global'!T8</f>
        <v>0.125</v>
      </c>
      <c r="G3" s="24">
        <f>'Stats Global'!S8</f>
        <v>2</v>
      </c>
      <c r="H3" s="14">
        <f>'Stats Global'!V8</f>
        <v>0.3125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0.6428571428571429</v>
      </c>
      <c r="E4" s="24">
        <f>'Stats Global'!Q9</f>
        <v>9</v>
      </c>
      <c r="F4" s="14">
        <f>'Stats Global'!T9</f>
        <v>0.42857142857142855</v>
      </c>
      <c r="G4" s="24">
        <f>'Stats Global'!S9</f>
        <v>6</v>
      </c>
      <c r="H4" s="14">
        <f>'Stats Global'!V9</f>
        <v>0.21428571428571427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3.1538461538461537</v>
      </c>
      <c r="E5" s="24">
        <f>'Stats Global'!Q10</f>
        <v>41</v>
      </c>
      <c r="F5" s="14">
        <f>'Stats Global'!T10</f>
        <v>3.0769230769230771</v>
      </c>
      <c r="G5" s="24">
        <f>'Stats Global'!S10</f>
        <v>40</v>
      </c>
      <c r="H5" s="14">
        <f>'Stats Global'!V10</f>
        <v>7.6923076923076927E-2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</v>
      </c>
      <c r="E6" s="24">
        <f>'Stats Global'!Q11</f>
        <v>42</v>
      </c>
      <c r="F6" s="14">
        <f>'Stats Global'!T11</f>
        <v>2.6</v>
      </c>
      <c r="G6" s="24">
        <f>'Stats Global'!S11</f>
        <v>39</v>
      </c>
      <c r="H6" s="14">
        <f>'Stats Global'!V11</f>
        <v>0.2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2.125</v>
      </c>
      <c r="E7" s="24">
        <f>'Stats Global'!Q12</f>
        <v>34</v>
      </c>
      <c r="F7" s="14">
        <f>'Stats Global'!T12</f>
        <v>0.5625</v>
      </c>
      <c r="G7" s="24">
        <f>'Stats Global'!S12</f>
        <v>9</v>
      </c>
      <c r="H7" s="14">
        <f>'Stats Global'!V12</f>
        <v>0.8125</v>
      </c>
      <c r="I7" s="24">
        <f>'Stats Global'!U12</f>
        <v>13</v>
      </c>
      <c r="J7" s="14">
        <f>'Stats Global'!X12</f>
        <v>0.375</v>
      </c>
      <c r="K7" s="24">
        <f>'Stats Global'!W12</f>
        <v>6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1.1538461538461537</v>
      </c>
      <c r="E8" s="24">
        <f>'Stats Global'!Q13</f>
        <v>15</v>
      </c>
      <c r="F8" s="14">
        <f>'Stats Global'!T13</f>
        <v>0.69230769230769229</v>
      </c>
      <c r="G8" s="24">
        <f>'Stats Global'!S13</f>
        <v>9</v>
      </c>
      <c r="H8" s="14">
        <f>'Stats Global'!V13</f>
        <v>0.46153846153846156</v>
      </c>
      <c r="I8" s="24">
        <f>'Stats Global'!U13</f>
        <v>6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1.6875</v>
      </c>
      <c r="E9" s="24">
        <f>'Stats Global'!Q14</f>
        <v>27</v>
      </c>
      <c r="F9" s="14">
        <f>'Stats Global'!T14</f>
        <v>0.3125</v>
      </c>
      <c r="G9" s="24">
        <f>'Stats Global'!S14</f>
        <v>5</v>
      </c>
      <c r="H9" s="14">
        <f>'Stats Global'!V14</f>
        <v>0.125</v>
      </c>
      <c r="I9" s="24">
        <f>'Stats Global'!U14</f>
        <v>2</v>
      </c>
      <c r="J9" s="14">
        <f>'Stats Global'!X14</f>
        <v>0.625</v>
      </c>
      <c r="K9" s="24">
        <f>'Stats Global'!W14</f>
        <v>10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1.4375</v>
      </c>
      <c r="E10" s="24">
        <f>'Stats Global'!Q15</f>
        <v>23</v>
      </c>
      <c r="F10" s="14">
        <f>'Stats Global'!T15</f>
        <v>0.375</v>
      </c>
      <c r="G10" s="24">
        <f>'Stats Global'!S15</f>
        <v>6</v>
      </c>
      <c r="H10" s="14">
        <f>'Stats Global'!V15</f>
        <v>1.0625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2.3571428571428572</v>
      </c>
      <c r="E11" s="24">
        <f>'Stats Global'!Q16</f>
        <v>33</v>
      </c>
      <c r="F11" s="14">
        <f>'Stats Global'!T16</f>
        <v>0.5</v>
      </c>
      <c r="G11" s="24">
        <f>'Stats Global'!S16</f>
        <v>7</v>
      </c>
      <c r="H11" s="14">
        <f>'Stats Global'!V16</f>
        <v>1.7142857142857142</v>
      </c>
      <c r="I11" s="24">
        <f>'Stats Global'!U16</f>
        <v>24</v>
      </c>
      <c r="J11" s="14">
        <f>'Stats Global'!X16</f>
        <v>7.1428571428571425E-2</v>
      </c>
      <c r="K11" s="24">
        <f>'Stats Global'!W16</f>
        <v>1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</v>
      </c>
      <c r="E12" s="24">
        <f>'Stats Global'!Q17</f>
        <v>12</v>
      </c>
      <c r="F12" s="14">
        <f>'Stats Global'!T17</f>
        <v>0.13333333333333333</v>
      </c>
      <c r="G12" s="24">
        <f>'Stats Global'!S17</f>
        <v>2</v>
      </c>
      <c r="H12" s="14">
        <f>'Stats Global'!V17</f>
        <v>0.66666666666666663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1.1428571428571428</v>
      </c>
      <c r="E13" s="24">
        <f>'Stats Global'!Q18</f>
        <v>16</v>
      </c>
      <c r="F13" s="14">
        <f>'Stats Global'!T18</f>
        <v>0.5714285714285714</v>
      </c>
      <c r="G13" s="24">
        <f>'Stats Global'!S18</f>
        <v>8</v>
      </c>
      <c r="H13" s="14">
        <f>'Stats Global'!V18</f>
        <v>0.14285714285714285</v>
      </c>
      <c r="I13" s="24">
        <f>'Stats Global'!U18</f>
        <v>2</v>
      </c>
      <c r="J13" s="14">
        <f>'Stats Global'!X18</f>
        <v>0.21428571428571427</v>
      </c>
      <c r="K13" s="24">
        <f>'Stats Global'!W18</f>
        <v>3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</v>
      </c>
      <c r="E14" s="24">
        <f>'Stats Global'!Q19</f>
        <v>16</v>
      </c>
      <c r="F14" s="14">
        <f>'Stats Global'!T19</f>
        <v>0.4375</v>
      </c>
      <c r="G14" s="24">
        <f>'Stats Global'!S19</f>
        <v>7</v>
      </c>
      <c r="H14" s="14">
        <f>'Stats Global'!V19</f>
        <v>0.5625</v>
      </c>
      <c r="I14" s="24">
        <f>'Stats Global'!U19</f>
        <v>9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2.3076923076923075</v>
      </c>
      <c r="E15" s="24">
        <f>'Stats Global'!Q20</f>
        <v>30</v>
      </c>
      <c r="F15" s="14">
        <f>'Stats Global'!T20</f>
        <v>1.4615384615384615</v>
      </c>
      <c r="G15" s="24">
        <f>'Stats Global'!S20</f>
        <v>19</v>
      </c>
      <c r="H15" s="14">
        <f>'Stats Global'!V20</f>
        <v>0.38461538461538464</v>
      </c>
      <c r="I15" s="24">
        <f>'Stats Global'!U20</f>
        <v>5</v>
      </c>
      <c r="J15" s="14">
        <f>'Stats Global'!X20</f>
        <v>0.23076923076923078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0.125</v>
      </c>
      <c r="E16" s="24">
        <f>'Stats Global'!Q21</f>
        <v>2</v>
      </c>
      <c r="F16" s="14">
        <f>'Stats Global'!T21</f>
        <v>0.125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0.625</v>
      </c>
      <c r="E17" s="24">
        <f>'Stats Global'!Q22</f>
        <v>10</v>
      </c>
      <c r="F17" s="14">
        <f>'Stats Global'!T22</f>
        <v>0.25</v>
      </c>
      <c r="G17" s="24">
        <f>'Stats Global'!S22</f>
        <v>4</v>
      </c>
      <c r="H17" s="14">
        <f>'Stats Global'!V22</f>
        <v>0.25</v>
      </c>
      <c r="I17" s="24">
        <f>'Stats Global'!U22</f>
        <v>4</v>
      </c>
      <c r="J17" s="14">
        <f>'Stats Global'!X22</f>
        <v>6.25E-2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0.26666666666666666</v>
      </c>
      <c r="E18" s="24">
        <f>'Stats Global'!Q23</f>
        <v>4</v>
      </c>
      <c r="F18" s="14">
        <f>'Stats Global'!T23</f>
        <v>0.2</v>
      </c>
      <c r="G18" s="24">
        <f>'Stats Global'!S23</f>
        <v>3</v>
      </c>
      <c r="H18" s="14">
        <f>'Stats Global'!V23</f>
        <v>6.6666666666666666E-2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67" t="s">
        <v>159</v>
      </c>
      <c r="M20" s="167"/>
      <c r="N20" s="16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67"/>
      <c r="M21" s="167"/>
      <c r="N21" s="167"/>
      <c r="X21" s="3" t="s">
        <v>85</v>
      </c>
    </row>
    <row r="22" spans="2:24" ht="14.25" customHeight="1" x14ac:dyDescent="0.45">
      <c r="B22" s="4"/>
      <c r="D22" s="41" t="str">
        <f>ROUND(D3,2)&amp;","</f>
        <v>0.44,</v>
      </c>
      <c r="E22" s="41" t="str">
        <f>E3&amp;","</f>
        <v>7,</v>
      </c>
      <c r="F22" s="41" t="str">
        <f t="shared" ref="F22:F37" si="2">ROUND(F3,2)&amp;","</f>
        <v>0.13,</v>
      </c>
      <c r="G22" s="41" t="str">
        <f t="shared" ref="G22:G36" si="3">G3&amp;","</f>
        <v>2,</v>
      </c>
      <c r="H22" s="41" t="str">
        <f t="shared" ref="H22:H37" si="4">ROUND(H3,2)&amp;","</f>
        <v>0.31,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"PPG":[0.44,0.64,3.15,2.8,2.13,1.15,1.69,1.44,2.36,0.8,1.14,1,2.31,0.13,0.63,0.27,],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0.64,</v>
      </c>
      <c r="E23" s="41" t="str">
        <f t="shared" ref="E23:E37" si="9">E4&amp;","</f>
        <v>9,</v>
      </c>
      <c r="F23" s="41" t="str">
        <f t="shared" si="2"/>
        <v>0.43,</v>
      </c>
      <c r="G23" s="41" t="str">
        <f t="shared" si="3"/>
        <v>6,</v>
      </c>
      <c r="H23" s="41" t="str">
        <f t="shared" si="4"/>
        <v>0.21,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"TP":[7,9,41,42,34,15,27,23,33,12,16,16,30,2,10,4,],</v>
      </c>
      <c r="X23" s="3" t="s">
        <v>87</v>
      </c>
    </row>
    <row r="24" spans="2:24" ht="14.25" customHeight="1" x14ac:dyDescent="0.45">
      <c r="D24" s="41" t="str">
        <f t="shared" si="8"/>
        <v>3.15,</v>
      </c>
      <c r="E24" s="41" t="str">
        <f t="shared" si="9"/>
        <v>41,</v>
      </c>
      <c r="F24" s="41" t="str">
        <f t="shared" si="2"/>
        <v>3.08,</v>
      </c>
      <c r="G24" s="41" t="str">
        <f t="shared" si="3"/>
        <v>40,</v>
      </c>
      <c r="H24" s="41" t="str">
        <f t="shared" si="4"/>
        <v>0.08,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"FPG":[0.13,0.43,3.08,2.6,0.56,0.69,0.31,0.38,0.5,0.13,0.57,0.44,1.46,0.13,0.25,0.2,],</v>
      </c>
      <c r="X24" s="40" t="s">
        <v>107</v>
      </c>
    </row>
    <row r="25" spans="2:24" ht="14.25" customHeight="1" x14ac:dyDescent="0.45">
      <c r="D25" s="41" t="str">
        <f t="shared" si="8"/>
        <v>2.8,</v>
      </c>
      <c r="E25" s="41" t="str">
        <f t="shared" si="9"/>
        <v>42,</v>
      </c>
      <c r="F25" s="41" t="str">
        <f t="shared" si="2"/>
        <v>2.6,</v>
      </c>
      <c r="G25" s="41" t="str">
        <f t="shared" si="3"/>
        <v>39,</v>
      </c>
      <c r="H25" s="41" t="str">
        <f t="shared" si="4"/>
        <v>0.2,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"TF":[2,6,40,39,9,9,5,6,7,2,8,7,19,2,4,3],</v>
      </c>
    </row>
    <row r="26" spans="2:24" ht="14.25" customHeight="1" x14ac:dyDescent="0.45">
      <c r="D26" s="41" t="str">
        <f t="shared" si="8"/>
        <v>2.13,</v>
      </c>
      <c r="E26" s="41" t="str">
        <f t="shared" si="9"/>
        <v>34,</v>
      </c>
      <c r="F26" s="41" t="str">
        <f t="shared" si="2"/>
        <v>0.56,</v>
      </c>
      <c r="G26" s="41" t="str">
        <f t="shared" si="3"/>
        <v>9,</v>
      </c>
      <c r="H26" s="41" t="str">
        <f t="shared" si="4"/>
        <v>0.81,</v>
      </c>
      <c r="I26" s="41" t="str">
        <f t="shared" si="5"/>
        <v>13,</v>
      </c>
      <c r="J26" s="41" t="str">
        <f t="shared" si="6"/>
        <v>0.38,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"MPG":[0.31,0.21,0.08,0.2,0.81,0.46,0.13,1.06,1.71,0.67,0.14,0.56,0.38,0,0.25,0.07,],</v>
      </c>
    </row>
    <row r="27" spans="2:24" ht="14.25" customHeight="1" x14ac:dyDescent="0.45">
      <c r="D27" s="41" t="str">
        <f t="shared" si="8"/>
        <v>1.15,</v>
      </c>
      <c r="E27" s="41" t="str">
        <f t="shared" si="9"/>
        <v>15,</v>
      </c>
      <c r="F27" s="41" t="str">
        <f t="shared" si="2"/>
        <v>0.69,</v>
      </c>
      <c r="G27" s="41" t="str">
        <f t="shared" si="3"/>
        <v>9,</v>
      </c>
      <c r="H27" s="41" t="str">
        <f t="shared" si="4"/>
        <v>0.46,</v>
      </c>
      <c r="I27" s="41" t="str">
        <f t="shared" si="5"/>
        <v>6,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"TM":[5,3,1,3,13,6,2,17,24,10,2,9,5,0,4,1],</v>
      </c>
    </row>
    <row r="28" spans="2:24" ht="14.25" customHeight="1" x14ac:dyDescent="0.45">
      <c r="D28" s="41" t="str">
        <f t="shared" si="8"/>
        <v>1.69,</v>
      </c>
      <c r="E28" s="41" t="str">
        <f t="shared" si="9"/>
        <v>27,</v>
      </c>
      <c r="F28" s="41" t="str">
        <f t="shared" si="2"/>
        <v>0.31,</v>
      </c>
      <c r="G28" s="41" t="str">
        <f t="shared" si="3"/>
        <v>5,</v>
      </c>
      <c r="H28" s="41" t="str">
        <f t="shared" si="4"/>
        <v>0.13,</v>
      </c>
      <c r="I28" s="41" t="str">
        <f t="shared" si="5"/>
        <v>2,</v>
      </c>
      <c r="J28" s="41" t="str">
        <f t="shared" si="6"/>
        <v>0.63,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"TPG":[0,0,0,0,0.38,0,0.63,0,0.07,0,0.21,0,0.23,0,0.06,0,],</v>
      </c>
    </row>
    <row r="29" spans="2:24" ht="14.25" customHeight="1" x14ac:dyDescent="0.45">
      <c r="D29" s="41" t="str">
        <f t="shared" si="8"/>
        <v>1.44,</v>
      </c>
      <c r="E29" s="41" t="str">
        <f t="shared" si="9"/>
        <v>23,</v>
      </c>
      <c r="F29" s="41" t="str">
        <f t="shared" si="2"/>
        <v>0.38,</v>
      </c>
      <c r="G29" s="41" t="str">
        <f t="shared" si="3"/>
        <v>6,</v>
      </c>
      <c r="H29" s="41" t="str">
        <f t="shared" si="4"/>
        <v>1.06,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"TT":[0,0,0,0,6,0,10,0,1,0,3,0,3,0,1,0],</v>
      </c>
    </row>
    <row r="30" spans="2:24" ht="14.25" customHeight="1" x14ac:dyDescent="0.45">
      <c r="C30" s="41"/>
      <c r="D30" s="41" t="str">
        <f t="shared" si="8"/>
        <v>2.36,</v>
      </c>
      <c r="E30" s="41" t="str">
        <f t="shared" si="9"/>
        <v>33,</v>
      </c>
      <c r="F30" s="41" t="str">
        <f t="shared" si="2"/>
        <v>0.5,</v>
      </c>
      <c r="G30" s="41" t="str">
        <f t="shared" si="3"/>
        <v>7,</v>
      </c>
      <c r="H30" s="41" t="str">
        <f t="shared" si="4"/>
        <v>1.71,</v>
      </c>
      <c r="I30" s="41" t="str">
        <f t="shared" si="5"/>
        <v>24,</v>
      </c>
      <c r="J30" s="41" t="str">
        <f t="shared" si="6"/>
        <v>0.07,</v>
      </c>
      <c r="K30" s="41" t="str">
        <f t="shared" si="7"/>
        <v>1,</v>
      </c>
      <c r="L30" t="str">
        <f>CHAR(34)&amp;"NBAMODENUMBER"&amp;CHAR(34)&amp;":["&amp;ROUND(L31,2)&amp;"],"</f>
        <v>"NBAMODENUMBER":[12.92],</v>
      </c>
    </row>
    <row r="31" spans="2:24" ht="14.25" customHeight="1" x14ac:dyDescent="0.45">
      <c r="C31" s="41"/>
      <c r="D31" s="41" t="str">
        <f t="shared" si="8"/>
        <v>0.8,</v>
      </c>
      <c r="E31" s="41" t="str">
        <f t="shared" si="9"/>
        <v>12,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0.67,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12.917900643985698</v>
      </c>
    </row>
    <row r="32" spans="2:24" ht="14.25" customHeight="1" x14ac:dyDescent="0.45">
      <c r="C32" s="41"/>
      <c r="D32" s="41" t="str">
        <f t="shared" si="8"/>
        <v>1.14,</v>
      </c>
      <c r="E32" s="41" t="str">
        <f t="shared" si="9"/>
        <v>16,</v>
      </c>
      <c r="F32" s="41" t="str">
        <f t="shared" si="2"/>
        <v>0.57,</v>
      </c>
      <c r="G32" s="41" t="str">
        <f t="shared" si="3"/>
        <v>8,</v>
      </c>
      <c r="H32" s="41" t="str">
        <f t="shared" si="4"/>
        <v>0.14,</v>
      </c>
      <c r="I32" s="41" t="str">
        <f t="shared" si="5"/>
        <v>2,</v>
      </c>
      <c r="J32" s="41" t="str">
        <f t="shared" si="6"/>
        <v>0.21,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1,</v>
      </c>
      <c r="E33" s="41" t="str">
        <f t="shared" si="9"/>
        <v>16,</v>
      </c>
      <c r="F33" s="41" t="str">
        <f t="shared" si="2"/>
        <v>0.44,</v>
      </c>
      <c r="G33" s="41" t="str">
        <f t="shared" si="3"/>
        <v>7,</v>
      </c>
      <c r="H33" s="41" t="str">
        <f t="shared" si="4"/>
        <v>0.56,</v>
      </c>
      <c r="I33" s="41" t="str">
        <f t="shared" si="5"/>
        <v>9,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2.31,</v>
      </c>
      <c r="E34" s="41" t="str">
        <f t="shared" si="9"/>
        <v>30,</v>
      </c>
      <c r="F34" s="41" t="str">
        <f t="shared" si="2"/>
        <v>1.46,</v>
      </c>
      <c r="G34" s="41" t="str">
        <f t="shared" si="3"/>
        <v>19,</v>
      </c>
      <c r="H34" s="41" t="str">
        <f t="shared" si="4"/>
        <v>0.38,</v>
      </c>
      <c r="I34" s="41" t="str">
        <f t="shared" si="5"/>
        <v>5,</v>
      </c>
      <c r="J34" s="41" t="str">
        <f t="shared" si="6"/>
        <v>0.23,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0.13,</v>
      </c>
      <c r="E35" s="41" t="str">
        <f t="shared" si="9"/>
        <v>2,</v>
      </c>
      <c r="F35" s="41" t="str">
        <f t="shared" si="2"/>
        <v>0.13,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0.63,</v>
      </c>
      <c r="E36" s="41" t="str">
        <f t="shared" si="9"/>
        <v>10,</v>
      </c>
      <c r="F36" s="41" t="str">
        <f t="shared" si="2"/>
        <v>0.25,</v>
      </c>
      <c r="G36" s="41" t="str">
        <f t="shared" si="3"/>
        <v>4,</v>
      </c>
      <c r="H36" s="41" t="str">
        <f t="shared" si="4"/>
        <v>0.25,</v>
      </c>
      <c r="I36" s="41" t="str">
        <f t="shared" si="5"/>
        <v>4,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0.27,</v>
      </c>
      <c r="E37" s="41" t="str">
        <f t="shared" si="9"/>
        <v>4,</v>
      </c>
      <c r="F37" s="41" t="str">
        <f t="shared" si="2"/>
        <v>0.2,</v>
      </c>
      <c r="G37" s="41">
        <f>G18</f>
        <v>3</v>
      </c>
      <c r="H37" s="41" t="str">
        <f t="shared" si="4"/>
        <v>0.07,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A2" zoomScale="85" zoomScaleNormal="85" workbookViewId="0">
      <selection activeCell="F17" sqref="F17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Q26+Q46+Q65+AB26+AB46+AB65</f>
        <v>16</v>
      </c>
      <c r="AH5" s="168" t="s">
        <v>230</v>
      </c>
      <c r="AI5" s="168"/>
      <c r="AJ5" s="168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68"/>
      <c r="AI6" s="168"/>
      <c r="AJ6" s="168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5.7523162780617303E-2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0.4375</v>
      </c>
      <c r="S8" s="70">
        <f t="shared" ref="S8:S23" si="4">S29+S48+S67+AD29+AD48+AD67</f>
        <v>2</v>
      </c>
      <c r="T8" s="71">
        <f>Table1[[#This Row],[Finishes]]/($Q$5-Table1[[#This Row],[Missed Games]])</f>
        <v>0.125</v>
      </c>
      <c r="U8" s="70">
        <f t="shared" ref="U8:U23" si="5">U29+U48+U67+AF29+AF48+AF67</f>
        <v>5</v>
      </c>
      <c r="V8" s="71">
        <f>Table1[[#This Row],[Midranges]]/($Q$5-Table1[[#This Row],[Missed Games]])</f>
        <v>0.3125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2.1358732826952911E-2</v>
      </c>
      <c r="AC8" s="109">
        <f t="shared" ref="AC8:AC23" si="8">AB8-AA8</f>
        <v>5.6726799389529119E-3</v>
      </c>
      <c r="AE8" s="64" t="s">
        <v>132</v>
      </c>
      <c r="AF8" s="41">
        <f>MEDIAN(R14:R15,R19:R20,R22:R23)</f>
        <v>1.21875</v>
      </c>
      <c r="AH8" s="136" t="s">
        <v>59</v>
      </c>
      <c r="AI8" s="139">
        <f>(T9+V9+X9)/SUM(T$9,V$9,X$9,T$11:T$13,V$11:V$13,X$11:X$13,T$21,V$21,X$21)</f>
        <v>9.9333531434393149E-2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0.6428571428571429</v>
      </c>
      <c r="S9" s="74">
        <f t="shared" si="4"/>
        <v>6</v>
      </c>
      <c r="T9" s="75">
        <f>Table1[[#This Row],[Finishes]]/($Q$5-Table1[[#This Row],[Missed Games]])</f>
        <v>0.42857142857142855</v>
      </c>
      <c r="U9" s="74">
        <f t="shared" si="5"/>
        <v>3</v>
      </c>
      <c r="V9" s="75">
        <f>Table1[[#This Row],[Midranges]]/($Q$5-Table1[[#This Row],[Missed Games]])</f>
        <v>0.21428571428571427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3.1384260480420603E-2</v>
      </c>
      <c r="AC9" s="109">
        <f t="shared" si="8"/>
        <v>3.9336679264206052E-3</v>
      </c>
      <c r="AE9" s="64" t="s">
        <v>133</v>
      </c>
      <c r="AF9" s="41">
        <f>MEDIAN(R9,R11:R13,R21)</f>
        <v>1.1538461538461537</v>
      </c>
      <c r="AH9" s="135" t="s">
        <v>62</v>
      </c>
      <c r="AI9" s="138">
        <f>(T10+V10+X10)/SUM($T$8,V$8,X$8,T$10,V$10,X$10,T$16,V$16,X$16,T$17,V$17,X$17,T$18,V$18,X$18)</f>
        <v>0.4146724701547797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41</v>
      </c>
      <c r="R10" s="69">
        <f>Table1[[#This Row],[Points]]/($Q$5-Table1[[#This Row],[Missed Games]])</f>
        <v>3.1538461538461537</v>
      </c>
      <c r="S10" s="70">
        <f t="shared" si="4"/>
        <v>40</v>
      </c>
      <c r="T10" s="71">
        <f>Table1[[#This Row],[Finishes]]/($Q$5-Table1[[#This Row],[Missed Games]])</f>
        <v>3.0769230769230771</v>
      </c>
      <c r="U10" s="70">
        <f t="shared" si="5"/>
        <v>1</v>
      </c>
      <c r="V10" s="71">
        <f>Table1[[#This Row],[Midranges]]/($Q$5-Table1[[#This Row],[Missed Games]])</f>
        <v>7.6923076923076927E-2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0.15397064543385836</v>
      </c>
      <c r="AC10" s="109">
        <f t="shared" si="8"/>
        <v>3.2401719867858364E-2</v>
      </c>
      <c r="AE10" s="64" t="s">
        <v>134</v>
      </c>
      <c r="AF10" s="41">
        <f>MEDIAN(R8,R10,R16:R18)</f>
        <v>1.1428571428571428</v>
      </c>
      <c r="AH10" s="136" t="s">
        <v>65</v>
      </c>
      <c r="AI10" s="139">
        <f>(T11+V11+X11)/SUM(T$9,V$9,X$9,T$11:T$13,V$11:V$13,X$11:X$13,T$21,V$21,X$21)</f>
        <v>0.4326527146920236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42</v>
      </c>
      <c r="R11" s="73">
        <f>Table1[[#This Row],[Points]]/($Q$5-Table1[[#This Row],[Missed Games]])</f>
        <v>2.8</v>
      </c>
      <c r="S11" s="74">
        <f t="shared" si="4"/>
        <v>39</v>
      </c>
      <c r="T11" s="75">
        <f>Table1[[#This Row],[Finishes]]/($Q$5-Table1[[#This Row],[Missed Games]])</f>
        <v>2.6</v>
      </c>
      <c r="U11" s="74">
        <f t="shared" si="5"/>
        <v>3</v>
      </c>
      <c r="V11" s="75">
        <f>Table1[[#This Row],[Midranges]]/($Q$5-Table1[[#This Row],[Missed Games]])</f>
        <v>0.2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0.13669589009249863</v>
      </c>
      <c r="AC11" s="109">
        <f t="shared" si="8"/>
        <v>1.1205451304498654E-2</v>
      </c>
      <c r="AE11" s="64"/>
      <c r="AH11" s="136" t="s">
        <v>68</v>
      </c>
      <c r="AI11" s="139">
        <f>(T12+V12+X12)/SUM(T$9,V$9,X$9,T$11:T$13,V$11:V$13,X$11:X$13,T$21,V$21,X$21)</f>
        <v>0.27040794668251472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34</v>
      </c>
      <c r="R12" s="73">
        <f>Table1[[#This Row],[Points]]/($Q$5-Table1[[#This Row],[Missed Games]])</f>
        <v>2.125</v>
      </c>
      <c r="S12" s="74">
        <f t="shared" si="4"/>
        <v>9</v>
      </c>
      <c r="T12" s="75">
        <f>Table1[[#This Row],[Finishes]]/($Q$5-Table1[[#This Row],[Missed Games]])</f>
        <v>0.5625</v>
      </c>
      <c r="U12" s="74">
        <f t="shared" si="5"/>
        <v>13</v>
      </c>
      <c r="V12" s="75">
        <f>Table1[[#This Row],[Midranges]]/($Q$5-Table1[[#This Row],[Missed Games]])</f>
        <v>0.8125</v>
      </c>
      <c r="W12" s="74">
        <f t="shared" si="6"/>
        <v>6</v>
      </c>
      <c r="X12" s="75">
        <f>Table1[[#This Row],[Threes]]/($Q$5-Table1[[#This Row],[Missed Games]])</f>
        <v>0.375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8.5434931307811643E-2</v>
      </c>
      <c r="AC12" s="109">
        <f t="shared" si="8"/>
        <v>3.0532738357811652E-2</v>
      </c>
      <c r="AE12" s="64"/>
      <c r="AH12" s="136" t="s">
        <v>71</v>
      </c>
      <c r="AI12" s="139">
        <f>(T13+V13+X13)/SUM(T$9,V$9,X$9,T$11:T$13,V$11:V$13,X$11:X$13,T$21,V$21,X$21)</f>
        <v>0.1782909538566031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15</v>
      </c>
      <c r="R13" s="73">
        <f>Table1[[#This Row],[Points]]/($Q$5-Table1[[#This Row],[Missed Games]])</f>
        <v>1.1538461538461537</v>
      </c>
      <c r="S13" s="74">
        <f t="shared" si="4"/>
        <v>9</v>
      </c>
      <c r="T13" s="75">
        <f>Table1[[#This Row],[Finishes]]/($Q$5-Table1[[#This Row],[Missed Games]])</f>
        <v>0.69230769230769229</v>
      </c>
      <c r="U13" s="74">
        <f t="shared" si="5"/>
        <v>6</v>
      </c>
      <c r="V13" s="75">
        <f>Table1[[#This Row],[Midranges]]/($Q$5-Table1[[#This Row],[Missed Games]])</f>
        <v>0.46153846153846156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5.6330723939216461E-2</v>
      </c>
      <c r="AC13" s="109">
        <f t="shared" si="8"/>
        <v>-4.562962767478352E-2</v>
      </c>
      <c r="AE13" s="64"/>
      <c r="AH13" s="137" t="s">
        <v>75</v>
      </c>
      <c r="AI13" s="140">
        <f>SUM(T14,V14,X14)/SUM(T$14,V$14,X$14,T$15,V$15,X$15,T$19:T$20,V$19:V$20,X$19:X$20,T$22:T$23,V$22:V$23,X$22:X$23)</f>
        <v>0.16585780757492369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27</v>
      </c>
      <c r="R14" s="77">
        <f>Table1[[#This Row],[Points]]/($Q$5-Table1[[#This Row],[Missed Games]])</f>
        <v>1.6875</v>
      </c>
      <c r="S14" s="78">
        <f t="shared" si="4"/>
        <v>5</v>
      </c>
      <c r="T14" s="79">
        <f>Table1[[#This Row],[Finishes]]/($Q$5-Table1[[#This Row],[Missed Games]])</f>
        <v>0.3125</v>
      </c>
      <c r="U14" s="78">
        <f t="shared" si="5"/>
        <v>2</v>
      </c>
      <c r="V14" s="79">
        <f>Table1[[#This Row],[Midranges]]/($Q$5-Table1[[#This Row],[Missed Games]])</f>
        <v>0.125</v>
      </c>
      <c r="W14" s="78">
        <f t="shared" si="6"/>
        <v>10</v>
      </c>
      <c r="X14" s="79">
        <f>Table1[[#This Row],[Threes]]/($Q$5-Table1[[#This Row],[Missed Games]])</f>
        <v>0.625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5.1871208294028498E-2</v>
      </c>
      <c r="AC14" s="109">
        <f t="shared" si="8"/>
        <v>1.2655068232028499E-2</v>
      </c>
      <c r="AE14" s="64"/>
      <c r="AH14" s="137" t="s">
        <v>78</v>
      </c>
      <c r="AI14" s="140">
        <f>SUM(T15,V15,X15)/SUM(T$14,V$14,X$14,T$15,V$15,X$15,T$19:T$20,V$19:V$20,X$19:X$20,T$22:T$23,V$22:V$23,X$22:X$23)</f>
        <v>0.2243958573072497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23</v>
      </c>
      <c r="R15" s="77">
        <f>Table1[[#This Row],[Points]]/($Q$5-Table1[[#This Row],[Missed Games]])</f>
        <v>1.4375</v>
      </c>
      <c r="S15" s="78">
        <f t="shared" si="4"/>
        <v>6</v>
      </c>
      <c r="T15" s="79">
        <f>Table1[[#This Row],[Finishes]]/($Q$5-Table1[[#This Row],[Missed Games]])</f>
        <v>0.375</v>
      </c>
      <c r="U15" s="78">
        <f t="shared" si="5"/>
        <v>17</v>
      </c>
      <c r="V15" s="79">
        <f>Table1[[#This Row],[Midranges]]/($Q$5-Table1[[#This Row],[Missed Games]])</f>
        <v>1.0625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7.0178693574273851E-2</v>
      </c>
      <c r="AC15" s="109">
        <f t="shared" si="8"/>
        <v>-5.531174521372613E-2</v>
      </c>
      <c r="AE15" s="64"/>
      <c r="AH15" s="135" t="s">
        <v>80</v>
      </c>
      <c r="AI15" s="138">
        <f>(T16+V16+X16)/SUM($T$8,V$8,X$8,T$10,V$10,X$10,T$16,V$16,X$16,T$17,V$17,X$17,T$18,V$18,X$18)</f>
        <v>0.30052917697628634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33</v>
      </c>
      <c r="R16" s="69">
        <f>Table1[[#This Row],[Points]]/($Q$5-Table1[[#This Row],[Missed Games]])</f>
        <v>2.3571428571428572</v>
      </c>
      <c r="S16" s="70">
        <f t="shared" si="4"/>
        <v>7</v>
      </c>
      <c r="T16" s="71">
        <f>Table1[[#This Row],[Finishes]]/($Q$5-Table1[[#This Row],[Missed Games]])</f>
        <v>0.5</v>
      </c>
      <c r="U16" s="70">
        <f t="shared" si="5"/>
        <v>24</v>
      </c>
      <c r="V16" s="71">
        <f>Table1[[#This Row],[Midranges]]/($Q$5-Table1[[#This Row],[Missed Games]])</f>
        <v>1.7142857142857142</v>
      </c>
      <c r="W16" s="70">
        <f t="shared" si="6"/>
        <v>1</v>
      </c>
      <c r="X16" s="71">
        <f>Table1[[#This Row],[Threes]]/($Q$5-Table1[[#This Row],[Missed Games]])</f>
        <v>7.1428571428571425E-2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0.11158848170816216</v>
      </c>
      <c r="AC16" s="109">
        <f t="shared" si="8"/>
        <v>1.3549643316162166E-2</v>
      </c>
      <c r="AE16" s="64"/>
      <c r="AH16" s="135" t="s">
        <v>81</v>
      </c>
      <c r="AI16" s="138">
        <f>(T17+V17+X17)/SUM($T$8,V$8,X$8,T$10,V$10,X$10,T$16,V$16,X$16,T$17,V$17,X$17,T$18,V$18,X$18)</f>
        <v>0.1051852119417002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12</v>
      </c>
      <c r="R17" s="69">
        <f>Table1[[#This Row],[Points]]/($Q$5-Table1[[#This Row],[Missed Games]])</f>
        <v>0.8</v>
      </c>
      <c r="S17" s="70">
        <f t="shared" si="4"/>
        <v>2</v>
      </c>
      <c r="T17" s="71">
        <f>Table1[[#This Row],[Finishes]]/($Q$5-Table1[[#This Row],[Missed Games]])</f>
        <v>0.13333333333333333</v>
      </c>
      <c r="U17" s="70">
        <f t="shared" si="5"/>
        <v>10</v>
      </c>
      <c r="V17" s="71">
        <f>Table1[[#This Row],[Midranges]]/($Q$5-Table1[[#This Row],[Missed Games]])</f>
        <v>0.66666666666666663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3.9055968597856747E-2</v>
      </c>
      <c r="AC17" s="109">
        <f t="shared" si="8"/>
        <v>1.9448402487856748E-2</v>
      </c>
      <c r="AE17" s="64"/>
      <c r="AH17" s="135" t="s">
        <v>185</v>
      </c>
      <c r="AI17" s="138">
        <f>(T18+V18+X18)/SUM($T$8,V$8,X$8,T$10,V$10,X$10,T$16,V$16,X$16,T$17,V$17,X$17,T$18,V$18,X$18)</f>
        <v>0.1220899781466163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16</v>
      </c>
      <c r="R18" s="69">
        <f>Table1[[#This Row],[Points]]/($Q$5-Table1[[#This Row],[Missed Games]])</f>
        <v>1.1428571428571428</v>
      </c>
      <c r="S18" s="70">
        <f t="shared" si="4"/>
        <v>8</v>
      </c>
      <c r="T18" s="71">
        <f>Table1[[#This Row],[Finishes]]/($Q$5-Table1[[#This Row],[Missed Games]])</f>
        <v>0.5714285714285714</v>
      </c>
      <c r="U18" s="70">
        <f t="shared" si="5"/>
        <v>2</v>
      </c>
      <c r="V18" s="71">
        <f>Table1[[#This Row],[Midranges]]/($Q$5-Table1[[#This Row],[Missed Games]])</f>
        <v>0.14285714285714285</v>
      </c>
      <c r="W18" s="70">
        <f t="shared" si="6"/>
        <v>3</v>
      </c>
      <c r="X18" s="71">
        <f>Table1[[#This Row],[Threes]]/($Q$5-Table1[[#This Row],[Missed Games]])</f>
        <v>0.21428571428571427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4.5332820693940866E-2</v>
      </c>
      <c r="AC18" s="109">
        <f t="shared" si="8"/>
        <v>6.116680631940867E-3</v>
      </c>
      <c r="AE18" s="64"/>
      <c r="AH18" s="137" t="s">
        <v>184</v>
      </c>
      <c r="AI18" s="140">
        <f>SUM(T19,V19,X19)/SUM(T$14,V$14,X$14,T$15,V$15,X$15,T$19:T$20,V$19:V$20,X$19:X$20,T$22:T$23,V$22:V$23,X$22:X$23)</f>
        <v>0.15610146595286936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16</v>
      </c>
      <c r="R19" s="77">
        <f>Table1[[#This Row],[Points]]/($Q$5-Table1[[#This Row],[Missed Games]])</f>
        <v>1</v>
      </c>
      <c r="S19" s="78">
        <f t="shared" si="4"/>
        <v>7</v>
      </c>
      <c r="T19" s="79">
        <f>Table1[[#This Row],[Finishes]]/($Q$5-Table1[[#This Row],[Missed Games]])</f>
        <v>0.4375</v>
      </c>
      <c r="U19" s="78">
        <f t="shared" si="5"/>
        <v>9</v>
      </c>
      <c r="V19" s="79">
        <f>Table1[[#This Row],[Midranges]]/($Q$5-Table1[[#This Row],[Missed Games]])</f>
        <v>0.5625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4.8819960747320937E-2</v>
      </c>
      <c r="AC19" s="109">
        <f t="shared" si="8"/>
        <v>9.6038206853209379E-3</v>
      </c>
      <c r="AE19" s="64"/>
      <c r="AH19" s="137" t="s">
        <v>85</v>
      </c>
      <c r="AI19" s="140">
        <f>SUM(T20,V20,X20)/SUM(T$14,V$14,X$14,T$15,V$15,X$15,T$19:T$20,V$19:V$20,X$19:X$20,T$22:T$23,V$22:V$23,X$22:X$23)</f>
        <v>0.3242107369790363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30</v>
      </c>
      <c r="R20" s="77">
        <f>Table1[[#This Row],[Points]]/($Q$5-Table1[[#This Row],[Missed Games]])</f>
        <v>2.3076923076923075</v>
      </c>
      <c r="S20" s="78">
        <f t="shared" si="4"/>
        <v>19</v>
      </c>
      <c r="T20" s="79">
        <f>Table1[[#This Row],[Finishes]]/($Q$5-Table1[[#This Row],[Missed Games]])</f>
        <v>1.4615384615384615</v>
      </c>
      <c r="U20" s="78">
        <f t="shared" si="5"/>
        <v>5</v>
      </c>
      <c r="V20" s="79">
        <f>Table1[[#This Row],[Midranges]]/($Q$5-Table1[[#This Row],[Missed Games]])</f>
        <v>0.38461538461538464</v>
      </c>
      <c r="W20" s="78">
        <f t="shared" si="6"/>
        <v>3</v>
      </c>
      <c r="X20" s="79">
        <f>Table1[[#This Row],[Threes]]/($Q$5-Table1[[#This Row],[Missed Games]])</f>
        <v>0.23076923076923078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0.10139530309058963</v>
      </c>
      <c r="AC20" s="109">
        <f t="shared" si="8"/>
        <v>-2.8016648919410345E-2</v>
      </c>
      <c r="AE20" s="64"/>
      <c r="AH20" s="136" t="s">
        <v>86</v>
      </c>
      <c r="AI20" s="139">
        <f>(T21+V21+X21)/SUM(T$9,V$9,X$9,T$11:T$13,V$11:V$13,X$11:X$13,T$21,V$21,X$21)</f>
        <v>1.9314853334465337E-2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0.125</v>
      </c>
      <c r="S21" s="74">
        <f t="shared" si="4"/>
        <v>2</v>
      </c>
      <c r="T21" s="75">
        <f>Table1[[#This Row],[Finishes]]/($Q$5-Table1[[#This Row],[Missed Games]])</f>
        <v>0.125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6.1024950934151171E-3</v>
      </c>
      <c r="AC21" s="109">
        <f t="shared" si="8"/>
        <v>-2.1348097460584879E-2</v>
      </c>
      <c r="AE21" s="64"/>
      <c r="AH21" s="137" t="s">
        <v>87</v>
      </c>
      <c r="AI21" s="140">
        <f>SUM(T22,V22,X22)/SUM(T$14,V$14,X$14,T$15,V$15,X$15,T$19:T$20,V$19:V$20,X$19:X$20,T$22:T$23,V$22:V$23,X$22:X$23)</f>
        <v>8.7807074598489007E-2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10</v>
      </c>
      <c r="R22" s="77">
        <f>Table1[[#This Row],[Points]]/($Q$5-Table1[[#This Row],[Missed Games]])</f>
        <v>0.625</v>
      </c>
      <c r="S22" s="78">
        <f t="shared" si="4"/>
        <v>4</v>
      </c>
      <c r="T22" s="79">
        <f>Table1[[#This Row],[Finishes]]/($Q$5-Table1[[#This Row],[Missed Games]])</f>
        <v>0.25</v>
      </c>
      <c r="U22" s="78">
        <f t="shared" si="5"/>
        <v>4</v>
      </c>
      <c r="V22" s="79">
        <f>Table1[[#This Row],[Midranges]]/($Q$5-Table1[[#This Row],[Missed Games]])</f>
        <v>0.25</v>
      </c>
      <c r="W22" s="78">
        <f t="shared" si="6"/>
        <v>1</v>
      </c>
      <c r="X22" s="79">
        <f>Table1[[#This Row],[Threes]]/($Q$5-Table1[[#This Row],[Missed Games]])</f>
        <v>6.25E-2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2.746122792036803E-2</v>
      </c>
      <c r="AC22" s="109">
        <f t="shared" si="8"/>
        <v>3.9321485883680347E-3</v>
      </c>
      <c r="AE22" s="64"/>
      <c r="AH22" s="137" t="s">
        <v>107</v>
      </c>
      <c r="AI22" s="140">
        <f>SUM(T23,V23,X23)/SUM(T$14,V$14,X$14,T$15,V$15,X$15,T$19:T$20,V$19:V$20,X$19:X$20,T$22:T$23,V$22:V$23,X$22:X$23)</f>
        <v>4.1627057587431827E-2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0.26666666666666666</v>
      </c>
      <c r="S23" s="78">
        <f t="shared" si="4"/>
        <v>3</v>
      </c>
      <c r="T23" s="79">
        <f>Table1[[#This Row],[Finishes]]/($Q$5-Table1[[#This Row],[Missed Games]])</f>
        <v>0.2</v>
      </c>
      <c r="U23" s="78">
        <f t="shared" si="5"/>
        <v>1</v>
      </c>
      <c r="V23" s="79">
        <f>Table1[[#This Row],[Midranges]]/($Q$5-Table1[[#This Row],[Missed Games]])</f>
        <v>6.6666666666666666E-2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1.3018656199285583E-2</v>
      </c>
      <c r="AC23" s="109">
        <f t="shared" si="8"/>
        <v>1.2541165332855854E-3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33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25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33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168</v>
      </c>
      <c r="K46" s="41">
        <f>J46/Q5</f>
        <v>10.5</v>
      </c>
      <c r="L46" s="55">
        <f>J46/SUM($J$46:$J$48)</f>
        <v>0.56565656565656564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105</v>
      </c>
      <c r="K47" s="41">
        <f>J47/Q5</f>
        <v>6.5625</v>
      </c>
      <c r="L47" s="55">
        <f t="shared" ref="L47:L48" si="24">J47/SUM($J$46:$J$48)</f>
        <v>0.35353535353535354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24</v>
      </c>
      <c r="K48" s="41">
        <f>J48/Q5</f>
        <v>1.5</v>
      </c>
      <c r="L48" s="55">
        <f t="shared" si="24"/>
        <v>8.0808080808080815E-2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0.49397590361445781</v>
      </c>
      <c r="K53" s="66">
        <f>'Statistics LG'!X31</f>
        <v>0.5</v>
      </c>
      <c r="L53" s="66">
        <f>AVERAGE(J53:K53)</f>
        <v>0.49698795180722888</v>
      </c>
      <c r="P53" s="30" t="s">
        <v>71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0.50602409638554224</v>
      </c>
      <c r="J54" s="98" t="s">
        <v>189</v>
      </c>
      <c r="K54" s="66">
        <f>'Statistics WW'!R31</f>
        <v>0.45882352941176469</v>
      </c>
      <c r="L54" s="66">
        <f>AVERAGE(I54:K54)</f>
        <v>0.48242381289865344</v>
      </c>
      <c r="P54" s="30" t="s">
        <v>75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0.5</v>
      </c>
      <c r="J55" s="66">
        <f>1-K54</f>
        <v>0.54117647058823537</v>
      </c>
      <c r="K55" s="98" t="s">
        <v>189</v>
      </c>
      <c r="L55" s="66">
        <f>AVERAGE(I55:K55)</f>
        <v>0.52058823529411768</v>
      </c>
      <c r="P55" s="30" t="s">
        <v>78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186</v>
      </c>
      <c r="Q65">
        <v>3</v>
      </c>
      <c r="AA65" s="149" t="s">
        <v>241</v>
      </c>
      <c r="AB65">
        <v>3</v>
      </c>
    </row>
    <row r="66" spans="8:40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150" t="s">
        <v>97</v>
      </c>
      <c r="AB66" s="32" t="s">
        <v>8</v>
      </c>
      <c r="AC66" s="150" t="s">
        <v>98</v>
      </c>
      <c r="AD66" s="33" t="s">
        <v>9</v>
      </c>
      <c r="AE66" s="153" t="s">
        <v>93</v>
      </c>
      <c r="AF66" s="35" t="s">
        <v>10</v>
      </c>
      <c r="AG66" s="153" t="s">
        <v>93</v>
      </c>
      <c r="AH66" s="33" t="s">
        <v>11</v>
      </c>
      <c r="AI66" s="153" t="s">
        <v>93</v>
      </c>
      <c r="AJ66" s="5" t="s">
        <v>160</v>
      </c>
    </row>
    <row r="67" spans="8:40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55</v>
      </c>
      <c r="AB67" s="44">
        <f>'Finals 1'!$S3+'Finals 2'!$S3+'Finals 3'!$S3</f>
        <v>0</v>
      </c>
      <c r="AC67" s="152">
        <f>AB67/(AB$65-AJ67)</f>
        <v>0</v>
      </c>
      <c r="AD67" s="27">
        <f>'Finals 1'!$T3+'Finals 2'!$T3+'Finals 3'!$T3</f>
        <v>0</v>
      </c>
      <c r="AE67" s="154">
        <f>AD67/(AB$65-AJ67)</f>
        <v>0</v>
      </c>
      <c r="AF67" s="27">
        <f>'Finals 1'!$U3+'Finals 2'!$U3+'Finals 3'!$U3</f>
        <v>0</v>
      </c>
      <c r="AG67" s="154">
        <f>AF67/(AB$65-AJ67)</f>
        <v>0</v>
      </c>
      <c r="AH67" s="27">
        <f>'Finals 1'!$V3+'Finals 2'!$V3+'Finals 3'!$V3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59</v>
      </c>
      <c r="AB68" s="44">
        <f>'Finals 1'!$S4+'Finals 2'!$S4+'Finals 3'!$S4</f>
        <v>1</v>
      </c>
      <c r="AC68" s="152">
        <f t="shared" ref="AC68:AC82" si="37">AB68/(AB$65-AJ68)</f>
        <v>0.33333333333333331</v>
      </c>
      <c r="AD68" s="27">
        <f>'Finals 1'!$T4+'Finals 2'!$T4+'Finals 3'!$T4</f>
        <v>1</v>
      </c>
      <c r="AE68" s="154">
        <f t="shared" ref="AE68:AE82" si="38">AD68/(AB$65-AJ68)</f>
        <v>0.33333333333333331</v>
      </c>
      <c r="AF68" s="27">
        <f>'Finals 1'!$U4+'Finals 2'!$U4+'Finals 3'!$U4</f>
        <v>0</v>
      </c>
      <c r="AG68" s="154">
        <f t="shared" ref="AG68:AG82" si="39">AF68/(AB$65-AJ68)</f>
        <v>0</v>
      </c>
      <c r="AH68" s="27">
        <f>'Finals 1'!$V4+'Finals 2'!$V4+'Finals 3'!$V4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62</v>
      </c>
      <c r="AB69" s="44">
        <f>'Finals 1'!$S5+'Finals 2'!$S5+'Finals 3'!$S5</f>
        <v>16</v>
      </c>
      <c r="AC69" s="152">
        <f t="shared" si="37"/>
        <v>5.333333333333333</v>
      </c>
      <c r="AD69" s="27">
        <f>'Finals 1'!$T5+'Finals 2'!$T5+'Finals 3'!$T5</f>
        <v>15</v>
      </c>
      <c r="AE69" s="154">
        <f t="shared" si="38"/>
        <v>5</v>
      </c>
      <c r="AF69" s="27">
        <f>'Finals 1'!$U5+'Finals 2'!$U5+'Finals 3'!$U5</f>
        <v>1</v>
      </c>
      <c r="AG69" s="154">
        <f t="shared" si="39"/>
        <v>0.33333333333333331</v>
      </c>
      <c r="AH69" s="27">
        <f>'Finals 1'!$V5+'Finals 2'!$V5+'Finals 3'!$V5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65</v>
      </c>
      <c r="AB70" s="44">
        <f>'Finals 1'!$S6+'Finals 2'!$S6+'Finals 3'!$S6</f>
        <v>4</v>
      </c>
      <c r="AC70" s="152">
        <f t="shared" si="37"/>
        <v>2</v>
      </c>
      <c r="AD70" s="27">
        <f>'Finals 1'!$T6+'Finals 2'!$T6+'Finals 3'!$T6</f>
        <v>4</v>
      </c>
      <c r="AE70" s="154">
        <f t="shared" si="38"/>
        <v>2</v>
      </c>
      <c r="AF70" s="27">
        <f>'Finals 1'!$U6+'Finals 2'!$U6+'Finals 3'!$U6</f>
        <v>0</v>
      </c>
      <c r="AG70" s="154">
        <f t="shared" si="39"/>
        <v>0</v>
      </c>
      <c r="AH70" s="27">
        <f>'Finals 1'!$V6+'Finals 2'!$V6+'Finals 3'!$V6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68</v>
      </c>
      <c r="AB71" s="44">
        <f>'Finals 1'!$S7+'Finals 2'!$S7+'Finals 3'!$S7</f>
        <v>9</v>
      </c>
      <c r="AC71" s="152">
        <f t="shared" si="37"/>
        <v>3</v>
      </c>
      <c r="AD71" s="27">
        <f>'Finals 1'!$T7+'Finals 2'!$T7+'Finals 3'!$T7</f>
        <v>2</v>
      </c>
      <c r="AE71" s="154">
        <f t="shared" si="38"/>
        <v>0.66666666666666663</v>
      </c>
      <c r="AF71" s="27">
        <f>'Finals 1'!$U7+'Finals 2'!$U7+'Finals 3'!$U7</f>
        <v>1</v>
      </c>
      <c r="AG71" s="154">
        <f t="shared" si="39"/>
        <v>0.33333333333333331</v>
      </c>
      <c r="AH71" s="27">
        <f>'Finals 1'!$V7+'Finals 2'!$V7+'Finals 3'!$V7</f>
        <v>3</v>
      </c>
      <c r="AI71" s="154">
        <f t="shared" si="40"/>
        <v>1</v>
      </c>
      <c r="AJ71" s="40">
        <v>0</v>
      </c>
      <c r="AM71" s="155"/>
      <c r="AN71" s="59"/>
    </row>
    <row r="72" spans="8:40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71</v>
      </c>
      <c r="AB72" s="44">
        <f>'Finals 1'!$S8+'Finals 2'!$S8+'Finals 3'!$S8</f>
        <v>8</v>
      </c>
      <c r="AC72" s="152">
        <f t="shared" si="37"/>
        <v>2.6666666666666665</v>
      </c>
      <c r="AD72" s="27">
        <f>'Finals 1'!$T8+'Finals 2'!$T8+'Finals 3'!$T8</f>
        <v>5</v>
      </c>
      <c r="AE72" s="154">
        <f t="shared" si="38"/>
        <v>1.6666666666666667</v>
      </c>
      <c r="AF72" s="27">
        <f>'Finals 1'!$U8+'Finals 2'!$U8+'Finals 3'!$U8</f>
        <v>3</v>
      </c>
      <c r="AG72" s="154">
        <f t="shared" si="39"/>
        <v>1</v>
      </c>
      <c r="AH72" s="27">
        <f>'Finals 1'!$V8+'Finals 2'!$V8+'Finals 3'!$V8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75</v>
      </c>
      <c r="AB73" s="44">
        <f>'Finals 1'!$S9+'Finals 2'!$S9+'Finals 3'!$S9</f>
        <v>9</v>
      </c>
      <c r="AC73" s="152">
        <f t="shared" si="37"/>
        <v>3</v>
      </c>
      <c r="AD73" s="27">
        <f>'Finals 1'!$T9+'Finals 2'!$T9+'Finals 3'!$T9</f>
        <v>1</v>
      </c>
      <c r="AE73" s="154">
        <f t="shared" si="38"/>
        <v>0.33333333333333331</v>
      </c>
      <c r="AF73" s="27">
        <f>'Finals 1'!$U9+'Finals 2'!$U9+'Finals 3'!$U9</f>
        <v>0</v>
      </c>
      <c r="AG73" s="154">
        <f t="shared" si="39"/>
        <v>0</v>
      </c>
      <c r="AH73" s="27">
        <f>'Finals 1'!$V9+'Finals 2'!$V9+'Finals 3'!$V9</f>
        <v>4</v>
      </c>
      <c r="AI73" s="154">
        <f t="shared" si="40"/>
        <v>1.3333333333333333</v>
      </c>
      <c r="AJ73" s="40">
        <v>0</v>
      </c>
      <c r="AM73" s="155"/>
      <c r="AN73" s="59"/>
    </row>
    <row r="74" spans="8:40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78</v>
      </c>
      <c r="AB74" s="44">
        <f>'Finals 1'!$S10+'Finals 2'!$S10+'Finals 3'!$S10</f>
        <v>5</v>
      </c>
      <c r="AC74" s="152">
        <f t="shared" si="37"/>
        <v>1.6666666666666667</v>
      </c>
      <c r="AD74" s="27">
        <f>'Finals 1'!$T10+'Finals 2'!$T10+'Finals 3'!$T10</f>
        <v>0</v>
      </c>
      <c r="AE74" s="154">
        <f t="shared" si="38"/>
        <v>0</v>
      </c>
      <c r="AF74" s="27">
        <f>'Finals 1'!$U10+'Finals 2'!$U10+'Finals 3'!$U10</f>
        <v>5</v>
      </c>
      <c r="AG74" s="154">
        <f t="shared" si="39"/>
        <v>1.6666666666666667</v>
      </c>
      <c r="AH74" s="27">
        <f>'Finals 1'!$V10+'Finals 2'!$V10+'Finals 3'!$V10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80</v>
      </c>
      <c r="AB75" s="44">
        <f>'Finals 1'!$S11+'Finals 2'!$S11+'Finals 3'!$S11</f>
        <v>4</v>
      </c>
      <c r="AC75" s="152">
        <f t="shared" si="37"/>
        <v>2</v>
      </c>
      <c r="AD75" s="27">
        <f>'Finals 1'!$T11+'Finals 2'!$T11+'Finals 3'!$T11</f>
        <v>0</v>
      </c>
      <c r="AE75" s="154">
        <f t="shared" si="38"/>
        <v>0</v>
      </c>
      <c r="AF75" s="27">
        <f>'Finals 1'!$U11+'Finals 2'!$U11+'Finals 3'!$U11</f>
        <v>2</v>
      </c>
      <c r="AG75" s="154">
        <f t="shared" si="39"/>
        <v>1</v>
      </c>
      <c r="AH75" s="27">
        <f>'Finals 1'!$V11+'Finals 2'!$V11+'Finals 3'!$V11</f>
        <v>1</v>
      </c>
      <c r="AI75" s="154">
        <f t="shared" si="40"/>
        <v>0.5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81</v>
      </c>
      <c r="AB76" s="44">
        <f>'Finals 1'!$S12+'Finals 2'!$S12+'Finals 3'!$S12</f>
        <v>1</v>
      </c>
      <c r="AC76" s="152">
        <f t="shared" si="37"/>
        <v>0.33333333333333331</v>
      </c>
      <c r="AD76" s="27">
        <f>'Finals 1'!$T12+'Finals 2'!$T12+'Finals 3'!$T12</f>
        <v>1</v>
      </c>
      <c r="AE76" s="154">
        <f t="shared" si="38"/>
        <v>0.33333333333333331</v>
      </c>
      <c r="AF76" s="27">
        <f>'Finals 1'!$U12+'Finals 2'!$U12+'Finals 3'!$U12</f>
        <v>0</v>
      </c>
      <c r="AG76" s="154">
        <f t="shared" si="39"/>
        <v>0</v>
      </c>
      <c r="AH76" s="27">
        <f>'Finals 1'!$V12+'Finals 2'!$V12+'Finals 3'!$V12</f>
        <v>0</v>
      </c>
      <c r="AI76" s="154">
        <f t="shared" si="40"/>
        <v>0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185</v>
      </c>
      <c r="AB77" s="44">
        <f>'Finals 1'!$S13+'Finals 2'!$S13+'Finals 3'!$S13</f>
        <v>4</v>
      </c>
      <c r="AC77" s="152">
        <f t="shared" si="37"/>
        <v>1.3333333333333333</v>
      </c>
      <c r="AD77" s="27">
        <f>'Finals 1'!$T13+'Finals 2'!$T13+'Finals 3'!$T13</f>
        <v>0</v>
      </c>
      <c r="AE77" s="154">
        <f t="shared" si="38"/>
        <v>0</v>
      </c>
      <c r="AF77" s="27">
        <f>'Finals 1'!$U13+'Finals 2'!$U13+'Finals 3'!$U13</f>
        <v>0</v>
      </c>
      <c r="AG77" s="154">
        <f t="shared" si="39"/>
        <v>0</v>
      </c>
      <c r="AH77" s="27">
        <f>'Finals 1'!$V13+'Finals 2'!$V13+'Finals 3'!$V13</f>
        <v>2</v>
      </c>
      <c r="AI77" s="154">
        <f t="shared" si="40"/>
        <v>0.66666666666666663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184</v>
      </c>
      <c r="AB78" s="44">
        <f>'Finals 1'!$S14+'Finals 2'!$S14+'Finals 3'!$S14</f>
        <v>2</v>
      </c>
      <c r="AC78" s="152">
        <f t="shared" si="37"/>
        <v>0.66666666666666663</v>
      </c>
      <c r="AD78" s="27">
        <f>'Finals 1'!$T14+'Finals 2'!$T14+'Finals 3'!$T14</f>
        <v>0</v>
      </c>
      <c r="AE78" s="154">
        <f t="shared" si="38"/>
        <v>0</v>
      </c>
      <c r="AF78" s="27">
        <f>'Finals 1'!$U14+'Finals 2'!$U14+'Finals 3'!$U14</f>
        <v>2</v>
      </c>
      <c r="AG78" s="154">
        <f t="shared" si="39"/>
        <v>0.66666666666666663</v>
      </c>
      <c r="AH78" s="27">
        <f>'Finals 1'!$V14+'Finals 2'!$V14+'Finals 3'!$V14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85</v>
      </c>
      <c r="AB79" s="44">
        <f>'Finals 1'!$S15+'Finals 2'!$S15+'Finals 3'!$S15</f>
        <v>5</v>
      </c>
      <c r="AC79" s="152">
        <f t="shared" si="37"/>
        <v>1.6666666666666667</v>
      </c>
      <c r="AD79" s="27">
        <f>'Finals 1'!$T15+'Finals 2'!$T15+'Finals 3'!$T15</f>
        <v>2</v>
      </c>
      <c r="AE79" s="154">
        <f t="shared" si="38"/>
        <v>0.66666666666666663</v>
      </c>
      <c r="AF79" s="27">
        <f>'Finals 1'!$U15+'Finals 2'!$U15+'Finals 3'!$U15</f>
        <v>3</v>
      </c>
      <c r="AG79" s="154">
        <f t="shared" si="39"/>
        <v>1</v>
      </c>
      <c r="AH79" s="27">
        <f>'Finals 1'!$V15+'Finals 2'!$V15+'Finals 3'!$V15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86</v>
      </c>
      <c r="AB80" s="44">
        <f>'Finals 1'!$S16+'Finals 2'!$S16+'Finals 3'!$S16</f>
        <v>0</v>
      </c>
      <c r="AC80" s="152">
        <f t="shared" si="37"/>
        <v>0</v>
      </c>
      <c r="AD80" s="27">
        <f>'Finals 1'!$T16+'Finals 2'!$T16+'Finals 3'!$T16</f>
        <v>0</v>
      </c>
      <c r="AE80" s="154">
        <f t="shared" si="38"/>
        <v>0</v>
      </c>
      <c r="AF80" s="27">
        <f>'Finals 1'!$U16+'Finals 2'!$U16+'Finals 3'!$U16</f>
        <v>0</v>
      </c>
      <c r="AG80" s="154">
        <f t="shared" si="39"/>
        <v>0</v>
      </c>
      <c r="AH80" s="27">
        <f>'Finals 1'!$V16+'Finals 2'!$V16+'Finals 3'!$V16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87</v>
      </c>
      <c r="AB81" s="44">
        <f>'Finals 1'!$S17+'Finals 2'!$S17+'Finals 3'!$S17</f>
        <v>3</v>
      </c>
      <c r="AC81" s="152">
        <f t="shared" si="37"/>
        <v>1</v>
      </c>
      <c r="AD81" s="27">
        <f>'Finals 1'!$T17+'Finals 2'!$T17+'Finals 3'!$T17</f>
        <v>0</v>
      </c>
      <c r="AE81" s="154">
        <f t="shared" si="38"/>
        <v>0</v>
      </c>
      <c r="AF81" s="27">
        <f>'Finals 1'!$U17+'Finals 2'!$U17+'Finals 3'!$U17</f>
        <v>1</v>
      </c>
      <c r="AG81" s="154">
        <f t="shared" si="39"/>
        <v>0.33333333333333331</v>
      </c>
      <c r="AH81" s="27">
        <f>'Finals 1'!$V17+'Finals 2'!$V17+'Finals 3'!$V17</f>
        <v>1</v>
      </c>
      <c r="AI81" s="154">
        <f t="shared" si="40"/>
        <v>0.33333333333333331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107</v>
      </c>
      <c r="AB82" s="44">
        <f>'Finals 1'!$S18+'Finals 2'!$S18+'Finals 3'!$S18</f>
        <v>0</v>
      </c>
      <c r="AC82" s="152">
        <f t="shared" si="37"/>
        <v>0</v>
      </c>
      <c r="AD82" s="27">
        <f>'Finals 1'!$T18+'Finals 2'!$T18+'Finals 3'!$T18</f>
        <v>0</v>
      </c>
      <c r="AE82" s="154">
        <f t="shared" si="38"/>
        <v>0</v>
      </c>
      <c r="AF82" s="27">
        <f>'Finals 1'!$U18+'Finals 2'!$U18+'Finals 3'!$U18</f>
        <v>0</v>
      </c>
      <c r="AG82" s="154">
        <f t="shared" si="39"/>
        <v>0</v>
      </c>
      <c r="AH82" s="27">
        <f>'Finals 1'!$V18+'Finals 2'!$V18+'Finals 3'!$V18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229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55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59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62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65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68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71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75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78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80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81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185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184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85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86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87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107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7" type="noConversion"/>
  <conditionalFormatting sqref="AE11:AE23">
    <cfRule type="cellIs" dxfId="50" priority="11" operator="lessThan">
      <formula>$AE$6</formula>
    </cfRule>
    <cfRule type="cellIs" dxfId="49" priority="12" operator="greaterThan">
      <formula>$AE$6</formula>
    </cfRule>
  </conditionalFormatting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19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16</v>
      </c>
    </row>
    <row r="3" spans="1:47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M3" s="58" t="s">
        <v>243</v>
      </c>
      <c r="AN3" s="58" t="s">
        <v>244</v>
      </c>
      <c r="AP3" t="s">
        <v>181</v>
      </c>
      <c r="AQ3" t="s">
        <v>96</v>
      </c>
      <c r="AS3" s="162" t="s">
        <v>97</v>
      </c>
      <c r="AT3" s="163" t="s">
        <v>243</v>
      </c>
      <c r="AU3" s="163" t="s">
        <v>244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88</v>
      </c>
      <c r="I4" s="1">
        <f>SUM(C4:C30)</f>
        <v>90</v>
      </c>
      <c r="J4" s="1">
        <f>SUM(D4:D30)</f>
        <v>33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0.125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0.125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0.3125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0.21428571428571427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0.21428571428571427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0.4285714285714286</v>
      </c>
      <c r="AQ5" s="55">
        <f>Table2[[#This Row],[Avg P]]/(Table2[[#This Row],[Avg P]]+AP5)</f>
        <v>0.33333333333333331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10</v>
      </c>
      <c r="AP6" s="41">
        <f>'Stats Global'!R10-Table2[[#This Row],[Avg P]]</f>
        <v>1.1538461538461537</v>
      </c>
      <c r="AQ6" s="55">
        <f>Table2[[#This Row],[Avg P]]/(Table2[[#This Row],[Avg P]]+AP6)</f>
        <v>0.63414634146341464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1.5333333333333334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1.4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0.13333333333333333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4</v>
      </c>
      <c r="AP7" s="41">
        <f>'Stats Global'!R11-Table2[[#This Row],[Avg P]]</f>
        <v>1.2666666666666664</v>
      </c>
      <c r="AQ7" s="55">
        <f>Table2[[#This Row],[Avg P]]/(Table2[[#This Row],[Avg P]]+AP7)</f>
        <v>0.54761904761904767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0.8125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0.375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0.3125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6.25E-2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9</v>
      </c>
      <c r="AP8" s="41">
        <f>'Stats Global'!R12-Table2[[#This Row],[Avg P]]</f>
        <v>1.3125</v>
      </c>
      <c r="AQ8" s="55">
        <f>Table2[[#This Row],[Avg P]]/(Table2[[#This Row],[Avg P]]+AP8)</f>
        <v>0.38235294117647056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0.38461538461538464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0.15384615384615385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0.23076923076923078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6</v>
      </c>
      <c r="AP9" s="41">
        <f>'Stats Global'!R13-Table2[[#This Row],[Avg P]]</f>
        <v>0.76923076923076916</v>
      </c>
      <c r="AQ9" s="55">
        <f>Table2[[#This Row],[Avg P]]/(Table2[[#This Row],[Avg P]]+AP9)</f>
        <v>0.33333333333333337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0.875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6.25E-2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6.25E-2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0.375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0.8125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0.625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0.125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0.5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3</v>
      </c>
      <c r="AP11" s="121">
        <f>'Stats Global'!R15-Table2[[#This Row],[Avg P]]</f>
        <v>0.8125</v>
      </c>
      <c r="AQ11" s="123">
        <f>Table2[[#This Row],[Avg P]]/(Table2[[#This Row],[Avg P]]+AP11)</f>
        <v>0.43478260869565216</v>
      </c>
      <c r="AS11" s="159" t="s">
        <v>56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0.7857142857142857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0.14285714285714285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0.6428571428571429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3</v>
      </c>
      <c r="AP12" s="41">
        <f>'Stats Global'!R16-Table2[[#This Row],[Avg P]]</f>
        <v>1.5714285714285716</v>
      </c>
      <c r="AQ12" s="55">
        <f>Table2[[#This Row],[Avg P]]/(Table2[[#This Row],[Avg P]]+AP12)</f>
        <v>0.33333333333333331</v>
      </c>
      <c r="AS12" s="157" t="s">
        <v>60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6.6666666666666666E-2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0.13333333333333333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1</v>
      </c>
      <c r="AP13" s="41">
        <f>'Stats Global'!R17-Table2[[#This Row],[Avg P]]</f>
        <v>0.60000000000000009</v>
      </c>
      <c r="AQ13" s="55">
        <f>Table2[[#This Row],[Avg P]]/(Table2[[#This Row],[Avg P]]+AP13)</f>
        <v>0.25</v>
      </c>
      <c r="AS13" s="158" t="s">
        <v>63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0.42857142857142855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0.21428571428571427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7.1428571428571425E-2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7.1428571428571425E-2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0.71428571428571419</v>
      </c>
      <c r="AQ14" s="55">
        <f>Table2[[#This Row],[Avg P]]/(Table2[[#This Row],[Avg P]]+AP14)</f>
        <v>0.375</v>
      </c>
      <c r="AS14" s="157" t="s">
        <v>66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0.375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0.25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0.125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2</v>
      </c>
      <c r="AP15" s="121">
        <f>'Stats Global'!R19-Table2[[#This Row],[Avg P]]</f>
        <v>0.625</v>
      </c>
      <c r="AQ15" s="123">
        <f>Table2[[#This Row],[Avg P]]/(Table2[[#This Row],[Avg P]]+AP15)</f>
        <v>0.375</v>
      </c>
      <c r="AS15" s="159" t="s">
        <v>69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1.0769230769230769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0.69230769230769229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0.23076923076923078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7.6923076923076927E-2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3</v>
      </c>
      <c r="AP16" s="121">
        <f>'Stats Global'!R20-Table2[[#This Row],[Avg P]]</f>
        <v>1.2307692307692306</v>
      </c>
      <c r="AQ16" s="123">
        <f>Table2[[#This Row],[Avg P]]/(Table2[[#This Row],[Avg P]]+AP16)</f>
        <v>0.46666666666666667</v>
      </c>
      <c r="AS16" s="159" t="s">
        <v>72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239</v>
      </c>
      <c r="F17" s="145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6.25E-2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6.25E-2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6.25E-2</v>
      </c>
      <c r="AQ17" s="55">
        <f>Table2[[#This Row],[Avg P]]/(Table2[[#This Row],[Avg P]]+AP17)</f>
        <v>0.5</v>
      </c>
      <c r="AS17" s="158" t="s">
        <v>76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242</v>
      </c>
      <c r="F18" s="148" t="s">
        <v>56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0.1875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0.125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6.25E-2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3</v>
      </c>
      <c r="AP18" s="121">
        <f>'Stats Global'!R22-Table2[[#This Row],[Avg P]]</f>
        <v>0.4375</v>
      </c>
      <c r="AQ18" s="123">
        <f>Table2[[#This Row],[Avg P]]/(Table2[[#This Row],[Avg P]]+AP18)</f>
        <v>0.3</v>
      </c>
      <c r="AS18" s="159" t="s">
        <v>79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9" t="s">
        <v>53</v>
      </c>
      <c r="F19" s="169" t="s">
        <v>79</v>
      </c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0.2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0</v>
      </c>
      <c r="AP19" s="121">
        <f>'Stats Global'!R23-Table2[[#This Row],[Avg P]]</f>
        <v>6.6666666666666652E-2</v>
      </c>
      <c r="AQ19" s="123">
        <f>Table2[[#This Row],[Avg P]]/(Table2[[#This Row],[Avg P]]+AP19)</f>
        <v>0.75</v>
      </c>
      <c r="AS19" s="164" t="s">
        <v>148</v>
      </c>
      <c r="AT19" s="165">
        <v>0</v>
      </c>
      <c r="AU19" s="166">
        <v>0</v>
      </c>
    </row>
    <row r="20" spans="1:47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41</v>
      </c>
      <c r="T30" s="17">
        <f t="shared" si="2"/>
        <v>42</v>
      </c>
      <c r="U30" s="128"/>
      <c r="V30" s="128"/>
      <c r="X30" s="17">
        <f t="shared" ref="X30:Y30" si="3">SUM(X4:X29)</f>
        <v>43</v>
      </c>
      <c r="Y30" s="17">
        <f t="shared" si="3"/>
        <v>43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7" ht="14.35" customHeight="1" x14ac:dyDescent="0.45">
      <c r="K31" s="1"/>
      <c r="S31" s="22">
        <f>S30/(T30+S30)</f>
        <v>0.49397590361445781</v>
      </c>
      <c r="X31" s="22">
        <f>X30/(Y30+X30)</f>
        <v>0.5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7" ht="14.35" customHeight="1" x14ac:dyDescent="0.45">
      <c r="K32" s="1"/>
      <c r="L32" s="103" t="str">
        <f>R32&amp;H4&amp;","&amp;I4&amp;"],"</f>
        <v>"PartA":[88,90],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6.9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"PartB":[30,"Angus Walker",19,"Angus Walker",17,"William Kim",10,"Clarrie Jones"],</v>
      </c>
      <c r="R33" t="s">
        <v>194</v>
      </c>
      <c r="T33" s="42">
        <f>MAX('Stats Global'!Q14:Q15,'Stats Global'!Q19:Q20,'Stats Global'!Q22:Q23)</f>
        <v>30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2.8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"PartC":[6.9,2.8,2.4,0.9,5.5,5.6],</v>
      </c>
      <c r="R34" t="s">
        <v>195</v>
      </c>
      <c r="T34" s="42">
        <f>MAX('Stats Global'!S14:S15,'Stats Global'!S19:S20,'Stats Global'!S22:S23)</f>
        <v>19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2.4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"PartD":[41,42,49.4,43,43,50],</v>
      </c>
      <c r="R35" t="s">
        <v>196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0.9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5.5</v>
      </c>
    </row>
    <row r="37" spans="12:34" ht="14.25" customHeight="1" x14ac:dyDescent="0.45">
      <c r="V37">
        <f>ROUND(I4/COUNT(B4:B40),1)</f>
        <v>5.6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26" priority="4" operator="lessThan">
      <formula>0.3333</formula>
    </cfRule>
    <cfRule type="cellIs" dxfId="25" priority="5" operator="greaterThan">
      <formula>0.5</formula>
    </cfRule>
  </conditionalFormatting>
  <conditionalFormatting sqref="AT4:AT19">
    <cfRule type="cellIs" dxfId="24" priority="3" operator="greaterThan">
      <formula>$AU4</formula>
    </cfRule>
    <cfRule type="cellIs" dxfId="23" priority="2" operator="lessThan">
      <formula>$AU4</formula>
    </cfRule>
    <cfRule type="cellIs" dxfId="22" priority="1" operator="equal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87</v>
      </c>
      <c r="I4" s="24">
        <f>SUM(C4:C30)</f>
        <v>91</v>
      </c>
      <c r="J4" s="24">
        <f>SUM(D4:D30)</f>
        <v>25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39</v>
      </c>
      <c r="S30" s="17">
        <f t="shared" si="1"/>
        <v>46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0.45882352941176469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"PartA":[87,91],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6.4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"PartB":[42,"Rudy Hoschke",39,"Rudy Hoschke",13,"Michael Iffland",1,"Michael Iffland"],</v>
      </c>
      <c r="R33" s="40" t="s">
        <v>194</v>
      </c>
      <c r="T33" s="42">
        <f>MAX('Stats Global'!Q9,'Stats Global'!Q11:Q13,'Stats Global'!Q21)</f>
        <v>42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"PartC":[6.4,4.1,1.6,0.38,5.4,5.7],</v>
      </c>
      <c r="R34" s="40" t="s">
        <v>195</v>
      </c>
      <c r="T34" s="42">
        <f>MAX('Stats Global'!S9,'Stats Global'!S11:S13,'Stats Global'!S21)</f>
        <v>39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"PartD":[42,41,50.6,39,46,45.9],</v>
      </c>
      <c r="R35" s="40" t="s">
        <v>196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0.38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5.4</v>
      </c>
    </row>
    <row r="37" spans="12:22" ht="14.25" customHeight="1" x14ac:dyDescent="0.45">
      <c r="V37" s="40">
        <f>ROUND(I4/COUNT(B4:B40),1)</f>
        <v>5.7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workbookViewId="0">
      <selection activeCell="A3" sqref="A3:F1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93</v>
      </c>
      <c r="H4" s="24">
        <f>SUM(C4:C30)</f>
        <v>87</v>
      </c>
      <c r="I4" s="24">
        <f>SUM(D4:D30)</f>
        <v>33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66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"PartA":[93,87],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6.9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"PartB":[41,"Samuel McConaghy",40,"Alexander Galt",24,"Samuel McConaghy",3,"N/A"],</v>
      </c>
      <c r="Q33" s="40" t="s">
        <v>194</v>
      </c>
      <c r="S33" s="42">
        <f>MAX('Stats Global'!Q8,'Stats Global'!Q10,'Stats Global'!Q16:Q18)</f>
        <v>41</v>
      </c>
      <c r="T33" s="40" t="s">
        <v>60</v>
      </c>
      <c r="U33" s="64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"PartC":[6.9,3.7,2.6,0.3,5.8,5.4],</v>
      </c>
      <c r="Q34" s="40" t="s">
        <v>195</v>
      </c>
      <c r="S34" s="42">
        <f>MAX('Stats Global'!S8,'Stats Global'!S10,'Stats Global'!S16:S18)</f>
        <v>40</v>
      </c>
      <c r="T34" s="40" t="s">
        <v>38</v>
      </c>
      <c r="U34" s="64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"PartD":[43,43,50,46,39,54.1],</v>
      </c>
      <c r="Q35" s="40" t="s">
        <v>196</v>
      </c>
      <c r="S35" s="42">
        <f>MAX('Stats Global'!U8,'Stats Global'!U10,'Stats Global'!U16:U18)</f>
        <v>24</v>
      </c>
      <c r="T35" s="40" t="s">
        <v>60</v>
      </c>
      <c r="U35" s="64">
        <f>ROUND(SUM('Stats Global'!W8,'Stats Global'!W10,'Stats Global'!W16:W18)/COUNT(B4:B40),1)</f>
        <v>0.3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203</v>
      </c>
      <c r="U36" s="40">
        <f>ROUND(G4/COUNT(B4:B40),1)</f>
        <v>5.8</v>
      </c>
    </row>
    <row r="37" spans="11:21" ht="14.25" customHeight="1" x14ac:dyDescent="0.45">
      <c r="U37" s="40">
        <f>ROUND(H4/COUNT(B4:B40),1)</f>
        <v>5.4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67" t="s">
        <v>159</v>
      </c>
      <c r="R41" s="167"/>
      <c r="S41" s="16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67"/>
      <c r="R42" s="167"/>
      <c r="S42" s="16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7" t="s">
        <v>159</v>
      </c>
      <c r="R41" s="167"/>
      <c r="S41" s="167"/>
      <c r="T41" s="19"/>
      <c r="U41" s="19"/>
    </row>
    <row r="42" spans="17:21" ht="14.25" customHeight="1" x14ac:dyDescent="0.45">
      <c r="Q42" s="167"/>
      <c r="R42" s="167"/>
      <c r="S42" s="16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7" t="s">
        <v>159</v>
      </c>
      <c r="R41" s="167"/>
      <c r="S41" s="167"/>
      <c r="T41" s="19"/>
      <c r="U41" s="19"/>
    </row>
    <row r="42" spans="17:21" ht="14.25" customHeight="1" x14ac:dyDescent="0.45">
      <c r="Q42" s="167"/>
      <c r="R42" s="167"/>
      <c r="S42" s="16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7" t="s">
        <v>159</v>
      </c>
      <c r="R41" s="167"/>
      <c r="S41" s="167"/>
      <c r="T41" s="19"/>
      <c r="U41" s="19"/>
    </row>
    <row r="42" spans="17:21" ht="14.25" customHeight="1" x14ac:dyDescent="0.45">
      <c r="Q42" s="167"/>
      <c r="R42" s="167"/>
      <c r="S42" s="16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7" t="s">
        <v>159</v>
      </c>
      <c r="R41" s="167"/>
      <c r="S41" s="167"/>
      <c r="T41" s="19"/>
      <c r="U41" s="19"/>
    </row>
    <row r="42" spans="17:21" ht="14.25" customHeight="1" x14ac:dyDescent="0.45">
      <c r="Q42" s="167"/>
      <c r="R42" s="167"/>
      <c r="S42" s="16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7" t="s">
        <v>159</v>
      </c>
      <c r="R41" s="167"/>
      <c r="S41" s="167"/>
      <c r="T41" s="19"/>
      <c r="U41" s="19"/>
    </row>
    <row r="42" spans="17:21" ht="14.25" customHeight="1" x14ac:dyDescent="0.45">
      <c r="Q42" s="167"/>
      <c r="R42" s="167"/>
      <c r="S42" s="16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7" t="s">
        <v>159</v>
      </c>
      <c r="R41" s="167"/>
      <c r="S41" s="167"/>
      <c r="T41" s="19"/>
      <c r="U41" s="19"/>
    </row>
    <row r="42" spans="2:26" ht="14.25" customHeight="1" x14ac:dyDescent="0.45">
      <c r="Q42" s="167"/>
      <c r="R42" s="167"/>
      <c r="S42" s="167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45076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57</v>
      </c>
      <c r="D4" s="147" t="s">
        <v>34</v>
      </c>
      <c r="E4" s="147" t="s">
        <v>233</v>
      </c>
      <c r="F4" s="147" t="s">
        <v>72</v>
      </c>
      <c r="G4" s="147" t="s">
        <v>123</v>
      </c>
      <c r="H4" s="147" t="s">
        <v>234</v>
      </c>
      <c r="I4" s="147" t="s">
        <v>234</v>
      </c>
      <c r="J4" s="147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57</v>
      </c>
      <c r="D5" s="147" t="s">
        <v>34</v>
      </c>
      <c r="E5" s="147" t="s">
        <v>235</v>
      </c>
      <c r="F5" s="147" t="s">
        <v>56</v>
      </c>
      <c r="G5" s="147" t="s">
        <v>123</v>
      </c>
      <c r="H5" s="147">
        <v>1</v>
      </c>
      <c r="I5" s="147">
        <v>1</v>
      </c>
      <c r="J5" s="147">
        <v>1</v>
      </c>
      <c r="L5" s="24" t="s">
        <v>133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57</v>
      </c>
      <c r="D6" s="147" t="s">
        <v>39</v>
      </c>
      <c r="E6" s="147" t="s">
        <v>235</v>
      </c>
      <c r="F6" s="147" t="s">
        <v>53</v>
      </c>
      <c r="G6" s="147" t="s">
        <v>172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57</v>
      </c>
      <c r="E7" s="147" t="s">
        <v>233</v>
      </c>
      <c r="F7" s="147" t="s">
        <v>38</v>
      </c>
      <c r="G7" s="147" t="s">
        <v>154</v>
      </c>
      <c r="H7" s="147" t="s">
        <v>234</v>
      </c>
      <c r="I7" s="147" t="s">
        <v>234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57</v>
      </c>
      <c r="D8" s="147" t="s">
        <v>34</v>
      </c>
      <c r="E8" s="147" t="s">
        <v>237</v>
      </c>
      <c r="F8" s="147" t="s">
        <v>56</v>
      </c>
      <c r="G8" s="147" t="s">
        <v>123</v>
      </c>
      <c r="H8" s="147" t="s">
        <v>234</v>
      </c>
      <c r="I8" s="147" t="s">
        <v>234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57</v>
      </c>
      <c r="E9" s="147" t="s">
        <v>238</v>
      </c>
      <c r="F9" s="147" t="s">
        <v>38</v>
      </c>
      <c r="G9" s="147" t="s">
        <v>154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235</v>
      </c>
      <c r="F10" s="147" t="s">
        <v>66</v>
      </c>
      <c r="G10" s="147" t="s">
        <v>172</v>
      </c>
      <c r="H10" s="147">
        <v>2</v>
      </c>
      <c r="I10" s="147">
        <v>2</v>
      </c>
      <c r="J10" s="147">
        <v>1</v>
      </c>
      <c r="R10" s="3" t="s">
        <v>56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57</v>
      </c>
      <c r="E11" s="147" t="s">
        <v>233</v>
      </c>
      <c r="F11" s="147" t="s">
        <v>38</v>
      </c>
      <c r="G11" s="147" t="s">
        <v>154</v>
      </c>
      <c r="H11" s="147" t="s">
        <v>234</v>
      </c>
      <c r="I11" s="147" t="s">
        <v>234</v>
      </c>
      <c r="J11" s="147">
        <v>1</v>
      </c>
      <c r="R11" s="3" t="s">
        <v>60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57</v>
      </c>
      <c r="D12" s="147" t="s">
        <v>34</v>
      </c>
      <c r="E12" s="147" t="s">
        <v>237</v>
      </c>
      <c r="F12" s="147" t="s">
        <v>56</v>
      </c>
      <c r="G12" s="147" t="s">
        <v>123</v>
      </c>
      <c r="H12" s="147" t="s">
        <v>234</v>
      </c>
      <c r="I12" s="147" t="s">
        <v>234</v>
      </c>
      <c r="J12" s="147">
        <v>1</v>
      </c>
      <c r="R12" s="3" t="s">
        <v>63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57</v>
      </c>
      <c r="E13" s="147" t="s">
        <v>238</v>
      </c>
      <c r="F13" s="147" t="s">
        <v>38</v>
      </c>
      <c r="G13" s="147" t="s">
        <v>154</v>
      </c>
      <c r="H13" s="147">
        <v>3</v>
      </c>
      <c r="I13" s="147">
        <v>2</v>
      </c>
      <c r="J13" s="147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233</v>
      </c>
      <c r="F14" s="53" t="s">
        <v>63</v>
      </c>
      <c r="G14" s="53" t="s">
        <v>154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238</v>
      </c>
      <c r="F15" s="53" t="s">
        <v>46</v>
      </c>
      <c r="G15" s="53" t="s">
        <v>172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233</v>
      </c>
      <c r="F16" s="53" t="s">
        <v>51</v>
      </c>
      <c r="G16" s="53" t="s">
        <v>123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57</v>
      </c>
      <c r="E17" s="53" t="s">
        <v>235</v>
      </c>
      <c r="F17" s="53" t="s">
        <v>51</v>
      </c>
      <c r="G17" s="53" t="s">
        <v>123</v>
      </c>
      <c r="H17" s="53">
        <v>2</v>
      </c>
      <c r="I17" s="53">
        <v>1</v>
      </c>
      <c r="J17" s="53">
        <v>2</v>
      </c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233</v>
      </c>
      <c r="F18" s="53" t="s">
        <v>44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237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238</v>
      </c>
      <c r="F20" s="53" t="s">
        <v>46</v>
      </c>
      <c r="G20" s="53" t="s">
        <v>154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53</v>
      </c>
      <c r="G21" s="53" t="s">
        <v>172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57</v>
      </c>
      <c r="E23" s="40" t="s">
        <v>235</v>
      </c>
      <c r="F23" s="40" t="s">
        <v>60</v>
      </c>
      <c r="G23" s="40" t="s">
        <v>123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159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>
      <selection activeCell="B3" sqref="B3:J31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45077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233</v>
      </c>
      <c r="F4" s="53" t="s">
        <v>38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238</v>
      </c>
      <c r="F5" s="53" t="s">
        <v>46</v>
      </c>
      <c r="G5" s="53" t="s">
        <v>172</v>
      </c>
      <c r="H5" s="53">
        <v>1</v>
      </c>
      <c r="I5" s="53">
        <v>1</v>
      </c>
      <c r="J5" s="53">
        <v>1</v>
      </c>
      <c r="L5" s="24" t="s">
        <v>133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57</v>
      </c>
      <c r="E6" s="53" t="s">
        <v>233</v>
      </c>
      <c r="F6" s="53" t="s">
        <v>44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57</v>
      </c>
      <c r="E7" s="53" t="s">
        <v>235</v>
      </c>
      <c r="F7" s="53" t="s">
        <v>51</v>
      </c>
      <c r="G7" s="53" t="s">
        <v>154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51</v>
      </c>
      <c r="G8" s="53" t="s">
        <v>154</v>
      </c>
      <c r="H8" s="53" t="s">
        <v>234</v>
      </c>
      <c r="I8" s="53" t="s">
        <v>234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46</v>
      </c>
      <c r="G9" s="53" t="s">
        <v>123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57</v>
      </c>
      <c r="E10" s="53" t="s">
        <v>233</v>
      </c>
      <c r="F10" s="53" t="s">
        <v>51</v>
      </c>
      <c r="G10" s="53" t="s">
        <v>154</v>
      </c>
      <c r="H10" s="53" t="s">
        <v>234</v>
      </c>
      <c r="I10" s="53" t="s">
        <v>234</v>
      </c>
      <c r="J10" s="53">
        <v>1</v>
      </c>
      <c r="R10" s="3" t="s">
        <v>56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57</v>
      </c>
      <c r="E11" s="53" t="s">
        <v>235</v>
      </c>
      <c r="F11" s="53" t="s">
        <v>51</v>
      </c>
      <c r="G11" s="53" t="s">
        <v>154</v>
      </c>
      <c r="H11" s="53">
        <v>4</v>
      </c>
      <c r="I11" s="53">
        <v>2</v>
      </c>
      <c r="J11" s="53">
        <v>2</v>
      </c>
      <c r="R11" s="3" t="s">
        <v>60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233</v>
      </c>
      <c r="F12" s="53" t="s">
        <v>51</v>
      </c>
      <c r="G12" s="53" t="s">
        <v>154</v>
      </c>
      <c r="H12" s="53" t="s">
        <v>234</v>
      </c>
      <c r="I12" s="53" t="s">
        <v>234</v>
      </c>
      <c r="J12" s="53">
        <v>3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235</v>
      </c>
      <c r="F13" s="53" t="s">
        <v>44</v>
      </c>
      <c r="G13" s="53" t="s">
        <v>154</v>
      </c>
      <c r="H13" s="53">
        <v>5</v>
      </c>
      <c r="I13" s="53">
        <v>3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233</v>
      </c>
      <c r="F14" s="53" t="s">
        <v>69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235</v>
      </c>
      <c r="F15" s="53" t="s">
        <v>72</v>
      </c>
      <c r="G15" s="53" t="s">
        <v>123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57</v>
      </c>
      <c r="E16" s="53" t="s">
        <v>233</v>
      </c>
      <c r="F16" s="53" t="s">
        <v>38</v>
      </c>
      <c r="G16" s="53" t="s">
        <v>154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57</v>
      </c>
      <c r="D17" s="53" t="s">
        <v>34</v>
      </c>
      <c r="E17" s="53" t="s">
        <v>238</v>
      </c>
      <c r="F17" s="53" t="s">
        <v>79</v>
      </c>
      <c r="G17" s="53" t="s">
        <v>172</v>
      </c>
      <c r="H17" s="53">
        <v>2</v>
      </c>
      <c r="I17" s="53">
        <v>4</v>
      </c>
      <c r="J17" s="53">
        <v>1</v>
      </c>
      <c r="R17" s="3" t="s">
        <v>79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57</v>
      </c>
      <c r="D18" s="53" t="s">
        <v>39</v>
      </c>
      <c r="E18" s="53" t="s">
        <v>235</v>
      </c>
      <c r="F18" s="53" t="s">
        <v>53</v>
      </c>
      <c r="G18" s="53" t="s">
        <v>172</v>
      </c>
      <c r="H18" s="53">
        <v>3</v>
      </c>
      <c r="I18" s="53">
        <v>2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57</v>
      </c>
      <c r="E19" s="53" t="s">
        <v>233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57</v>
      </c>
      <c r="E20" s="53" t="s">
        <v>236</v>
      </c>
      <c r="F20" s="53" t="s">
        <v>60</v>
      </c>
      <c r="G20" s="53" t="s">
        <v>172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233</v>
      </c>
      <c r="F21" s="53" t="s">
        <v>60</v>
      </c>
      <c r="G21" s="53" t="s">
        <v>123</v>
      </c>
      <c r="H21" s="53" t="s">
        <v>234</v>
      </c>
      <c r="I21" s="53" t="s">
        <v>234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235</v>
      </c>
      <c r="F22" s="53" t="s">
        <v>38</v>
      </c>
      <c r="G22" s="53" t="s">
        <v>154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57</v>
      </c>
      <c r="E23" s="53" t="s">
        <v>233</v>
      </c>
      <c r="F23" s="53" t="s">
        <v>38</v>
      </c>
      <c r="G23" s="53" t="s">
        <v>154</v>
      </c>
      <c r="H23" s="53" t="s">
        <v>234</v>
      </c>
      <c r="I23" s="53" t="s">
        <v>234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57</v>
      </c>
      <c r="E24" s="53" t="s">
        <v>235</v>
      </c>
      <c r="F24" s="53" t="s">
        <v>38</v>
      </c>
      <c r="G24" s="53" t="s">
        <v>154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233</v>
      </c>
      <c r="F25" s="53" t="s">
        <v>44</v>
      </c>
      <c r="G25" s="53" t="s">
        <v>154</v>
      </c>
      <c r="H25" s="53" t="s">
        <v>234</v>
      </c>
      <c r="I25" s="53" t="s">
        <v>234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237</v>
      </c>
      <c r="F26" s="53" t="s">
        <v>38</v>
      </c>
      <c r="G26" s="53" t="s">
        <v>154</v>
      </c>
      <c r="H26" s="53" t="s">
        <v>234</v>
      </c>
      <c r="I26" s="53" t="s">
        <v>234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238</v>
      </c>
      <c r="F27" s="53" t="s">
        <v>38</v>
      </c>
      <c r="G27" s="53" t="s">
        <v>154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57</v>
      </c>
      <c r="D28" s="53" t="s">
        <v>34</v>
      </c>
      <c r="E28" s="53" t="s">
        <v>233</v>
      </c>
      <c r="F28" s="53" t="s">
        <v>79</v>
      </c>
      <c r="G28" s="53" t="s">
        <v>123</v>
      </c>
      <c r="H28" s="53" t="s">
        <v>234</v>
      </c>
      <c r="I28" s="53" t="s">
        <v>234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57</v>
      </c>
      <c r="E29" s="53" t="s">
        <v>237</v>
      </c>
      <c r="F29" s="53" t="s">
        <v>38</v>
      </c>
      <c r="G29" s="53" t="s">
        <v>123</v>
      </c>
      <c r="H29" s="53" t="s">
        <v>234</v>
      </c>
      <c r="I29" s="53" t="s">
        <v>234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57</v>
      </c>
      <c r="D30" s="53" t="s">
        <v>34</v>
      </c>
      <c r="E30" s="53" t="s">
        <v>238</v>
      </c>
      <c r="F30" s="53" t="s">
        <v>69</v>
      </c>
      <c r="G30" s="53" t="s">
        <v>123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57</v>
      </c>
      <c r="E31" s="53" t="s">
        <v>235</v>
      </c>
      <c r="F31" s="53" t="s">
        <v>46</v>
      </c>
      <c r="G31" s="53" t="s">
        <v>172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159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2023-05-31T04:22:48Z</dcterms:modified>
</cp:coreProperties>
</file>