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164998DE-B494-4E5A-AFE2-BD7EFD94B7B6}" xr6:coauthVersionLast="47" xr6:coauthVersionMax="47" xr10:uidLastSave="{00000000-0000-0000-0000-000000000000}"/>
  <bookViews>
    <workbookView xWindow="-98" yWindow="-98" windowWidth="22695" windowHeight="14595" activeTab="3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" i="4" l="1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Y14" i="4"/>
  <c r="X14" i="4"/>
  <c r="T14" i="4"/>
  <c r="S14" i="4"/>
  <c r="D14" i="6"/>
  <c r="L86" i="3" s="1"/>
  <c r="C14" i="6"/>
  <c r="B14" i="6"/>
  <c r="A14" i="6"/>
  <c r="S14" i="5"/>
  <c r="R14" i="5"/>
  <c r="D14" i="5"/>
  <c r="C14" i="5"/>
  <c r="B14" i="5"/>
  <c r="A14" i="5"/>
  <c r="D14" i="4"/>
  <c r="J86" i="3" s="1"/>
  <c r="C14" i="4"/>
  <c r="B14" i="4"/>
  <c r="A14" i="4"/>
  <c r="F15" i="3"/>
  <c r="D15" i="3"/>
  <c r="C15" i="3"/>
  <c r="B15" i="3"/>
  <c r="I86" i="3"/>
  <c r="K86" i="3"/>
  <c r="Q5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AB51" i="3"/>
  <c r="AC51" i="3" s="1"/>
  <c r="AD51" i="3"/>
  <c r="AE51" i="3"/>
  <c r="AF51" i="3"/>
  <c r="AG51" i="3" s="1"/>
  <c r="AH51" i="3"/>
  <c r="AI51" i="3"/>
  <c r="AB52" i="3"/>
  <c r="AC52" i="3" s="1"/>
  <c r="AD52" i="3"/>
  <c r="AE52" i="3"/>
  <c r="AF52" i="3"/>
  <c r="AG52" i="3" s="1"/>
  <c r="AH52" i="3"/>
  <c r="AI52" i="3"/>
  <c r="AB53" i="3"/>
  <c r="AC53" i="3" s="1"/>
  <c r="AD53" i="3"/>
  <c r="AE53" i="3"/>
  <c r="AF53" i="3"/>
  <c r="AG53" i="3" s="1"/>
  <c r="AH53" i="3"/>
  <c r="AI53" i="3"/>
  <c r="AB54" i="3"/>
  <c r="AC54" i="3" s="1"/>
  <c r="AD54" i="3"/>
  <c r="AE54" i="3"/>
  <c r="AF54" i="3"/>
  <c r="AG54" i="3" s="1"/>
  <c r="AH54" i="3"/>
  <c r="AI54" i="3"/>
  <c r="AB55" i="3"/>
  <c r="AC55" i="3" s="1"/>
  <c r="AD55" i="3"/>
  <c r="AE55" i="3"/>
  <c r="AF55" i="3"/>
  <c r="AG55" i="3" s="1"/>
  <c r="AH55" i="3"/>
  <c r="AI55" i="3"/>
  <c r="AB56" i="3"/>
  <c r="AC56" i="3" s="1"/>
  <c r="AD56" i="3"/>
  <c r="AE56" i="3"/>
  <c r="AF56" i="3"/>
  <c r="AG56" i="3" s="1"/>
  <c r="AH56" i="3"/>
  <c r="AI56" i="3"/>
  <c r="AB57" i="3"/>
  <c r="AC57" i="3" s="1"/>
  <c r="AD57" i="3"/>
  <c r="AE57" i="3"/>
  <c r="AF57" i="3"/>
  <c r="AG57" i="3" s="1"/>
  <c r="AH57" i="3"/>
  <c r="AI57" i="3"/>
  <c r="AB58" i="3"/>
  <c r="AC58" i="3" s="1"/>
  <c r="AD58" i="3"/>
  <c r="AE58" i="3"/>
  <c r="AF58" i="3"/>
  <c r="AG58" i="3" s="1"/>
  <c r="AH58" i="3"/>
  <c r="AI58" i="3"/>
  <c r="AB59" i="3"/>
  <c r="AC59" i="3" s="1"/>
  <c r="AD59" i="3"/>
  <c r="AE59" i="3"/>
  <c r="AF59" i="3"/>
  <c r="AG59" i="3" s="1"/>
  <c r="AH59" i="3"/>
  <c r="AI59" i="3"/>
  <c r="AB60" i="3"/>
  <c r="AC60" i="3" s="1"/>
  <c r="AD60" i="3"/>
  <c r="AE60" i="3"/>
  <c r="AF60" i="3"/>
  <c r="AG60" i="3" s="1"/>
  <c r="AH60" i="3"/>
  <c r="AI60" i="3"/>
  <c r="AB61" i="3"/>
  <c r="AC61" i="3" s="1"/>
  <c r="AD61" i="3"/>
  <c r="AE61" i="3"/>
  <c r="AF61" i="3"/>
  <c r="AG61" i="3" s="1"/>
  <c r="AH61" i="3"/>
  <c r="AI61" i="3"/>
  <c r="AB62" i="3"/>
  <c r="AC62" i="3" s="1"/>
  <c r="AD62" i="3"/>
  <c r="AE62" i="3"/>
  <c r="AF62" i="3"/>
  <c r="AG62" i="3" s="1"/>
  <c r="AH62" i="3"/>
  <c r="AI62" i="3"/>
  <c r="AB63" i="3"/>
  <c r="AC63" i="3" s="1"/>
  <c r="AD63" i="3"/>
  <c r="AE63" i="3"/>
  <c r="AF63" i="3"/>
  <c r="AG63" i="3" s="1"/>
  <c r="AH63" i="3"/>
  <c r="AI63" i="3"/>
  <c r="AB64" i="3"/>
  <c r="AC64" i="3" s="1"/>
  <c r="AD64" i="3"/>
  <c r="AE64" i="3"/>
  <c r="AF64" i="3"/>
  <c r="AG64" i="3" s="1"/>
  <c r="AH64" i="3"/>
  <c r="AI64" i="3"/>
  <c r="AB65" i="3"/>
  <c r="AC65" i="3" s="1"/>
  <c r="AD65" i="3"/>
  <c r="AE65" i="3"/>
  <c r="AF65" i="3"/>
  <c r="AG65" i="3" s="1"/>
  <c r="AH65" i="3"/>
  <c r="AI65" i="3"/>
  <c r="AH50" i="3"/>
  <c r="AF50" i="3"/>
  <c r="AD50" i="3"/>
  <c r="AE50" i="3" s="1"/>
  <c r="AB50" i="3"/>
  <c r="AC50" i="3" s="1"/>
  <c r="AI50" i="3"/>
  <c r="AG50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L5" i="19"/>
  <c r="N5" i="19" s="1"/>
  <c r="AE4" i="19"/>
  <c r="AD4" i="19"/>
  <c r="AC4" i="19"/>
  <c r="Z4" i="19"/>
  <c r="Y4" i="19"/>
  <c r="X4" i="19"/>
  <c r="U4" i="19"/>
  <c r="U24" i="19" s="1"/>
  <c r="T4" i="19"/>
  <c r="T24" i="19" s="1"/>
  <c r="S4" i="19"/>
  <c r="S24" i="19" s="1"/>
  <c r="M4" i="19"/>
  <c r="L4" i="19"/>
  <c r="N4" i="19" s="1"/>
  <c r="AE3" i="19"/>
  <c r="AD3" i="19"/>
  <c r="AC3" i="19"/>
  <c r="U3" i="19"/>
  <c r="U23" i="19" s="1"/>
  <c r="T3" i="19"/>
  <c r="T23" i="19" s="1"/>
  <c r="Q46" i="19" s="1"/>
  <c r="S3" i="19"/>
  <c r="S23" i="19" s="1"/>
  <c r="R3" i="19"/>
  <c r="R23" i="19" s="1"/>
  <c r="M3" i="19"/>
  <c r="L3" i="19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AE2" i="4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E15" i="3" l="1"/>
  <c r="R9" i="19"/>
  <c r="R29" i="19" s="1"/>
  <c r="R16" i="19"/>
  <c r="R36" i="19" s="1"/>
  <c r="N3" i="19"/>
  <c r="O5" i="19" s="1"/>
  <c r="R12" i="19"/>
  <c r="R32" i="19" s="1"/>
  <c r="R17" i="19"/>
  <c r="R37" i="19" s="1"/>
  <c r="O4" i="19"/>
  <c r="R8" i="19"/>
  <c r="R28" i="19" s="1"/>
  <c r="R13" i="19"/>
  <c r="R33" i="19" s="1"/>
  <c r="O3" i="19"/>
  <c r="Q45" i="19"/>
  <c r="U26" i="19"/>
  <c r="U34" i="19"/>
  <c r="R4" i="19"/>
  <c r="R24" i="19" s="1"/>
  <c r="Q44" i="19" s="1"/>
  <c r="R10" i="19"/>
  <c r="R30" i="19" s="1"/>
  <c r="R18" i="19"/>
  <c r="R38" i="19" s="1"/>
  <c r="U31" i="19"/>
  <c r="R7" i="19"/>
  <c r="R27" i="19" s="1"/>
  <c r="R15" i="19"/>
  <c r="R35" i="19" s="1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7" i="19" l="1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T33" i="5" l="1"/>
  <c r="V32" i="4"/>
  <c r="S33" i="6"/>
  <c r="V35" i="5"/>
  <c r="U32" i="6"/>
  <c r="S36" i="6"/>
  <c r="S35" i="6"/>
  <c r="S34" i="6"/>
  <c r="U35" i="6"/>
  <c r="U34" i="6"/>
  <c r="U33" i="6"/>
  <c r="V34" i="4"/>
  <c r="T35" i="5"/>
  <c r="T34" i="5"/>
  <c r="V34" i="5"/>
  <c r="V33" i="5"/>
  <c r="V32" i="5"/>
  <c r="T36" i="4"/>
  <c r="U36" i="4" s="1"/>
  <c r="T34" i="4"/>
  <c r="U34" i="4" s="1"/>
  <c r="T33" i="4"/>
  <c r="U33" i="4" s="1"/>
  <c r="V35" i="4"/>
  <c r="V33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<sst xmlns="http://schemas.openxmlformats.org/spreadsheetml/2006/main" count="2201" uniqueCount="226">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</sst>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  <xf numFmtId="0" fontId="1" fillId="0" borderId="0" xfId="0" applyFont="1" applyAlignment="1"/>
    <xf numFmtId="16" fontId="2" fillId="0" borderId="0" xfId="0" applyNumberFormat="1" applyFont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0.51256281407035187</c:v>
                </c:pt>
                <c:pt idx="1">
                  <c:v>0.31155778894472363</c:v>
                </c:pt>
                <c:pt idx="2">
                  <c:v>0.17587939698492464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'Stats Global'!$J$76:$J$85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'Stats Global'!$K$76:$K$85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'Stats Global'!$L$76:$L$85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7">
      <calculatedColumnFormula>Q29+Q48+Q67+AB29+AB50</calculatedColumnFormula>
    </tableColumn>
    <tableColumn id="3" xr3:uid="{8FDDFCB0-2692-4EB0-948C-7B877263B55B}" name="Average" dataDxfId="28">
      <calculatedColumnFormula>Table1[[#This Row],[Points]]/($Q$5-Table1[[#This Row],[Missed Games]])</calculatedColumnFormula>
    </tableColumn>
    <tableColumn id="4" xr3:uid="{CC3F9B31-1857-48FB-A18B-CBC82C117BF4}" name="Finishes" dataDxfId="6">
      <calculatedColumnFormula>S29+S48+S67+AD29+AD50</calculatedColumnFormula>
    </tableColumn>
    <tableColumn id="5" xr3:uid="{5F324C66-956D-4EDC-870F-8EDE96C328C8}" name="Averages" dataDxfId="27">
      <calculatedColumnFormula>Table1[[#This Row],[Finishes]]/($Q$5-Table1[[#This Row],[Missed Games]])</calculatedColumnFormula>
    </tableColumn>
    <tableColumn id="6" xr3:uid="{80C6E15E-675D-4F58-AA26-27226F1CE373}" name="Midranges" dataDxfId="5">
      <calculatedColumnFormula>U29+U48+U67+AF29+AF50</calculatedColumnFormula>
    </tableColumn>
    <tableColumn id="7" xr3:uid="{8E7E6B37-23A0-4556-8839-B9D7834E3E68}" name="Averages2" dataDxfId="26">
      <calculatedColumnFormula>Table1[[#This Row],[Midranges]]/($Q$5-Table1[[#This Row],[Missed Games]])</calculatedColumnFormula>
    </tableColumn>
    <tableColumn id="8" xr3:uid="{8B28715D-E310-4E1F-B9F0-F58F7C70E830}" name="Threes" dataDxfId="4">
      <calculatedColumnFormula>W29+W48+W67+AH29+AH50</calculatedColumnFormula>
    </tableColumn>
    <tableColumn id="9" xr3:uid="{E0C0BF1C-40E8-4137-8E0F-BB238D651DAE}" name="Averages3" dataDxfId="25">
      <calculatedColumnFormula>Table1[[#This Row],[Threes]]/($Q$5-Table1[[#This Row],[Missed Games]])</calculatedColumnFormula>
    </tableColumn>
    <tableColumn id="10" xr3:uid="{1C75F230-74E0-47EE-BF13-C22289FE0F87}" name="Team" dataDxfId="24"/>
    <tableColumn id="11" xr3:uid="{E167D7FA-56F9-4571-B292-FF3869585F59}" name="Missed Games" dataDxfId="3">
      <calculatedColumnFormula>Y29+Y48+Y67+AJ29+AJ50</calculatedColumnFormula>
    </tableColumn>
    <tableColumn id="12" xr3:uid="{1E9F03B6-331B-4AEA-A1FF-6B0C39F44510}" name="Last Season" dataDxfId="23" dataCellStyle="Percent"/>
    <tableColumn id="13" xr3:uid="{070DA09E-0E42-4E75-A3F1-D53845D2080C}" name="This Season" dataDxfId="22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1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6" dataDxfId="15">
  <autoFilter ref="AC3:AL19" xr:uid="{587B90AE-8257-4DD1-B916-54A097BDCDB9}"/>
  <tableColumns count="10">
    <tableColumn id="1" xr3:uid="{9C18B4B0-9A37-408A-98B5-B414F029A26A}" name="Scoring" dataDxfId="14"/>
    <tableColumn id="2" xr3:uid="{CC6666B6-FDFB-4B1A-846E-17C28664C92E}" name="Points" dataDxfId="13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2">
      <calculatedColumnFormula>Table2[[#This Row],[Points]]/($AE$2-Table2[[#This Row],[DNP]])</calculatedColumnFormula>
    </tableColumn>
    <tableColumn id="4" xr3:uid="{FA85A798-E688-4A4F-A92F-2DD56D710025}" name="Finishes" dataDxfId="2">
      <calculatedColumnFormula>'2404'!AC3+'2604'!AC3+'0205'!AC3+'0305'!AC3+'0805'!AC3+'0905'!AC3+'1005'!AC3+'1505'!AC3+'1605'!AC3+'1705'!AC3+'2205'!AC3</calculatedColumnFormula>
    </tableColumn>
    <tableColumn id="5" xr3:uid="{14C722B6-CCC7-4AA5-A077-4781282133B0}" name="Avg F" dataDxfId="11">
      <calculatedColumnFormula>Table2[[#This Row],[Finishes]]/($AE$2-Table2[[#This Row],[DNP]])</calculatedColumnFormula>
    </tableColumn>
    <tableColumn id="6" xr3:uid="{1E54054E-9F21-4987-99FC-EF35338EC708}" name="Midranges" dataDxfId="1">
      <calculatedColumnFormula>'2404'!AD3+'2604'!AD3+'0205'!AD3+'0305'!AD3+'0805'!AD3+'0905'!AD3+'1005'!AD3+'1505'!AD3+'1605'!AD3+'1705'!AD3+'2205'!AD3</calculatedColumnFormula>
    </tableColumn>
    <tableColumn id="7" xr3:uid="{3BC984C2-EE5E-43C7-8014-7F0DA5F9EB7A}" name="Avg M" dataDxfId="10">
      <calculatedColumnFormula>Table2[[#This Row],[Midranges]]/($AE$2-Table2[[#This Row],[DNP]])</calculatedColumnFormula>
    </tableColumn>
    <tableColumn id="8" xr3:uid="{9FAC1FFA-039C-4124-88C5-1A3BE26F7F04}" name="Threes" dataDxfId="0">
      <calculatedColumnFormula>'2404'!AE3+'2604'!AE3+'0205'!AE3+'0305'!AE3+'0805'!AE3+'0905'!AE3+'1005'!AE3+'1505'!AE3+'1605'!AE3+'1705'!AE3+'2205'!AE3</calculatedColumnFormula>
    </tableColumn>
    <tableColumn id="9" xr3:uid="{44E19C86-A8F7-4165-82A8-E143251937CE}" name="Avg 3" dataDxfId="9">
      <calculatedColumnFormula>Table2[[#This Row],[Threes]]/($AE$2-Table2[[#This Row],[DNP]])</calculatedColumnFormula>
    </tableColumn>
    <tableColumn id="10" xr3:uid="{DA5CCBEE-C42A-4EE7-8A28-4BA362276422}" name="DNP" dataDxfId="8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B1" workbookViewId="0">
      <selection activeCell="K34" sqref="K34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</v>
      </c>
      <c r="E3" s="1">
        <f>'Stats Global'!Q8</f>
        <v>7</v>
      </c>
      <c r="F3" s="14">
        <f>'Stats Global'!T8</f>
        <v>0.2</v>
      </c>
      <c r="G3" s="24">
        <f>'Stats Global'!S8</f>
        <v>2</v>
      </c>
      <c r="H3" s="14">
        <f>'Stats Global'!V8</f>
        <v>0.5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0.88888888888888884</v>
      </c>
      <c r="E4" s="24">
        <f>'Stats Global'!Q9</f>
        <v>8</v>
      </c>
      <c r="F4" s="14">
        <f>'Stats Global'!T9</f>
        <v>0.55555555555555558</v>
      </c>
      <c r="G4" s="24">
        <f>'Stats Global'!S9</f>
        <v>5</v>
      </c>
      <c r="H4" s="14">
        <f>'Stats Global'!V9</f>
        <v>0.33333333333333331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2.5714285714285716</v>
      </c>
      <c r="E5" s="24">
        <f>'Stats Global'!Q10</f>
        <v>18</v>
      </c>
      <c r="F5" s="14">
        <f>'Stats Global'!T10</f>
        <v>2.5714285714285716</v>
      </c>
      <c r="G5" s="24">
        <f>'Stats Global'!S10</f>
        <v>18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3.6</v>
      </c>
      <c r="E6" s="24">
        <f>'Stats Global'!Q11</f>
        <v>36</v>
      </c>
      <c r="F6" s="14">
        <f>'Stats Global'!T11</f>
        <v>3.3</v>
      </c>
      <c r="G6" s="24">
        <f>'Stats Global'!S11</f>
        <v>33</v>
      </c>
      <c r="H6" s="14">
        <f>'Stats Global'!V11</f>
        <v>0.3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2.4</v>
      </c>
      <c r="E7" s="24">
        <f>'Stats Global'!Q12</f>
        <v>24</v>
      </c>
      <c r="F7" s="14">
        <f>'Stats Global'!T12</f>
        <v>0.6</v>
      </c>
      <c r="G7" s="24">
        <f>'Stats Global'!S12</f>
        <v>6</v>
      </c>
      <c r="H7" s="14">
        <f>'Stats Global'!V12</f>
        <v>1.2</v>
      </c>
      <c r="I7" s="24">
        <f>'Stats Global'!U12</f>
        <v>12</v>
      </c>
      <c r="J7" s="14">
        <f>'Stats Global'!X12</f>
        <v>0.3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0.7142857142857143</v>
      </c>
      <c r="E8" s="24">
        <f>'Stats Global'!Q13</f>
        <v>5</v>
      </c>
      <c r="F8" s="14">
        <f>'Stats Global'!T13</f>
        <v>0.42857142857142855</v>
      </c>
      <c r="G8" s="24">
        <f>'Stats Global'!S13</f>
        <v>3</v>
      </c>
      <c r="H8" s="14">
        <f>'Stats Global'!V13</f>
        <v>0.2857142857142857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</v>
      </c>
      <c r="E9" s="24">
        <f>'Stats Global'!Q14</f>
        <v>15</v>
      </c>
      <c r="F9" s="14">
        <f>'Stats Global'!T14</f>
        <v>0.4</v>
      </c>
      <c r="G9" s="24">
        <f>'Stats Global'!S14</f>
        <v>4</v>
      </c>
      <c r="H9" s="14">
        <f>'Stats Global'!V14</f>
        <v>0.1</v>
      </c>
      <c r="I9" s="24">
        <f>'Stats Global'!U14</f>
        <v>1</v>
      </c>
      <c r="J9" s="14">
        <f>'Stats Global'!X14</f>
        <v>0.5</v>
      </c>
      <c r="K9" s="24">
        <f>'Stats Global'!W14</f>
        <v>5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1.6</v>
      </c>
      <c r="E10" s="24">
        <f>'Stats Global'!Q15</f>
        <v>16</v>
      </c>
      <c r="F10" s="14">
        <f>'Stats Global'!T15</f>
        <v>0.6</v>
      </c>
      <c r="G10" s="24">
        <f>'Stats Global'!S15</f>
        <v>6</v>
      </c>
      <c r="H10" s="14">
        <f>'Stats Global'!V15</f>
        <v>1</v>
      </c>
      <c r="I10" s="24">
        <f>'Stats Global'!U15</f>
        <v>10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2.5555555555555554</v>
      </c>
      <c r="E11" s="24">
        <f>'Stats Global'!Q16</f>
        <v>23</v>
      </c>
      <c r="F11" s="14">
        <f>'Stats Global'!T16</f>
        <v>0.66666666666666663</v>
      </c>
      <c r="G11" s="24">
        <f>'Stats Global'!S16</f>
        <v>6</v>
      </c>
      <c r="H11" s="14">
        <f>'Stats Global'!V16</f>
        <v>1.8888888888888888</v>
      </c>
      <c r="I11" s="24">
        <f>'Stats Global'!U16</f>
        <v>17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</v>
      </c>
      <c r="E12" s="24">
        <f>'Stats Global'!Q17</f>
        <v>8</v>
      </c>
      <c r="F12" s="14">
        <f>'Stats Global'!T17</f>
        <v>0.1</v>
      </c>
      <c r="G12" s="24">
        <f>'Stats Global'!S17</f>
        <v>1</v>
      </c>
      <c r="H12" s="14">
        <f>'Stats Global'!V17</f>
        <v>0.7</v>
      </c>
      <c r="I12" s="24">
        <f>'Stats Global'!U17</f>
        <v>7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1.375</v>
      </c>
      <c r="E13" s="24">
        <f>'Stats Global'!Q18</f>
        <v>11</v>
      </c>
      <c r="F13" s="14">
        <f>'Stats Global'!T18</f>
        <v>1</v>
      </c>
      <c r="G13" s="24">
        <f>'Stats Global'!S18</f>
        <v>8</v>
      </c>
      <c r="H13" s="14">
        <f>'Stats Global'!V18</f>
        <v>0.125</v>
      </c>
      <c r="I13" s="24">
        <f>'Stats Global'!U18</f>
        <v>1</v>
      </c>
      <c r="J13" s="14">
        <f>'Stats Global'!X18</f>
        <v>0.125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0.9</v>
      </c>
      <c r="E14" s="24">
        <f>'Stats Global'!Q19</f>
        <v>9</v>
      </c>
      <c r="F14" s="14">
        <f>'Stats Global'!T19</f>
        <v>0.5</v>
      </c>
      <c r="G14" s="24">
        <f>'Stats Global'!S19</f>
        <v>5</v>
      </c>
      <c r="H14" s="14">
        <f>'Stats Global'!V19</f>
        <v>0.4</v>
      </c>
      <c r="I14" s="24">
        <f>'Stats Global'!U19</f>
        <v>4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2.4285714285714284</v>
      </c>
      <c r="E15" s="24">
        <f>'Stats Global'!Q20</f>
        <v>17</v>
      </c>
      <c r="F15" s="14">
        <f>'Stats Global'!T20</f>
        <v>1.8571428571428572</v>
      </c>
      <c r="G15" s="24">
        <f>'Stats Global'!S20</f>
        <v>13</v>
      </c>
      <c r="H15" s="14">
        <f>'Stats Global'!V20</f>
        <v>0</v>
      </c>
      <c r="I15" s="24">
        <f>'Stats Global'!U20</f>
        <v>0</v>
      </c>
      <c r="J15" s="14">
        <f>'Stats Global'!X20</f>
        <v>0.2857142857142857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</v>
      </c>
      <c r="E16" s="24">
        <f>'Stats Global'!Q21</f>
        <v>2</v>
      </c>
      <c r="F16" s="14">
        <f>'Stats Global'!T21</f>
        <v>0.2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</v>
      </c>
      <c r="E17" s="24">
        <f>'Stats Global'!Q22</f>
        <v>6</v>
      </c>
      <c r="F17" s="14">
        <f>'Stats Global'!T22</f>
        <v>0.3</v>
      </c>
      <c r="G17" s="24">
        <f>'Stats Global'!S22</f>
        <v>3</v>
      </c>
      <c r="H17" s="14">
        <f>'Stats Global'!V22</f>
        <v>0.3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</v>
      </c>
      <c r="E18" s="24">
        <f>'Stats Global'!Q23</f>
        <v>4</v>
      </c>
      <c r="F18" s="14">
        <f>'Stats Global'!T23</f>
        <v>0.3</v>
      </c>
      <c r="G18" s="24">
        <f>'Stats Global'!S23</f>
        <v>3</v>
      </c>
      <c r="H18" s="14">
        <f>'Stats Global'!V23</f>
        <v>0.1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3" t="s">
        <v>159</v>
      </c>
      <c r="M20" s="133"/>
      <c r="N20" s="13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3"/>
      <c r="M21" s="133"/>
      <c r="N21" s="133"/>
      <c r="X21" s="3" t="s">
        <v>85</v>
      </c>
    </row>
    <row r="22" spans="2:24" ht="14.25" customHeight="1" x14ac:dyDescent="0.45">
      <c r="B22" s="4"/>
      <c r="D22" s="41" t="str">
        <f>ROUND(D3,2)&amp;","</f>
        <v>0.7,</v>
      </c>
      <c r="E22" s="41" t="str">
        <f>E3&amp;","</f>
        <v>7,</v>
      </c>
      <c r="F22" s="41" t="str">
        <f t="shared" ref="F22:F37" si="2">ROUND(F3,2)&amp;","</f>
        <v>0.2,</v>
      </c>
      <c r="G22" s="41" t="str">
        <f t="shared" ref="G22:G36" si="3">G3&amp;","</f>
        <v>2,</v>
      </c>
      <c r="H22" s="41" t="str">
        <f t="shared" ref="H22:H37" si="4">ROUND(H3,2)&amp;","</f>
        <v>0.5,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"PPG":[0.7,0.89,2.57,3.6,2.4,0.71,1.5,1.6,2.56,0.8,1.38,0.9,2.43,0.2,0.6,0.4,],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0.89,</v>
      </c>
      <c r="E23" s="41" t="str">
        <f t="shared" ref="E23:E37" si="9">E4&amp;","</f>
        <v>8,</v>
      </c>
      <c r="F23" s="41" t="str">
        <f t="shared" si="2"/>
        <v>0.56,</v>
      </c>
      <c r="G23" s="41" t="str">
        <f t="shared" si="3"/>
        <v>5,</v>
      </c>
      <c r="H23" s="41" t="str">
        <f t="shared" si="4"/>
        <v>0.33,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"TP":[7,8,18,36,24,5,15,16,23,8,11,9,17,2,6,4,],</v>
      </c>
      <c r="X23" s="3" t="s">
        <v>87</v>
      </c>
    </row>
    <row r="24" spans="2:24" ht="14.25" customHeight="1" x14ac:dyDescent="0.45">
      <c r="D24" s="41" t="str">
        <f t="shared" si="8"/>
        <v>2.57,</v>
      </c>
      <c r="E24" s="41" t="str">
        <f t="shared" si="9"/>
        <v>18,</v>
      </c>
      <c r="F24" s="41" t="str">
        <f t="shared" si="2"/>
        <v>2.57,</v>
      </c>
      <c r="G24" s="41" t="str">
        <f t="shared" si="3"/>
        <v>18,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"FPG":[0.2,0.56,2.57,3.3,0.6,0.43,0.4,0.6,0.67,0.1,1,0.5,1.86,0.2,0.3,0.3,],</v>
      </c>
      <c r="X24" s="40" t="s">
        <v>107</v>
      </c>
    </row>
    <row r="25" spans="2:24" ht="14.25" customHeight="1" x14ac:dyDescent="0.45">
      <c r="D25" s="41" t="str">
        <f t="shared" si="8"/>
        <v>3.6,</v>
      </c>
      <c r="E25" s="41" t="str">
        <f t="shared" si="9"/>
        <v>36,</v>
      </c>
      <c r="F25" s="41" t="str">
        <f t="shared" si="2"/>
        <v>3.3,</v>
      </c>
      <c r="G25" s="41" t="str">
        <f t="shared" si="3"/>
        <v>33,</v>
      </c>
      <c r="H25" s="41" t="str">
        <f t="shared" si="4"/>
        <v>0.3,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"TF":[2,5,18,33,6,3,4,6,6,1,8,5,13,2,3,3],</v>
      </c>
    </row>
    <row r="26" spans="2:24" ht="14.25" customHeight="1" x14ac:dyDescent="0.45">
      <c r="D26" s="41" t="str">
        <f t="shared" si="8"/>
        <v>2.4,</v>
      </c>
      <c r="E26" s="41" t="str">
        <f t="shared" si="9"/>
        <v>24,</v>
      </c>
      <c r="F26" s="41" t="str">
        <f t="shared" si="2"/>
        <v>0.6,</v>
      </c>
      <c r="G26" s="41" t="str">
        <f t="shared" si="3"/>
        <v>6,</v>
      </c>
      <c r="H26" s="41" t="str">
        <f t="shared" si="4"/>
        <v>1.2,</v>
      </c>
      <c r="I26" s="41" t="str">
        <f t="shared" si="5"/>
        <v>12,</v>
      </c>
      <c r="J26" s="41" t="str">
        <f t="shared" si="6"/>
        <v>0.3,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"MPG":[0.5,0.33,0,0.3,1.2,0.29,0.1,1,1.89,0.7,0.13,0.4,0,0,0.3,0.1,],</v>
      </c>
    </row>
    <row r="27" spans="2:24" ht="14.25" customHeight="1" x14ac:dyDescent="0.45">
      <c r="D27" s="41" t="str">
        <f t="shared" si="8"/>
        <v>0.71,</v>
      </c>
      <c r="E27" s="41" t="str">
        <f t="shared" si="9"/>
        <v>5,</v>
      </c>
      <c r="F27" s="41" t="str">
        <f t="shared" si="2"/>
        <v>0.43,</v>
      </c>
      <c r="G27" s="41" t="str">
        <f t="shared" si="3"/>
        <v>3,</v>
      </c>
      <c r="H27" s="41" t="str">
        <f t="shared" si="4"/>
        <v>0.29,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"TM":[5,3,0,3,12,2,1,10,17,7,1,4,0,0,3,1],</v>
      </c>
    </row>
    <row r="28" spans="2:24" ht="14.25" customHeight="1" x14ac:dyDescent="0.45">
      <c r="D28" s="41" t="str">
        <f t="shared" si="8"/>
        <v>1.5,</v>
      </c>
      <c r="E28" s="41" t="str">
        <f t="shared" si="9"/>
        <v>15,</v>
      </c>
      <c r="F28" s="41" t="str">
        <f t="shared" si="2"/>
        <v>0.4,</v>
      </c>
      <c r="G28" s="41" t="str">
        <f t="shared" si="3"/>
        <v>4,</v>
      </c>
      <c r="H28" s="41" t="str">
        <f t="shared" si="4"/>
        <v>0.1,</v>
      </c>
      <c r="I28" s="41" t="str">
        <f t="shared" si="5"/>
        <v>1,</v>
      </c>
      <c r="J28" s="41" t="str">
        <f t="shared" si="6"/>
        <v>0.5,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"TPG":[0,0,0,0,0.3,0,0.5,0,0,0,0.13,0,0.29,0,0,0,],</v>
      </c>
    </row>
    <row r="29" spans="2:24" ht="14.25" customHeight="1" x14ac:dyDescent="0.45">
      <c r="D29" s="41" t="str">
        <f t="shared" si="8"/>
        <v>1.6,</v>
      </c>
      <c r="E29" s="41" t="str">
        <f t="shared" si="9"/>
        <v>16,</v>
      </c>
      <c r="F29" s="41" t="str">
        <f t="shared" si="2"/>
        <v>0.6,</v>
      </c>
      <c r="G29" s="41" t="str">
        <f t="shared" si="3"/>
        <v>6,</v>
      </c>
      <c r="H29" s="41" t="str">
        <f t="shared" si="4"/>
        <v>1,</v>
      </c>
      <c r="I29" s="41" t="str">
        <f t="shared" si="5"/>
        <v>10,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"TT":[0,0,0,0,3,0,5,0,0,0,1,0,2,0,0,0],</v>
      </c>
    </row>
    <row r="30" spans="2:24" ht="14.25" customHeight="1" x14ac:dyDescent="0.45">
      <c r="C30" s="41"/>
      <c r="D30" s="41" t="str">
        <f t="shared" si="8"/>
        <v>2.56,</v>
      </c>
      <c r="E30" s="41" t="str">
        <f t="shared" si="9"/>
        <v>23,</v>
      </c>
      <c r="F30" s="41" t="str">
        <f t="shared" si="2"/>
        <v>0.67,</v>
      </c>
      <c r="G30" s="41" t="str">
        <f t="shared" si="3"/>
        <v>6,</v>
      </c>
      <c r="H30" s="41" t="str">
        <f t="shared" si="4"/>
        <v>1.89,</v>
      </c>
      <c r="I30" s="41" t="str">
        <f t="shared" si="5"/>
        <v>17,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"NBAMODENUMBER":[12.27],</v>
      </c>
    </row>
    <row r="31" spans="2:24" ht="14.25" customHeight="1" x14ac:dyDescent="0.45">
      <c r="C31" s="41"/>
      <c r="D31" s="41" t="str">
        <f t="shared" si="8"/>
        <v>0.8,</v>
      </c>
      <c r="E31" s="41" t="str">
        <f t="shared" si="9"/>
        <v>8,</v>
      </c>
      <c r="F31" s="41" t="str">
        <f t="shared" si="2"/>
        <v>0.1,</v>
      </c>
      <c r="G31" s="41" t="str">
        <f t="shared" si="3"/>
        <v>1,</v>
      </c>
      <c r="H31" s="41" t="str">
        <f t="shared" si="4"/>
        <v>0.7,</v>
      </c>
      <c r="I31" s="41" t="str">
        <f t="shared" si="5"/>
        <v>7,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12.266648448308255</v>
      </c>
    </row>
    <row r="32" spans="2:24" ht="14.25" customHeight="1" x14ac:dyDescent="0.45">
      <c r="C32" s="41"/>
      <c r="D32" s="41" t="str">
        <f t="shared" si="8"/>
        <v>1.38,</v>
      </c>
      <c r="E32" s="41" t="str">
        <f t="shared" si="9"/>
        <v>11,</v>
      </c>
      <c r="F32" s="41" t="str">
        <f t="shared" si="2"/>
        <v>1,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1,</v>
      </c>
      <c r="J32" s="41" t="str">
        <f t="shared" si="6"/>
        <v>0.13,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0.9,</v>
      </c>
      <c r="E33" s="41" t="str">
        <f t="shared" si="9"/>
        <v>9,</v>
      </c>
      <c r="F33" s="41" t="str">
        <f t="shared" si="2"/>
        <v>0.5,</v>
      </c>
      <c r="G33" s="41" t="str">
        <f t="shared" si="3"/>
        <v>5,</v>
      </c>
      <c r="H33" s="41" t="str">
        <f t="shared" si="4"/>
        <v>0.4,</v>
      </c>
      <c r="I33" s="41" t="str">
        <f t="shared" si="5"/>
        <v>4,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17,</v>
      </c>
      <c r="F34" s="41" t="str">
        <f t="shared" si="2"/>
        <v>1.86,</v>
      </c>
      <c r="G34" s="41" t="str">
        <f t="shared" si="3"/>
        <v>13,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0.29,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0.2,</v>
      </c>
      <c r="E35" s="41" t="str">
        <f t="shared" si="9"/>
        <v>2,</v>
      </c>
      <c r="F35" s="41" t="str">
        <f t="shared" si="2"/>
        <v>0.2,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0.6,</v>
      </c>
      <c r="E36" s="41" t="str">
        <f t="shared" si="9"/>
        <v>6,</v>
      </c>
      <c r="F36" s="41" t="str">
        <f t="shared" si="2"/>
        <v>0.3,</v>
      </c>
      <c r="G36" s="41" t="str">
        <f t="shared" si="3"/>
        <v>3,</v>
      </c>
      <c r="H36" s="41" t="str">
        <f t="shared" si="4"/>
        <v>0.3,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0.4,</v>
      </c>
      <c r="E37" s="41" t="str">
        <f t="shared" si="9"/>
        <v>4,</v>
      </c>
      <c r="F37" s="41" t="str">
        <f t="shared" si="2"/>
        <v>0.3,</v>
      </c>
      <c r="G37" s="41">
        <f>G18</f>
        <v>3</v>
      </c>
      <c r="H37" s="41" t="str">
        <f t="shared" si="4"/>
        <v>0.1,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40" zoomScaleNormal="40" workbookViewId="0">
      <selection activeCell="F16" sqref="F16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Q26+Q46+Q65+AB26+AB47</f>
        <v>10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18.09090909090909</v>
      </c>
      <c r="J6" s="1">
        <f t="shared" si="1"/>
        <v>9.2727272727272734</v>
      </c>
      <c r="K6" s="1">
        <f t="shared" si="1"/>
        <v>5.6363636363636367</v>
      </c>
      <c r="L6" s="1">
        <f t="shared" si="1"/>
        <v>3.1818181818181817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0.51256281407035187</v>
      </c>
      <c r="K7" s="8">
        <f t="shared" si="2"/>
        <v>0.31155778894472363</v>
      </c>
      <c r="L7" s="8">
        <f t="shared" si="2"/>
        <v>0.17587939698492464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Q29+Q48+Q67+AB29+AB50</f>
        <v>7</v>
      </c>
      <c r="R8" s="69">
        <f>Table1[[#This Row],[Points]]/($Q$5-Table1[[#This Row],[Missed Games]])</f>
        <v>0.7</v>
      </c>
      <c r="S8" s="70">
        <f t="shared" ref="S8:S23" si="4">S29+S48+S67+AD29+AD50</f>
        <v>2</v>
      </c>
      <c r="T8" s="71">
        <f>Table1[[#This Row],[Finishes]]/($Q$5-Table1[[#This Row],[Missed Games]])</f>
        <v>0.2</v>
      </c>
      <c r="U8" s="70">
        <f t="shared" ref="U8:U23" si="5">U29+U48+U67+AF29+AF50</f>
        <v>5</v>
      </c>
      <c r="V8" s="71">
        <f>Table1[[#This Row],[Midranges]]/($Q$5-Table1[[#This Row],[Missed Games]])</f>
        <v>0.5</v>
      </c>
      <c r="W8" s="70">
        <f t="shared" ref="W8:W23" si="6">W29+W48+W67+AH29+AH50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Y29+Y48+Y67+AJ29+AJ50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3.1784929186637348E-2</v>
      </c>
      <c r="AC8" s="109">
        <f t="shared" ref="AC8:AC23" si="8">AB8-AA8</f>
        <v>1.6098876298637349E-2</v>
      </c>
      <c r="AE8" s="64"/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0.88888888888888884</v>
      </c>
      <c r="S9" s="74">
        <f t="shared" si="4"/>
        <v>5</v>
      </c>
      <c r="T9" s="75">
        <f>Table1[[#This Row],[Finishes]]/($Q$5-Table1[[#This Row],[Missed Games]])</f>
        <v>0.55555555555555558</v>
      </c>
      <c r="U9" s="74">
        <f t="shared" si="5"/>
        <v>3</v>
      </c>
      <c r="V9" s="75">
        <f>Table1[[#This Row],[Midranges]]/($Q$5-Table1[[#This Row],[Missed Games]])</f>
        <v>0.33333333333333331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1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4.0361814840174412E-2</v>
      </c>
      <c r="AC9" s="109">
        <f t="shared" si="8"/>
        <v>1.2911222286174414E-2</v>
      </c>
      <c r="AE9" s="64"/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18</v>
      </c>
      <c r="R10" s="69">
        <f>Table1[[#This Row],[Points]]/($Q$5-Table1[[#This Row],[Missed Games]])</f>
        <v>2.5714285714285716</v>
      </c>
      <c r="S10" s="70">
        <f t="shared" si="4"/>
        <v>18</v>
      </c>
      <c r="T10" s="71">
        <f>Table1[[#This Row],[Finishes]]/($Q$5-Table1[[#This Row],[Missed Games]])</f>
        <v>2.5714285714285716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0.116760964359076</v>
      </c>
      <c r="AC10" s="109">
        <f t="shared" si="8"/>
        <v>-4.8079612069239913E-3</v>
      </c>
      <c r="AE10" s="64"/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36</v>
      </c>
      <c r="R11" s="73">
        <f>Table1[[#This Row],[Points]]/($Q$5-Table1[[#This Row],[Missed Games]])</f>
        <v>3.6</v>
      </c>
      <c r="S11" s="74">
        <f t="shared" si="4"/>
        <v>33</v>
      </c>
      <c r="T11" s="75">
        <f>Table1[[#This Row],[Finishes]]/($Q$5-Table1[[#This Row],[Missed Games]])</f>
        <v>3.3</v>
      </c>
      <c r="U11" s="74">
        <f t="shared" si="5"/>
        <v>3</v>
      </c>
      <c r="V11" s="75">
        <f>Table1[[#This Row],[Midranges]]/($Q$5-Table1[[#This Row],[Missed Games]])</f>
        <v>0.3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0.16346535010270638</v>
      </c>
      <c r="AC11" s="109">
        <f t="shared" si="8"/>
        <v>3.79749113147064E-2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24</v>
      </c>
      <c r="R12" s="73">
        <f>Table1[[#This Row],[Points]]/($Q$5-Table1[[#This Row],[Missed Games]])</f>
        <v>2.4</v>
      </c>
      <c r="S12" s="74">
        <f t="shared" si="4"/>
        <v>6</v>
      </c>
      <c r="T12" s="75">
        <f>Table1[[#This Row],[Finishes]]/($Q$5-Table1[[#This Row],[Missed Games]])</f>
        <v>0.6</v>
      </c>
      <c r="U12" s="74">
        <f t="shared" si="5"/>
        <v>12</v>
      </c>
      <c r="V12" s="75">
        <f>Table1[[#This Row],[Midranges]]/($Q$5-Table1[[#This Row],[Missed Games]])</f>
        <v>1.2</v>
      </c>
      <c r="W12" s="74">
        <f t="shared" si="6"/>
        <v>3</v>
      </c>
      <c r="X12" s="75">
        <f>Table1[[#This Row],[Threes]]/($Q$5-Table1[[#This Row],[Missed Games]])</f>
        <v>0.3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9.5354787559912044E-2</v>
      </c>
      <c r="AC12" s="109">
        <f t="shared" si="8"/>
        <v>4.0452594609912053E-2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5</v>
      </c>
      <c r="R13" s="73">
        <f>Table1[[#This Row],[Points]]/($Q$5-Table1[[#This Row],[Missed Games]])</f>
        <v>0.7142857142857143</v>
      </c>
      <c r="S13" s="74">
        <f t="shared" si="4"/>
        <v>3</v>
      </c>
      <c r="T13" s="75">
        <f>Table1[[#This Row],[Finishes]]/($Q$5-Table1[[#This Row],[Missed Games]])</f>
        <v>0.42857142857142855</v>
      </c>
      <c r="U13" s="74">
        <f t="shared" si="5"/>
        <v>2</v>
      </c>
      <c r="V13" s="75">
        <f>Table1[[#This Row],[Midranges]]/($Q$5-Table1[[#This Row],[Missed Games]])</f>
        <v>0.2857142857142857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3.2433601210854437E-2</v>
      </c>
      <c r="AC13" s="109">
        <f t="shared" si="8"/>
        <v>-6.9526750403145543E-2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15</v>
      </c>
      <c r="R14" s="77">
        <f>Table1[[#This Row],[Points]]/($Q$5-Table1[[#This Row],[Missed Games]])</f>
        <v>1.5</v>
      </c>
      <c r="S14" s="78">
        <f t="shared" si="4"/>
        <v>4</v>
      </c>
      <c r="T14" s="79">
        <f>Table1[[#This Row],[Finishes]]/($Q$5-Table1[[#This Row],[Missed Games]])</f>
        <v>0.4</v>
      </c>
      <c r="U14" s="78">
        <f t="shared" si="5"/>
        <v>1</v>
      </c>
      <c r="V14" s="79">
        <f>Table1[[#This Row],[Midranges]]/($Q$5-Table1[[#This Row],[Missed Games]])</f>
        <v>0.1</v>
      </c>
      <c r="W14" s="78">
        <f t="shared" si="6"/>
        <v>5</v>
      </c>
      <c r="X14" s="79">
        <f>Table1[[#This Row],[Threes]]/($Q$5-Table1[[#This Row],[Missed Games]])</f>
        <v>0.5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4.5407041695196215E-2</v>
      </c>
      <c r="AC14" s="109">
        <f t="shared" si="8"/>
        <v>6.1909016331962163E-3</v>
      </c>
      <c r="AE14" s="64"/>
      <c r="AI14" s="66"/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0</v>
      </c>
      <c r="D15" s="3">
        <f>MAX('2205'!$L$3:$L$5)</f>
        <v>0</v>
      </c>
      <c r="E15" s="3">
        <f t="shared" ref="E15" si="13">C15-D15-F15</f>
        <v>0</v>
      </c>
      <c r="F15" s="3">
        <f>MIN('2205'!$L$3:$L$5)</f>
        <v>0</v>
      </c>
      <c r="P15" s="84" t="s">
        <v>78</v>
      </c>
      <c r="Q15" s="76">
        <f t="shared" si="3"/>
        <v>16</v>
      </c>
      <c r="R15" s="77">
        <f>Table1[[#This Row],[Points]]/($Q$5-Table1[[#This Row],[Missed Games]])</f>
        <v>1.6</v>
      </c>
      <c r="S15" s="78">
        <f t="shared" si="4"/>
        <v>6</v>
      </c>
      <c r="T15" s="79">
        <f>Table1[[#This Row],[Finishes]]/($Q$5-Table1[[#This Row],[Missed Games]])</f>
        <v>0.6</v>
      </c>
      <c r="U15" s="78">
        <f t="shared" si="5"/>
        <v>10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7.265126671231395E-2</v>
      </c>
      <c r="AC15" s="109">
        <f t="shared" si="8"/>
        <v>-5.2839172075686031E-2</v>
      </c>
      <c r="AE15" s="64"/>
      <c r="AI15" s="66"/>
      <c r="AJ15" s="6"/>
      <c r="AK15" s="6"/>
      <c r="AL15" s="11"/>
    </row>
    <row r="16" spans="2:38" ht="14.25" customHeight="1" x14ac:dyDescent="0.45">
      <c r="B16" s="4"/>
      <c r="P16" s="80" t="s">
        <v>80</v>
      </c>
      <c r="Q16" s="68">
        <f t="shared" si="3"/>
        <v>23</v>
      </c>
      <c r="R16" s="69">
        <f>Table1[[#This Row],[Points]]/($Q$5-Table1[[#This Row],[Missed Games]])</f>
        <v>2.5555555555555554</v>
      </c>
      <c r="S16" s="70">
        <f t="shared" si="4"/>
        <v>6</v>
      </c>
      <c r="T16" s="71">
        <f>Table1[[#This Row],[Finishes]]/($Q$5-Table1[[#This Row],[Missed Games]])</f>
        <v>0.66666666666666663</v>
      </c>
      <c r="U16" s="70">
        <f t="shared" si="5"/>
        <v>17</v>
      </c>
      <c r="V16" s="71">
        <f>Table1[[#This Row],[Midranges]]/($Q$5-Table1[[#This Row],[Missed Games]])</f>
        <v>1.8888888888888888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0.11604021766550143</v>
      </c>
      <c r="AC16" s="109">
        <f t="shared" si="8"/>
        <v>1.8001379273501442E-2</v>
      </c>
      <c r="AE16" s="64"/>
      <c r="AI16" s="66"/>
      <c r="AJ16" s="6"/>
      <c r="AK16" s="6"/>
      <c r="AL16" s="11"/>
    </row>
    <row r="17" spans="2:38" ht="14.25" customHeight="1" x14ac:dyDescent="0.45">
      <c r="B17" s="4"/>
      <c r="P17" s="80" t="s">
        <v>81</v>
      </c>
      <c r="Q17" s="68">
        <f t="shared" si="3"/>
        <v>8</v>
      </c>
      <c r="R17" s="69">
        <f>Table1[[#This Row],[Points]]/($Q$5-Table1[[#This Row],[Missed Games]])</f>
        <v>0.8</v>
      </c>
      <c r="S17" s="70">
        <f t="shared" si="4"/>
        <v>1</v>
      </c>
      <c r="T17" s="71">
        <f>Table1[[#This Row],[Finishes]]/($Q$5-Table1[[#This Row],[Missed Games]])</f>
        <v>0.1</v>
      </c>
      <c r="U17" s="70">
        <f t="shared" si="5"/>
        <v>7</v>
      </c>
      <c r="V17" s="71">
        <f>Table1[[#This Row],[Midranges]]/($Q$5-Table1[[#This Row],[Missed Games]])</f>
        <v>0.7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0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3.6325633356156968E-2</v>
      </c>
      <c r="AC17" s="109">
        <f t="shared" si="8"/>
        <v>1.6718067246156969E-2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11</v>
      </c>
      <c r="R18" s="69">
        <f>Table1[[#This Row],[Points]]/($Q$5-Table1[[#This Row],[Missed Games]])</f>
        <v>1.375</v>
      </c>
      <c r="S18" s="70">
        <f t="shared" si="4"/>
        <v>8</v>
      </c>
      <c r="T18" s="71">
        <f>Table1[[#This Row],[Finishes]]/($Q$5-Table1[[#This Row],[Missed Games]])</f>
        <v>1</v>
      </c>
      <c r="U18" s="70">
        <f t="shared" si="5"/>
        <v>1</v>
      </c>
      <c r="V18" s="71">
        <f>Table1[[#This Row],[Midranges]]/($Q$5-Table1[[#This Row],[Missed Games]])</f>
        <v>0.125</v>
      </c>
      <c r="W18" s="70">
        <f t="shared" si="6"/>
        <v>1</v>
      </c>
      <c r="X18" s="71">
        <f>Table1[[#This Row],[Threes]]/($Q$5-Table1[[#This Row],[Missed Games]])</f>
        <v>0.125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5.6758802118995269E-2</v>
      </c>
      <c r="AC18" s="109">
        <f t="shared" si="8"/>
        <v>1.754266205699527E-2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9</v>
      </c>
      <c r="R19" s="77">
        <f>Table1[[#This Row],[Points]]/($Q$5-Table1[[#This Row],[Missed Games]])</f>
        <v>0.9</v>
      </c>
      <c r="S19" s="78">
        <f t="shared" si="4"/>
        <v>5</v>
      </c>
      <c r="T19" s="79">
        <f>Table1[[#This Row],[Finishes]]/($Q$5-Table1[[#This Row],[Missed Games]])</f>
        <v>0.5</v>
      </c>
      <c r="U19" s="78">
        <f t="shared" si="5"/>
        <v>4</v>
      </c>
      <c r="V19" s="79">
        <f>Table1[[#This Row],[Midranges]]/($Q$5-Table1[[#This Row],[Missed Games]])</f>
        <v>0.4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4.0866337525676595E-2</v>
      </c>
      <c r="AC19" s="109">
        <f t="shared" si="8"/>
        <v>1.6501974636765962E-3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17</v>
      </c>
      <c r="R20" s="77">
        <f>Table1[[#This Row],[Points]]/($Q$5-Table1[[#This Row],[Missed Games]])</f>
        <v>2.4285714285714284</v>
      </c>
      <c r="S20" s="78">
        <f t="shared" si="4"/>
        <v>13</v>
      </c>
      <c r="T20" s="79">
        <f>Table1[[#This Row],[Finishes]]/($Q$5-Table1[[#This Row],[Missed Games]])</f>
        <v>1.8571428571428572</v>
      </c>
      <c r="U20" s="78">
        <f t="shared" si="5"/>
        <v>0</v>
      </c>
      <c r="V20" s="79">
        <f>Table1[[#This Row],[Midranges]]/($Q$5-Table1[[#This Row],[Missed Games]])</f>
        <v>0</v>
      </c>
      <c r="W20" s="78">
        <f t="shared" si="6"/>
        <v>2</v>
      </c>
      <c r="X20" s="79">
        <f>Table1[[#This Row],[Threes]]/($Q$5-Table1[[#This Row],[Missed Games]])</f>
        <v>0.2857142857142857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9.7300803632563326E-2</v>
      </c>
      <c r="AC20" s="109">
        <f t="shared" si="8"/>
        <v>-3.2111148377436644E-2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0.2</v>
      </c>
      <c r="S21" s="74">
        <f t="shared" si="4"/>
        <v>2</v>
      </c>
      <c r="T21" s="75">
        <f>Table1[[#This Row],[Finishes]]/($Q$5-Table1[[#This Row],[Missed Games]])</f>
        <v>0.2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9.0814083390392437E-3</v>
      </c>
      <c r="AC21" s="109">
        <f t="shared" si="8"/>
        <v>-1.8369184214960754E-2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6</v>
      </c>
      <c r="R22" s="77">
        <f>Table1[[#This Row],[Points]]/($Q$5-Table1[[#This Row],[Missed Games]])</f>
        <v>0.6</v>
      </c>
      <c r="S22" s="78">
        <f t="shared" si="4"/>
        <v>3</v>
      </c>
      <c r="T22" s="79">
        <f>Table1[[#This Row],[Finishes]]/($Q$5-Table1[[#This Row],[Missed Games]])</f>
        <v>0.3</v>
      </c>
      <c r="U22" s="78">
        <f t="shared" si="5"/>
        <v>3</v>
      </c>
      <c r="V22" s="79">
        <f>Table1[[#This Row],[Midranges]]/($Q$5-Table1[[#This Row],[Missed Games]])</f>
        <v>0.3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2.7244225017117731E-2</v>
      </c>
      <c r="AC22" s="109">
        <f t="shared" si="8"/>
        <v>3.7151456851177364E-3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0.4</v>
      </c>
      <c r="S23" s="78">
        <f t="shared" si="4"/>
        <v>3</v>
      </c>
      <c r="T23" s="79">
        <f>Table1[[#This Row],[Finishes]]/($Q$5-Table1[[#This Row],[Missed Games]])</f>
        <v>0.3</v>
      </c>
      <c r="U23" s="78">
        <f t="shared" si="5"/>
        <v>1</v>
      </c>
      <c r="V23" s="79">
        <f>Table1[[#This Row],[Midranges]]/($Q$5-Table1[[#This Row],[Missed Games]])</f>
        <v>0.1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0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1.8162816678078487E-2</v>
      </c>
      <c r="AC23" s="109">
        <f t="shared" si="8"/>
        <v>6.3982770120784901E-3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4">Q30/(Q$26-Y30)</f>
        <v>0</v>
      </c>
      <c r="S30" s="27">
        <f>'2404'!S4+'2604'!S4</f>
        <v>0</v>
      </c>
      <c r="T30" s="28">
        <f t="shared" ref="T30:T44" si="15">S30/($Q$26-Y30)</f>
        <v>0</v>
      </c>
      <c r="U30" s="27">
        <f>'2404'!T4+'2604'!T4</f>
        <v>0</v>
      </c>
      <c r="V30" s="28">
        <f t="shared" ref="V30:V44" si="16">U30/($Q$26-Y30)</f>
        <v>0</v>
      </c>
      <c r="W30" s="27">
        <f>'2404'!U4+'2604'!U4</f>
        <v>0</v>
      </c>
      <c r="X30" s="28">
        <f t="shared" ref="X30:X44" si="17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18">AB30/(AB$26-AJ30)</f>
        <v>1</v>
      </c>
      <c r="AD30" s="27">
        <f>'1505'!$S4+'1605'!$S4+'1705'!$S4</f>
        <v>0</v>
      </c>
      <c r="AE30" s="28">
        <f t="shared" ref="AE30:AE44" si="19">AD30/($Q$26-AJ30)</f>
        <v>0</v>
      </c>
      <c r="AF30" s="27">
        <f>'1505'!$T4+'1605'!$T4+'1705'!$T4</f>
        <v>3</v>
      </c>
      <c r="AG30" s="28">
        <f t="shared" ref="AG30:AG44" si="20">AF30/($Q$26-AJ30)</f>
        <v>1.5</v>
      </c>
      <c r="AH30" s="27">
        <f>'1505'!$U4+'1605'!$U4+'1705'!$U4</f>
        <v>0</v>
      </c>
      <c r="AI30" s="28">
        <f t="shared" ref="AI30:AI44" si="21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4"/>
        <v>1.5</v>
      </c>
      <c r="S31" s="27">
        <f>'2404'!S5+'2604'!S5</f>
        <v>3</v>
      </c>
      <c r="T31" s="28">
        <f t="shared" si="15"/>
        <v>1.5</v>
      </c>
      <c r="U31" s="27">
        <f>'2404'!T5+'2604'!T5</f>
        <v>0</v>
      </c>
      <c r="V31" s="28">
        <f t="shared" si="16"/>
        <v>0</v>
      </c>
      <c r="W31" s="27">
        <f>'2404'!U5+'2604'!U5</f>
        <v>0</v>
      </c>
      <c r="X31" s="28">
        <f t="shared" si="17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18"/>
        <v>2.5</v>
      </c>
      <c r="AD31" s="27">
        <f>'1505'!$S5+'1605'!$S5+'1705'!$S5</f>
        <v>5</v>
      </c>
      <c r="AE31" s="28">
        <f t="shared" si="19"/>
        <v>5</v>
      </c>
      <c r="AF31" s="27">
        <f>'1505'!$T5+'1605'!$T5+'1705'!$T5</f>
        <v>0</v>
      </c>
      <c r="AG31" s="28">
        <f t="shared" si="20"/>
        <v>0</v>
      </c>
      <c r="AH31" s="27">
        <f>'1505'!$U5+'1605'!$U5+'1705'!$U5</f>
        <v>0</v>
      </c>
      <c r="AI31" s="28">
        <f t="shared" si="21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4"/>
        <v>1.5</v>
      </c>
      <c r="S32" s="27">
        <f>'2404'!S6+'2604'!S6</f>
        <v>3</v>
      </c>
      <c r="T32" s="28">
        <f t="shared" si="15"/>
        <v>1.5</v>
      </c>
      <c r="U32" s="27">
        <f>'2404'!T6+'2604'!T6</f>
        <v>0</v>
      </c>
      <c r="V32" s="28">
        <f t="shared" si="16"/>
        <v>0</v>
      </c>
      <c r="W32" s="27">
        <f>'2404'!U6+'2604'!U6</f>
        <v>0</v>
      </c>
      <c r="X32" s="28">
        <f t="shared" si="17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18"/>
        <v>3.3333333333333335</v>
      </c>
      <c r="AD32" s="27">
        <f>'1505'!$S6+'1605'!$S6+'1705'!$S6</f>
        <v>9</v>
      </c>
      <c r="AE32" s="28">
        <f t="shared" si="19"/>
        <v>4.5</v>
      </c>
      <c r="AF32" s="27">
        <f>'1505'!$T6+'1605'!$T6+'1705'!$T6</f>
        <v>1</v>
      </c>
      <c r="AG32" s="28">
        <f t="shared" si="20"/>
        <v>0.5</v>
      </c>
      <c r="AH32" s="27">
        <f>'1505'!$U6+'1605'!$U6+'1705'!$U6</f>
        <v>0</v>
      </c>
      <c r="AI32" s="28">
        <f t="shared" si="21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4"/>
        <v>0.5</v>
      </c>
      <c r="S33" s="27">
        <f>'2404'!S7+'2604'!S7</f>
        <v>1</v>
      </c>
      <c r="T33" s="28">
        <f t="shared" si="15"/>
        <v>0.5</v>
      </c>
      <c r="U33" s="27">
        <f>'2404'!T7+'2604'!T7</f>
        <v>0</v>
      </c>
      <c r="V33" s="28">
        <f t="shared" si="16"/>
        <v>0</v>
      </c>
      <c r="W33" s="27">
        <f>'2404'!U7+'2604'!U7</f>
        <v>0</v>
      </c>
      <c r="X33" s="28">
        <f t="shared" si="17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18"/>
        <v>3</v>
      </c>
      <c r="AD33" s="27">
        <f>'1505'!$S7+'1605'!$S7+'1705'!$S7</f>
        <v>3</v>
      </c>
      <c r="AE33" s="28">
        <f t="shared" si="19"/>
        <v>1.5</v>
      </c>
      <c r="AF33" s="27">
        <f>'1505'!$T7+'1605'!$T7+'1705'!$T7</f>
        <v>0</v>
      </c>
      <c r="AG33" s="28">
        <f t="shared" si="20"/>
        <v>0</v>
      </c>
      <c r="AH33" s="27">
        <f>'1505'!$U7+'1605'!$U7+'1705'!$U7</f>
        <v>3</v>
      </c>
      <c r="AI33" s="28">
        <f t="shared" si="21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4"/>
        <v>1</v>
      </c>
      <c r="S34" s="27">
        <f>'2404'!S8+'2604'!S8</f>
        <v>2</v>
      </c>
      <c r="T34" s="28">
        <f t="shared" si="15"/>
        <v>1</v>
      </c>
      <c r="U34" s="27">
        <f>'2404'!T8+'2604'!T8</f>
        <v>0</v>
      </c>
      <c r="V34" s="28">
        <f t="shared" si="16"/>
        <v>0</v>
      </c>
      <c r="W34" s="27">
        <f>'2404'!U8+'2604'!U8</f>
        <v>0</v>
      </c>
      <c r="X34" s="28">
        <f t="shared" si="17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18"/>
        <v>0.66666666666666663</v>
      </c>
      <c r="AD34" s="27">
        <f>'1505'!$S8+'1605'!$S8+'1705'!$S8</f>
        <v>1</v>
      </c>
      <c r="AE34" s="28">
        <f t="shared" si="19"/>
        <v>0.5</v>
      </c>
      <c r="AF34" s="27">
        <f>'1505'!$T8+'1605'!$T8+'1705'!$T8</f>
        <v>1</v>
      </c>
      <c r="AG34" s="28">
        <f t="shared" si="20"/>
        <v>0.5</v>
      </c>
      <c r="AH34" s="27">
        <f>'1505'!$U8+'1605'!$U8+'1705'!$U8</f>
        <v>0</v>
      </c>
      <c r="AI34" s="28">
        <f t="shared" si="21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4"/>
        <v>0</v>
      </c>
      <c r="S35" s="27">
        <f>'2404'!S9+'2604'!S9</f>
        <v>0</v>
      </c>
      <c r="T35" s="28">
        <f t="shared" si="15"/>
        <v>0</v>
      </c>
      <c r="U35" s="27">
        <f>'2404'!T9+'2604'!T9</f>
        <v>0</v>
      </c>
      <c r="V35" s="28">
        <f t="shared" si="16"/>
        <v>0</v>
      </c>
      <c r="W35" s="27">
        <f>'2404'!U9+'2604'!U9</f>
        <v>0</v>
      </c>
      <c r="X35" s="28">
        <f t="shared" si="17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18"/>
        <v>2</v>
      </c>
      <c r="AD35" s="27">
        <f>'1505'!$S9+'1605'!$S9+'1705'!$S9</f>
        <v>2</v>
      </c>
      <c r="AE35" s="28">
        <f t="shared" si="19"/>
        <v>1</v>
      </c>
      <c r="AF35" s="27">
        <f>'1505'!$T9+'1605'!$T9+'1705'!$T9</f>
        <v>0</v>
      </c>
      <c r="AG35" s="28">
        <f t="shared" si="20"/>
        <v>0</v>
      </c>
      <c r="AH35" s="27">
        <f>'1505'!$U9+'1605'!$U9+'1705'!$U9</f>
        <v>2</v>
      </c>
      <c r="AI35" s="28">
        <f t="shared" si="21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4"/>
        <v>0</v>
      </c>
      <c r="S36" s="27">
        <f>'2404'!S10+'2604'!S10</f>
        <v>0</v>
      </c>
      <c r="T36" s="28">
        <f t="shared" si="15"/>
        <v>0</v>
      </c>
      <c r="U36" s="27">
        <f>'2404'!T10+'2604'!T10</f>
        <v>0</v>
      </c>
      <c r="V36" s="28">
        <f t="shared" si="16"/>
        <v>0</v>
      </c>
      <c r="W36" s="27">
        <f>'2404'!U10+'2604'!U10</f>
        <v>0</v>
      </c>
      <c r="X36" s="28">
        <f t="shared" si="17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18"/>
        <v>1</v>
      </c>
      <c r="AD36" s="27">
        <f>'1505'!$S10+'1605'!$S10+'1705'!$S10</f>
        <v>1</v>
      </c>
      <c r="AE36" s="28">
        <f t="shared" si="19"/>
        <v>0.5</v>
      </c>
      <c r="AF36" s="27">
        <f>'1505'!$T10+'1605'!$T10+'1705'!$T10</f>
        <v>2</v>
      </c>
      <c r="AG36" s="28">
        <f t="shared" si="20"/>
        <v>1</v>
      </c>
      <c r="AH36" s="27">
        <f>'1505'!$U10+'1605'!$U10+'1705'!$U10</f>
        <v>0</v>
      </c>
      <c r="AI36" s="28">
        <f t="shared" si="21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4"/>
        <v>2</v>
      </c>
      <c r="S37" s="27">
        <f>'2404'!S11+'2604'!S11</f>
        <v>1</v>
      </c>
      <c r="T37" s="28">
        <f t="shared" si="15"/>
        <v>1</v>
      </c>
      <c r="U37" s="27">
        <f>'2404'!T11+'2604'!T11</f>
        <v>1</v>
      </c>
      <c r="V37" s="28">
        <f t="shared" si="16"/>
        <v>1</v>
      </c>
      <c r="W37" s="27">
        <f>'2404'!U11+'2604'!U11</f>
        <v>0</v>
      </c>
      <c r="X37" s="28">
        <f t="shared" si="17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18"/>
        <v>2.3333333333333335</v>
      </c>
      <c r="AD37" s="27">
        <f>'1505'!$S11+'1605'!$S11+'1705'!$S11</f>
        <v>3</v>
      </c>
      <c r="AE37" s="28">
        <f t="shared" si="19"/>
        <v>1.5</v>
      </c>
      <c r="AF37" s="27">
        <f>'1505'!$T11+'1605'!$T11+'1705'!$T11</f>
        <v>4</v>
      </c>
      <c r="AG37" s="28">
        <f t="shared" si="20"/>
        <v>2</v>
      </c>
      <c r="AH37" s="27">
        <f>'1505'!$U11+'1605'!$U11+'1705'!$U11</f>
        <v>0</v>
      </c>
      <c r="AI37" s="28">
        <f t="shared" si="21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4"/>
        <v>0</v>
      </c>
      <c r="S38" s="27">
        <f>'2404'!S12+'2604'!S12</f>
        <v>0</v>
      </c>
      <c r="T38" s="28">
        <f t="shared" si="15"/>
        <v>0</v>
      </c>
      <c r="U38" s="27">
        <f>'2404'!T12+'2604'!T12</f>
        <v>0</v>
      </c>
      <c r="V38" s="28">
        <f t="shared" si="16"/>
        <v>0</v>
      </c>
      <c r="W38" s="27">
        <f>'2404'!U12+'2604'!U12</f>
        <v>0</v>
      </c>
      <c r="X38" s="28">
        <f t="shared" si="17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18"/>
        <v>0.66666666666666663</v>
      </c>
      <c r="AD38" s="27">
        <f>'1505'!$S12+'1605'!$S12+'1705'!$S12</f>
        <v>0</v>
      </c>
      <c r="AE38" s="28">
        <f t="shared" si="19"/>
        <v>0</v>
      </c>
      <c r="AF38" s="27">
        <f>'1505'!$T12+'1605'!$T12+'1705'!$T12</f>
        <v>2</v>
      </c>
      <c r="AG38" s="28">
        <f t="shared" si="20"/>
        <v>1</v>
      </c>
      <c r="AH38" s="27">
        <f>'1505'!$U12+'1605'!$U12+'1705'!$U12</f>
        <v>0</v>
      </c>
      <c r="AI38" s="28">
        <f t="shared" si="21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4"/>
        <v>2</v>
      </c>
      <c r="S39" s="27">
        <f>'2404'!S13+'2604'!S13</f>
        <v>4</v>
      </c>
      <c r="T39" s="28">
        <f t="shared" si="15"/>
        <v>2</v>
      </c>
      <c r="U39" s="27">
        <f>'2404'!T13+'2604'!T13</f>
        <v>0</v>
      </c>
      <c r="V39" s="28">
        <f t="shared" si="16"/>
        <v>0</v>
      </c>
      <c r="W39" s="27">
        <f>'2404'!U13+'2604'!U13</f>
        <v>0</v>
      </c>
      <c r="X39" s="28">
        <f t="shared" si="17"/>
        <v>0</v>
      </c>
      <c r="Y39" s="40">
        <v>0</v>
      </c>
      <c r="Z39" s="12"/>
      <c r="AA39" s="30" t="s">
        <v>187</v>
      </c>
      <c r="AB39" s="44">
        <f>'1505'!$R13+'1605'!$R13+'1705'!$R13</f>
        <v>4</v>
      </c>
      <c r="AC39" s="29">
        <f t="shared" si="18"/>
        <v>1.3333333333333333</v>
      </c>
      <c r="AD39" s="27">
        <f>'1505'!$S13+'1605'!$S13+'1705'!$S13</f>
        <v>1</v>
      </c>
      <c r="AE39" s="28">
        <f t="shared" si="19"/>
        <v>0.5</v>
      </c>
      <c r="AF39" s="27">
        <f>'1505'!$T13+'1605'!$T13+'1705'!$T13</f>
        <v>1</v>
      </c>
      <c r="AG39" s="28">
        <f t="shared" si="20"/>
        <v>0.5</v>
      </c>
      <c r="AH39" s="27">
        <f>'1505'!$U13+'1605'!$U13+'1705'!$U13</f>
        <v>1</v>
      </c>
      <c r="AI39" s="28">
        <f t="shared" si="21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4"/>
        <v>0</v>
      </c>
      <c r="S40" s="27">
        <f>'2404'!S14+'2604'!S14</f>
        <v>0</v>
      </c>
      <c r="T40" s="28">
        <f t="shared" si="15"/>
        <v>0</v>
      </c>
      <c r="U40" s="27">
        <f>'2404'!T14+'2604'!T14</f>
        <v>0</v>
      </c>
      <c r="V40" s="28">
        <f t="shared" si="16"/>
        <v>0</v>
      </c>
      <c r="W40" s="27">
        <f>'2404'!U14+'2604'!U14</f>
        <v>0</v>
      </c>
      <c r="X40" s="28">
        <f t="shared" si="17"/>
        <v>0</v>
      </c>
      <c r="Y40" s="40">
        <v>0</v>
      </c>
      <c r="AA40" s="30" t="s">
        <v>186</v>
      </c>
      <c r="AB40" s="44">
        <f>'1505'!$R14+'1605'!$R14+'1705'!$R14</f>
        <v>4</v>
      </c>
      <c r="AC40" s="29">
        <f t="shared" si="18"/>
        <v>1.3333333333333333</v>
      </c>
      <c r="AD40" s="27">
        <f>'1505'!$S14+'1605'!$S14+'1705'!$S14</f>
        <v>2</v>
      </c>
      <c r="AE40" s="28">
        <f t="shared" si="19"/>
        <v>1</v>
      </c>
      <c r="AF40" s="27">
        <f>'1505'!$T14+'1605'!$T14+'1705'!$T14</f>
        <v>2</v>
      </c>
      <c r="AG40" s="28">
        <f t="shared" si="20"/>
        <v>1</v>
      </c>
      <c r="AH40" s="27">
        <f>'1505'!$U14+'1605'!$U14+'1705'!$U14</f>
        <v>0</v>
      </c>
      <c r="AI40" s="28">
        <f t="shared" si="21"/>
        <v>0</v>
      </c>
      <c r="AJ40" s="40">
        <v>0</v>
      </c>
    </row>
    <row r="41" spans="8:36" ht="14.25" customHeight="1" x14ac:dyDescent="0.45">
      <c r="I41" s="33" t="s">
        <v>132</v>
      </c>
      <c r="J41" t="e">
        <f>'Statistics LG'!J4</f>
        <v>#DIV/0!</v>
      </c>
      <c r="L41" s="55"/>
      <c r="P41" s="30" t="s">
        <v>85</v>
      </c>
      <c r="Q41" s="44">
        <f>'2404'!R15+'2604'!R15</f>
        <v>4</v>
      </c>
      <c r="R41" s="29">
        <f t="shared" si="14"/>
        <v>2</v>
      </c>
      <c r="S41" s="27">
        <f>'2404'!S15+'2604'!S15</f>
        <v>4</v>
      </c>
      <c r="T41" s="28">
        <f t="shared" si="15"/>
        <v>2</v>
      </c>
      <c r="U41" s="27">
        <f>'2404'!T15+'2604'!T15</f>
        <v>0</v>
      </c>
      <c r="V41" s="28">
        <f t="shared" si="16"/>
        <v>0</v>
      </c>
      <c r="W41" s="27">
        <f>'2404'!U15+'2604'!U15</f>
        <v>0</v>
      </c>
      <c r="X41" s="28">
        <f t="shared" si="17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18"/>
        <v>1</v>
      </c>
      <c r="AD41" s="27">
        <f>'1505'!$S15+'1605'!$S15+'1705'!$S15</f>
        <v>3</v>
      </c>
      <c r="AE41" s="28">
        <f t="shared" si="19"/>
        <v>1.5</v>
      </c>
      <c r="AF41" s="27">
        <f>'1505'!$T15+'1605'!$T15+'1705'!$T15</f>
        <v>0</v>
      </c>
      <c r="AG41" s="28">
        <f t="shared" si="20"/>
        <v>0</v>
      </c>
      <c r="AH41" s="27">
        <f>'1505'!$U15+'1605'!$U15+'1705'!$U15</f>
        <v>0</v>
      </c>
      <c r="AI41" s="28">
        <f t="shared" si="21"/>
        <v>0</v>
      </c>
      <c r="AJ41" s="40">
        <v>0</v>
      </c>
    </row>
    <row r="42" spans="8:36" ht="14.25" customHeight="1" x14ac:dyDescent="0.45">
      <c r="I42" s="33" t="s">
        <v>133</v>
      </c>
      <c r="J42" t="e">
        <f>'Statistics WW'!J4</f>
        <v>#DIV/0!</v>
      </c>
      <c r="L42" s="55"/>
      <c r="P42" s="30" t="s">
        <v>86</v>
      </c>
      <c r="Q42" s="44">
        <f>'2404'!R16+'2604'!R16</f>
        <v>0</v>
      </c>
      <c r="R42" s="29">
        <f t="shared" si="14"/>
        <v>0</v>
      </c>
      <c r="S42" s="27">
        <f>'2404'!S16+'2604'!S16</f>
        <v>0</v>
      </c>
      <c r="T42" s="28">
        <f t="shared" si="15"/>
        <v>0</v>
      </c>
      <c r="U42" s="27">
        <f>'2404'!T16+'2604'!T16</f>
        <v>0</v>
      </c>
      <c r="V42" s="28">
        <f t="shared" si="16"/>
        <v>0</v>
      </c>
      <c r="W42" s="27">
        <f>'2404'!U16+'2604'!U16</f>
        <v>0</v>
      </c>
      <c r="X42" s="28">
        <f t="shared" si="17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18"/>
        <v>0.33333333333333331</v>
      </c>
      <c r="AD42" s="27">
        <f>'1505'!$S16+'1605'!$S16+'1705'!$S16</f>
        <v>1</v>
      </c>
      <c r="AE42" s="28">
        <f t="shared" si="19"/>
        <v>0.5</v>
      </c>
      <c r="AF42" s="27">
        <f>'1505'!$T16+'1605'!$T16+'1705'!$T16</f>
        <v>0</v>
      </c>
      <c r="AG42" s="28">
        <f t="shared" si="20"/>
        <v>0</v>
      </c>
      <c r="AH42" s="27">
        <f>'1505'!$U16+'1605'!$U16+'1705'!$U16</f>
        <v>0</v>
      </c>
      <c r="AI42" s="28">
        <f t="shared" si="21"/>
        <v>0</v>
      </c>
      <c r="AJ42" s="40">
        <v>0</v>
      </c>
    </row>
    <row r="43" spans="8:36" ht="14.25" customHeight="1" x14ac:dyDescent="0.45">
      <c r="I43" s="33" t="s">
        <v>134</v>
      </c>
      <c r="J43" t="e">
        <f>'Statistics 5M'!I4</f>
        <v>#DIV/0!</v>
      </c>
      <c r="L43" s="55"/>
      <c r="P43" s="30" t="s">
        <v>87</v>
      </c>
      <c r="Q43" s="44">
        <f>'2404'!R17+'2604'!R17</f>
        <v>1</v>
      </c>
      <c r="R43" s="29">
        <f t="shared" si="14"/>
        <v>0.5</v>
      </c>
      <c r="S43" s="27">
        <f>'2404'!S17+'2604'!S17</f>
        <v>1</v>
      </c>
      <c r="T43" s="28">
        <f t="shared" si="15"/>
        <v>0.5</v>
      </c>
      <c r="U43" s="27">
        <f>'2404'!T17+'2604'!T17</f>
        <v>0</v>
      </c>
      <c r="V43" s="28">
        <f t="shared" si="16"/>
        <v>0</v>
      </c>
      <c r="W43" s="27">
        <f>'2404'!U17+'2604'!U17</f>
        <v>0</v>
      </c>
      <c r="X43" s="28">
        <f t="shared" si="17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18"/>
        <v>0.66666666666666663</v>
      </c>
      <c r="AD43" s="27">
        <f>'1505'!$S17+'1605'!$S17+'1705'!$S17</f>
        <v>0</v>
      </c>
      <c r="AE43" s="28">
        <f t="shared" si="19"/>
        <v>0</v>
      </c>
      <c r="AF43" s="27">
        <f>'1505'!$T17+'1605'!$T17+'1705'!$T17</f>
        <v>2</v>
      </c>
      <c r="AG43" s="28">
        <f t="shared" si="20"/>
        <v>1</v>
      </c>
      <c r="AH43" s="27">
        <f>'1505'!$U17+'1605'!$U17+'1705'!$U17</f>
        <v>0</v>
      </c>
      <c r="AI43" s="28">
        <f t="shared" si="21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4"/>
        <v>0.5</v>
      </c>
      <c r="S44" s="27">
        <f>'2404'!S18+'2604'!S18</f>
        <v>1</v>
      </c>
      <c r="T44" s="28">
        <f t="shared" si="15"/>
        <v>0.5</v>
      </c>
      <c r="U44" s="27">
        <f>'2404'!T18+'2604'!T18</f>
        <v>0</v>
      </c>
      <c r="V44" s="28">
        <f t="shared" si="16"/>
        <v>0</v>
      </c>
      <c r="W44" s="27">
        <f>'2404'!U18+'2604'!U18</f>
        <v>0</v>
      </c>
      <c r="X44" s="28">
        <f t="shared" si="17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18"/>
        <v>0.33333333333333331</v>
      </c>
      <c r="AD44" s="27">
        <f>'1505'!$S18+'1605'!$S18+'1705'!$S18</f>
        <v>0</v>
      </c>
      <c r="AE44" s="28">
        <f t="shared" si="19"/>
        <v>0</v>
      </c>
      <c r="AF44" s="27">
        <f>'1505'!$T18+'1605'!$T18+'1705'!$T18</f>
        <v>1</v>
      </c>
      <c r="AG44" s="28">
        <f t="shared" si="20"/>
        <v>0.5</v>
      </c>
      <c r="AH44" s="27">
        <f>'1505'!$U18+'1605'!$U18+'1705'!$U18</f>
        <v>0</v>
      </c>
      <c r="AI44" s="28">
        <f t="shared" si="21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118</v>
      </c>
      <c r="K46" s="41">
        <f>J46/Q5</f>
        <v>11.8</v>
      </c>
      <c r="L46" s="55">
        <f>J46/SUM($J$46:$J$48)</f>
        <v>0.59595959595959591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69</v>
      </c>
      <c r="K47" s="41">
        <f>J47/Q5</f>
        <v>6.9</v>
      </c>
      <c r="L47" s="55">
        <f t="shared" ref="L47:L48" si="22">J47/SUM($J$46:$J$48)</f>
        <v>0.34848484848484851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" t="s">
        <v>225</v>
      </c>
      <c r="AB47" s="24">
        <v>0</v>
      </c>
      <c r="AC47" s="40"/>
      <c r="AD47" s="40"/>
      <c r="AE47" s="40"/>
      <c r="AF47" s="40"/>
      <c r="AG47" s="40"/>
      <c r="AH47" s="40"/>
      <c r="AI47" s="40"/>
      <c r="AJ47" s="40"/>
    </row>
    <row r="48" spans="8:36" ht="14.25" customHeight="1" x14ac:dyDescent="0.45">
      <c r="I48" s="33" t="s">
        <v>11</v>
      </c>
      <c r="J48" s="42">
        <f>SUM(Table1[Threes])</f>
        <v>11</v>
      </c>
      <c r="K48" s="41">
        <f>J48/Q5</f>
        <v>1.1000000000000001</v>
      </c>
      <c r="L48" s="55">
        <f t="shared" si="22"/>
        <v>5.5555555555555552E-2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5"/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3">Q49/(Q$46-Y49)</f>
        <v>0.5</v>
      </c>
      <c r="S49" s="27">
        <f>'0205'!S4+'0305'!S4</f>
        <v>1</v>
      </c>
      <c r="T49" s="28">
        <f t="shared" ref="T49:T63" si="24">S49/($Q$46-Y49)</f>
        <v>0.5</v>
      </c>
      <c r="U49" s="27">
        <f>'0205'!T4+'0305'!T4</f>
        <v>0</v>
      </c>
      <c r="V49" s="28">
        <f t="shared" ref="V49:V63" si="25">U49/($Q$46-Y49)</f>
        <v>0</v>
      </c>
      <c r="W49" s="27">
        <f>'0205'!U4+'0305'!U4</f>
        <v>0</v>
      </c>
      <c r="X49" s="28">
        <f t="shared" ref="X49:X63" si="26">W49/($Q$46-Y49)</f>
        <v>0</v>
      </c>
      <c r="Y49" s="40">
        <v>0</v>
      </c>
      <c r="AA49" s="31" t="s">
        <v>97</v>
      </c>
      <c r="AB49" s="32" t="s">
        <v>8</v>
      </c>
      <c r="AC49" s="31" t="s">
        <v>98</v>
      </c>
      <c r="AD49" s="33" t="s">
        <v>9</v>
      </c>
      <c r="AE49" s="34" t="s">
        <v>93</v>
      </c>
      <c r="AF49" s="35" t="s">
        <v>10</v>
      </c>
      <c r="AG49" s="34" t="s">
        <v>93</v>
      </c>
      <c r="AH49" s="33" t="s">
        <v>11</v>
      </c>
      <c r="AI49" s="34" t="s">
        <v>93</v>
      </c>
      <c r="AJ49" s="5" t="s">
        <v>160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3"/>
        <v>4</v>
      </c>
      <c r="S50" s="27">
        <f>'0205'!S5+'0305'!S5</f>
        <v>8</v>
      </c>
      <c r="T50" s="28">
        <f t="shared" si="24"/>
        <v>4</v>
      </c>
      <c r="U50" s="27">
        <f>'0205'!T5+'0305'!T5</f>
        <v>0</v>
      </c>
      <c r="V50" s="28">
        <f t="shared" si="25"/>
        <v>0</v>
      </c>
      <c r="W50" s="27">
        <f>'0205'!U5+'0305'!U5</f>
        <v>0</v>
      </c>
      <c r="X50" s="28">
        <f t="shared" si="26"/>
        <v>0</v>
      </c>
      <c r="Y50" s="40">
        <v>0</v>
      </c>
      <c r="AA50" s="30" t="s">
        <v>55</v>
      </c>
      <c r="AB50" s="44">
        <f>'2205'!$R3</f>
        <v>0</v>
      </c>
      <c r="AC50" s="29">
        <f>AB50/(AB$26-AJ50)</f>
        <v>0</v>
      </c>
      <c r="AD50" s="27">
        <f>'2205'!$S3</f>
        <v>0</v>
      </c>
      <c r="AE50" s="28">
        <f>AD50/($Q$26-AJ50)</f>
        <v>0</v>
      </c>
      <c r="AF50" s="27">
        <f>'2205'!$T3</f>
        <v>0</v>
      </c>
      <c r="AG50" s="28">
        <f>AF50/($Q$26-AJ50)</f>
        <v>0</v>
      </c>
      <c r="AH50" s="27">
        <f>'2205'!$U3</f>
        <v>0</v>
      </c>
      <c r="AI50" s="28">
        <f>AH50/($Q$26-AJ50)</f>
        <v>0</v>
      </c>
      <c r="AJ50" s="40">
        <v>0</v>
      </c>
    </row>
    <row r="51" spans="8:36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3"/>
        <v>2</v>
      </c>
      <c r="S51" s="27">
        <f>'0205'!S6+'0305'!S6</f>
        <v>4</v>
      </c>
      <c r="T51" s="28">
        <f t="shared" si="24"/>
        <v>2</v>
      </c>
      <c r="U51" s="27">
        <f>'0205'!T6+'0305'!T6</f>
        <v>0</v>
      </c>
      <c r="V51" s="28">
        <f t="shared" si="25"/>
        <v>0</v>
      </c>
      <c r="W51" s="27">
        <f>'0205'!U6+'0305'!U6</f>
        <v>0</v>
      </c>
      <c r="X51" s="28">
        <f t="shared" si="26"/>
        <v>0</v>
      </c>
      <c r="Y51" s="40">
        <v>0</v>
      </c>
      <c r="AA51" s="30" t="s">
        <v>59</v>
      </c>
      <c r="AB51" s="44">
        <f>'2205'!$R4</f>
        <v>0</v>
      </c>
      <c r="AC51" s="29">
        <f t="shared" ref="AC51:AC65" si="27">AB51/(AB$26-AJ51)</f>
        <v>0</v>
      </c>
      <c r="AD51" s="27">
        <f>'2205'!$S4</f>
        <v>0</v>
      </c>
      <c r="AE51" s="28">
        <f t="shared" ref="AE51:AE65" si="28">AD51/($Q$26-AJ51)</f>
        <v>0</v>
      </c>
      <c r="AF51" s="27">
        <f>'2205'!$T4</f>
        <v>0</v>
      </c>
      <c r="AG51" s="28">
        <f t="shared" ref="AG51:AG65" si="29">AF51/($Q$26-AJ51)</f>
        <v>0</v>
      </c>
      <c r="AH51" s="27">
        <f>'2205'!$U4</f>
        <v>0</v>
      </c>
      <c r="AI51" s="28">
        <f t="shared" ref="AI51:AI65" si="30">AH51/($Q$26-AJ51)</f>
        <v>0</v>
      </c>
      <c r="AJ51" s="40">
        <v>0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3"/>
        <v>1.5</v>
      </c>
      <c r="S52" s="27">
        <f>'0205'!S7+'0305'!S7</f>
        <v>0</v>
      </c>
      <c r="T52" s="28">
        <f t="shared" si="24"/>
        <v>0</v>
      </c>
      <c r="U52" s="27">
        <f>'0205'!T7+'0305'!T7</f>
        <v>3</v>
      </c>
      <c r="V52" s="28">
        <f t="shared" si="25"/>
        <v>1.5</v>
      </c>
      <c r="W52" s="27">
        <f>'0205'!U7+'0305'!U7</f>
        <v>0</v>
      </c>
      <c r="X52" s="28">
        <f t="shared" si="26"/>
        <v>0</v>
      </c>
      <c r="Y52" s="40">
        <v>0</v>
      </c>
      <c r="AA52" s="30" t="s">
        <v>62</v>
      </c>
      <c r="AB52" s="44">
        <f>'2205'!$R5</f>
        <v>0</v>
      </c>
      <c r="AC52" s="29">
        <f t="shared" si="27"/>
        <v>0</v>
      </c>
      <c r="AD52" s="27">
        <f>'2205'!$S5</f>
        <v>0</v>
      </c>
      <c r="AE52" s="28">
        <f t="shared" si="28"/>
        <v>0</v>
      </c>
      <c r="AF52" s="27">
        <f>'2205'!$T5</f>
        <v>0</v>
      </c>
      <c r="AG52" s="28">
        <f t="shared" si="29"/>
        <v>0</v>
      </c>
      <c r="AH52" s="27">
        <f>'2205'!$U5</f>
        <v>0</v>
      </c>
      <c r="AI52" s="28">
        <f t="shared" si="30"/>
        <v>0</v>
      </c>
      <c r="AJ52" s="40">
        <v>0</v>
      </c>
    </row>
    <row r="53" spans="8:36" ht="14.25" customHeight="1" x14ac:dyDescent="0.45">
      <c r="H53" s="33" t="s">
        <v>192</v>
      </c>
      <c r="I53" s="98" t="s">
        <v>191</v>
      </c>
      <c r="J53" s="66">
        <f>'Statistics LG'!S31</f>
        <v>0.42424242424242425</v>
      </c>
      <c r="K53" s="66">
        <f>'Statistics LG'!X31</f>
        <v>0.50793650793650791</v>
      </c>
      <c r="L53" s="66">
        <f>AVERAGE(J53:K53)</f>
        <v>0.46608946608946611</v>
      </c>
      <c r="P53" s="30" t="s">
        <v>71</v>
      </c>
      <c r="Q53" s="44">
        <f>'0205'!R8+'0305'!R8</f>
        <v>1</v>
      </c>
      <c r="R53" s="29">
        <f t="shared" si="23"/>
        <v>0.5</v>
      </c>
      <c r="S53" s="27">
        <f>'0205'!S8+'0305'!S8</f>
        <v>0</v>
      </c>
      <c r="T53" s="28">
        <f t="shared" si="24"/>
        <v>0</v>
      </c>
      <c r="U53" s="27">
        <f>'0205'!T8+'0305'!T8</f>
        <v>1</v>
      </c>
      <c r="V53" s="28">
        <f t="shared" si="25"/>
        <v>0.5</v>
      </c>
      <c r="W53" s="27">
        <f>'0205'!U8+'0305'!U8</f>
        <v>0</v>
      </c>
      <c r="X53" s="28">
        <f t="shared" si="26"/>
        <v>0</v>
      </c>
      <c r="Y53" s="40">
        <v>0</v>
      </c>
      <c r="AA53" s="30" t="s">
        <v>65</v>
      </c>
      <c r="AB53" s="44">
        <f>'2205'!$R6</f>
        <v>0</v>
      </c>
      <c r="AC53" s="29">
        <f t="shared" si="27"/>
        <v>0</v>
      </c>
      <c r="AD53" s="27">
        <f>'2205'!$S6</f>
        <v>0</v>
      </c>
      <c r="AE53" s="28">
        <f t="shared" si="28"/>
        <v>0</v>
      </c>
      <c r="AF53" s="27">
        <f>'2205'!$T6</f>
        <v>0</v>
      </c>
      <c r="AG53" s="28">
        <f t="shared" si="29"/>
        <v>0</v>
      </c>
      <c r="AH53" s="27">
        <f>'2205'!$U6</f>
        <v>0</v>
      </c>
      <c r="AI53" s="28">
        <f t="shared" si="30"/>
        <v>0</v>
      </c>
      <c r="AJ53" s="40">
        <v>0</v>
      </c>
    </row>
    <row r="54" spans="8:36" ht="14.25" customHeight="1" x14ac:dyDescent="0.45">
      <c r="H54" s="33" t="s">
        <v>193</v>
      </c>
      <c r="I54" s="66">
        <f>1-'Statistics LG'!S31</f>
        <v>0.57575757575757569</v>
      </c>
      <c r="J54" s="98" t="s">
        <v>191</v>
      </c>
      <c r="K54" s="66">
        <f>'Statistics WW'!R31</f>
        <v>0.48571428571428571</v>
      </c>
      <c r="L54" s="66">
        <f>AVERAGE(I54:K54)</f>
        <v>0.53073593073593073</v>
      </c>
      <c r="P54" s="30" t="s">
        <v>75</v>
      </c>
      <c r="Q54" s="44">
        <f>'0205'!R9+'0305'!R9</f>
        <v>5</v>
      </c>
      <c r="R54" s="29">
        <f t="shared" si="23"/>
        <v>2.5</v>
      </c>
      <c r="S54" s="27">
        <f>'0205'!S9+'0305'!S9</f>
        <v>0</v>
      </c>
      <c r="T54" s="28">
        <f t="shared" si="24"/>
        <v>0</v>
      </c>
      <c r="U54" s="27">
        <f>'0205'!T9+'0305'!T9</f>
        <v>1</v>
      </c>
      <c r="V54" s="28">
        <f t="shared" si="25"/>
        <v>0.5</v>
      </c>
      <c r="W54" s="27">
        <f>'0205'!U9+'0305'!U9</f>
        <v>2</v>
      </c>
      <c r="X54" s="28">
        <f t="shared" si="26"/>
        <v>1</v>
      </c>
      <c r="Y54" s="40">
        <v>0</v>
      </c>
      <c r="AA54" s="30" t="s">
        <v>68</v>
      </c>
      <c r="AB54" s="44">
        <f>'2205'!$R7</f>
        <v>0</v>
      </c>
      <c r="AC54" s="29">
        <f t="shared" si="27"/>
        <v>0</v>
      </c>
      <c r="AD54" s="27">
        <f>'2205'!$S7</f>
        <v>0</v>
      </c>
      <c r="AE54" s="28">
        <f t="shared" si="28"/>
        <v>0</v>
      </c>
      <c r="AF54" s="27">
        <f>'2205'!$T7</f>
        <v>0</v>
      </c>
      <c r="AG54" s="28">
        <f t="shared" si="29"/>
        <v>0</v>
      </c>
      <c r="AH54" s="27">
        <f>'2205'!$U7</f>
        <v>0</v>
      </c>
      <c r="AI54" s="28">
        <f t="shared" si="30"/>
        <v>0</v>
      </c>
      <c r="AJ54" s="40">
        <v>0</v>
      </c>
    </row>
    <row r="55" spans="8:36" ht="14.25" customHeight="1" x14ac:dyDescent="0.45">
      <c r="H55" s="33" t="s">
        <v>194</v>
      </c>
      <c r="I55" s="66">
        <f>1-K53</f>
        <v>0.49206349206349209</v>
      </c>
      <c r="J55" s="66">
        <f>1-K54</f>
        <v>0.51428571428571423</v>
      </c>
      <c r="K55" s="98" t="s">
        <v>191</v>
      </c>
      <c r="L55" s="66">
        <f>AVERAGE(I55:K55)</f>
        <v>0.50317460317460316</v>
      </c>
      <c r="P55" s="30" t="s">
        <v>78</v>
      </c>
      <c r="Q55" s="44">
        <f>'0205'!R10+'0305'!R10</f>
        <v>3</v>
      </c>
      <c r="R55" s="29">
        <f t="shared" si="23"/>
        <v>1.5</v>
      </c>
      <c r="S55" s="27">
        <f>'0205'!S10+'0305'!S10</f>
        <v>1</v>
      </c>
      <c r="T55" s="28">
        <f t="shared" si="24"/>
        <v>0.5</v>
      </c>
      <c r="U55" s="27">
        <f>'0205'!T10+'0305'!T10</f>
        <v>2</v>
      </c>
      <c r="V55" s="28">
        <f t="shared" si="25"/>
        <v>1</v>
      </c>
      <c r="W55" s="27">
        <f>'0205'!U10+'0305'!U10</f>
        <v>0</v>
      </c>
      <c r="X55" s="28">
        <f t="shared" si="26"/>
        <v>0</v>
      </c>
      <c r="Y55" s="40">
        <v>0</v>
      </c>
      <c r="AA55" s="30" t="s">
        <v>71</v>
      </c>
      <c r="AB55" s="44">
        <f>'2205'!$R8</f>
        <v>0</v>
      </c>
      <c r="AC55" s="29">
        <f t="shared" si="27"/>
        <v>0</v>
      </c>
      <c r="AD55" s="27">
        <f>'2205'!$S8</f>
        <v>0</v>
      </c>
      <c r="AE55" s="28">
        <f t="shared" si="28"/>
        <v>0</v>
      </c>
      <c r="AF55" s="27">
        <f>'2205'!$T8</f>
        <v>0</v>
      </c>
      <c r="AG55" s="28">
        <f t="shared" si="29"/>
        <v>0</v>
      </c>
      <c r="AH55" s="27">
        <f>'2205'!$U8</f>
        <v>0</v>
      </c>
      <c r="AI55" s="28">
        <f t="shared" si="30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3"/>
        <v>2.5</v>
      </c>
      <c r="S56" s="27">
        <f>'0205'!S11+'0305'!S11</f>
        <v>2</v>
      </c>
      <c r="T56" s="28">
        <f t="shared" si="24"/>
        <v>1</v>
      </c>
      <c r="U56" s="27">
        <f>'0205'!T11+'0305'!T11</f>
        <v>3</v>
      </c>
      <c r="V56" s="28">
        <f t="shared" si="25"/>
        <v>1.5</v>
      </c>
      <c r="W56" s="27">
        <f>'0205'!U11+'0305'!U11</f>
        <v>0</v>
      </c>
      <c r="X56" s="28">
        <f t="shared" si="26"/>
        <v>0</v>
      </c>
      <c r="Y56" s="40">
        <v>0</v>
      </c>
      <c r="AA56" s="30" t="s">
        <v>75</v>
      </c>
      <c r="AB56" s="44">
        <f>'2205'!$R9</f>
        <v>0</v>
      </c>
      <c r="AC56" s="29">
        <f t="shared" si="27"/>
        <v>0</v>
      </c>
      <c r="AD56" s="27">
        <f>'2205'!$S9</f>
        <v>0</v>
      </c>
      <c r="AE56" s="28">
        <f t="shared" si="28"/>
        <v>0</v>
      </c>
      <c r="AF56" s="27">
        <f>'2205'!$T9</f>
        <v>0</v>
      </c>
      <c r="AG56" s="28">
        <f t="shared" si="29"/>
        <v>0</v>
      </c>
      <c r="AH56" s="27">
        <f>'2205'!$U9</f>
        <v>0</v>
      </c>
      <c r="AI56" s="28">
        <f t="shared" si="30"/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3"/>
        <v>2</v>
      </c>
      <c r="S57" s="27">
        <f>'0205'!S12+'0305'!S12</f>
        <v>1</v>
      </c>
      <c r="T57" s="28">
        <f t="shared" si="24"/>
        <v>0.5</v>
      </c>
      <c r="U57" s="27">
        <f>'0205'!T12+'0305'!T12</f>
        <v>3</v>
      </c>
      <c r="V57" s="28">
        <f t="shared" si="25"/>
        <v>1.5</v>
      </c>
      <c r="W57" s="27">
        <f>'0205'!U12+'0305'!U12</f>
        <v>0</v>
      </c>
      <c r="X57" s="28">
        <f t="shared" si="26"/>
        <v>0</v>
      </c>
      <c r="Y57" s="40">
        <v>0</v>
      </c>
      <c r="AA57" s="30" t="s">
        <v>78</v>
      </c>
      <c r="AB57" s="44">
        <f>'2205'!$R10</f>
        <v>0</v>
      </c>
      <c r="AC57" s="29">
        <f t="shared" si="27"/>
        <v>0</v>
      </c>
      <c r="AD57" s="27">
        <f>'2205'!$S10</f>
        <v>0</v>
      </c>
      <c r="AE57" s="28">
        <f t="shared" si="28"/>
        <v>0</v>
      </c>
      <c r="AF57" s="27">
        <f>'2205'!$T10</f>
        <v>0</v>
      </c>
      <c r="AG57" s="28">
        <f t="shared" si="29"/>
        <v>0</v>
      </c>
      <c r="AH57" s="27">
        <f>'2205'!$U10</f>
        <v>0</v>
      </c>
      <c r="AI57" s="28">
        <f t="shared" si="30"/>
        <v>0</v>
      </c>
      <c r="AJ57" s="40">
        <v>0</v>
      </c>
    </row>
    <row r="58" spans="8:36" ht="14.25" customHeight="1" x14ac:dyDescent="0.45">
      <c r="P58" s="30" t="s">
        <v>187</v>
      </c>
      <c r="Q58" s="44">
        <f>'0205'!R13+'0305'!R13</f>
        <v>3</v>
      </c>
      <c r="R58" s="29">
        <f t="shared" si="23"/>
        <v>1.5</v>
      </c>
      <c r="S58" s="27">
        <f>'0205'!S13+'0305'!S13</f>
        <v>3</v>
      </c>
      <c r="T58" s="28">
        <f t="shared" si="24"/>
        <v>1.5</v>
      </c>
      <c r="U58" s="27">
        <f>'0205'!T13+'0305'!T13</f>
        <v>0</v>
      </c>
      <c r="V58" s="28">
        <f t="shared" si="25"/>
        <v>0</v>
      </c>
      <c r="W58" s="27">
        <f>'0205'!U13+'0305'!U13</f>
        <v>0</v>
      </c>
      <c r="X58" s="28">
        <f t="shared" si="26"/>
        <v>0</v>
      </c>
      <c r="Y58" s="40">
        <v>0</v>
      </c>
      <c r="AA58" s="30" t="s">
        <v>80</v>
      </c>
      <c r="AB58" s="44">
        <f>'2205'!$R11</f>
        <v>0</v>
      </c>
      <c r="AC58" s="29">
        <f t="shared" si="27"/>
        <v>0</v>
      </c>
      <c r="AD58" s="27">
        <f>'2205'!$S11</f>
        <v>0</v>
      </c>
      <c r="AE58" s="28">
        <f t="shared" si="28"/>
        <v>0</v>
      </c>
      <c r="AF58" s="27">
        <f>'2205'!$T11</f>
        <v>0</v>
      </c>
      <c r="AG58" s="28">
        <f t="shared" si="29"/>
        <v>0</v>
      </c>
      <c r="AH58" s="27">
        <f>'2205'!$U11</f>
        <v>0</v>
      </c>
      <c r="AI58" s="28">
        <f t="shared" si="30"/>
        <v>0</v>
      </c>
      <c r="AJ58" s="40">
        <v>0</v>
      </c>
    </row>
    <row r="59" spans="8:36" ht="14.25" customHeight="1" x14ac:dyDescent="0.45">
      <c r="P59" s="30" t="s">
        <v>186</v>
      </c>
      <c r="Q59" s="44">
        <f>'0205'!R14+'0305'!R14</f>
        <v>2</v>
      </c>
      <c r="R59" s="29">
        <f t="shared" si="23"/>
        <v>1</v>
      </c>
      <c r="S59" s="27">
        <f>'0205'!S14+'0305'!S14</f>
        <v>2</v>
      </c>
      <c r="T59" s="28">
        <f t="shared" si="24"/>
        <v>1</v>
      </c>
      <c r="U59" s="27">
        <f>'0205'!T14+'0305'!T14</f>
        <v>0</v>
      </c>
      <c r="V59" s="28">
        <f t="shared" si="25"/>
        <v>0</v>
      </c>
      <c r="W59" s="27">
        <f>'0205'!U14+'0305'!U14</f>
        <v>0</v>
      </c>
      <c r="X59" s="28">
        <f t="shared" si="26"/>
        <v>0</v>
      </c>
      <c r="Y59" s="40">
        <v>0</v>
      </c>
      <c r="AA59" s="30" t="s">
        <v>81</v>
      </c>
      <c r="AB59" s="44">
        <f>'2205'!$R12</f>
        <v>0</v>
      </c>
      <c r="AC59" s="29">
        <f t="shared" si="27"/>
        <v>0</v>
      </c>
      <c r="AD59" s="27">
        <f>'2205'!$S12</f>
        <v>0</v>
      </c>
      <c r="AE59" s="28">
        <f t="shared" si="28"/>
        <v>0</v>
      </c>
      <c r="AF59" s="27">
        <f>'2205'!$T12</f>
        <v>0</v>
      </c>
      <c r="AG59" s="28">
        <f t="shared" si="29"/>
        <v>0</v>
      </c>
      <c r="AH59" s="27">
        <f>'2205'!$U12</f>
        <v>0</v>
      </c>
      <c r="AI59" s="28">
        <f t="shared" si="30"/>
        <v>0</v>
      </c>
      <c r="AJ59" s="40">
        <v>0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3"/>
        <v>6</v>
      </c>
      <c r="S60" s="27">
        <f>'0205'!S15+'0305'!S15</f>
        <v>4</v>
      </c>
      <c r="T60" s="28">
        <f t="shared" si="24"/>
        <v>4</v>
      </c>
      <c r="U60" s="27">
        <f>'0205'!T15+'0305'!T15</f>
        <v>0</v>
      </c>
      <c r="V60" s="28">
        <f t="shared" si="25"/>
        <v>0</v>
      </c>
      <c r="W60" s="27">
        <f>'0205'!U15+'0305'!U15</f>
        <v>1</v>
      </c>
      <c r="X60" s="28">
        <f t="shared" si="26"/>
        <v>1</v>
      </c>
      <c r="Y60" s="40">
        <v>1</v>
      </c>
      <c r="AA60" s="30" t="s">
        <v>187</v>
      </c>
      <c r="AB60" s="44">
        <f>'2205'!$R13</f>
        <v>0</v>
      </c>
      <c r="AC60" s="29">
        <f t="shared" si="27"/>
        <v>0</v>
      </c>
      <c r="AD60" s="27">
        <f>'2205'!$S13</f>
        <v>0</v>
      </c>
      <c r="AE60" s="28">
        <f t="shared" si="28"/>
        <v>0</v>
      </c>
      <c r="AF60" s="27">
        <f>'2205'!$T13</f>
        <v>0</v>
      </c>
      <c r="AG60" s="28">
        <f t="shared" si="29"/>
        <v>0</v>
      </c>
      <c r="AH60" s="27">
        <f>'2205'!$U13</f>
        <v>0</v>
      </c>
      <c r="AI60" s="28">
        <f t="shared" si="30"/>
        <v>0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3"/>
        <v>0</v>
      </c>
      <c r="S61" s="27">
        <f>'0205'!S16+'0305'!S16</f>
        <v>0</v>
      </c>
      <c r="T61" s="28">
        <f t="shared" si="24"/>
        <v>0</v>
      </c>
      <c r="U61" s="27">
        <f>'0205'!T16+'0305'!T16</f>
        <v>0</v>
      </c>
      <c r="V61" s="28">
        <f t="shared" si="25"/>
        <v>0</v>
      </c>
      <c r="W61" s="27">
        <f>'0205'!U16+'0305'!U16</f>
        <v>0</v>
      </c>
      <c r="X61" s="28">
        <f t="shared" si="26"/>
        <v>0</v>
      </c>
      <c r="Y61" s="40">
        <v>0</v>
      </c>
      <c r="AA61" s="30" t="s">
        <v>186</v>
      </c>
      <c r="AB61" s="44">
        <f>'2205'!$R14</f>
        <v>0</v>
      </c>
      <c r="AC61" s="29">
        <f t="shared" si="27"/>
        <v>0</v>
      </c>
      <c r="AD61" s="27">
        <f>'2205'!$S14</f>
        <v>0</v>
      </c>
      <c r="AE61" s="28">
        <f t="shared" si="28"/>
        <v>0</v>
      </c>
      <c r="AF61" s="27">
        <f>'2205'!$T14</f>
        <v>0</v>
      </c>
      <c r="AG61" s="28">
        <f t="shared" si="29"/>
        <v>0</v>
      </c>
      <c r="AH61" s="27">
        <f>'2205'!$U14</f>
        <v>0</v>
      </c>
      <c r="AI61" s="28">
        <f t="shared" si="30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3"/>
        <v>0</v>
      </c>
      <c r="S62" s="27">
        <f>'0205'!S17+'0305'!S17</f>
        <v>0</v>
      </c>
      <c r="T62" s="28">
        <f t="shared" si="24"/>
        <v>0</v>
      </c>
      <c r="U62" s="27">
        <f>'0205'!T17+'0305'!T17</f>
        <v>0</v>
      </c>
      <c r="V62" s="28">
        <f t="shared" si="25"/>
        <v>0</v>
      </c>
      <c r="W62" s="27">
        <f>'0205'!U17+'0305'!U17</f>
        <v>0</v>
      </c>
      <c r="X62" s="28">
        <f t="shared" si="26"/>
        <v>0</v>
      </c>
      <c r="Y62" s="40">
        <v>0</v>
      </c>
      <c r="AA62" s="30" t="s">
        <v>85</v>
      </c>
      <c r="AB62" s="44">
        <f>'2205'!$R15</f>
        <v>0</v>
      </c>
      <c r="AC62" s="29">
        <f t="shared" si="27"/>
        <v>0</v>
      </c>
      <c r="AD62" s="27">
        <f>'2205'!$S15</f>
        <v>0</v>
      </c>
      <c r="AE62" s="28">
        <f t="shared" si="28"/>
        <v>0</v>
      </c>
      <c r="AF62" s="27">
        <f>'2205'!$T15</f>
        <v>0</v>
      </c>
      <c r="AG62" s="28">
        <f t="shared" si="29"/>
        <v>0</v>
      </c>
      <c r="AH62" s="27">
        <f>'2205'!$U15</f>
        <v>0</v>
      </c>
      <c r="AI62" s="28">
        <f t="shared" si="30"/>
        <v>0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3"/>
        <v>1</v>
      </c>
      <c r="S63" s="27">
        <f>'0205'!S18+'0305'!S18</f>
        <v>2</v>
      </c>
      <c r="T63" s="28">
        <f t="shared" si="24"/>
        <v>1</v>
      </c>
      <c r="U63" s="27">
        <f>'0205'!T18+'0305'!T18</f>
        <v>0</v>
      </c>
      <c r="V63" s="28">
        <f t="shared" si="25"/>
        <v>0</v>
      </c>
      <c r="W63" s="27">
        <f>'0205'!U18+'0305'!U18</f>
        <v>0</v>
      </c>
      <c r="X63" s="28">
        <f t="shared" si="26"/>
        <v>0</v>
      </c>
      <c r="Y63" s="40">
        <v>0</v>
      </c>
      <c r="AA63" s="30" t="s">
        <v>86</v>
      </c>
      <c r="AB63" s="44">
        <f>'2205'!$R16</f>
        <v>0</v>
      </c>
      <c r="AC63" s="29">
        <f t="shared" si="27"/>
        <v>0</v>
      </c>
      <c r="AD63" s="27">
        <f>'2205'!$S16</f>
        <v>0</v>
      </c>
      <c r="AE63" s="28">
        <f t="shared" si="28"/>
        <v>0</v>
      </c>
      <c r="AF63" s="27">
        <f>'2205'!$T16</f>
        <v>0</v>
      </c>
      <c r="AG63" s="28">
        <f t="shared" si="29"/>
        <v>0</v>
      </c>
      <c r="AH63" s="27">
        <f>'2205'!$U16</f>
        <v>0</v>
      </c>
      <c r="AI63" s="28">
        <f t="shared" si="30"/>
        <v>0</v>
      </c>
      <c r="AJ63" s="40">
        <v>0</v>
      </c>
    </row>
    <row r="64" spans="8:36" ht="14.25" customHeight="1" x14ac:dyDescent="0.45">
      <c r="P64" s="13"/>
      <c r="Q64" s="15"/>
      <c r="R64" s="15"/>
      <c r="S64" s="15"/>
      <c r="AA64" s="30" t="s">
        <v>87</v>
      </c>
      <c r="AB64" s="44">
        <f>'2205'!$R17</f>
        <v>0</v>
      </c>
      <c r="AC64" s="29">
        <f t="shared" si="27"/>
        <v>0</v>
      </c>
      <c r="AD64" s="27">
        <f>'2205'!$S17</f>
        <v>0</v>
      </c>
      <c r="AE64" s="28">
        <f t="shared" si="28"/>
        <v>0</v>
      </c>
      <c r="AF64" s="27">
        <f>'2205'!$T17</f>
        <v>0</v>
      </c>
      <c r="AG64" s="28">
        <f t="shared" si="29"/>
        <v>0</v>
      </c>
      <c r="AH64" s="27">
        <f>'2205'!$U17</f>
        <v>0</v>
      </c>
      <c r="AI64" s="28">
        <f t="shared" si="30"/>
        <v>0</v>
      </c>
      <c r="AJ64" s="40">
        <v>0</v>
      </c>
    </row>
    <row r="65" spans="8:36" ht="14.25" customHeight="1" x14ac:dyDescent="0.45">
      <c r="P65" s="52" t="s">
        <v>188</v>
      </c>
      <c r="Q65">
        <v>3</v>
      </c>
      <c r="AA65" s="52" t="s">
        <v>107</v>
      </c>
      <c r="AB65" s="44">
        <f>'2205'!$R18</f>
        <v>0</v>
      </c>
      <c r="AC65" s="29">
        <f t="shared" si="27"/>
        <v>0</v>
      </c>
      <c r="AD65" s="27">
        <f>'2205'!$S18</f>
        <v>0</v>
      </c>
      <c r="AE65" s="28">
        <f t="shared" si="28"/>
        <v>0</v>
      </c>
      <c r="AF65" s="27">
        <f>'2205'!$T18</f>
        <v>0</v>
      </c>
      <c r="AG65" s="28">
        <f t="shared" si="29"/>
        <v>0</v>
      </c>
      <c r="AH65" s="27">
        <f>'2205'!$U18</f>
        <v>0</v>
      </c>
      <c r="AI65" s="28">
        <f t="shared" si="30"/>
        <v>0</v>
      </c>
      <c r="AJ65" s="40">
        <v>0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1">Q67/(Q$65-Y67)</f>
        <v>1.3333333333333333</v>
      </c>
      <c r="S67" s="27">
        <f>'0805'!$S3+'0905'!$S3+'1005'!$S3</f>
        <v>2</v>
      </c>
      <c r="T67" s="28">
        <f t="shared" ref="T67:T82" si="32">S67/($Q$65-Y67)</f>
        <v>0.66666666666666663</v>
      </c>
      <c r="U67" s="27">
        <f>'0805'!$T3+'0905'!$T3+'1005'!$T3</f>
        <v>2</v>
      </c>
      <c r="V67" s="28">
        <f t="shared" ref="V67:V82" si="33">U67/($Q$65-Y67)</f>
        <v>0.66666666666666663</v>
      </c>
      <c r="W67" s="27">
        <f>'0805'!$U3+'0905'!$U3+'1005'!$U3</f>
        <v>0</v>
      </c>
      <c r="X67" s="28">
        <f t="shared" ref="X67:X82" si="34">W67/($Q$65-Y67)</f>
        <v>0</v>
      </c>
      <c r="Y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31"/>
        <v>1.3333333333333333</v>
      </c>
      <c r="S68" s="27">
        <f>'0805'!$S4+'0905'!$S4+'1005'!$S4</f>
        <v>4</v>
      </c>
      <c r="T68" s="28">
        <f t="shared" si="32"/>
        <v>1.3333333333333333</v>
      </c>
      <c r="U68" s="27">
        <f>'0805'!$T4+'0905'!$T4+'1005'!$T4</f>
        <v>0</v>
      </c>
      <c r="V68" s="28">
        <f t="shared" si="33"/>
        <v>0</v>
      </c>
      <c r="W68" s="27">
        <f>'0805'!$U4+'0905'!$U4+'1005'!$U4</f>
        <v>0</v>
      </c>
      <c r="X68" s="28">
        <f t="shared" si="34"/>
        <v>0</v>
      </c>
      <c r="Y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31"/>
        <v>2</v>
      </c>
      <c r="S69" s="27">
        <f>'0805'!$S5+'0905'!$S5+'1005'!$S5</f>
        <v>2</v>
      </c>
      <c r="T69" s="28">
        <f t="shared" si="32"/>
        <v>2</v>
      </c>
      <c r="U69" s="27">
        <f>'0805'!$T5+'0905'!$T5+'1005'!$T5</f>
        <v>0</v>
      </c>
      <c r="V69" s="28">
        <f t="shared" si="33"/>
        <v>0</v>
      </c>
      <c r="W69" s="27">
        <f>'0805'!$U5+'0905'!$U5+'1005'!$U5</f>
        <v>0</v>
      </c>
      <c r="X69" s="28">
        <f t="shared" si="34"/>
        <v>0</v>
      </c>
      <c r="Y69" s="40">
        <v>2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1"/>
        <v>6.333333333333333</v>
      </c>
      <c r="S70" s="27">
        <f>'0805'!$S6+'0905'!$S6+'1005'!$S6</f>
        <v>17</v>
      </c>
      <c r="T70" s="28">
        <f t="shared" si="32"/>
        <v>5.666666666666667</v>
      </c>
      <c r="U70" s="27">
        <f>'0805'!$T6+'0905'!$T6+'1005'!$T6</f>
        <v>2</v>
      </c>
      <c r="V70" s="28">
        <f t="shared" si="33"/>
        <v>0.66666666666666663</v>
      </c>
      <c r="W70" s="27">
        <f>'0805'!$U6+'0905'!$U6+'1005'!$U6</f>
        <v>0</v>
      </c>
      <c r="X70" s="28">
        <f t="shared" si="34"/>
        <v>0</v>
      </c>
      <c r="Y70" s="40">
        <v>0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31"/>
        <v>3.6666666666666665</v>
      </c>
      <c r="S71" s="27">
        <f>'0805'!$S7+'0905'!$S7+'1005'!$S7</f>
        <v>2</v>
      </c>
      <c r="T71" s="28">
        <f t="shared" si="32"/>
        <v>0.66666666666666663</v>
      </c>
      <c r="U71" s="27">
        <f>'0805'!$T7+'0905'!$T7+'1005'!$T7</f>
        <v>9</v>
      </c>
      <c r="V71" s="28">
        <f t="shared" si="33"/>
        <v>3</v>
      </c>
      <c r="W71" s="27">
        <f>'0805'!$U7+'0905'!$U7+'1005'!$U7</f>
        <v>0</v>
      </c>
      <c r="X71" s="28">
        <f t="shared" si="34"/>
        <v>0</v>
      </c>
      <c r="Y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31"/>
        <v>#DIV/0!</v>
      </c>
      <c r="S72" s="27">
        <f>'0805'!$S8+'0905'!$S8+'1005'!$S8</f>
        <v>0</v>
      </c>
      <c r="T72" s="28" t="e">
        <f t="shared" si="32"/>
        <v>#DIV/0!</v>
      </c>
      <c r="U72" s="27">
        <f>'0805'!$T8+'0905'!$T8+'1005'!$T8</f>
        <v>0</v>
      </c>
      <c r="V72" s="28" t="e">
        <f t="shared" si="33"/>
        <v>#DIV/0!</v>
      </c>
      <c r="W72" s="27">
        <f>'0805'!$U8+'0905'!$U8+'1005'!$U8</f>
        <v>0</v>
      </c>
      <c r="X72" s="28" t="e">
        <f t="shared" si="34"/>
        <v>#DIV/0!</v>
      </c>
      <c r="Y72" s="40">
        <v>3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31"/>
        <v>1.3333333333333333</v>
      </c>
      <c r="S73" s="27">
        <f>'0805'!$S9+'0905'!$S9+'1005'!$S9</f>
        <v>2</v>
      </c>
      <c r="T73" s="28">
        <f t="shared" si="32"/>
        <v>0.66666666666666663</v>
      </c>
      <c r="U73" s="27">
        <f>'0805'!$T9+'0905'!$T9+'1005'!$T9</f>
        <v>0</v>
      </c>
      <c r="V73" s="28">
        <f t="shared" si="33"/>
        <v>0</v>
      </c>
      <c r="W73" s="27">
        <f>'0805'!$U9+'0905'!$U9+'1005'!$U9</f>
        <v>1</v>
      </c>
      <c r="X73" s="28">
        <f t="shared" si="34"/>
        <v>0.33333333333333331</v>
      </c>
      <c r="Y73" s="40">
        <v>0</v>
      </c>
    </row>
    <row r="74" spans="8:36" ht="14.25" customHeight="1" x14ac:dyDescent="0.45">
      <c r="J74" s="33" t="s">
        <v>224</v>
      </c>
      <c r="P74" s="30" t="s">
        <v>78</v>
      </c>
      <c r="Q74" s="44">
        <f>'0805'!$R10+'0905'!$R10+'1005'!$R10</f>
        <v>10</v>
      </c>
      <c r="R74" s="29">
        <f t="shared" si="31"/>
        <v>3.3333333333333335</v>
      </c>
      <c r="S74" s="27">
        <f>'0805'!$S10+'0905'!$S10+'1005'!$S10</f>
        <v>4</v>
      </c>
      <c r="T74" s="28">
        <f t="shared" si="32"/>
        <v>1.3333333333333333</v>
      </c>
      <c r="U74" s="27">
        <f>'0805'!$T10+'0905'!$T10+'1005'!$T10</f>
        <v>6</v>
      </c>
      <c r="V74" s="28">
        <f t="shared" si="33"/>
        <v>2</v>
      </c>
      <c r="W74" s="27">
        <f>'0805'!$U10+'0905'!$U10+'1005'!$U10</f>
        <v>0</v>
      </c>
      <c r="X74" s="28">
        <f t="shared" si="34"/>
        <v>0</v>
      </c>
      <c r="Y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1"/>
        <v>3</v>
      </c>
      <c r="S75" s="27">
        <f>'0805'!$S11+'0905'!$S11+'1005'!$S11</f>
        <v>0</v>
      </c>
      <c r="T75" s="28">
        <f t="shared" si="32"/>
        <v>0</v>
      </c>
      <c r="U75" s="27">
        <f>'0805'!$T11+'0905'!$T11+'1005'!$T11</f>
        <v>9</v>
      </c>
      <c r="V75" s="28">
        <f t="shared" si="33"/>
        <v>3</v>
      </c>
      <c r="W75" s="27">
        <f>'0805'!$U11+'0905'!$U11+'1005'!$U11</f>
        <v>0</v>
      </c>
      <c r="X75" s="28">
        <f t="shared" si="34"/>
        <v>0</v>
      </c>
      <c r="Y75" s="40">
        <v>0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1"/>
        <v>0.66666666666666663</v>
      </c>
      <c r="S76" s="27">
        <f>'0805'!$S12+'0905'!$S12+'1005'!$S12</f>
        <v>0</v>
      </c>
      <c r="T76" s="28">
        <f t="shared" si="32"/>
        <v>0</v>
      </c>
      <c r="U76" s="27">
        <f>'0805'!$T12+'0905'!$T12+'1005'!$T12</f>
        <v>2</v>
      </c>
      <c r="V76" s="28">
        <f t="shared" si="33"/>
        <v>0.66666666666666663</v>
      </c>
      <c r="W76" s="27">
        <f>'0805'!$U12+'0905'!$U12+'1005'!$U12</f>
        <v>0</v>
      </c>
      <c r="X76" s="28">
        <f t="shared" si="34"/>
        <v>0</v>
      </c>
      <c r="Y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187</v>
      </c>
      <c r="Q77" s="44">
        <f>'0805'!$R13+'0905'!$R13+'1005'!$R13</f>
        <v>0</v>
      </c>
      <c r="R77" s="29">
        <f t="shared" si="31"/>
        <v>0</v>
      </c>
      <c r="S77" s="27">
        <f>'0805'!$S13+'0905'!$S13+'1005'!$S13</f>
        <v>0</v>
      </c>
      <c r="T77" s="28">
        <f t="shared" si="32"/>
        <v>0</v>
      </c>
      <c r="U77" s="27">
        <f>'0805'!$T13+'0905'!$T13+'1005'!$T13</f>
        <v>0</v>
      </c>
      <c r="V77" s="28">
        <f t="shared" si="33"/>
        <v>0</v>
      </c>
      <c r="W77" s="27">
        <f>'0805'!$U13+'0905'!$U13+'1005'!$U13</f>
        <v>0</v>
      </c>
      <c r="X77" s="28">
        <f t="shared" si="34"/>
        <v>0</v>
      </c>
      <c r="Y77" s="40">
        <v>2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186</v>
      </c>
      <c r="Q78" s="44">
        <f>'0805'!$R14+'0905'!$R14+'1005'!$R14</f>
        <v>3</v>
      </c>
      <c r="R78" s="29">
        <f t="shared" si="31"/>
        <v>1</v>
      </c>
      <c r="S78" s="27">
        <f>'0805'!$S14+'0905'!$S14+'1005'!$S14</f>
        <v>1</v>
      </c>
      <c r="T78" s="28">
        <f t="shared" si="32"/>
        <v>0.33333333333333331</v>
      </c>
      <c r="U78" s="27">
        <f>'0805'!$T14+'0905'!$T14+'1005'!$T14</f>
        <v>2</v>
      </c>
      <c r="V78" s="28">
        <f t="shared" si="33"/>
        <v>0.66666666666666663</v>
      </c>
      <c r="W78" s="27">
        <f>'0805'!$U14+'0905'!$U14+'1005'!$U14</f>
        <v>0</v>
      </c>
      <c r="X78" s="28">
        <f t="shared" si="34"/>
        <v>0</v>
      </c>
      <c r="Y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1"/>
        <v>4</v>
      </c>
      <c r="S79" s="27">
        <f>'0805'!$S15+'0905'!$S15+'1005'!$S15</f>
        <v>2</v>
      </c>
      <c r="T79" s="28">
        <f t="shared" si="32"/>
        <v>2</v>
      </c>
      <c r="U79" s="27">
        <f>'0805'!$T15+'0905'!$T15+'1005'!$T15</f>
        <v>0</v>
      </c>
      <c r="V79" s="28">
        <f t="shared" si="33"/>
        <v>0</v>
      </c>
      <c r="W79" s="27">
        <f>'0805'!$U15+'0905'!$U15+'1005'!$U15</f>
        <v>1</v>
      </c>
      <c r="X79" s="28">
        <f t="shared" si="34"/>
        <v>1</v>
      </c>
      <c r="Y79" s="40">
        <v>2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1"/>
        <v>0.33333333333333331</v>
      </c>
      <c r="S80" s="27">
        <f>'0805'!$S16+'0905'!$S16+'1005'!$S16</f>
        <v>1</v>
      </c>
      <c r="T80" s="28">
        <f t="shared" si="32"/>
        <v>0.33333333333333331</v>
      </c>
      <c r="U80" s="27">
        <f>'0805'!$T16+'0905'!$T16+'1005'!$T16</f>
        <v>0</v>
      </c>
      <c r="V80" s="28">
        <f t="shared" si="33"/>
        <v>0</v>
      </c>
      <c r="W80" s="27">
        <f>'0805'!$U16+'0905'!$U16+'1005'!$U16</f>
        <v>0</v>
      </c>
      <c r="X80" s="28">
        <f t="shared" si="34"/>
        <v>0</v>
      </c>
      <c r="Y80" s="40">
        <v>0</v>
      </c>
    </row>
    <row r="81" spans="8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1"/>
        <v>1</v>
      </c>
      <c r="S81" s="27">
        <f>'0805'!$S17+'0905'!$S17+'1005'!$S17</f>
        <v>2</v>
      </c>
      <c r="T81" s="28">
        <f t="shared" si="32"/>
        <v>0.66666666666666663</v>
      </c>
      <c r="U81" s="27">
        <f>'0805'!$T17+'0905'!$T17+'1005'!$T17</f>
        <v>1</v>
      </c>
      <c r="V81" s="28">
        <f t="shared" si="33"/>
        <v>0.33333333333333331</v>
      </c>
      <c r="W81" s="27">
        <f>'0805'!$U17+'0905'!$U17+'1005'!$U17</f>
        <v>0</v>
      </c>
      <c r="X81" s="28">
        <f t="shared" si="34"/>
        <v>0</v>
      </c>
      <c r="Y81" s="40">
        <v>0</v>
      </c>
    </row>
    <row r="82" spans="8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1"/>
        <v>0</v>
      </c>
      <c r="S82" s="27">
        <f>'0805'!$S18+'0905'!$S18+'1005'!$S18</f>
        <v>0</v>
      </c>
      <c r="T82" s="28">
        <f t="shared" si="32"/>
        <v>0</v>
      </c>
      <c r="U82" s="27">
        <f>'0805'!$T18+'0905'!$T18+'1005'!$T18</f>
        <v>0</v>
      </c>
      <c r="V82" s="28">
        <f t="shared" si="33"/>
        <v>0</v>
      </c>
      <c r="W82" s="27">
        <f>'0805'!$U18+'0905'!$U18+'1005'!$U18</f>
        <v>0</v>
      </c>
      <c r="X82" s="28">
        <f t="shared" si="34"/>
        <v>0</v>
      </c>
      <c r="Y82" s="40">
        <v>0</v>
      </c>
    </row>
    <row r="83" spans="8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8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8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8:25" ht="14.25" customHeight="1" x14ac:dyDescent="0.45">
      <c r="H86" s="40">
        <v>11</v>
      </c>
      <c r="I86" s="132">
        <f>'Statistics LG'!A14</f>
        <v>45068</v>
      </c>
      <c r="J86" s="40" t="e">
        <f>J85+'Statistics LG'!D14</f>
        <v>#DIV/0!</v>
      </c>
      <c r="K86" s="40" t="e">
        <f>K85+'Statistics WW'!D14</f>
        <v>#DIV/0!</v>
      </c>
      <c r="L86" s="40" t="e">
        <f>L85+'Statistics 5M'!D14</f>
        <v>#DIV/0!</v>
      </c>
    </row>
    <row r="87" spans="8:25" ht="14.25" customHeight="1" x14ac:dyDescent="0.45"/>
    <row r="88" spans="8:25" ht="14.25" customHeight="1" x14ac:dyDescent="0.45"/>
    <row r="89" spans="8:25" ht="14.25" customHeight="1" x14ac:dyDescent="0.45"/>
    <row r="90" spans="8:25" ht="14.25" customHeight="1" x14ac:dyDescent="0.45"/>
    <row r="91" spans="8:25" ht="14.25" customHeight="1" x14ac:dyDescent="0.45"/>
    <row r="92" spans="8:25" ht="14.25" customHeight="1" x14ac:dyDescent="0.45"/>
    <row r="93" spans="8:25" ht="14.25" customHeight="1" x14ac:dyDescent="0.45"/>
    <row r="94" spans="8:25" ht="14.25" customHeight="1" x14ac:dyDescent="0.45"/>
    <row r="95" spans="8:25" ht="14.25" customHeight="1" x14ac:dyDescent="0.45"/>
    <row r="96" spans="8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abSelected="1" zoomScale="70" zoomScaleNormal="70" workbookViewId="0">
      <selection activeCell="AJ18" sqref="AJ18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10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186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60</v>
      </c>
      <c r="I4" s="1">
        <f>SUM(C4:C30)</f>
        <v>69</v>
      </c>
      <c r="J4" s="1" t="e">
        <f>SUM(D4:D30)</f>
        <v>#DIV/0!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28" t="s">
        <v>85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28" t="s">
        <v>85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0.2</v>
      </c>
      <c r="AF4" s="61">
        <f>'2404'!AC3+'2604'!AC3+'0205'!AC3+'0305'!AC3+'0805'!AC3+'0905'!AC3+'1005'!AC3+'1505'!AC3+'1605'!AC3+'1705'!AC3+'2205'!AC3</f>
        <v>2</v>
      </c>
      <c r="AG4" s="101">
        <f>Table2[[#This Row],[Finishes]]/($AE$2-Table2[[#This Row],[DNP]])</f>
        <v>0.2</v>
      </c>
      <c r="AH4" s="61">
        <f>'2404'!AD3+'2604'!AD3+'0205'!AD3+'0305'!AD3+'0805'!AD3+'0905'!AD3+'1005'!AD3+'1505'!AD3+'1605'!AD3+'1705'!AD3+'2205'!AD3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0.49999999999999994</v>
      </c>
      <c r="AO4" s="55">
        <f>Table2[[#This Row],[Avg P]]/(Table2[[#This Row],[Avg P]]+AN4)</f>
        <v>0.28571428571428575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30" t="s">
        <v>169</v>
      </c>
      <c r="V5" s="130" t="s">
        <v>171</v>
      </c>
      <c r="X5" s="17">
        <f>COUNTIF('2604'!$X$4:$X$26,"LG/5M")</f>
        <v>2</v>
      </c>
      <c r="Y5" s="17">
        <f>COUNTIF('2604'!$Z$4:$Z$26,"5M/LG")</f>
        <v>1</v>
      </c>
      <c r="Z5" s="130" t="s">
        <v>170</v>
      </c>
      <c r="AA5" s="130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0.22222222222222221</v>
      </c>
      <c r="AF5" s="61">
        <f>'2404'!AC4+'2604'!AC4+'0205'!AC4+'0305'!AC4+'0805'!AC4+'0905'!AC4+'1005'!AC4+'1505'!AC4+'1605'!AC4+'1705'!AC4+'2205'!AC4</f>
        <v>2</v>
      </c>
      <c r="AG5" s="101">
        <f>Table2[[#This Row],[Finishes]]/($AE$2-Table2[[#This Row],[DNP]])</f>
        <v>0.22222222222222221</v>
      </c>
      <c r="AH5" s="61">
        <f>'2404'!AD4+'2604'!AD4+'0205'!AD4+'0305'!AD4+'0805'!AD4+'0905'!AD4+'1005'!AD4+'1505'!AD4+'1605'!AD4+'1705'!AD4+'2205'!AD4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</f>
        <v>0</v>
      </c>
      <c r="AK5" s="62">
        <f>Table2[[#This Row],[Threes]]/($AE$2-Table2[[#This Row],[DNP]])</f>
        <v>0</v>
      </c>
      <c r="AL5" s="89">
        <f>'Stats Global'!Z9</f>
        <v>1</v>
      </c>
      <c r="AN5" s="41">
        <f>'Stats Global'!R9-Table2[[#This Row],[Avg P]]</f>
        <v>0.66666666666666663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28" t="s">
        <v>85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28" t="s">
        <v>176</v>
      </c>
      <c r="AA6" s="128" t="s">
        <v>177</v>
      </c>
      <c r="AC6" s="3" t="s">
        <v>38</v>
      </c>
      <c r="AD6" s="59">
        <f>Table2[[#This Row],[Finishes]]+Table2[[#This Row],[Midranges]]+Table2[[#This Row],[Threes]]+Table2[[#This Row],[Threes]]</f>
        <v>15</v>
      </c>
      <c r="AE6" s="60">
        <f>Table2[[#This Row],[Points]]/($AE$2-Table2[[#This Row],[DNP]])</f>
        <v>2.1428571428571428</v>
      </c>
      <c r="AF6" s="61">
        <f>'2404'!AC5+'2604'!AC5+'0205'!AC5+'0305'!AC5+'0805'!AC5+'0905'!AC5+'1005'!AC5+'1505'!AC5+'1605'!AC5+'1705'!AC5+'2205'!AC5</f>
        <v>15</v>
      </c>
      <c r="AG6" s="101">
        <f>Table2[[#This Row],[Finishes]]/($AE$2-Table2[[#This Row],[DNP]])</f>
        <v>2.1428571428571428</v>
      </c>
      <c r="AH6" s="61">
        <f>'2404'!AD5+'2604'!AD5+'0205'!AD5+'0305'!AD5+'0805'!AD5+'0905'!AD5+'1005'!AD5+'1505'!AD5+'1605'!AD5+'1705'!AD5+'2205'!AD5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0.42857142857142883</v>
      </c>
      <c r="AO6" s="55">
        <f>Table2[[#This Row],[Avg P]]/(Table2[[#This Row],[Avg P]]+AN6)</f>
        <v>0.83333333333333326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28" t="s">
        <v>169</v>
      </c>
      <c r="V7" s="128" t="s">
        <v>180</v>
      </c>
      <c r="X7" s="17">
        <f>COUNTIF('0305'!$X$4:$X$26,"LG/5M")</f>
        <v>3</v>
      </c>
      <c r="Y7" s="17">
        <f>COUNTIF('0305'!$Z$4:$Z$26,"5M/LG")</f>
        <v>6</v>
      </c>
      <c r="Z7" s="128" t="s">
        <v>78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22</v>
      </c>
      <c r="AE7" s="60">
        <f>Table2[[#This Row],[Points]]/($AE$2-Table2[[#This Row],[DNP]])</f>
        <v>2.2000000000000002</v>
      </c>
      <c r="AF7" s="61">
        <f>'2404'!AC6+'2604'!AC6+'0205'!AC6+'0305'!AC6+'0805'!AC6+'0905'!AC6+'1005'!AC6+'1505'!AC6+'1605'!AC6+'1705'!AC6+'2205'!AC6</f>
        <v>20</v>
      </c>
      <c r="AG7" s="101">
        <f>Table2[[#This Row],[Finishes]]/($AE$2-Table2[[#This Row],[DNP]])</f>
        <v>2</v>
      </c>
      <c r="AH7" s="61">
        <f>'2404'!AD6+'2604'!AD6+'0205'!AD6+'0305'!AD6+'0805'!AD6+'0905'!AD6+'1005'!AD6+'1505'!AD6+'1605'!AD6+'1705'!AD6+'2205'!AD6</f>
        <v>2</v>
      </c>
      <c r="AI7" s="101">
        <f>Table2[[#This Row],[Midranges]]/($AE$2-Table2[[#This Row],[DNP]])</f>
        <v>0.2</v>
      </c>
      <c r="AJ7" s="61">
        <f>'2404'!AE6+'2604'!AE6+'0205'!AE6+'0305'!AE6+'0805'!AE6+'0905'!AE6+'1005'!AE6+'1505'!AE6+'1605'!AE6+'1705'!AE6+'2205'!AE6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1.4</v>
      </c>
      <c r="AO7" s="55">
        <f>Table2[[#This Row],[Avg P]]/(Table2[[#This Row],[Avg P]]+AN7)</f>
        <v>0.61111111111111116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28" t="s">
        <v>85</v>
      </c>
      <c r="V8" s="128" t="s">
        <v>189</v>
      </c>
      <c r="X8" s="17">
        <f>COUNTIF('0805'!$X$4:$X$26,"LG/5M")</f>
        <v>1</v>
      </c>
      <c r="Y8" s="17">
        <f>COUNTIF('0805'!$Z$4:$Z$26,"5M/LG")</f>
        <v>4</v>
      </c>
      <c r="Z8" s="128" t="s">
        <v>78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12</v>
      </c>
      <c r="AE8" s="60">
        <f>Table2[[#This Row],[Points]]/($AE$2-Table2[[#This Row],[DNP]])</f>
        <v>1.2</v>
      </c>
      <c r="AF8" s="61">
        <f>'2404'!AC7+'2604'!AC7+'0205'!AC7+'0305'!AC7+'0805'!AC7+'0905'!AC7+'1005'!AC7+'1505'!AC7+'1605'!AC7+'1705'!AC7+'2205'!AC7</f>
        <v>5</v>
      </c>
      <c r="AG8" s="101">
        <f>Table2[[#This Row],[Finishes]]/($AE$2-Table2[[#This Row],[DNP]])</f>
        <v>0.5</v>
      </c>
      <c r="AH8" s="61">
        <f>'2404'!AD7+'2604'!AD7+'0205'!AD7+'0305'!AD7+'0805'!AD7+'0905'!AD7+'1005'!AD7+'1505'!AD7+'1605'!AD7+'1705'!AD7+'2205'!AD7</f>
        <v>5</v>
      </c>
      <c r="AI8" s="101">
        <f>Table2[[#This Row],[Midranges]]/($AE$2-Table2[[#This Row],[DNP]])</f>
        <v>0.5</v>
      </c>
      <c r="AJ8" s="61">
        <f>'2404'!AE7+'2604'!AE7+'0205'!AE7+'0305'!AE7+'0805'!AE7+'0905'!AE7+'1005'!AE7+'1505'!AE7+'1605'!AE7+'1705'!AE7+'2205'!AE7</f>
        <v>1</v>
      </c>
      <c r="AK8" s="62">
        <f>Table2[[#This Row],[Threes]]/($AE$2-Table2[[#This Row],[DNP]])</f>
        <v>0.1</v>
      </c>
      <c r="AL8" s="89">
        <f>'Stats Global'!Z12</f>
        <v>0</v>
      </c>
      <c r="AN8" s="41">
        <f>'Stats Global'!R12-Table2[[#This Row],[Avg P]]</f>
        <v>1.2</v>
      </c>
      <c r="AO8" s="55">
        <f>Table2[[#This Row],[Avg P]]/(Table2[[#This Row],[Avg P]]+AN8)</f>
        <v>0.5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28" t="s">
        <v>78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28" t="s">
        <v>195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0.2857142857142857</v>
      </c>
      <c r="AF9" s="61">
        <f>'2404'!AC8+'2604'!AC8+'0205'!AC8+'0305'!AC8+'0805'!AC8+'0905'!AC8+'1005'!AC8+'1505'!AC8+'1605'!AC8+'1705'!AC8+'2205'!AC8</f>
        <v>1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'2404'!AD8+'2604'!AD8+'0205'!AD8+'0305'!AD8+'0805'!AD8+'0905'!AD8+'1005'!AD8+'1505'!AD8+'1605'!AD8+'1705'!AD8+'2205'!AD8</f>
        <v>1</v>
      </c>
      <c r="AI9" s="101">
        <f>Table2[[#This Row],[Midranges]]/($AE$2-Table2[[#This Row],[DNP]])</f>
        <v>0.14285714285714285</v>
      </c>
      <c r="AJ9" s="61">
        <f>'2404'!AE8+'2604'!AE8+'0205'!AE8+'0305'!AE8+'0805'!AE8+'0905'!AE8+'1005'!AE8+'1505'!AE8+'1605'!AE8+'1705'!AE8+'2205'!AE8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0.4285714285714286</v>
      </c>
      <c r="AO9" s="55">
        <f>Table2[[#This Row],[Avg P]]/(Table2[[#This Row],[Avg P]]+AN9)</f>
        <v>0.39999999999999997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28" t="s">
        <v>78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28" t="s">
        <v>78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7</v>
      </c>
      <c r="AE10" s="116">
        <f>Table2[[#This Row],[Points]]/($AE$2-Table2[[#This Row],[DNP]])</f>
        <v>0.7</v>
      </c>
      <c r="AF10" s="117">
        <f>'2404'!AC9+'2604'!AC9+'0205'!AC9+'0305'!AC9+'0805'!AC9+'0905'!AC9+'1005'!AC9+'1505'!AC9+'1605'!AC9+'1705'!AC9+'2205'!AC9</f>
        <v>1</v>
      </c>
      <c r="AG10" s="118">
        <f>Table2[[#This Row],[Finishes]]/($AE$2-Table2[[#This Row],[DNP]])</f>
        <v>0.1</v>
      </c>
      <c r="AH10" s="117">
        <f>'2404'!AD9+'2604'!AD9+'0205'!AD9+'0305'!AD9+'0805'!AD9+'0905'!AD9+'1005'!AD9+'1505'!AD9+'1605'!AD9+'1705'!AD9+'2205'!AD9</f>
        <v>0</v>
      </c>
      <c r="AI10" s="118">
        <f>Table2[[#This Row],[Midranges]]/($AE$2-Table2[[#This Row],[DNP]])</f>
        <v>0</v>
      </c>
      <c r="AJ10" s="117">
        <f>'2404'!AE9+'2604'!AE9+'0205'!AE9+'0305'!AE9+'0805'!AE9+'0905'!AE9+'1005'!AE9+'1505'!AE9+'1605'!AE9+'1705'!AE9+'2205'!AE9</f>
        <v>3</v>
      </c>
      <c r="AK10" s="119">
        <f>Table2[[#This Row],[Threes]]/($AE$2-Table2[[#This Row],[DNP]])</f>
        <v>0.3</v>
      </c>
      <c r="AL10" s="120">
        <f>'Stats Global'!Z14</f>
        <v>0</v>
      </c>
      <c r="AN10" s="121">
        <f>'Stats Global'!R14-Table2[[#This Row],[Avg P]]</f>
        <v>0.8</v>
      </c>
      <c r="AO10" s="123">
        <f>Table2[[#This Row],[Avg P]]/(Table2[[#This Row],[Avg P]]+AN10)</f>
        <v>0.46666666666666662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28"/>
      <c r="V11" s="128"/>
      <c r="X11" s="17">
        <f>COUNTIF('1505'!$X$4:$X$40,"LG/5M")</f>
        <v>4</v>
      </c>
      <c r="Y11" s="17">
        <f>COUNTIF('1505'!$Z$4:$Z$40,"5M/LG")</f>
        <v>0</v>
      </c>
      <c r="Z11" s="128"/>
      <c r="AA11" s="128"/>
      <c r="AC11" s="114" t="s">
        <v>56</v>
      </c>
      <c r="AD11" s="115">
        <f>Table2[[#This Row],[Finishes]]+Table2[[#This Row],[Midranges]]+Table2[[#This Row],[Threes]]+Table2[[#This Row],[Threes]]</f>
        <v>7</v>
      </c>
      <c r="AE11" s="116">
        <f>Table2[[#This Row],[Points]]/($AE$2-Table2[[#This Row],[DNP]])</f>
        <v>0.7</v>
      </c>
      <c r="AF11" s="117">
        <f>'2404'!AC10+'2604'!AC10+'0205'!AC10+'0305'!AC10+'0805'!AC10+'0905'!AC10+'1005'!AC10+'1505'!AC10+'1605'!AC10+'1705'!AC10+'2205'!AC10</f>
        <v>2</v>
      </c>
      <c r="AG11" s="118">
        <f>Table2[[#This Row],[Finishes]]/($AE$2-Table2[[#This Row],[DNP]])</f>
        <v>0.2</v>
      </c>
      <c r="AH11" s="117">
        <f>'2404'!AD10+'2604'!AD10+'0205'!AD10+'0305'!AD10+'0805'!AD10+'0905'!AD10+'1005'!AD10+'1505'!AD10+'1605'!AD10+'1705'!AD10+'2205'!AD10</f>
        <v>5</v>
      </c>
      <c r="AI11" s="118">
        <f>Table2[[#This Row],[Midranges]]/($AE$2-Table2[[#This Row],[DNP]])</f>
        <v>0.5</v>
      </c>
      <c r="AJ11" s="117">
        <f>'2404'!AE10+'2604'!AE10+'0205'!AE10+'0305'!AE10+'0805'!AE10+'0905'!AE10+'1005'!AE10+'1505'!AE10+'1605'!AE10+'1705'!AE10+'2205'!AE10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0.90000000000000013</v>
      </c>
      <c r="AO11" s="123">
        <f>Table2[[#This Row],[Avg P]]/(Table2[[#This Row],[Avg P]]+AN11)</f>
        <v>0.43749999999999994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28"/>
      <c r="V12" s="128"/>
      <c r="X12" s="17">
        <f>COUNTIF('1605'!$X$4:$X$40,"LG/5M")</f>
        <v>3</v>
      </c>
      <c r="Y12" s="17">
        <f>COUNTIF('1605'!$Z$4:$Z$40,"5M/LG")</f>
        <v>6</v>
      </c>
      <c r="Z12" s="128"/>
      <c r="AA12" s="128"/>
      <c r="AC12" s="3" t="s">
        <v>60</v>
      </c>
      <c r="AD12" s="59">
        <f>Table2[[#This Row],[Finishes]]+Table2[[#This Row],[Midranges]]+Table2[[#This Row],[Threes]]+Table2[[#This Row],[Threes]]</f>
        <v>7</v>
      </c>
      <c r="AE12" s="60">
        <f>Table2[[#This Row],[Points]]/($AE$2-Table2[[#This Row],[DNP]])</f>
        <v>0.77777777777777779</v>
      </c>
      <c r="AF12" s="61">
        <f>'2404'!AC11+'2604'!AC11+'0205'!AC11+'0305'!AC11+'0805'!AC11+'0905'!AC11+'1005'!AC11+'1505'!AC11+'1605'!AC11+'1705'!AC11+'2205'!AC11</f>
        <v>1</v>
      </c>
      <c r="AG12" s="101">
        <f>Table2[[#This Row],[Finishes]]/($AE$2-Table2[[#This Row],[DNP]])</f>
        <v>0.1111111111111111</v>
      </c>
      <c r="AH12" s="61">
        <f>'2404'!AD11+'2604'!AD11+'0205'!AD11+'0305'!AD11+'0805'!AD11+'0905'!AD11+'1005'!AD11+'1505'!AD11+'1605'!AD11+'1705'!AD11+'2205'!AD11</f>
        <v>6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'2404'!AE11+'2604'!AE11+'0205'!AE11+'0305'!AE11+'0805'!AE11+'0905'!AE11+'1005'!AE11+'1505'!AE11+'1605'!AE11+'1705'!AE11+'2205'!AE11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1.7777777777777777</v>
      </c>
      <c r="AO12" s="55">
        <f>Table2[[#This Row],[Avg P]]/(Table2[[#This Row],[Avg P]]+AN12)</f>
        <v>0.30434782608695654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222</v>
      </c>
      <c r="F13" t="s">
        <v>56</v>
      </c>
      <c r="I13" s="1" t="s">
        <v>117</v>
      </c>
      <c r="J13" s="18" cm="1">
        <f t="array" ref="J13">SUM(B4:B7/SUM(B4:C7))</f>
        <v>0.48837209302325585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28"/>
      <c r="V13" s="128"/>
      <c r="X13" s="17">
        <f>COUNTIF('1705'!$X$4:$X$40,"LG/5M")</f>
        <v>3</v>
      </c>
      <c r="Y13" s="17">
        <f>COUNTIF('1705'!$Z$4:$Z$40,"5M/LG")</f>
        <v>3</v>
      </c>
      <c r="Z13" s="128"/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0.3</v>
      </c>
      <c r="AF13" s="61">
        <f>'2404'!AC12+'2604'!AC12+'0205'!AC12+'0305'!AC12+'0805'!AC12+'0905'!AC12+'1005'!AC12+'1505'!AC12+'1605'!AC12+'1705'!AC12+'2205'!AC12</f>
        <v>1</v>
      </c>
      <c r="AG13" s="101">
        <f>Table2[[#This Row],[Finishes]]/($AE$2-Table2[[#This Row],[DNP]])</f>
        <v>0.1</v>
      </c>
      <c r="AH13" s="61">
        <f>'2404'!AD12+'2604'!AD12+'0205'!AD12+'0305'!AD12+'0805'!AD12+'0905'!AD12+'1005'!AD12+'1505'!AD12+'1605'!AD12+'1705'!AD12+'2205'!AD12</f>
        <v>2</v>
      </c>
      <c r="AI13" s="101">
        <f>Table2[[#This Row],[Midranges]]/($AE$2-Table2[[#This Row],[DNP]])</f>
        <v>0.2</v>
      </c>
      <c r="AJ13" s="61">
        <f>'2404'!AE12+'2604'!AE12+'0205'!AE12+'0305'!AE12+'0805'!AE12+'0905'!AE12+'1005'!AE12+'1505'!AE12+'1605'!AE12+'1705'!AE12+'2205'!AE12</f>
        <v>0</v>
      </c>
      <c r="AK13" s="62">
        <f>Table2[[#This Row],[Threes]]/($AE$2-Table2[[#This Row],[DNP]])</f>
        <v>0</v>
      </c>
      <c r="AL13" s="89">
        <f>'Stats Global'!Z17</f>
        <v>0</v>
      </c>
      <c r="AN13" s="41">
        <f>'Stats Global'!R17-Table2[[#This Row],[Avg P]]</f>
        <v>0.5</v>
      </c>
      <c r="AO13" s="55">
        <f>Table2[[#This Row],[Avg P]]/(Table2[[#This Row],[Avg P]]+AN13)</f>
        <v>0.37499999999999994</v>
      </c>
    </row>
    <row r="14" spans="1:41" ht="14.35" customHeight="1" x14ac:dyDescent="0.45">
      <c r="A14" s="4">
        <f>'2205'!$C$2</f>
        <v>45068</v>
      </c>
      <c r="B14" s="16">
        <f>'2205'!$L$3</f>
        <v>0</v>
      </c>
      <c r="C14" s="16">
        <f>'2205'!$M$3</f>
        <v>0</v>
      </c>
      <c r="D14" s="16" t="e">
        <f>'2205'!$O$3</f>
        <v>#DIV/0!</v>
      </c>
      <c r="L14" s="128"/>
      <c r="M14" s="128"/>
      <c r="N14" s="128"/>
      <c r="O14" s="128"/>
      <c r="P14" s="128"/>
      <c r="Q14" s="128"/>
      <c r="S14" s="17">
        <f>COUNTIF('2205'!$X$4:$X$40,"LG/WW")</f>
        <v>0</v>
      </c>
      <c r="T14" s="17">
        <f>COUNTIF('2205'!$Y$4:$Y$40,"WW/LG")</f>
        <v>0</v>
      </c>
      <c r="U14" s="128"/>
      <c r="V14" s="128"/>
      <c r="X14" s="17">
        <f>COUNTIF('2205'!$X$4:$X$40,"LG/5M")</f>
        <v>0</v>
      </c>
      <c r="Y14" s="17">
        <f>COUNTIF('2205'!$Z$4:$Z$40,"5M/LG")</f>
        <v>0</v>
      </c>
      <c r="Z14" s="128"/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0.5</v>
      </c>
      <c r="AF14" s="89">
        <f>'2404'!AC13+'2604'!AC13+'0205'!AC13+'0305'!AC13+'0805'!AC13+'0905'!AC13+'1005'!AC13+'1505'!AC13+'1605'!AC13+'1705'!AC13+'2205'!AC13</f>
        <v>3</v>
      </c>
      <c r="AG14" s="102">
        <f>Table2[[#This Row],[Finishes]]/($AE$2-Table2[[#This Row],[DNP]])</f>
        <v>0.375</v>
      </c>
      <c r="AH14" s="89">
        <f>'2404'!AD13+'2604'!AD13+'0205'!AD13+'0305'!AD13+'0805'!AD13+'0905'!AD13+'1005'!AD13+'1505'!AD13+'1605'!AD13+'1705'!AD13+'2205'!AD13</f>
        <v>1</v>
      </c>
      <c r="AI14" s="102">
        <f>Table2[[#This Row],[Midranges]]/($AE$2-Table2[[#This Row],[DNP]])</f>
        <v>0.125</v>
      </c>
      <c r="AJ14" s="89">
        <f>'2404'!AE13+'2604'!AE13+'0205'!AE13+'0305'!AE13+'0805'!AE13+'0905'!AE13+'1005'!AE13+'1505'!AE13+'1605'!AE13+'1705'!AE13+'2205'!AE13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0.875</v>
      </c>
      <c r="AO14" s="55">
        <f>Table2[[#This Row],[Avg P]]/(Table2[[#This Row],[Avg P]]+AN14)</f>
        <v>0.36363636363636365</v>
      </c>
    </row>
    <row r="15" spans="1:41" ht="14.35" customHeight="1" x14ac:dyDescent="0.45">
      <c r="A15" s="4"/>
      <c r="B15" s="16"/>
      <c r="C15" s="16"/>
      <c r="D15" s="16"/>
      <c r="L15" s="128"/>
      <c r="M15" s="128"/>
      <c r="N15" s="128"/>
      <c r="O15" s="128"/>
      <c r="P15" s="128"/>
      <c r="Q15" s="128"/>
      <c r="S15" s="17"/>
      <c r="T15" s="17"/>
      <c r="U15" s="128"/>
      <c r="V15" s="128"/>
      <c r="X15" s="17"/>
      <c r="Y15" s="17"/>
      <c r="Z15" s="128"/>
      <c r="AA15" s="128"/>
      <c r="AC15" s="114" t="s">
        <v>69</v>
      </c>
      <c r="AD15" s="120">
        <f>Table2[[#This Row],[Finishes]]+Table2[[#This Row],[Midranges]]+Table2[[#This Row],[Threes]]+Table2[[#This Row],[Threes]]</f>
        <v>4</v>
      </c>
      <c r="AE15" s="116">
        <f>Table2[[#This Row],[Points]]/($AE$2-Table2[[#This Row],[DNP]])</f>
        <v>0.4</v>
      </c>
      <c r="AF15" s="120">
        <f>'2404'!AC14+'2604'!AC14+'0205'!AC14+'0305'!AC14+'0805'!AC14+'0905'!AC14+'1005'!AC14+'1505'!AC14+'1605'!AC14+'1705'!AC14+'2205'!AC14</f>
        <v>3</v>
      </c>
      <c r="AG15" s="121">
        <f>Table2[[#This Row],[Finishes]]/($AE$2-Table2[[#This Row],[DNP]])</f>
        <v>0.3</v>
      </c>
      <c r="AH15" s="120">
        <f>'2404'!AD14+'2604'!AD14+'0205'!AD14+'0305'!AD14+'0805'!AD14+'0905'!AD14+'1005'!AD14+'1505'!AD14+'1605'!AD14+'1705'!AD14+'2205'!AD14</f>
        <v>1</v>
      </c>
      <c r="AI15" s="121">
        <f>Table2[[#This Row],[Midranges]]/($AE$2-Table2[[#This Row],[DNP]])</f>
        <v>0.1</v>
      </c>
      <c r="AJ15" s="120">
        <f>'2404'!AE14+'2604'!AE14+'0205'!AE14+'0305'!AE14+'0805'!AE14+'0905'!AE14+'1005'!AE14+'1505'!AE14+'1605'!AE14+'1705'!AE14+'2205'!AE14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0.5</v>
      </c>
      <c r="AO15" s="123">
        <f>Table2[[#This Row],[Avg P]]/(Table2[[#This Row],[Avg P]]+AN15)</f>
        <v>0.44444444444444448</v>
      </c>
    </row>
    <row r="16" spans="1:41" ht="14.3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Q16" s="128"/>
      <c r="S16" s="17"/>
      <c r="T16" s="17"/>
      <c r="U16" s="128"/>
      <c r="V16" s="128"/>
      <c r="X16" s="17"/>
      <c r="Y16" s="17"/>
      <c r="Z16" s="128"/>
      <c r="AA16" s="128"/>
      <c r="AC16" s="114" t="s">
        <v>72</v>
      </c>
      <c r="AD16" s="120">
        <f>Table2[[#This Row],[Finishes]]+Table2[[#This Row],[Midranges]]+Table2[[#This Row],[Threes]]+Table2[[#This Row],[Threes]]</f>
        <v>9</v>
      </c>
      <c r="AE16" s="116">
        <f>Table2[[#This Row],[Points]]/($AE$2-Table2[[#This Row],[DNP]])</f>
        <v>1.2857142857142858</v>
      </c>
      <c r="AF16" s="120">
        <f>'2404'!AC15+'2604'!AC15+'0205'!AC15+'0305'!AC15+'0805'!AC15+'0905'!AC15+'1005'!AC15+'1505'!AC15+'1605'!AC15+'1705'!AC15+'2205'!AC15</f>
        <v>7</v>
      </c>
      <c r="AG16" s="121">
        <f>Table2[[#This Row],[Finishes]]/($AE$2-Table2[[#This Row],[DNP]])</f>
        <v>1</v>
      </c>
      <c r="AH16" s="120">
        <f>'2404'!AD15+'2604'!AD15+'0205'!AD15+'0305'!AD15+'0805'!AD15+'0905'!AD15+'1005'!AD15+'1505'!AD15+'1605'!AD15+'1705'!AD15+'2205'!AD15</f>
        <v>0</v>
      </c>
      <c r="AI16" s="121">
        <f>Table2[[#This Row],[Midranges]]/($AE$2-Table2[[#This Row],[DNP]])</f>
        <v>0</v>
      </c>
      <c r="AJ16" s="120">
        <f>'2404'!AE15+'2604'!AE15+'0205'!AE15+'0305'!AE15+'0805'!AE15+'0905'!AE15+'1005'!AE15+'1505'!AE15+'1605'!AE15+'1705'!AE15+'2205'!AE15</f>
        <v>1</v>
      </c>
      <c r="AK16" s="122">
        <f>Table2[[#This Row],[Threes]]/($AE$2-Table2[[#This Row],[DNP]])</f>
        <v>0.14285714285714285</v>
      </c>
      <c r="AL16" s="120">
        <f>'Stats Global'!Z20</f>
        <v>3</v>
      </c>
      <c r="AN16" s="121">
        <f>'Stats Global'!R20-Table2[[#This Row],[Avg P]]</f>
        <v>1.1428571428571426</v>
      </c>
      <c r="AO16" s="123">
        <f>Table2[[#This Row],[Avg P]]/(Table2[[#This Row],[Avg P]]+AN16)</f>
        <v>0.52941176470588247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0.1</v>
      </c>
      <c r="AF17" s="89">
        <f>'2404'!AC16+'2604'!AC16+'0205'!AC16+'0305'!AC16+'0805'!AC16+'0905'!AC16+'1005'!AC16+'1505'!AC16+'1605'!AC16+'1705'!AC16+'2205'!AC16</f>
        <v>1</v>
      </c>
      <c r="AG17" s="102">
        <f>Table2[[#This Row],[Finishes]]/($AE$2-Table2[[#This Row],[DNP]])</f>
        <v>0.1</v>
      </c>
      <c r="AH17" s="89">
        <f>'2404'!AD16+'2604'!AD16+'0205'!AD16+'0305'!AD16+'0805'!AD16+'0905'!AD16+'1005'!AD16+'1505'!AD16+'1605'!AD16+'1705'!AD16+'2205'!AD16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0.1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2</v>
      </c>
      <c r="AE18" s="116">
        <f>Table2[[#This Row],[Points]]/($AE$2-Table2[[#This Row],[DNP]])</f>
        <v>0.2</v>
      </c>
      <c r="AF18" s="120">
        <f>'2404'!AC17+'2604'!AC17+'0205'!AC17+'0305'!AC17+'0805'!AC17+'0905'!AC17+'1005'!AC17+'1505'!AC17+'1605'!AC17+'1705'!AC17+'2205'!AC17</f>
        <v>1</v>
      </c>
      <c r="AG18" s="121">
        <f>Table2[[#This Row],[Finishes]]/($AE$2-Table2[[#This Row],[DNP]])</f>
        <v>0.1</v>
      </c>
      <c r="AH18" s="120">
        <f>'2404'!AD17+'2604'!AD17+'0205'!AD17+'0305'!AD17+'0805'!AD17+'0905'!AD17+'1005'!AD17+'1505'!AD17+'1605'!AD17+'1705'!AD17+'2205'!AD17</f>
        <v>1</v>
      </c>
      <c r="AI18" s="121">
        <f>Table2[[#This Row],[Midranges]]/($AE$2-Table2[[#This Row],[DNP]])</f>
        <v>0.1</v>
      </c>
      <c r="AJ18" s="120">
        <f>'2404'!AE17+'2604'!AE17+'0205'!AE17+'0305'!AE17+'0805'!AE17+'0905'!AE17+'1005'!AE17+'1505'!AE17+'1605'!AE17+'1705'!AE17+'2205'!AE17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0.39999999999999997</v>
      </c>
      <c r="AO18" s="123">
        <f>Table2[[#This Row],[Avg P]]/(Table2[[#This Row],[Avg P]]+AN18)</f>
        <v>0.33333333333333337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0.3</v>
      </c>
      <c r="AF19" s="120">
        <f>'2404'!AC18+'2604'!AC18+'0205'!AC18+'0305'!AC18+'0805'!AC18+'0905'!AC18+'1005'!AC18+'1505'!AC18+'1605'!AC18+'1705'!AC18+'2205'!AC18</f>
        <v>3</v>
      </c>
      <c r="AG19" s="121">
        <f>Table2[[#This Row],[Finishes]]/($AE$2-Table2[[#This Row],[DNP]])</f>
        <v>0.3</v>
      </c>
      <c r="AH19" s="120">
        <f>'2404'!AD18+'2604'!AD18+'0205'!AD18+'0305'!AD18+'0805'!AD18+'0905'!AD18+'1005'!AD18+'1505'!AD18+'1605'!AD18+'1705'!AD18+'2205'!AD18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</f>
        <v>0</v>
      </c>
      <c r="AK19" s="122">
        <f>Table2[[#This Row],[Threes]]/($AE$2-Table2[[#This Row],[DNP]])</f>
        <v>0</v>
      </c>
      <c r="AL19" s="120">
        <f>'Stats Global'!Z23</f>
        <v>0</v>
      </c>
      <c r="AN19" s="121">
        <f>'Stats Global'!R23-Table2[[#This Row],[Avg P]]</f>
        <v>0.10000000000000003</v>
      </c>
      <c r="AO19" s="123">
        <f>Table2[[#This Row],[Avg P]]/(Table2[[#This Row],[Avg P]]+AN19)</f>
        <v>0.74999999999999989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184</v>
      </c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0">SUM(S4:S29)</f>
        <v>28</v>
      </c>
      <c r="T30" s="17">
        <f t="shared" si="0"/>
        <v>38</v>
      </c>
      <c r="U30" s="128"/>
      <c r="V30" s="128"/>
      <c r="X30" s="17">
        <f t="shared" ref="X30:Y30" si="1">SUM(X4:X29)</f>
        <v>32</v>
      </c>
      <c r="Y30" s="17">
        <f t="shared" si="1"/>
        <v>31</v>
      </c>
      <c r="Z30" s="128"/>
      <c r="AA30" s="128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0.42424242424242425</v>
      </c>
      <c r="X31" s="22">
        <f>X30/(Y30+X30)</f>
        <v>0.50793650793650791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"PartA":[60,69],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6.1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"PartB":[17,"Angus Walker",13,"Angus Walker",10,"William Kim",5,"Clarrie Jones"],</v>
      </c>
      <c r="R33" t="s">
        <v>197</v>
      </c>
      <c r="T33" s="42">
        <f>MAX('Stats Global'!Q14:Q15,'Stats Global'!Q19:Q20,'Stats Global'!Q22:Q23)</f>
        <v>17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3.1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"PartC":[6.1,3.1,1.7,0.6,5.5,6.3],</v>
      </c>
      <c r="R34" t="s">
        <v>198</v>
      </c>
      <c r="T34" s="42">
        <f>MAX('Stats Global'!S14:S15,'Stats Global'!S19:S20,'Stats Global'!S22:S23)</f>
        <v>13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1.7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"PartD":[28,38,42.4,32,31,50.8],</v>
      </c>
      <c r="R35" t="s">
        <v>199</v>
      </c>
      <c r="T35" s="42">
        <f>MAX('Stats Global'!U14:U15,'Stats Global'!U19:U20,'Stats Global'!U22:U23)</f>
        <v>10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0.6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5.5</v>
      </c>
    </row>
    <row r="37" spans="12:34" ht="14.25" customHeight="1" x14ac:dyDescent="0.45">
      <c r="V37">
        <f>ROUND(I4/COUNT(B4:B40),1)</f>
        <v>6.3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20" priority="1" operator="lessThan">
      <formula>0.3333</formula>
    </cfRule>
    <cfRule type="cellIs" dxfId="19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S15" sqref="S1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72</v>
      </c>
      <c r="I4" s="24">
        <f>SUM(C4:C30)</f>
        <v>64</v>
      </c>
      <c r="J4" s="24" t="e">
        <f>SUM(D4:D30)</f>
        <v>#DIV/0!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28"/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28"/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28"/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28"/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28"/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28"/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28"/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28"/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28"/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28"/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0</v>
      </c>
      <c r="C14" s="16">
        <f>'2205'!M$5</f>
        <v>0</v>
      </c>
      <c r="D14" s="16" t="e">
        <f>'2205'!O$5</f>
        <v>#DIV/0!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0</v>
      </c>
      <c r="T14" s="128"/>
      <c r="U14" s="128"/>
      <c r="V14" s="63"/>
      <c r="W14" s="87"/>
      <c r="X14" s="87"/>
    </row>
    <row r="15" spans="1:24" ht="14.25" customHeight="1" x14ac:dyDescent="0.45">
      <c r="A15" s="4"/>
      <c r="B15" s="16"/>
      <c r="C15" s="16"/>
      <c r="D15" s="16"/>
      <c r="L15" s="128"/>
      <c r="M15" s="128"/>
      <c r="N15" s="128"/>
      <c r="O15" s="128"/>
      <c r="P15" s="128"/>
      <c r="R15" s="17"/>
      <c r="S15" s="17"/>
      <c r="T15" s="128"/>
      <c r="U15" s="128"/>
      <c r="V15" s="63"/>
      <c r="W15" s="87"/>
      <c r="X15" s="87"/>
    </row>
    <row r="16" spans="1:24" ht="14.2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R16" s="17"/>
      <c r="S16" s="17"/>
      <c r="T16" s="128"/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0">SUM(R4:R29)</f>
        <v>34</v>
      </c>
      <c r="S30" s="17">
        <f t="shared" si="0"/>
        <v>36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0.48571428571428571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"PartA":[72,64],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6.8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"PartB":[36,"Rudy Hoschke",33,"Rudy Hoschke",12,"Michael Iffland",1,"Michael Iffland"],</v>
      </c>
      <c r="R33" s="40" t="s">
        <v>197</v>
      </c>
      <c r="T33" s="42">
        <f>MAX('Stats Global'!Q9,'Stats Global'!Q11:Q13,'Stats Global'!Q21)</f>
        <v>36</v>
      </c>
      <c r="U33" s="40" t="s">
        <v>44</v>
      </c>
      <c r="V33" s="64">
        <f>ROUND(SUM('Stats Global'!S9,'Stats Global'!S11:S13,'Stats Global'!S21)/COUNT(B4:B40),1)</f>
        <v>4.5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"PartC":[6.8,4.5,1.8,0.27,6.5,5.8],</v>
      </c>
      <c r="R34" s="40" t="s">
        <v>198</v>
      </c>
      <c r="T34" s="42">
        <f>MAX('Stats Global'!S9,'Stats Global'!S11:S13,'Stats Global'!S21)</f>
        <v>33</v>
      </c>
      <c r="U34" s="40" t="s">
        <v>44</v>
      </c>
      <c r="V34" s="64">
        <f>ROUND(SUM('Stats Global'!U9,'Stats Global'!U11:U13,'Stats Global'!U21)/COUNT(B4:B40),1)</f>
        <v>1.8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"PartD":[38,28,57.6,34,36,48.6],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0.27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6.5</v>
      </c>
    </row>
    <row r="37" spans="12:22" ht="14.25" customHeight="1" x14ac:dyDescent="0.45">
      <c r="V37" s="40">
        <f>ROUND(I4/COUNT(B4:B40),1)</f>
        <v>5.8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D44" sqref="D44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187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67</v>
      </c>
      <c r="H4" s="24">
        <f>SUM(C4:C30)</f>
        <v>66</v>
      </c>
      <c r="I4" s="24" t="e">
        <f>SUM(D4:D30)</f>
        <v>#DIV/0!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206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223</v>
      </c>
      <c r="F13" s="40" t="s">
        <v>212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0</v>
      </c>
      <c r="C14" s="16">
        <f>'2205'!M$4</f>
        <v>0</v>
      </c>
      <c r="D14" s="16" t="e">
        <f>'2205'!O$4</f>
        <v>#DIV/0!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/>
      <c r="B15" s="16"/>
      <c r="C15" s="16"/>
      <c r="D15" s="16"/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/>
      <c r="B16" s="16"/>
      <c r="C16" s="16"/>
      <c r="D16" s="16"/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"PartA":[67,66],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6.2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"PartB":[23,"Samuel McConaghy",18,"Alexander Galt",17,"Samuel McConaghy",1,"N/A"],</v>
      </c>
      <c r="Q33" s="40" t="s">
        <v>197</v>
      </c>
      <c r="S33" s="42">
        <f>MAX('Stats Global'!Q8,'Stats Global'!Q10,'Stats Global'!Q16:Q18)</f>
        <v>23</v>
      </c>
      <c r="T33" s="40" t="s">
        <v>60</v>
      </c>
      <c r="U33" s="64">
        <f>ROUND(SUM('Stats Global'!S8,'Stats Global'!S10,'Stats Global'!S16:S18)/COUNT(B4:B40),1)</f>
        <v>3.2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"PartC":[6.2,3.2,2.7,0.1,6.1,6],</v>
      </c>
      <c r="Q34" s="40" t="s">
        <v>198</v>
      </c>
      <c r="S34" s="42">
        <f>MAX('Stats Global'!S8,'Stats Global'!S10,'Stats Global'!S16:S18)</f>
        <v>18</v>
      </c>
      <c r="T34" s="40" t="s">
        <v>38</v>
      </c>
      <c r="U34" s="64">
        <f>ROUND(SUM('Stats Global'!U8,'Stats Global'!U10,'Stats Global'!U16:U18)/COUNT(B4:B40),1)</f>
        <v>2.7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"PartD":[31,32,49.2,36,34,51.4],</v>
      </c>
      <c r="Q35" s="40" t="s">
        <v>199</v>
      </c>
      <c r="S35" s="42">
        <f>MAX('Stats Global'!U8,'Stats Global'!U10,'Stats Global'!U16:U18)</f>
        <v>17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6.1</v>
      </c>
    </row>
    <row r="37" spans="11:21" ht="14.25" customHeight="1" x14ac:dyDescent="0.45">
      <c r="U37" s="40">
        <f>ROUND(H4/COUNT(B4:B40),1)</f>
        <v>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3" t="s">
        <v>159</v>
      </c>
      <c r="R41" s="133"/>
      <c r="S41" s="13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3"/>
      <c r="R42" s="133"/>
      <c r="S42" s="13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B4" sqref="B4:I1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0</v>
      </c>
      <c r="M3" s="24">
        <f>COUNTIF(D3:D40,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/>
      <c r="C4" s="53"/>
      <c r="D4" s="53"/>
      <c r="E4" s="53"/>
      <c r="F4" s="53"/>
      <c r="G4" s="53"/>
      <c r="H4" s="53"/>
      <c r="I4" s="53"/>
      <c r="K4" s="24" t="s">
        <v>134</v>
      </c>
      <c r="L4" s="24">
        <f>COUNTIF(C3:C40, "5 Musketeers")</f>
        <v>0</v>
      </c>
      <c r="M4" s="24">
        <f>COUNTIF(D3:D40, "5 Musketeers")</f>
        <v>0</v>
      </c>
      <c r="N4" s="23" t="e">
        <f t="shared" ref="N4:N5" si="4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/>
      <c r="C5" s="53"/>
      <c r="D5" s="53"/>
      <c r="E5" s="53"/>
      <c r="F5" s="53"/>
      <c r="G5" s="53"/>
      <c r="H5" s="53"/>
      <c r="I5" s="53"/>
      <c r="K5" s="24" t="s">
        <v>133</v>
      </c>
      <c r="L5" s="24">
        <f>COUNTIF(C3:C40, "Wet Willies")</f>
        <v>0</v>
      </c>
      <c r="M5" s="24">
        <f>COUNTIF(D3:D40, "Wet Willies")</f>
        <v>0</v>
      </c>
      <c r="N5" s="23" t="e">
        <f t="shared" si="4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/>
      <c r="C6" s="53"/>
      <c r="D6" s="53"/>
      <c r="E6" s="53"/>
      <c r="F6" s="53"/>
      <c r="G6" s="53"/>
      <c r="H6" s="53"/>
      <c r="I6" s="53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/>
      <c r="C7" s="53"/>
      <c r="D7" s="53"/>
      <c r="E7" s="53"/>
      <c r="F7" s="53"/>
      <c r="G7" s="53"/>
      <c r="H7" s="53"/>
      <c r="I7" s="53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/>
      <c r="C8" s="53"/>
      <c r="D8" s="53"/>
      <c r="E8" s="53"/>
      <c r="F8" s="53"/>
      <c r="G8" s="53"/>
      <c r="H8" s="53"/>
      <c r="I8" s="53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/>
      <c r="C9" s="53"/>
      <c r="D9" s="53"/>
      <c r="E9" s="53"/>
      <c r="F9" s="53"/>
      <c r="G9" s="53"/>
      <c r="H9" s="53"/>
      <c r="I9" s="53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/>
      <c r="C10" s="53"/>
      <c r="D10" s="53"/>
      <c r="E10" s="53"/>
      <c r="F10" s="53"/>
      <c r="G10" s="53"/>
      <c r="H10" s="53"/>
      <c r="I10" s="53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/>
      <c r="C11" s="53"/>
      <c r="D11" s="53"/>
      <c r="E11" s="53"/>
      <c r="F11" s="53"/>
      <c r="G11" s="53"/>
      <c r="H11" s="53"/>
      <c r="I11" s="53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2023-05-21T09:51:26Z</dcterms:modified>
</cp:coreProperties>
</file>