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5D17270B-3E6F-4710-8142-B5FD2580E799}" xr6:coauthVersionLast="47" xr6:coauthVersionMax="47" xr10:uidLastSave="{00000000-0000-0000-0000-000000000000}"/>
  <bookViews>
    <workbookView xWindow="-98" yWindow="-98" windowWidth="22695" windowHeight="14595" activeTab="2" xr2:uid="{9CA52F10-A8DE-413C-A178-2430F032102C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  <sheet name="1705" sheetId="18" r:id="rId17"/>
    <sheet name="2205" sheetId="19" r:id="rId18"/>
    <sheet name="2305" sheetId="20" r:id="rId19"/>
    <sheet name="2405" sheetId="21" r:id="rId20"/>
    <sheet name="Finals 1" sheetId="22" r:id="rId21"/>
    <sheet name="Finals 2" sheetId="23" r:id="rId22"/>
    <sheet name="Finals 3" sheetId="25" r:id="rId23"/>
    <sheet name="Finals 4" sheetId="26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6" l="1"/>
  <c r="C20" i="6"/>
  <c r="B20" i="6"/>
  <c r="A20" i="6"/>
  <c r="D20" i="5"/>
  <c r="C20" i="5"/>
  <c r="B20" i="5"/>
  <c r="A20" i="5"/>
  <c r="D20" i="4"/>
  <c r="C20" i="4"/>
  <c r="B20" i="4"/>
  <c r="A20" i="4"/>
  <c r="AB68" i="3"/>
  <c r="AC68" i="3" s="1"/>
  <c r="AD68" i="3"/>
  <c r="AE68" i="3" s="1"/>
  <c r="AF68" i="3"/>
  <c r="AG68" i="3" s="1"/>
  <c r="AH68" i="3"/>
  <c r="AB69" i="3"/>
  <c r="AC69" i="3" s="1"/>
  <c r="AD69" i="3"/>
  <c r="AE69" i="3"/>
  <c r="AF69" i="3"/>
  <c r="AG69" i="3"/>
  <c r="AH69" i="3"/>
  <c r="AB70" i="3"/>
  <c r="AC70" i="3"/>
  <c r="AD70" i="3"/>
  <c r="AE70" i="3" s="1"/>
  <c r="AF70" i="3"/>
  <c r="AG70" i="3" s="1"/>
  <c r="AH70" i="3"/>
  <c r="AB71" i="3"/>
  <c r="AC71" i="3" s="1"/>
  <c r="AD71" i="3"/>
  <c r="AE71" i="3" s="1"/>
  <c r="AF71" i="3"/>
  <c r="AG71" i="3"/>
  <c r="AH71" i="3"/>
  <c r="AB72" i="3"/>
  <c r="AC72" i="3" s="1"/>
  <c r="AD72" i="3"/>
  <c r="AE72" i="3"/>
  <c r="AF72" i="3"/>
  <c r="AG72" i="3" s="1"/>
  <c r="AH72" i="3"/>
  <c r="AI72" i="3" s="1"/>
  <c r="AB73" i="3"/>
  <c r="AC73" i="3"/>
  <c r="AD73" i="3"/>
  <c r="AE73" i="3" s="1"/>
  <c r="AF73" i="3"/>
  <c r="AG73" i="3" s="1"/>
  <c r="AH73" i="3"/>
  <c r="AB74" i="3"/>
  <c r="AN11" i="4" s="1"/>
  <c r="AD74" i="3"/>
  <c r="AE74" i="3" s="1"/>
  <c r="AF74" i="3"/>
  <c r="AG74" i="3"/>
  <c r="AH74" i="3"/>
  <c r="AI74" i="3" s="1"/>
  <c r="AB75" i="3"/>
  <c r="AC75" i="3"/>
  <c r="AD75" i="3"/>
  <c r="AE75" i="3"/>
  <c r="AF75" i="3"/>
  <c r="AG75" i="3" s="1"/>
  <c r="AH75" i="3"/>
  <c r="AB76" i="3"/>
  <c r="AC76" i="3" s="1"/>
  <c r="AD76" i="3"/>
  <c r="AE76" i="3" s="1"/>
  <c r="AF76" i="3"/>
  <c r="AG76" i="3" s="1"/>
  <c r="AH76" i="3"/>
  <c r="AB77" i="3"/>
  <c r="AC77" i="3" s="1"/>
  <c r="AD77" i="3"/>
  <c r="AE77" i="3"/>
  <c r="AF77" i="3"/>
  <c r="AG77" i="3"/>
  <c r="AH77" i="3"/>
  <c r="AB78" i="3"/>
  <c r="AC78" i="3"/>
  <c r="AD78" i="3"/>
  <c r="AE78" i="3" s="1"/>
  <c r="AF78" i="3"/>
  <c r="AG78" i="3" s="1"/>
  <c r="AH78" i="3"/>
  <c r="AB79" i="3"/>
  <c r="AC79" i="3" s="1"/>
  <c r="AD79" i="3"/>
  <c r="AE79" i="3" s="1"/>
  <c r="AF79" i="3"/>
  <c r="AG79" i="3"/>
  <c r="AH79" i="3"/>
  <c r="AB80" i="3"/>
  <c r="AC80" i="3" s="1"/>
  <c r="AD80" i="3"/>
  <c r="AE80" i="3"/>
  <c r="AF80" i="3"/>
  <c r="AG80" i="3" s="1"/>
  <c r="AH80" i="3"/>
  <c r="AB81" i="3"/>
  <c r="AC81" i="3"/>
  <c r="AD81" i="3"/>
  <c r="AE81" i="3" s="1"/>
  <c r="AF81" i="3"/>
  <c r="AG81" i="3" s="1"/>
  <c r="AH81" i="3"/>
  <c r="AI81" i="3" s="1"/>
  <c r="AB82" i="3"/>
  <c r="AC82" i="3" s="1"/>
  <c r="AD82" i="3"/>
  <c r="AE82" i="3" s="1"/>
  <c r="AF82" i="3"/>
  <c r="AG82" i="3"/>
  <c r="AH82" i="3"/>
  <c r="AH67" i="3"/>
  <c r="AF67" i="3"/>
  <c r="AG67" i="3" s="1"/>
  <c r="AD67" i="3"/>
  <c r="AB67" i="3"/>
  <c r="AN4" i="4" s="1"/>
  <c r="R43" i="26"/>
  <c r="AA39" i="26"/>
  <c r="Z39" i="26"/>
  <c r="Y39" i="26"/>
  <c r="AA38" i="26"/>
  <c r="Z38" i="26"/>
  <c r="Y38" i="26"/>
  <c r="AA37" i="26"/>
  <c r="Z37" i="26"/>
  <c r="Y37" i="26"/>
  <c r="AA36" i="26"/>
  <c r="Z36" i="26"/>
  <c r="Y36" i="26"/>
  <c r="AA35" i="26"/>
  <c r="Z35" i="26"/>
  <c r="Y35" i="26"/>
  <c r="AA34" i="26"/>
  <c r="Z34" i="26"/>
  <c r="Y34" i="26"/>
  <c r="AA33" i="26"/>
  <c r="Z33" i="26"/>
  <c r="Y33" i="26"/>
  <c r="AA32" i="26"/>
  <c r="Z32" i="26"/>
  <c r="Y32" i="26"/>
  <c r="AA31" i="26"/>
  <c r="Z31" i="26"/>
  <c r="Y31" i="26"/>
  <c r="AA30" i="26"/>
  <c r="Z30" i="26"/>
  <c r="Y30" i="26"/>
  <c r="AA29" i="26"/>
  <c r="Z29" i="26"/>
  <c r="Y29" i="26"/>
  <c r="AA28" i="26"/>
  <c r="Z28" i="26"/>
  <c r="Y28" i="26"/>
  <c r="AA27" i="26"/>
  <c r="Z27" i="26"/>
  <c r="Y27" i="26"/>
  <c r="AA26" i="26"/>
  <c r="Z26" i="26"/>
  <c r="Y26" i="26"/>
  <c r="AA25" i="26"/>
  <c r="Z25" i="26"/>
  <c r="Y25" i="26"/>
  <c r="AA24" i="26"/>
  <c r="Z24" i="26"/>
  <c r="Y24" i="26"/>
  <c r="AA23" i="26"/>
  <c r="Z23" i="26"/>
  <c r="Y23" i="26"/>
  <c r="AA22" i="26"/>
  <c r="Z22" i="26"/>
  <c r="Y22" i="26"/>
  <c r="AA21" i="26"/>
  <c r="Z21" i="26"/>
  <c r="Y21" i="26"/>
  <c r="AA20" i="26"/>
  <c r="Z20" i="26"/>
  <c r="Y20" i="26"/>
  <c r="AA19" i="26"/>
  <c r="Z19" i="26"/>
  <c r="Y19" i="26"/>
  <c r="AF18" i="26"/>
  <c r="AE18" i="26"/>
  <c r="AD18" i="26"/>
  <c r="AA18" i="26"/>
  <c r="Z18" i="26"/>
  <c r="Y18" i="26"/>
  <c r="V18" i="26"/>
  <c r="V38" i="26" s="1"/>
  <c r="U18" i="26"/>
  <c r="U38" i="26" s="1"/>
  <c r="T18" i="26"/>
  <c r="T38" i="26" s="1"/>
  <c r="AF17" i="26"/>
  <c r="AE17" i="26"/>
  <c r="AD17" i="26"/>
  <c r="AA17" i="26"/>
  <c r="Z17" i="26"/>
  <c r="Y17" i="26"/>
  <c r="V17" i="26"/>
  <c r="V37" i="26" s="1"/>
  <c r="U17" i="26"/>
  <c r="U37" i="26" s="1"/>
  <c r="T17" i="26"/>
  <c r="T37" i="26" s="1"/>
  <c r="AF16" i="26"/>
  <c r="AE16" i="26"/>
  <c r="AD16" i="26"/>
  <c r="AA16" i="26"/>
  <c r="Z16" i="26"/>
  <c r="Y16" i="26"/>
  <c r="V16" i="26"/>
  <c r="V36" i="26" s="1"/>
  <c r="U16" i="26"/>
  <c r="U36" i="26" s="1"/>
  <c r="T16" i="26"/>
  <c r="T36" i="26" s="1"/>
  <c r="AF15" i="26"/>
  <c r="AE15" i="26"/>
  <c r="AD15" i="26"/>
  <c r="AA15" i="26"/>
  <c r="Z15" i="26"/>
  <c r="Y15" i="26"/>
  <c r="V15" i="26"/>
  <c r="V35" i="26" s="1"/>
  <c r="U15" i="26"/>
  <c r="U35" i="26" s="1"/>
  <c r="T15" i="26"/>
  <c r="T35" i="26" s="1"/>
  <c r="AF14" i="26"/>
  <c r="AE14" i="26"/>
  <c r="AD14" i="26"/>
  <c r="AA14" i="26"/>
  <c r="Z14" i="26"/>
  <c r="Y14" i="26"/>
  <c r="V14" i="26"/>
  <c r="S14" i="26" s="1"/>
  <c r="S34" i="26" s="1"/>
  <c r="U14" i="26"/>
  <c r="U34" i="26" s="1"/>
  <c r="T14" i="26"/>
  <c r="T34" i="26" s="1"/>
  <c r="AF13" i="26"/>
  <c r="AE13" i="26"/>
  <c r="AD13" i="26"/>
  <c r="AA13" i="26"/>
  <c r="Z13" i="26"/>
  <c r="Y13" i="26"/>
  <c r="V13" i="26"/>
  <c r="V33" i="26" s="1"/>
  <c r="U13" i="26"/>
  <c r="U33" i="26" s="1"/>
  <c r="T13" i="26"/>
  <c r="T33" i="26" s="1"/>
  <c r="AF12" i="26"/>
  <c r="AE12" i="26"/>
  <c r="AD12" i="26"/>
  <c r="AA12" i="26"/>
  <c r="Z12" i="26"/>
  <c r="Y12" i="26"/>
  <c r="V12" i="26"/>
  <c r="S12" i="26" s="1"/>
  <c r="S32" i="26" s="1"/>
  <c r="U12" i="26"/>
  <c r="U32" i="26" s="1"/>
  <c r="T12" i="26"/>
  <c r="T32" i="26" s="1"/>
  <c r="AF11" i="26"/>
  <c r="AE11" i="26"/>
  <c r="AD11" i="26"/>
  <c r="AA11" i="26"/>
  <c r="Z11" i="26"/>
  <c r="Y11" i="26"/>
  <c r="V11" i="26"/>
  <c r="V31" i="26" s="1"/>
  <c r="U11" i="26"/>
  <c r="U31" i="26" s="1"/>
  <c r="T11" i="26"/>
  <c r="T31" i="26" s="1"/>
  <c r="S11" i="26"/>
  <c r="S31" i="26" s="1"/>
  <c r="AF10" i="26"/>
  <c r="AE10" i="26"/>
  <c r="AD10" i="26"/>
  <c r="AA10" i="26"/>
  <c r="Z10" i="26"/>
  <c r="Y10" i="26"/>
  <c r="V10" i="26"/>
  <c r="V30" i="26" s="1"/>
  <c r="U10" i="26"/>
  <c r="U30" i="26" s="1"/>
  <c r="T10" i="26"/>
  <c r="T30" i="26" s="1"/>
  <c r="AF9" i="26"/>
  <c r="AE9" i="26"/>
  <c r="AD9" i="26"/>
  <c r="AA9" i="26"/>
  <c r="Z9" i="26"/>
  <c r="Y9" i="26"/>
  <c r="V9" i="26"/>
  <c r="V29" i="26" s="1"/>
  <c r="U9" i="26"/>
  <c r="U29" i="26" s="1"/>
  <c r="T9" i="26"/>
  <c r="T29" i="26" s="1"/>
  <c r="AF8" i="26"/>
  <c r="AE8" i="26"/>
  <c r="AD8" i="26"/>
  <c r="AA8" i="26"/>
  <c r="Z8" i="26"/>
  <c r="Y8" i="26"/>
  <c r="V8" i="26"/>
  <c r="V28" i="26" s="1"/>
  <c r="U8" i="26"/>
  <c r="U28" i="26" s="1"/>
  <c r="T8" i="26"/>
  <c r="T28" i="26" s="1"/>
  <c r="AF7" i="26"/>
  <c r="AE7" i="26"/>
  <c r="AD7" i="26"/>
  <c r="AA7" i="26"/>
  <c r="Z7" i="26"/>
  <c r="Y7" i="26"/>
  <c r="V7" i="26"/>
  <c r="V27" i="26" s="1"/>
  <c r="U7" i="26"/>
  <c r="U27" i="26" s="1"/>
  <c r="T7" i="26"/>
  <c r="T27" i="26" s="1"/>
  <c r="AF6" i="26"/>
  <c r="AE6" i="26"/>
  <c r="AD6" i="26"/>
  <c r="AA6" i="26"/>
  <c r="Z6" i="26"/>
  <c r="Y6" i="26"/>
  <c r="V6" i="26"/>
  <c r="S6" i="26" s="1"/>
  <c r="S26" i="26" s="1"/>
  <c r="U6" i="26"/>
  <c r="U26" i="26" s="1"/>
  <c r="T6" i="26"/>
  <c r="T26" i="26" s="1"/>
  <c r="AF5" i="26"/>
  <c r="AE5" i="26"/>
  <c r="AD5" i="26"/>
  <c r="AA5" i="26"/>
  <c r="Z5" i="26"/>
  <c r="Y5" i="26"/>
  <c r="V5" i="26"/>
  <c r="V25" i="26" s="1"/>
  <c r="U5" i="26"/>
  <c r="U25" i="26" s="1"/>
  <c r="T5" i="26"/>
  <c r="T25" i="26" s="1"/>
  <c r="O5" i="26"/>
  <c r="AF4" i="26"/>
  <c r="AE4" i="26"/>
  <c r="AD4" i="26"/>
  <c r="AA4" i="26"/>
  <c r="Z4" i="26"/>
  <c r="Y4" i="26"/>
  <c r="V4" i="26"/>
  <c r="V24" i="26" s="1"/>
  <c r="U4" i="26"/>
  <c r="U24" i="26" s="1"/>
  <c r="T4" i="26"/>
  <c r="T24" i="26" s="1"/>
  <c r="O4" i="26"/>
  <c r="AF3" i="26"/>
  <c r="AE3" i="26"/>
  <c r="AD3" i="26"/>
  <c r="V3" i="26"/>
  <c r="V23" i="26" s="1"/>
  <c r="U3" i="26"/>
  <c r="U23" i="26" s="1"/>
  <c r="T3" i="26"/>
  <c r="T23" i="26" s="1"/>
  <c r="O3" i="26"/>
  <c r="D19" i="6"/>
  <c r="C19" i="6"/>
  <c r="B19" i="6"/>
  <c r="A19" i="6"/>
  <c r="D19" i="5"/>
  <c r="C19" i="5"/>
  <c r="B19" i="5"/>
  <c r="A19" i="5"/>
  <c r="D19" i="4"/>
  <c r="C19" i="4"/>
  <c r="B19" i="4"/>
  <c r="A19" i="4"/>
  <c r="AI68" i="3"/>
  <c r="AN7" i="4"/>
  <c r="AI76" i="3"/>
  <c r="AN15" i="4"/>
  <c r="AI67" i="3"/>
  <c r="R43" i="25"/>
  <c r="AA39" i="25"/>
  <c r="Z39" i="25"/>
  <c r="Y39" i="25"/>
  <c r="AA38" i="25"/>
  <c r="Z38" i="25"/>
  <c r="Y38" i="25"/>
  <c r="AA37" i="25"/>
  <c r="Z37" i="25"/>
  <c r="Y37" i="25"/>
  <c r="AA36" i="25"/>
  <c r="Z36" i="25"/>
  <c r="Y36" i="25"/>
  <c r="AA35" i="25"/>
  <c r="Z35" i="25"/>
  <c r="Y35" i="25"/>
  <c r="AA34" i="25"/>
  <c r="Z34" i="25"/>
  <c r="Y34" i="25"/>
  <c r="AA33" i="25"/>
  <c r="Z33" i="25"/>
  <c r="Y33" i="25"/>
  <c r="AA32" i="25"/>
  <c r="Z32" i="25"/>
  <c r="Y32" i="25"/>
  <c r="AA31" i="25"/>
  <c r="Z31" i="25"/>
  <c r="Y31" i="25"/>
  <c r="AA30" i="25"/>
  <c r="Z30" i="25"/>
  <c r="Y30" i="25"/>
  <c r="AA29" i="25"/>
  <c r="Z29" i="25"/>
  <c r="Y29" i="25"/>
  <c r="AA28" i="25"/>
  <c r="Z28" i="25"/>
  <c r="Y28" i="25"/>
  <c r="AA27" i="25"/>
  <c r="Z27" i="25"/>
  <c r="Y27" i="25"/>
  <c r="AA26" i="25"/>
  <c r="Z26" i="25"/>
  <c r="Y26" i="25"/>
  <c r="AA25" i="25"/>
  <c r="Z25" i="25"/>
  <c r="Y25" i="25"/>
  <c r="AA24" i="25"/>
  <c r="Z24" i="25"/>
  <c r="Y24" i="25"/>
  <c r="AA23" i="25"/>
  <c r="Z23" i="25"/>
  <c r="Y23" i="25"/>
  <c r="AA22" i="25"/>
  <c r="Z22" i="25"/>
  <c r="Y22" i="25"/>
  <c r="AA21" i="25"/>
  <c r="Z21" i="25"/>
  <c r="Y21" i="25"/>
  <c r="AA20" i="25"/>
  <c r="Z20" i="25"/>
  <c r="Y20" i="25"/>
  <c r="AA19" i="25"/>
  <c r="Z19" i="25"/>
  <c r="Y19" i="25"/>
  <c r="AF18" i="25"/>
  <c r="AE18" i="25"/>
  <c r="AD18" i="25"/>
  <c r="AA18" i="25"/>
  <c r="Z18" i="25"/>
  <c r="Y18" i="25"/>
  <c r="V18" i="25"/>
  <c r="V38" i="25" s="1"/>
  <c r="U18" i="25"/>
  <c r="U38" i="25" s="1"/>
  <c r="T18" i="25"/>
  <c r="T38" i="25" s="1"/>
  <c r="AF17" i="25"/>
  <c r="AE17" i="25"/>
  <c r="AD17" i="25"/>
  <c r="AA17" i="25"/>
  <c r="Z17" i="25"/>
  <c r="Y17" i="25"/>
  <c r="V17" i="25"/>
  <c r="V37" i="25" s="1"/>
  <c r="U17" i="25"/>
  <c r="U37" i="25" s="1"/>
  <c r="T17" i="25"/>
  <c r="T37" i="25" s="1"/>
  <c r="AF16" i="25"/>
  <c r="AE16" i="25"/>
  <c r="AD16" i="25"/>
  <c r="AA16" i="25"/>
  <c r="Z16" i="25"/>
  <c r="Y16" i="25"/>
  <c r="V16" i="25"/>
  <c r="V36" i="25" s="1"/>
  <c r="U16" i="25"/>
  <c r="U36" i="25" s="1"/>
  <c r="T16" i="25"/>
  <c r="T36" i="25" s="1"/>
  <c r="AF15" i="25"/>
  <c r="AE15" i="25"/>
  <c r="AD15" i="25"/>
  <c r="AA15" i="25"/>
  <c r="Z15" i="25"/>
  <c r="Y15" i="25"/>
  <c r="V15" i="25"/>
  <c r="V35" i="25" s="1"/>
  <c r="U15" i="25"/>
  <c r="U35" i="25" s="1"/>
  <c r="T15" i="25"/>
  <c r="T35" i="25" s="1"/>
  <c r="S15" i="25"/>
  <c r="S35" i="25" s="1"/>
  <c r="AF14" i="25"/>
  <c r="AE14" i="25"/>
  <c r="AD14" i="25"/>
  <c r="AA14" i="25"/>
  <c r="Z14" i="25"/>
  <c r="Y14" i="25"/>
  <c r="V14" i="25"/>
  <c r="V34" i="25" s="1"/>
  <c r="U14" i="25"/>
  <c r="U34" i="25" s="1"/>
  <c r="T14" i="25"/>
  <c r="T34" i="25" s="1"/>
  <c r="S14" i="25"/>
  <c r="S34" i="25" s="1"/>
  <c r="AF13" i="25"/>
  <c r="AE13" i="25"/>
  <c r="AD13" i="25"/>
  <c r="AA13" i="25"/>
  <c r="Z13" i="25"/>
  <c r="Y13" i="25"/>
  <c r="V13" i="25"/>
  <c r="V33" i="25" s="1"/>
  <c r="U13" i="25"/>
  <c r="U33" i="25" s="1"/>
  <c r="T13" i="25"/>
  <c r="T33" i="25" s="1"/>
  <c r="AF12" i="25"/>
  <c r="AE12" i="25"/>
  <c r="AD12" i="25"/>
  <c r="AA12" i="25"/>
  <c r="Z12" i="25"/>
  <c r="Y12" i="25"/>
  <c r="V12" i="25"/>
  <c r="V32" i="25" s="1"/>
  <c r="U12" i="25"/>
  <c r="U32" i="25" s="1"/>
  <c r="T12" i="25"/>
  <c r="T32" i="25" s="1"/>
  <c r="AF11" i="25"/>
  <c r="AE11" i="25"/>
  <c r="AD11" i="25"/>
  <c r="AA11" i="25"/>
  <c r="Z11" i="25"/>
  <c r="Y11" i="25"/>
  <c r="V11" i="25"/>
  <c r="V31" i="25" s="1"/>
  <c r="U11" i="25"/>
  <c r="U31" i="25" s="1"/>
  <c r="T11" i="25"/>
  <c r="T31" i="25" s="1"/>
  <c r="AF10" i="25"/>
  <c r="AE10" i="25"/>
  <c r="AD10" i="25"/>
  <c r="AA10" i="25"/>
  <c r="Z10" i="25"/>
  <c r="Y10" i="25"/>
  <c r="V10" i="25"/>
  <c r="V30" i="25" s="1"/>
  <c r="U10" i="25"/>
  <c r="U30" i="25" s="1"/>
  <c r="T10" i="25"/>
  <c r="T30" i="25" s="1"/>
  <c r="S10" i="25"/>
  <c r="S30" i="25" s="1"/>
  <c r="AF9" i="25"/>
  <c r="AE9" i="25"/>
  <c r="AD9" i="25"/>
  <c r="AA9" i="25"/>
  <c r="Z9" i="25"/>
  <c r="Y9" i="25"/>
  <c r="V9" i="25"/>
  <c r="V29" i="25" s="1"/>
  <c r="U9" i="25"/>
  <c r="U29" i="25" s="1"/>
  <c r="T9" i="25"/>
  <c r="T29" i="25" s="1"/>
  <c r="AF8" i="25"/>
  <c r="AE8" i="25"/>
  <c r="AD8" i="25"/>
  <c r="AA8" i="25"/>
  <c r="Z8" i="25"/>
  <c r="Y8" i="25"/>
  <c r="V8" i="25"/>
  <c r="V28" i="25" s="1"/>
  <c r="U8" i="25"/>
  <c r="U28" i="25" s="1"/>
  <c r="T8" i="25"/>
  <c r="T28" i="25" s="1"/>
  <c r="AF7" i="25"/>
  <c r="AE7" i="25"/>
  <c r="AD7" i="25"/>
  <c r="AA7" i="25"/>
  <c r="Z7" i="25"/>
  <c r="Y7" i="25"/>
  <c r="V7" i="25"/>
  <c r="V27" i="25" s="1"/>
  <c r="U7" i="25"/>
  <c r="U27" i="25" s="1"/>
  <c r="T7" i="25"/>
  <c r="T27" i="25" s="1"/>
  <c r="AF6" i="25"/>
  <c r="AE6" i="25"/>
  <c r="AD6" i="25"/>
  <c r="AA6" i="25"/>
  <c r="Z6" i="25"/>
  <c r="Y6" i="25"/>
  <c r="V6" i="25"/>
  <c r="V26" i="25" s="1"/>
  <c r="U6" i="25"/>
  <c r="U26" i="25" s="1"/>
  <c r="T6" i="25"/>
  <c r="T26" i="25" s="1"/>
  <c r="AF5" i="25"/>
  <c r="AE5" i="25"/>
  <c r="AD5" i="25"/>
  <c r="AA5" i="25"/>
  <c r="Z5" i="25"/>
  <c r="Y5" i="25"/>
  <c r="V5" i="25"/>
  <c r="V25" i="25" s="1"/>
  <c r="U5" i="25"/>
  <c r="U25" i="25" s="1"/>
  <c r="T5" i="25"/>
  <c r="T25" i="25" s="1"/>
  <c r="O5" i="25"/>
  <c r="AF4" i="25"/>
  <c r="AE4" i="25"/>
  <c r="AD4" i="25"/>
  <c r="AA4" i="25"/>
  <c r="Z4" i="25"/>
  <c r="Y4" i="25"/>
  <c r="V4" i="25"/>
  <c r="V24" i="25" s="1"/>
  <c r="U4" i="25"/>
  <c r="U24" i="25" s="1"/>
  <c r="T4" i="25"/>
  <c r="T24" i="25" s="1"/>
  <c r="S4" i="25"/>
  <c r="S24" i="25" s="1"/>
  <c r="O4" i="25"/>
  <c r="AF3" i="25"/>
  <c r="AE3" i="25"/>
  <c r="AD3" i="25"/>
  <c r="V3" i="25"/>
  <c r="V23" i="25" s="1"/>
  <c r="U3" i="25"/>
  <c r="U23" i="25" s="1"/>
  <c r="T3" i="25"/>
  <c r="T23" i="25" s="1"/>
  <c r="R45" i="25" s="1"/>
  <c r="S3" i="25"/>
  <c r="S23" i="25" s="1"/>
  <c r="O3" i="25"/>
  <c r="AN5" i="4"/>
  <c r="AN8" i="4"/>
  <c r="AN10" i="4"/>
  <c r="AN12" i="4"/>
  <c r="AN13" i="4"/>
  <c r="AN16" i="4"/>
  <c r="AN17" i="4"/>
  <c r="AN18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H4" i="4"/>
  <c r="AF4" i="4"/>
  <c r="K90" i="3"/>
  <c r="L90" i="3"/>
  <c r="L89" i="3"/>
  <c r="K89" i="3"/>
  <c r="I89" i="3"/>
  <c r="Q5" i="3"/>
  <c r="AE2" i="4" s="1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D18" i="6"/>
  <c r="D18" i="5"/>
  <c r="C18" i="6"/>
  <c r="B18" i="6"/>
  <c r="A18" i="6"/>
  <c r="C18" i="5"/>
  <c r="B18" i="5"/>
  <c r="A18" i="5"/>
  <c r="D18" i="4"/>
  <c r="C18" i="4"/>
  <c r="B18" i="4"/>
  <c r="A18" i="4"/>
  <c r="I90" i="3" s="1"/>
  <c r="AI69" i="3"/>
  <c r="AI70" i="3"/>
  <c r="AI71" i="3"/>
  <c r="AI73" i="3"/>
  <c r="AI77" i="3"/>
  <c r="AI78" i="3"/>
  <c r="AI79" i="3"/>
  <c r="AI80" i="3"/>
  <c r="AI82" i="3"/>
  <c r="R43" i="23"/>
  <c r="AA39" i="23"/>
  <c r="Z39" i="23"/>
  <c r="Y39" i="23"/>
  <c r="AA38" i="23"/>
  <c r="Z38" i="23"/>
  <c r="Y38" i="23"/>
  <c r="AA37" i="23"/>
  <c r="Z37" i="23"/>
  <c r="Y37" i="23"/>
  <c r="AA36" i="23"/>
  <c r="Z36" i="23"/>
  <c r="Y36" i="23"/>
  <c r="AA35" i="23"/>
  <c r="Z35" i="23"/>
  <c r="Y35" i="23"/>
  <c r="AA34" i="23"/>
  <c r="Z34" i="23"/>
  <c r="Y34" i="23"/>
  <c r="AA33" i="23"/>
  <c r="Z33" i="23"/>
  <c r="Y33" i="23"/>
  <c r="AA32" i="23"/>
  <c r="Z32" i="23"/>
  <c r="Y32" i="23"/>
  <c r="AA31" i="23"/>
  <c r="Z31" i="23"/>
  <c r="Y31" i="23"/>
  <c r="V31" i="23"/>
  <c r="U31" i="23"/>
  <c r="T31" i="23"/>
  <c r="S31" i="23"/>
  <c r="AA30" i="23"/>
  <c r="Z30" i="23"/>
  <c r="Y30" i="23"/>
  <c r="AA29" i="23"/>
  <c r="Z29" i="23"/>
  <c r="Y29" i="23"/>
  <c r="AA28" i="23"/>
  <c r="Z28" i="23"/>
  <c r="Y28" i="23"/>
  <c r="AA27" i="23"/>
  <c r="Z27" i="23"/>
  <c r="Y27" i="23"/>
  <c r="AA26" i="23"/>
  <c r="Z26" i="23"/>
  <c r="Y26" i="23"/>
  <c r="V26" i="23"/>
  <c r="U26" i="23"/>
  <c r="T26" i="23"/>
  <c r="S26" i="23"/>
  <c r="AA25" i="23"/>
  <c r="Z25" i="23"/>
  <c r="Y25" i="23"/>
  <c r="AA24" i="23"/>
  <c r="Z24" i="23"/>
  <c r="Y24" i="23"/>
  <c r="AA23" i="23"/>
  <c r="Z23" i="23"/>
  <c r="Y23" i="23"/>
  <c r="AA22" i="23"/>
  <c r="Z22" i="23"/>
  <c r="Y22" i="23"/>
  <c r="AA21" i="23"/>
  <c r="Z21" i="23"/>
  <c r="Y21" i="23"/>
  <c r="AA20" i="23"/>
  <c r="Z20" i="23"/>
  <c r="Y20" i="23"/>
  <c r="AA19" i="23"/>
  <c r="Z19" i="23"/>
  <c r="Y19" i="23"/>
  <c r="AF18" i="23"/>
  <c r="AE18" i="23"/>
  <c r="AD18" i="23"/>
  <c r="AA18" i="23"/>
  <c r="Z18" i="23"/>
  <c r="Y18" i="23"/>
  <c r="V18" i="23"/>
  <c r="V38" i="23" s="1"/>
  <c r="U18" i="23"/>
  <c r="U38" i="23" s="1"/>
  <c r="T18" i="23"/>
  <c r="T38" i="23" s="1"/>
  <c r="AF17" i="23"/>
  <c r="AE17" i="23"/>
  <c r="AD17" i="23"/>
  <c r="AA17" i="23"/>
  <c r="Z17" i="23"/>
  <c r="Y17" i="23"/>
  <c r="V17" i="23"/>
  <c r="V37" i="23" s="1"/>
  <c r="U17" i="23"/>
  <c r="U37" i="23" s="1"/>
  <c r="T17" i="23"/>
  <c r="T37" i="23" s="1"/>
  <c r="AF16" i="23"/>
  <c r="AE16" i="23"/>
  <c r="AD16" i="23"/>
  <c r="AA16" i="23"/>
  <c r="Z16" i="23"/>
  <c r="Y16" i="23"/>
  <c r="V16" i="23"/>
  <c r="V36" i="23" s="1"/>
  <c r="U16" i="23"/>
  <c r="U36" i="23" s="1"/>
  <c r="T16" i="23"/>
  <c r="T36" i="23" s="1"/>
  <c r="AF15" i="23"/>
  <c r="AE15" i="23"/>
  <c r="AD15" i="23"/>
  <c r="AA15" i="23"/>
  <c r="Z15" i="23"/>
  <c r="Y15" i="23"/>
  <c r="V15" i="23"/>
  <c r="V35" i="23" s="1"/>
  <c r="U15" i="23"/>
  <c r="U35" i="23" s="1"/>
  <c r="T15" i="23"/>
  <c r="T35" i="23" s="1"/>
  <c r="AF14" i="23"/>
  <c r="AE14" i="23"/>
  <c r="AD14" i="23"/>
  <c r="AA14" i="23"/>
  <c r="Z14" i="23"/>
  <c r="Y14" i="23"/>
  <c r="V14" i="23"/>
  <c r="S14" i="23" s="1"/>
  <c r="S34" i="23" s="1"/>
  <c r="U14" i="23"/>
  <c r="U34" i="23" s="1"/>
  <c r="T14" i="23"/>
  <c r="T34" i="23" s="1"/>
  <c r="AF13" i="23"/>
  <c r="AE13" i="23"/>
  <c r="AD13" i="23"/>
  <c r="AA13" i="23"/>
  <c r="Z13" i="23"/>
  <c r="Y13" i="23"/>
  <c r="V13" i="23"/>
  <c r="V33" i="23" s="1"/>
  <c r="U13" i="23"/>
  <c r="U33" i="23" s="1"/>
  <c r="T13" i="23"/>
  <c r="T33" i="23" s="1"/>
  <c r="AF12" i="23"/>
  <c r="AE12" i="23"/>
  <c r="AD12" i="23"/>
  <c r="AA12" i="23"/>
  <c r="Z12" i="23"/>
  <c r="Y12" i="23"/>
  <c r="V12" i="23"/>
  <c r="S12" i="23" s="1"/>
  <c r="S32" i="23" s="1"/>
  <c r="U12" i="23"/>
  <c r="U32" i="23" s="1"/>
  <c r="T12" i="23"/>
  <c r="T32" i="23" s="1"/>
  <c r="AF11" i="23"/>
  <c r="AE11" i="23"/>
  <c r="AD11" i="23"/>
  <c r="AA11" i="23"/>
  <c r="Z11" i="23"/>
  <c r="Y11" i="23"/>
  <c r="V11" i="23"/>
  <c r="S11" i="23" s="1"/>
  <c r="U11" i="23"/>
  <c r="T11" i="23"/>
  <c r="AF10" i="23"/>
  <c r="AE10" i="23"/>
  <c r="AD10" i="23"/>
  <c r="AA10" i="23"/>
  <c r="Z10" i="23"/>
  <c r="Y10" i="23"/>
  <c r="V10" i="23"/>
  <c r="V30" i="23" s="1"/>
  <c r="U10" i="23"/>
  <c r="U30" i="23" s="1"/>
  <c r="T10" i="23"/>
  <c r="T30" i="23" s="1"/>
  <c r="AF9" i="23"/>
  <c r="AE9" i="23"/>
  <c r="AD9" i="23"/>
  <c r="AA9" i="23"/>
  <c r="Z9" i="23"/>
  <c r="Y9" i="23"/>
  <c r="V9" i="23"/>
  <c r="V29" i="23" s="1"/>
  <c r="U9" i="23"/>
  <c r="U29" i="23" s="1"/>
  <c r="T9" i="23"/>
  <c r="T29" i="23" s="1"/>
  <c r="AF8" i="23"/>
  <c r="AE8" i="23"/>
  <c r="AD8" i="23"/>
  <c r="AA8" i="23"/>
  <c r="Z8" i="23"/>
  <c r="Y8" i="23"/>
  <c r="V8" i="23"/>
  <c r="V28" i="23" s="1"/>
  <c r="U8" i="23"/>
  <c r="U28" i="23" s="1"/>
  <c r="T8" i="23"/>
  <c r="T28" i="23" s="1"/>
  <c r="AF7" i="23"/>
  <c r="AE7" i="23"/>
  <c r="AD7" i="23"/>
  <c r="AA7" i="23"/>
  <c r="Z7" i="23"/>
  <c r="Y7" i="23"/>
  <c r="V7" i="23"/>
  <c r="V27" i="23" s="1"/>
  <c r="U7" i="23"/>
  <c r="U27" i="23" s="1"/>
  <c r="T7" i="23"/>
  <c r="T27" i="23" s="1"/>
  <c r="AF6" i="23"/>
  <c r="AE6" i="23"/>
  <c r="AD6" i="23"/>
  <c r="AA6" i="23"/>
  <c r="Z6" i="23"/>
  <c r="Y6" i="23"/>
  <c r="V6" i="23"/>
  <c r="S6" i="23" s="1"/>
  <c r="U6" i="23"/>
  <c r="T6" i="23"/>
  <c r="AF5" i="23"/>
  <c r="AE5" i="23"/>
  <c r="AD5" i="23"/>
  <c r="AA5" i="23"/>
  <c r="Z5" i="23"/>
  <c r="Y5" i="23"/>
  <c r="V5" i="23"/>
  <c r="V25" i="23" s="1"/>
  <c r="U5" i="23"/>
  <c r="U25" i="23" s="1"/>
  <c r="T5" i="23"/>
  <c r="T25" i="23" s="1"/>
  <c r="O5" i="23"/>
  <c r="AF4" i="23"/>
  <c r="AE4" i="23"/>
  <c r="AD4" i="23"/>
  <c r="AA4" i="23"/>
  <c r="Z4" i="23"/>
  <c r="Y4" i="23"/>
  <c r="V4" i="23"/>
  <c r="S4" i="23" s="1"/>
  <c r="S24" i="23" s="1"/>
  <c r="U4" i="23"/>
  <c r="U24" i="23" s="1"/>
  <c r="T4" i="23"/>
  <c r="T24" i="23" s="1"/>
  <c r="O4" i="23"/>
  <c r="AF3" i="23"/>
  <c r="AE3" i="23"/>
  <c r="AD3" i="23"/>
  <c r="V3" i="23"/>
  <c r="S3" i="23" s="1"/>
  <c r="S23" i="23" s="1"/>
  <c r="U3" i="23"/>
  <c r="U23" i="23" s="1"/>
  <c r="T3" i="23"/>
  <c r="T23" i="23" s="1"/>
  <c r="O3" i="2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D17" i="6"/>
  <c r="C17" i="6"/>
  <c r="B17" i="6"/>
  <c r="A17" i="6"/>
  <c r="R17" i="5"/>
  <c r="D17" i="5"/>
  <c r="C17" i="5"/>
  <c r="B17" i="5"/>
  <c r="A17" i="5"/>
  <c r="T17" i="4"/>
  <c r="D17" i="4"/>
  <c r="C17" i="4"/>
  <c r="B17" i="4"/>
  <c r="A17" i="4"/>
  <c r="R43" i="22"/>
  <c r="AA39" i="22"/>
  <c r="Z39" i="22"/>
  <c r="Y39" i="22"/>
  <c r="AA38" i="22"/>
  <c r="Z38" i="22"/>
  <c r="Y38" i="22"/>
  <c r="AA37" i="22"/>
  <c r="Z37" i="22"/>
  <c r="Y37" i="22"/>
  <c r="AA36" i="22"/>
  <c r="Z36" i="22"/>
  <c r="Y36" i="22"/>
  <c r="AA35" i="22"/>
  <c r="Z35" i="22"/>
  <c r="Y35" i="22"/>
  <c r="AA34" i="22"/>
  <c r="Z34" i="22"/>
  <c r="Y34" i="22"/>
  <c r="AA33" i="22"/>
  <c r="Z33" i="22"/>
  <c r="Y33" i="22"/>
  <c r="AA32" i="22"/>
  <c r="Z32" i="22"/>
  <c r="Y32" i="22"/>
  <c r="AA31" i="22"/>
  <c r="Z31" i="22"/>
  <c r="Y31" i="22"/>
  <c r="AA30" i="22"/>
  <c r="Z30" i="22"/>
  <c r="Y30" i="22"/>
  <c r="AA29" i="22"/>
  <c r="Z29" i="22"/>
  <c r="Y29" i="22"/>
  <c r="AA28" i="22"/>
  <c r="Z28" i="22"/>
  <c r="Y28" i="22"/>
  <c r="AA27" i="22"/>
  <c r="Z27" i="22"/>
  <c r="Y27" i="22"/>
  <c r="AA26" i="22"/>
  <c r="Z26" i="22"/>
  <c r="Y26" i="22"/>
  <c r="AA25" i="22"/>
  <c r="Z25" i="22"/>
  <c r="Y25" i="22"/>
  <c r="AA24" i="22"/>
  <c r="Z24" i="22"/>
  <c r="Y24" i="22"/>
  <c r="AA23" i="22"/>
  <c r="Z23" i="22"/>
  <c r="Y23" i="22"/>
  <c r="AA22" i="22"/>
  <c r="Z22" i="22"/>
  <c r="Y22" i="22"/>
  <c r="AA21" i="22"/>
  <c r="Z21" i="22"/>
  <c r="Y21" i="22"/>
  <c r="AA20" i="22"/>
  <c r="Z20" i="22"/>
  <c r="Y20" i="22"/>
  <c r="AA19" i="22"/>
  <c r="Z19" i="22"/>
  <c r="Y19" i="22"/>
  <c r="AF18" i="22"/>
  <c r="AE18" i="22"/>
  <c r="AD18" i="22"/>
  <c r="AA18" i="22"/>
  <c r="Z18" i="22"/>
  <c r="Y18" i="22"/>
  <c r="V18" i="22"/>
  <c r="V38" i="22" s="1"/>
  <c r="U18" i="22"/>
  <c r="U38" i="22" s="1"/>
  <c r="T18" i="22"/>
  <c r="T38" i="22" s="1"/>
  <c r="AF17" i="22"/>
  <c r="AE17" i="22"/>
  <c r="AD17" i="22"/>
  <c r="AA17" i="22"/>
  <c r="Z17" i="22"/>
  <c r="Y17" i="22"/>
  <c r="V17" i="22"/>
  <c r="V37" i="22" s="1"/>
  <c r="U17" i="22"/>
  <c r="U37" i="22" s="1"/>
  <c r="T17" i="22"/>
  <c r="T37" i="22" s="1"/>
  <c r="AF16" i="22"/>
  <c r="AE16" i="22"/>
  <c r="AD16" i="22"/>
  <c r="AA16" i="22"/>
  <c r="Z16" i="22"/>
  <c r="Y16" i="22"/>
  <c r="V16" i="22"/>
  <c r="V36" i="22" s="1"/>
  <c r="U16" i="22"/>
  <c r="U36" i="22" s="1"/>
  <c r="T16" i="22"/>
  <c r="T36" i="22" s="1"/>
  <c r="AF15" i="22"/>
  <c r="AE15" i="22"/>
  <c r="AD15" i="22"/>
  <c r="AA15" i="22"/>
  <c r="Z15" i="22"/>
  <c r="Y15" i="22"/>
  <c r="V15" i="22"/>
  <c r="V35" i="22" s="1"/>
  <c r="U15" i="22"/>
  <c r="U35" i="22" s="1"/>
  <c r="T15" i="22"/>
  <c r="T35" i="22" s="1"/>
  <c r="AF14" i="22"/>
  <c r="AE14" i="22"/>
  <c r="AD14" i="22"/>
  <c r="AA14" i="22"/>
  <c r="Z14" i="22"/>
  <c r="Y14" i="22"/>
  <c r="V14" i="22"/>
  <c r="S14" i="22" s="1"/>
  <c r="S34" i="22" s="1"/>
  <c r="U14" i="22"/>
  <c r="U34" i="22" s="1"/>
  <c r="T14" i="22"/>
  <c r="T34" i="22" s="1"/>
  <c r="AF13" i="22"/>
  <c r="AE13" i="22"/>
  <c r="AD13" i="22"/>
  <c r="AA13" i="22"/>
  <c r="Z13" i="22"/>
  <c r="Y13" i="22"/>
  <c r="V13" i="22"/>
  <c r="V33" i="22" s="1"/>
  <c r="U13" i="22"/>
  <c r="U33" i="22" s="1"/>
  <c r="T13" i="22"/>
  <c r="T33" i="22" s="1"/>
  <c r="AF12" i="22"/>
  <c r="AE12" i="22"/>
  <c r="AD12" i="22"/>
  <c r="AA12" i="22"/>
  <c r="Z12" i="22"/>
  <c r="Y12" i="22"/>
  <c r="V12" i="22"/>
  <c r="S12" i="22" s="1"/>
  <c r="S32" i="22" s="1"/>
  <c r="U12" i="22"/>
  <c r="U32" i="22" s="1"/>
  <c r="T12" i="22"/>
  <c r="T32" i="22" s="1"/>
  <c r="AF11" i="22"/>
  <c r="AE11" i="22"/>
  <c r="AD11" i="22"/>
  <c r="AA11" i="22"/>
  <c r="Z11" i="22"/>
  <c r="Y11" i="22"/>
  <c r="V11" i="22"/>
  <c r="S11" i="22" s="1"/>
  <c r="S31" i="22" s="1"/>
  <c r="U11" i="22"/>
  <c r="U31" i="22" s="1"/>
  <c r="T11" i="22"/>
  <c r="T31" i="22" s="1"/>
  <c r="AF10" i="22"/>
  <c r="AE10" i="22"/>
  <c r="AD10" i="22"/>
  <c r="AA10" i="22"/>
  <c r="Z10" i="22"/>
  <c r="Y10" i="22"/>
  <c r="V10" i="22"/>
  <c r="V30" i="22" s="1"/>
  <c r="U10" i="22"/>
  <c r="U30" i="22" s="1"/>
  <c r="T10" i="22"/>
  <c r="T30" i="22" s="1"/>
  <c r="AF9" i="22"/>
  <c r="AE9" i="22"/>
  <c r="AD9" i="22"/>
  <c r="AA9" i="22"/>
  <c r="Z9" i="22"/>
  <c r="Y9" i="22"/>
  <c r="V9" i="22"/>
  <c r="V29" i="22" s="1"/>
  <c r="U9" i="22"/>
  <c r="U29" i="22" s="1"/>
  <c r="T9" i="22"/>
  <c r="T29" i="22" s="1"/>
  <c r="AF8" i="22"/>
  <c r="AE8" i="22"/>
  <c r="AD8" i="22"/>
  <c r="AA8" i="22"/>
  <c r="Z8" i="22"/>
  <c r="Y8" i="22"/>
  <c r="V8" i="22"/>
  <c r="V28" i="22" s="1"/>
  <c r="U8" i="22"/>
  <c r="U28" i="22" s="1"/>
  <c r="T8" i="22"/>
  <c r="T28" i="22" s="1"/>
  <c r="AF7" i="22"/>
  <c r="AE7" i="22"/>
  <c r="AD7" i="22"/>
  <c r="AA7" i="22"/>
  <c r="Z7" i="22"/>
  <c r="Y7" i="22"/>
  <c r="V7" i="22"/>
  <c r="V27" i="22" s="1"/>
  <c r="U7" i="22"/>
  <c r="U27" i="22" s="1"/>
  <c r="T7" i="22"/>
  <c r="T27" i="22" s="1"/>
  <c r="AF6" i="22"/>
  <c r="AE6" i="22"/>
  <c r="AD6" i="22"/>
  <c r="AA6" i="22"/>
  <c r="Z6" i="22"/>
  <c r="Y6" i="22"/>
  <c r="V6" i="22"/>
  <c r="S6" i="22" s="1"/>
  <c r="S26" i="22" s="1"/>
  <c r="U6" i="22"/>
  <c r="U26" i="22" s="1"/>
  <c r="T6" i="22"/>
  <c r="T26" i="22" s="1"/>
  <c r="AF5" i="22"/>
  <c r="AE5" i="22"/>
  <c r="AD5" i="22"/>
  <c r="AA5" i="22"/>
  <c r="Z5" i="22"/>
  <c r="Y5" i="22"/>
  <c r="V5" i="22"/>
  <c r="V25" i="22" s="1"/>
  <c r="U5" i="22"/>
  <c r="U25" i="22" s="1"/>
  <c r="T5" i="22"/>
  <c r="T25" i="22" s="1"/>
  <c r="AF4" i="22"/>
  <c r="AE4" i="22"/>
  <c r="AD4" i="22"/>
  <c r="AA4" i="22"/>
  <c r="Z4" i="22"/>
  <c r="Y4" i="22"/>
  <c r="V4" i="22"/>
  <c r="V24" i="22" s="1"/>
  <c r="U4" i="22"/>
  <c r="U24" i="22" s="1"/>
  <c r="T4" i="22"/>
  <c r="T24" i="22" s="1"/>
  <c r="AF3" i="22"/>
  <c r="AE3" i="22"/>
  <c r="AD3" i="22"/>
  <c r="V3" i="22"/>
  <c r="V23" i="22" s="1"/>
  <c r="U3" i="22"/>
  <c r="U23" i="22" s="1"/>
  <c r="T3" i="22"/>
  <c r="T23" i="22" s="1"/>
  <c r="T5" i="5"/>
  <c r="T6" i="5"/>
  <c r="T7" i="5"/>
  <c r="T8" i="5"/>
  <c r="T9" i="5"/>
  <c r="T10" i="5"/>
  <c r="T11" i="5"/>
  <c r="T12" i="5"/>
  <c r="T13" i="5"/>
  <c r="T14" i="5"/>
  <c r="T15" i="5"/>
  <c r="T16" i="5"/>
  <c r="T4" i="5"/>
  <c r="B9" i="4"/>
  <c r="C9" i="4"/>
  <c r="S9" i="4"/>
  <c r="U9" i="4" s="1"/>
  <c r="T9" i="4"/>
  <c r="S16" i="5"/>
  <c r="S15" i="5"/>
  <c r="R16" i="5"/>
  <c r="R15" i="5"/>
  <c r="Y16" i="4"/>
  <c r="X16" i="4"/>
  <c r="Z16" i="4" s="1"/>
  <c r="Y15" i="4"/>
  <c r="X15" i="4"/>
  <c r="T16" i="4"/>
  <c r="S16" i="4"/>
  <c r="U16" i="4" s="1"/>
  <c r="T15" i="4"/>
  <c r="S15" i="4"/>
  <c r="U99" i="3" a="1"/>
  <c r="U99" i="3" s="1"/>
  <c r="M99" i="3"/>
  <c r="H97" i="3"/>
  <c r="U97" i="3" s="1" a="1"/>
  <c r="U97" i="3" s="1"/>
  <c r="I97" i="3"/>
  <c r="J97" i="3"/>
  <c r="K97" i="3"/>
  <c r="L97" i="3"/>
  <c r="M97" i="3"/>
  <c r="N97" i="3"/>
  <c r="O97" i="3"/>
  <c r="P97" i="3"/>
  <c r="Q97" i="3"/>
  <c r="R97" i="3"/>
  <c r="S97" i="3"/>
  <c r="T97" i="3"/>
  <c r="H98" i="3"/>
  <c r="I98" i="3"/>
  <c r="J98" i="3"/>
  <c r="K98" i="3"/>
  <c r="L98" i="3"/>
  <c r="U98" i="3" s="1" a="1"/>
  <c r="U98" i="3" s="1"/>
  <c r="M98" i="3"/>
  <c r="N98" i="3"/>
  <c r="O98" i="3"/>
  <c r="P98" i="3"/>
  <c r="Q98" i="3"/>
  <c r="R98" i="3"/>
  <c r="S98" i="3"/>
  <c r="T98" i="3"/>
  <c r="H99" i="3"/>
  <c r="I99" i="3"/>
  <c r="J99" i="3"/>
  <c r="K99" i="3"/>
  <c r="L99" i="3"/>
  <c r="N99" i="3"/>
  <c r="O99" i="3"/>
  <c r="P99" i="3"/>
  <c r="Q99" i="3"/>
  <c r="R99" i="3"/>
  <c r="S99" i="3"/>
  <c r="T99" i="3"/>
  <c r="H100" i="3"/>
  <c r="I100" i="3"/>
  <c r="J100" i="3"/>
  <c r="U100" i="3" s="1" a="1"/>
  <c r="U100" i="3" s="1"/>
  <c r="K100" i="3"/>
  <c r="L100" i="3"/>
  <c r="M100" i="3"/>
  <c r="N100" i="3"/>
  <c r="O100" i="3"/>
  <c r="P100" i="3"/>
  <c r="Q100" i="3"/>
  <c r="R100" i="3"/>
  <c r="S100" i="3"/>
  <c r="T100" i="3"/>
  <c r="H101" i="3"/>
  <c r="U101" i="3" s="1" a="1"/>
  <c r="U101" i="3" s="1"/>
  <c r="I101" i="3"/>
  <c r="J101" i="3"/>
  <c r="K101" i="3"/>
  <c r="L101" i="3"/>
  <c r="M101" i="3"/>
  <c r="N101" i="3"/>
  <c r="O101" i="3"/>
  <c r="P101" i="3"/>
  <c r="Q101" i="3"/>
  <c r="R101" i="3"/>
  <c r="S101" i="3"/>
  <c r="T101" i="3"/>
  <c r="H102" i="3"/>
  <c r="U102" i="3" s="1" a="1"/>
  <c r="U102" i="3" s="1"/>
  <c r="I102" i="3"/>
  <c r="J102" i="3"/>
  <c r="K102" i="3"/>
  <c r="L102" i="3"/>
  <c r="M102" i="3"/>
  <c r="N102" i="3"/>
  <c r="O102" i="3"/>
  <c r="P102" i="3"/>
  <c r="Q102" i="3"/>
  <c r="R102" i="3"/>
  <c r="S102" i="3"/>
  <c r="T102" i="3"/>
  <c r="H103" i="3"/>
  <c r="U103" i="3" s="1" a="1"/>
  <c r="U103" i="3" s="1"/>
  <c r="I103" i="3"/>
  <c r="J103" i="3"/>
  <c r="K103" i="3"/>
  <c r="L103" i="3"/>
  <c r="M103" i="3"/>
  <c r="N103" i="3"/>
  <c r="O103" i="3"/>
  <c r="P103" i="3"/>
  <c r="Q103" i="3"/>
  <c r="R103" i="3"/>
  <c r="S103" i="3"/>
  <c r="T103" i="3"/>
  <c r="H104" i="3"/>
  <c r="U104" i="3" s="1" a="1"/>
  <c r="U104" i="3" s="1"/>
  <c r="I104" i="3"/>
  <c r="J104" i="3"/>
  <c r="K104" i="3"/>
  <c r="L104" i="3"/>
  <c r="M104" i="3"/>
  <c r="N104" i="3"/>
  <c r="O104" i="3"/>
  <c r="P104" i="3"/>
  <c r="Q104" i="3"/>
  <c r="R104" i="3"/>
  <c r="S104" i="3"/>
  <c r="T104" i="3"/>
  <c r="H105" i="3"/>
  <c r="U105" i="3" s="1" a="1"/>
  <c r="U105" i="3" s="1"/>
  <c r="I105" i="3"/>
  <c r="J105" i="3"/>
  <c r="K105" i="3"/>
  <c r="L105" i="3"/>
  <c r="M105" i="3"/>
  <c r="N105" i="3"/>
  <c r="O105" i="3"/>
  <c r="P105" i="3"/>
  <c r="Q105" i="3"/>
  <c r="R105" i="3"/>
  <c r="S105" i="3"/>
  <c r="T105" i="3"/>
  <c r="H106" i="3"/>
  <c r="I106" i="3"/>
  <c r="J106" i="3"/>
  <c r="K106" i="3"/>
  <c r="L106" i="3"/>
  <c r="U106" i="3" s="1" a="1"/>
  <c r="U106" i="3" s="1"/>
  <c r="M106" i="3"/>
  <c r="N106" i="3"/>
  <c r="O106" i="3"/>
  <c r="P106" i="3"/>
  <c r="Q106" i="3"/>
  <c r="R106" i="3"/>
  <c r="S106" i="3"/>
  <c r="T106" i="3"/>
  <c r="H107" i="3"/>
  <c r="U107" i="3" s="1" a="1"/>
  <c r="U107" i="3" s="1"/>
  <c r="I107" i="3"/>
  <c r="J107" i="3"/>
  <c r="K107" i="3"/>
  <c r="L107" i="3"/>
  <c r="M107" i="3"/>
  <c r="N107" i="3"/>
  <c r="O107" i="3"/>
  <c r="P107" i="3"/>
  <c r="Q107" i="3"/>
  <c r="R107" i="3"/>
  <c r="S107" i="3"/>
  <c r="T107" i="3"/>
  <c r="H108" i="3"/>
  <c r="I108" i="3"/>
  <c r="J108" i="3"/>
  <c r="U108" i="3" s="1" a="1"/>
  <c r="U108" i="3" s="1"/>
  <c r="K108" i="3"/>
  <c r="L108" i="3"/>
  <c r="M108" i="3"/>
  <c r="N108" i="3"/>
  <c r="O108" i="3"/>
  <c r="P108" i="3"/>
  <c r="Q108" i="3"/>
  <c r="R108" i="3"/>
  <c r="S108" i="3"/>
  <c r="T108" i="3"/>
  <c r="H109" i="3"/>
  <c r="U109" i="3" s="1" a="1"/>
  <c r="U109" i="3" s="1"/>
  <c r="I109" i="3"/>
  <c r="J109" i="3"/>
  <c r="K109" i="3"/>
  <c r="L109" i="3"/>
  <c r="M109" i="3"/>
  <c r="N109" i="3"/>
  <c r="O109" i="3"/>
  <c r="P109" i="3"/>
  <c r="Q109" i="3"/>
  <c r="R109" i="3"/>
  <c r="S109" i="3"/>
  <c r="T109" i="3"/>
  <c r="H110" i="3"/>
  <c r="U110" i="3" s="1" a="1"/>
  <c r="U110" i="3" s="1"/>
  <c r="I110" i="3"/>
  <c r="J110" i="3"/>
  <c r="K110" i="3"/>
  <c r="L110" i="3"/>
  <c r="M110" i="3"/>
  <c r="N110" i="3"/>
  <c r="O110" i="3"/>
  <c r="P110" i="3"/>
  <c r="Q110" i="3"/>
  <c r="R110" i="3"/>
  <c r="S110" i="3"/>
  <c r="T110" i="3"/>
  <c r="H111" i="3"/>
  <c r="U111" i="3" s="1" a="1"/>
  <c r="U111" i="3" s="1"/>
  <c r="I111" i="3"/>
  <c r="J111" i="3"/>
  <c r="K111" i="3"/>
  <c r="L111" i="3"/>
  <c r="M111" i="3"/>
  <c r="N111" i="3"/>
  <c r="O111" i="3"/>
  <c r="P111" i="3"/>
  <c r="Q111" i="3"/>
  <c r="R111" i="3"/>
  <c r="S111" i="3"/>
  <c r="T111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U96" i="3" s="1" a="1"/>
  <c r="U96" i="3" s="1"/>
  <c r="I88" i="3"/>
  <c r="I87" i="3"/>
  <c r="D16" i="6"/>
  <c r="C16" i="6"/>
  <c r="B16" i="6"/>
  <c r="A16" i="6"/>
  <c r="D16" i="5"/>
  <c r="C16" i="5"/>
  <c r="B16" i="5"/>
  <c r="A16" i="5"/>
  <c r="D16" i="4"/>
  <c r="C16" i="4"/>
  <c r="B16" i="4"/>
  <c r="A16" i="4"/>
  <c r="AH49" i="3"/>
  <c r="AI49" i="3" s="1"/>
  <c r="AH50" i="3"/>
  <c r="AI50" i="3" s="1"/>
  <c r="AH51" i="3"/>
  <c r="AH52" i="3"/>
  <c r="AH53" i="3"/>
  <c r="AH54" i="3"/>
  <c r="AI54" i="3" s="1"/>
  <c r="AH55" i="3"/>
  <c r="AH56" i="3"/>
  <c r="AI56" i="3" s="1"/>
  <c r="AH57" i="3"/>
  <c r="AH58" i="3"/>
  <c r="AH59" i="3"/>
  <c r="AH60" i="3"/>
  <c r="AH61" i="3"/>
  <c r="AI61" i="3" s="1"/>
  <c r="AH62" i="3"/>
  <c r="AI62" i="3" s="1"/>
  <c r="AH63" i="3"/>
  <c r="AI63" i="3" s="1"/>
  <c r="AH48" i="3"/>
  <c r="AI48" i="3" s="1"/>
  <c r="AF49" i="3"/>
  <c r="AF50" i="3"/>
  <c r="AF51" i="3"/>
  <c r="AF52" i="3"/>
  <c r="AF53" i="3"/>
  <c r="AF54" i="3"/>
  <c r="AG54" i="3" s="1"/>
  <c r="AF55" i="3"/>
  <c r="AG55" i="3" s="1"/>
  <c r="AF56" i="3"/>
  <c r="AG56" i="3" s="1"/>
  <c r="AF57" i="3"/>
  <c r="AF58" i="3"/>
  <c r="AF59" i="3"/>
  <c r="AF60" i="3"/>
  <c r="AG60" i="3" s="1"/>
  <c r="AF61" i="3"/>
  <c r="AF62" i="3"/>
  <c r="AG62" i="3" s="1"/>
  <c r="AF63" i="3"/>
  <c r="AG63" i="3" s="1"/>
  <c r="AF48" i="3"/>
  <c r="AG48" i="3" s="1"/>
  <c r="AD49" i="3"/>
  <c r="AE49" i="3" s="1"/>
  <c r="AD50" i="3"/>
  <c r="AE50" i="3" s="1"/>
  <c r="AD51" i="3"/>
  <c r="AE51" i="3" s="1"/>
  <c r="AD52" i="3"/>
  <c r="AD53" i="3"/>
  <c r="AD54" i="3"/>
  <c r="AD55" i="3"/>
  <c r="AD56" i="3"/>
  <c r="AD57" i="3"/>
  <c r="AD58" i="3"/>
  <c r="AD59" i="3"/>
  <c r="AE59" i="3" s="1"/>
  <c r="AD60" i="3"/>
  <c r="AD61" i="3"/>
  <c r="AE61" i="3" s="1"/>
  <c r="AD62" i="3"/>
  <c r="AE62" i="3" s="1"/>
  <c r="AD63" i="3"/>
  <c r="AE63" i="3" s="1"/>
  <c r="AD48" i="3"/>
  <c r="AE48" i="3" s="1"/>
  <c r="AB49" i="3"/>
  <c r="AC49" i="3" s="1"/>
  <c r="AB50" i="3"/>
  <c r="AB51" i="3"/>
  <c r="AB52" i="3"/>
  <c r="AC52" i="3" s="1"/>
  <c r="AB53" i="3"/>
  <c r="AB54" i="3"/>
  <c r="AC54" i="3" s="1"/>
  <c r="AB55" i="3"/>
  <c r="AB56" i="3"/>
  <c r="AC56" i="3" s="1"/>
  <c r="AB57" i="3"/>
  <c r="AB58" i="3"/>
  <c r="AB59" i="3"/>
  <c r="AB60" i="3"/>
  <c r="AC60" i="3" s="1"/>
  <c r="AB61" i="3"/>
  <c r="AC61" i="3" s="1"/>
  <c r="AB62" i="3"/>
  <c r="AC62" i="3" s="1"/>
  <c r="AB63" i="3"/>
  <c r="AC63" i="3" s="1"/>
  <c r="AB48" i="3"/>
  <c r="AC48" i="3" s="1"/>
  <c r="F17" i="3"/>
  <c r="D17" i="3"/>
  <c r="C17" i="3"/>
  <c r="B17" i="3"/>
  <c r="Q43" i="21"/>
  <c r="Z39" i="21"/>
  <c r="Y39" i="21"/>
  <c r="X39" i="21"/>
  <c r="Z38" i="21"/>
  <c r="Y38" i="21"/>
  <c r="X38" i="21"/>
  <c r="Z37" i="21"/>
  <c r="Y37" i="21"/>
  <c r="X37" i="21"/>
  <c r="Z36" i="21"/>
  <c r="Y36" i="21"/>
  <c r="X36" i="21"/>
  <c r="Z35" i="21"/>
  <c r="Y35" i="21"/>
  <c r="X35" i="21"/>
  <c r="Z34" i="21"/>
  <c r="Y34" i="21"/>
  <c r="X34" i="21"/>
  <c r="Z33" i="21"/>
  <c r="Y33" i="21"/>
  <c r="X33" i="21"/>
  <c r="Z32" i="21"/>
  <c r="Y32" i="21"/>
  <c r="X32" i="21"/>
  <c r="U32" i="21"/>
  <c r="T32" i="21"/>
  <c r="S32" i="21"/>
  <c r="R32" i="21"/>
  <c r="Z31" i="21"/>
  <c r="Y31" i="21"/>
  <c r="X31" i="21"/>
  <c r="Z30" i="21"/>
  <c r="Y30" i="21"/>
  <c r="X30" i="21"/>
  <c r="Z29" i="21"/>
  <c r="Y29" i="21"/>
  <c r="X29" i="21"/>
  <c r="Z28" i="21"/>
  <c r="Y28" i="21"/>
  <c r="X28" i="21"/>
  <c r="Z27" i="21"/>
  <c r="Y27" i="21"/>
  <c r="X27" i="21"/>
  <c r="Z26" i="21"/>
  <c r="Y26" i="21"/>
  <c r="X26" i="21"/>
  <c r="Z25" i="21"/>
  <c r="Y25" i="21"/>
  <c r="X25" i="21"/>
  <c r="Z24" i="21"/>
  <c r="Y24" i="21"/>
  <c r="X24" i="21"/>
  <c r="U24" i="21"/>
  <c r="T24" i="21"/>
  <c r="S24" i="21"/>
  <c r="R24" i="21"/>
  <c r="Z23" i="21"/>
  <c r="Y23" i="21"/>
  <c r="X23" i="21"/>
  <c r="Z22" i="21"/>
  <c r="Y22" i="21"/>
  <c r="X22" i="21"/>
  <c r="Z21" i="21"/>
  <c r="Y21" i="21"/>
  <c r="X21" i="21"/>
  <c r="Z20" i="21"/>
  <c r="Y20" i="21"/>
  <c r="X20" i="21"/>
  <c r="Z19" i="21"/>
  <c r="Y19" i="21"/>
  <c r="X19" i="21"/>
  <c r="AE18" i="21"/>
  <c r="AD18" i="21"/>
  <c r="AC18" i="21"/>
  <c r="Z18" i="21"/>
  <c r="Y18" i="21"/>
  <c r="X18" i="21"/>
  <c r="U18" i="21"/>
  <c r="U38" i="21" s="1"/>
  <c r="T18" i="21"/>
  <c r="T38" i="21" s="1"/>
  <c r="S18" i="21"/>
  <c r="S38" i="21" s="1"/>
  <c r="AE17" i="21"/>
  <c r="AD17" i="21"/>
  <c r="AC17" i="21"/>
  <c r="Z17" i="21"/>
  <c r="Y17" i="21"/>
  <c r="X17" i="21"/>
  <c r="U17" i="21"/>
  <c r="U37" i="21" s="1"/>
  <c r="T17" i="21"/>
  <c r="T37" i="21" s="1"/>
  <c r="S17" i="21"/>
  <c r="S37" i="21" s="1"/>
  <c r="AE16" i="21"/>
  <c r="AD16" i="21"/>
  <c r="AC16" i="21"/>
  <c r="Z16" i="21"/>
  <c r="Y16" i="21"/>
  <c r="X16" i="21"/>
  <c r="U16" i="21"/>
  <c r="U36" i="21" s="1"/>
  <c r="T16" i="21"/>
  <c r="T36" i="21" s="1"/>
  <c r="S16" i="21"/>
  <c r="S36" i="21" s="1"/>
  <c r="AE15" i="21"/>
  <c r="AD15" i="21"/>
  <c r="AC15" i="21"/>
  <c r="Z15" i="21"/>
  <c r="Y15" i="21"/>
  <c r="X15" i="21"/>
  <c r="U15" i="21"/>
  <c r="U35" i="21" s="1"/>
  <c r="T15" i="21"/>
  <c r="T35" i="21" s="1"/>
  <c r="S15" i="21"/>
  <c r="S35" i="21" s="1"/>
  <c r="R15" i="21"/>
  <c r="R35" i="21" s="1"/>
  <c r="AE14" i="21"/>
  <c r="AD14" i="21"/>
  <c r="AC14" i="21"/>
  <c r="Z14" i="21"/>
  <c r="Y14" i="21"/>
  <c r="X14" i="21"/>
  <c r="U14" i="21"/>
  <c r="R14" i="21" s="1"/>
  <c r="R34" i="21" s="1"/>
  <c r="T14" i="21"/>
  <c r="T34" i="21" s="1"/>
  <c r="S14" i="21"/>
  <c r="S34" i="21" s="1"/>
  <c r="AE13" i="21"/>
  <c r="AD13" i="21"/>
  <c r="AC13" i="21"/>
  <c r="Z13" i="21"/>
  <c r="Y13" i="21"/>
  <c r="X13" i="21"/>
  <c r="U13" i="21"/>
  <c r="U33" i="21" s="1"/>
  <c r="T13" i="21"/>
  <c r="T33" i="21" s="1"/>
  <c r="S13" i="21"/>
  <c r="S33" i="21" s="1"/>
  <c r="AE12" i="21"/>
  <c r="AD12" i="21"/>
  <c r="AC12" i="21"/>
  <c r="Z12" i="21"/>
  <c r="Y12" i="21"/>
  <c r="X12" i="21"/>
  <c r="U12" i="21"/>
  <c r="R12" i="21" s="1"/>
  <c r="T12" i="21"/>
  <c r="S12" i="21"/>
  <c r="AE11" i="21"/>
  <c r="AD11" i="21"/>
  <c r="AC11" i="21"/>
  <c r="Z11" i="21"/>
  <c r="Y11" i="21"/>
  <c r="X11" i="21"/>
  <c r="U11" i="21"/>
  <c r="U31" i="21" s="1"/>
  <c r="T11" i="21"/>
  <c r="T31" i="21" s="1"/>
  <c r="S11" i="21"/>
  <c r="S31" i="21" s="1"/>
  <c r="AE10" i="21"/>
  <c r="AD10" i="21"/>
  <c r="AC10" i="21"/>
  <c r="Z10" i="21"/>
  <c r="Y10" i="21"/>
  <c r="X10" i="21"/>
  <c r="U10" i="21"/>
  <c r="U30" i="21" s="1"/>
  <c r="T10" i="21"/>
  <c r="T30" i="21" s="1"/>
  <c r="S10" i="21"/>
  <c r="S30" i="21" s="1"/>
  <c r="AE9" i="21"/>
  <c r="AD9" i="21"/>
  <c r="AC9" i="21"/>
  <c r="Z9" i="21"/>
  <c r="Y9" i="21"/>
  <c r="X9" i="21"/>
  <c r="U9" i="21"/>
  <c r="U29" i="21" s="1"/>
  <c r="T9" i="21"/>
  <c r="T29" i="21" s="1"/>
  <c r="S9" i="21"/>
  <c r="S29" i="21" s="1"/>
  <c r="AE8" i="21"/>
  <c r="AD8" i="21"/>
  <c r="AC8" i="21"/>
  <c r="Z8" i="21"/>
  <c r="Y8" i="21"/>
  <c r="X8" i="21"/>
  <c r="U8" i="21"/>
  <c r="U28" i="21" s="1"/>
  <c r="T8" i="21"/>
  <c r="T28" i="21" s="1"/>
  <c r="S8" i="21"/>
  <c r="S28" i="21" s="1"/>
  <c r="AE7" i="21"/>
  <c r="AD7" i="21"/>
  <c r="AC7" i="21"/>
  <c r="Z7" i="21"/>
  <c r="Y7" i="21"/>
  <c r="X7" i="21"/>
  <c r="U7" i="21"/>
  <c r="U27" i="21" s="1"/>
  <c r="T7" i="21"/>
  <c r="T27" i="21" s="1"/>
  <c r="S7" i="21"/>
  <c r="S27" i="21" s="1"/>
  <c r="AE6" i="21"/>
  <c r="AD6" i="21"/>
  <c r="AC6" i="21"/>
  <c r="Z6" i="21"/>
  <c r="Y6" i="21"/>
  <c r="X6" i="21"/>
  <c r="U6" i="21"/>
  <c r="R6" i="21" s="1"/>
  <c r="R26" i="21" s="1"/>
  <c r="T6" i="21"/>
  <c r="T26" i="21" s="1"/>
  <c r="S6" i="21"/>
  <c r="S26" i="21" s="1"/>
  <c r="AE5" i="21"/>
  <c r="AD5" i="21"/>
  <c r="AC5" i="21"/>
  <c r="Z5" i="21"/>
  <c r="Y5" i="21"/>
  <c r="X5" i="21"/>
  <c r="U5" i="21"/>
  <c r="U25" i="21" s="1"/>
  <c r="T5" i="21"/>
  <c r="T25" i="21" s="1"/>
  <c r="S5" i="21"/>
  <c r="S25" i="21" s="1"/>
  <c r="M5" i="21"/>
  <c r="L5" i="21"/>
  <c r="AE4" i="21"/>
  <c r="AD4" i="21"/>
  <c r="AC4" i="21"/>
  <c r="Z4" i="21"/>
  <c r="Y4" i="21"/>
  <c r="X4" i="21"/>
  <c r="U4" i="21"/>
  <c r="R4" i="21" s="1"/>
  <c r="T4" i="21"/>
  <c r="S4" i="21"/>
  <c r="M4" i="21"/>
  <c r="L4" i="21"/>
  <c r="AE3" i="21"/>
  <c r="AD3" i="21"/>
  <c r="AC3" i="21"/>
  <c r="U3" i="21"/>
  <c r="R3" i="21" s="1"/>
  <c r="R23" i="21" s="1"/>
  <c r="T3" i="21"/>
  <c r="T23" i="21" s="1"/>
  <c r="S3" i="21"/>
  <c r="S23" i="21" s="1"/>
  <c r="M3" i="21"/>
  <c r="L3" i="21"/>
  <c r="N3" i="21" s="1"/>
  <c r="Q43" i="20"/>
  <c r="D15" i="6"/>
  <c r="C15" i="6"/>
  <c r="B15" i="6"/>
  <c r="A15" i="6"/>
  <c r="D15" i="5"/>
  <c r="C15" i="5"/>
  <c r="B15" i="5"/>
  <c r="A15" i="5"/>
  <c r="D15" i="4"/>
  <c r="C15" i="4"/>
  <c r="B15" i="4"/>
  <c r="A15" i="4"/>
  <c r="F16" i="3"/>
  <c r="D16" i="3"/>
  <c r="C16" i="3"/>
  <c r="E16" i="3" s="1"/>
  <c r="B16" i="3"/>
  <c r="AI51" i="3"/>
  <c r="AE52" i="3"/>
  <c r="AE56" i="3"/>
  <c r="AE57" i="3"/>
  <c r="AE60" i="3"/>
  <c r="AC51" i="3"/>
  <c r="AC59" i="3"/>
  <c r="Z39" i="20"/>
  <c r="Y39" i="20"/>
  <c r="X39" i="20"/>
  <c r="Z38" i="20"/>
  <c r="Y38" i="20"/>
  <c r="X38" i="20"/>
  <c r="U38" i="20"/>
  <c r="T38" i="20"/>
  <c r="S38" i="20"/>
  <c r="R38" i="20"/>
  <c r="Z37" i="20"/>
  <c r="Y37" i="20"/>
  <c r="X37" i="20"/>
  <c r="Z36" i="20"/>
  <c r="Y36" i="20"/>
  <c r="X36" i="20"/>
  <c r="Z35" i="20"/>
  <c r="Y35" i="20"/>
  <c r="X35" i="20"/>
  <c r="Z34" i="20"/>
  <c r="Y34" i="20"/>
  <c r="X34" i="20"/>
  <c r="Z33" i="20"/>
  <c r="Y33" i="20"/>
  <c r="X33" i="20"/>
  <c r="Z32" i="20"/>
  <c r="Y32" i="20"/>
  <c r="X32" i="20"/>
  <c r="Z31" i="20"/>
  <c r="Y31" i="20"/>
  <c r="X31" i="20"/>
  <c r="Z30" i="20"/>
  <c r="Y30" i="20"/>
  <c r="X30" i="20"/>
  <c r="Z29" i="20"/>
  <c r="Y29" i="20"/>
  <c r="X29" i="20"/>
  <c r="Z28" i="20"/>
  <c r="Y28" i="20"/>
  <c r="X28" i="20"/>
  <c r="Z27" i="20"/>
  <c r="Y27" i="20"/>
  <c r="X27" i="20"/>
  <c r="Z26" i="20"/>
  <c r="Y26" i="20"/>
  <c r="X26" i="20"/>
  <c r="Z25" i="20"/>
  <c r="Y25" i="20"/>
  <c r="X25" i="20"/>
  <c r="Z24" i="20"/>
  <c r="Y24" i="20"/>
  <c r="X24" i="20"/>
  <c r="Z23" i="20"/>
  <c r="Y23" i="20"/>
  <c r="X23" i="20"/>
  <c r="Z22" i="20"/>
  <c r="Y22" i="20"/>
  <c r="X22" i="20"/>
  <c r="Z21" i="20"/>
  <c r="Y21" i="20"/>
  <c r="X21" i="20"/>
  <c r="Z20" i="20"/>
  <c r="Y20" i="20"/>
  <c r="X20" i="20"/>
  <c r="Z19" i="20"/>
  <c r="Y19" i="20"/>
  <c r="X19" i="20"/>
  <c r="AE18" i="20"/>
  <c r="AD18" i="20"/>
  <c r="AC18" i="20"/>
  <c r="Z18" i="20"/>
  <c r="Y18" i="20"/>
  <c r="X18" i="20"/>
  <c r="U18" i="20"/>
  <c r="R18" i="20" s="1"/>
  <c r="T18" i="20"/>
  <c r="S18" i="20"/>
  <c r="AE17" i="20"/>
  <c r="AD17" i="20"/>
  <c r="AC17" i="20"/>
  <c r="Z17" i="20"/>
  <c r="Y17" i="20"/>
  <c r="X17" i="20"/>
  <c r="U17" i="20"/>
  <c r="U37" i="20" s="1"/>
  <c r="T17" i="20"/>
  <c r="T37" i="20" s="1"/>
  <c r="S17" i="20"/>
  <c r="S37" i="20" s="1"/>
  <c r="AE16" i="20"/>
  <c r="AD16" i="20"/>
  <c r="AC16" i="20"/>
  <c r="Z16" i="20"/>
  <c r="Y16" i="20"/>
  <c r="X16" i="20"/>
  <c r="U16" i="20"/>
  <c r="U36" i="20" s="1"/>
  <c r="T16" i="20"/>
  <c r="T36" i="20" s="1"/>
  <c r="S16" i="20"/>
  <c r="S36" i="20" s="1"/>
  <c r="AE15" i="20"/>
  <c r="AD15" i="20"/>
  <c r="AC15" i="20"/>
  <c r="Z15" i="20"/>
  <c r="Y15" i="20"/>
  <c r="X15" i="20"/>
  <c r="U15" i="20"/>
  <c r="U35" i="20" s="1"/>
  <c r="T15" i="20"/>
  <c r="T35" i="20" s="1"/>
  <c r="S15" i="20"/>
  <c r="S35" i="20" s="1"/>
  <c r="AE14" i="20"/>
  <c r="AD14" i="20"/>
  <c r="AC14" i="20"/>
  <c r="Z14" i="20"/>
  <c r="Y14" i="20"/>
  <c r="X14" i="20"/>
  <c r="U14" i="20"/>
  <c r="R14" i="20" s="1"/>
  <c r="R34" i="20" s="1"/>
  <c r="T14" i="20"/>
  <c r="T34" i="20" s="1"/>
  <c r="S14" i="20"/>
  <c r="S34" i="20" s="1"/>
  <c r="AE13" i="20"/>
  <c r="AD13" i="20"/>
  <c r="AC13" i="20"/>
  <c r="Z13" i="20"/>
  <c r="Y13" i="20"/>
  <c r="X13" i="20"/>
  <c r="U13" i="20"/>
  <c r="U33" i="20" s="1"/>
  <c r="T13" i="20"/>
  <c r="T33" i="20" s="1"/>
  <c r="S13" i="20"/>
  <c r="S33" i="20" s="1"/>
  <c r="AE12" i="20"/>
  <c r="AD12" i="20"/>
  <c r="AC12" i="20"/>
  <c r="Z12" i="20"/>
  <c r="Y12" i="20"/>
  <c r="X12" i="20"/>
  <c r="U12" i="20"/>
  <c r="R12" i="20" s="1"/>
  <c r="R32" i="20" s="1"/>
  <c r="T12" i="20"/>
  <c r="T32" i="20" s="1"/>
  <c r="S12" i="20"/>
  <c r="S32" i="20" s="1"/>
  <c r="AE11" i="20"/>
  <c r="AD11" i="20"/>
  <c r="AC11" i="20"/>
  <c r="Z11" i="20"/>
  <c r="Y11" i="20"/>
  <c r="X11" i="20"/>
  <c r="U11" i="20"/>
  <c r="R11" i="20" s="1"/>
  <c r="R31" i="20" s="1"/>
  <c r="T11" i="20"/>
  <c r="T31" i="20" s="1"/>
  <c r="S11" i="20"/>
  <c r="S31" i="20" s="1"/>
  <c r="AE10" i="20"/>
  <c r="AD10" i="20"/>
  <c r="AC10" i="20"/>
  <c r="Z10" i="20"/>
  <c r="Y10" i="20"/>
  <c r="X10" i="20"/>
  <c r="U10" i="20"/>
  <c r="U30" i="20" s="1"/>
  <c r="T10" i="20"/>
  <c r="T30" i="20" s="1"/>
  <c r="S10" i="20"/>
  <c r="S30" i="20" s="1"/>
  <c r="AE9" i="20"/>
  <c r="AD9" i="20"/>
  <c r="AC9" i="20"/>
  <c r="Z9" i="20"/>
  <c r="Y9" i="20"/>
  <c r="X9" i="20"/>
  <c r="U9" i="20"/>
  <c r="U29" i="20" s="1"/>
  <c r="T9" i="20"/>
  <c r="T29" i="20" s="1"/>
  <c r="S9" i="20"/>
  <c r="S29" i="20" s="1"/>
  <c r="AE8" i="20"/>
  <c r="AD8" i="20"/>
  <c r="AC8" i="20"/>
  <c r="Z8" i="20"/>
  <c r="Y8" i="20"/>
  <c r="X8" i="20"/>
  <c r="U8" i="20"/>
  <c r="U28" i="20" s="1"/>
  <c r="T8" i="20"/>
  <c r="T28" i="20" s="1"/>
  <c r="S8" i="20"/>
  <c r="S28" i="20" s="1"/>
  <c r="AE7" i="20"/>
  <c r="AD7" i="20"/>
  <c r="AC7" i="20"/>
  <c r="Z7" i="20"/>
  <c r="Y7" i="20"/>
  <c r="X7" i="20"/>
  <c r="U7" i="20"/>
  <c r="U27" i="20" s="1"/>
  <c r="T7" i="20"/>
  <c r="T27" i="20" s="1"/>
  <c r="S7" i="20"/>
  <c r="S27" i="20" s="1"/>
  <c r="AE6" i="20"/>
  <c r="AD6" i="20"/>
  <c r="AC6" i="20"/>
  <c r="Z6" i="20"/>
  <c r="Y6" i="20"/>
  <c r="X6" i="20"/>
  <c r="U6" i="20"/>
  <c r="R6" i="20" s="1"/>
  <c r="R26" i="20" s="1"/>
  <c r="T6" i="20"/>
  <c r="T26" i="20" s="1"/>
  <c r="S6" i="20"/>
  <c r="S26" i="20" s="1"/>
  <c r="AE5" i="20"/>
  <c r="AD5" i="20"/>
  <c r="AC5" i="20"/>
  <c r="Z5" i="20"/>
  <c r="Y5" i="20"/>
  <c r="X5" i="20"/>
  <c r="U5" i="20"/>
  <c r="U25" i="20" s="1"/>
  <c r="T5" i="20"/>
  <c r="T25" i="20" s="1"/>
  <c r="S5" i="20"/>
  <c r="S25" i="20" s="1"/>
  <c r="M5" i="20"/>
  <c r="L5" i="20"/>
  <c r="AE4" i="20"/>
  <c r="AD4" i="20"/>
  <c r="AC4" i="20"/>
  <c r="Z4" i="20"/>
  <c r="Y4" i="20"/>
  <c r="X4" i="20"/>
  <c r="U4" i="20"/>
  <c r="U24" i="20" s="1"/>
  <c r="T4" i="20"/>
  <c r="T24" i="20" s="1"/>
  <c r="S4" i="20"/>
  <c r="S24" i="20" s="1"/>
  <c r="M4" i="20"/>
  <c r="N4" i="20" s="1"/>
  <c r="L4" i="20"/>
  <c r="AE3" i="20"/>
  <c r="AD3" i="20"/>
  <c r="AC3" i="20"/>
  <c r="U3" i="20"/>
  <c r="U23" i="20" s="1"/>
  <c r="T3" i="20"/>
  <c r="T23" i="20" s="1"/>
  <c r="S3" i="20"/>
  <c r="S23" i="20" s="1"/>
  <c r="R3" i="20"/>
  <c r="R23" i="20" s="1"/>
  <c r="M3" i="20"/>
  <c r="L3" i="20"/>
  <c r="N3" i="20" s="1"/>
  <c r="AI52" i="3"/>
  <c r="AI53" i="3"/>
  <c r="AI55" i="3"/>
  <c r="AI57" i="3"/>
  <c r="AI58" i="3"/>
  <c r="AI59" i="3"/>
  <c r="AI60" i="3"/>
  <c r="AG49" i="3"/>
  <c r="AG50" i="3"/>
  <c r="AG51" i="3"/>
  <c r="AG52" i="3"/>
  <c r="AG53" i="3"/>
  <c r="AG57" i="3"/>
  <c r="AG58" i="3"/>
  <c r="AG59" i="3"/>
  <c r="AG61" i="3"/>
  <c r="AE53" i="3"/>
  <c r="AE54" i="3"/>
  <c r="AE55" i="3"/>
  <c r="AE58" i="3"/>
  <c r="AC58" i="3"/>
  <c r="AC57" i="3"/>
  <c r="AC55" i="3"/>
  <c r="AC53" i="3"/>
  <c r="AC50" i="3"/>
  <c r="A14" i="6"/>
  <c r="A14" i="5"/>
  <c r="A14" i="4"/>
  <c r="I86" i="3" s="1"/>
  <c r="C15" i="3"/>
  <c r="B15" i="3"/>
  <c r="Q43" i="19"/>
  <c r="Z39" i="19"/>
  <c r="Y39" i="19"/>
  <c r="X39" i="19"/>
  <c r="Z38" i="19"/>
  <c r="Y38" i="19"/>
  <c r="X38" i="19"/>
  <c r="Z37" i="19"/>
  <c r="Y37" i="19"/>
  <c r="X37" i="19"/>
  <c r="Z36" i="19"/>
  <c r="Y36" i="19"/>
  <c r="X36" i="19"/>
  <c r="Z35" i="19"/>
  <c r="Y35" i="19"/>
  <c r="X35" i="19"/>
  <c r="Z34" i="19"/>
  <c r="Y34" i="19"/>
  <c r="X34" i="19"/>
  <c r="Z33" i="19"/>
  <c r="Y33" i="19"/>
  <c r="X33" i="19"/>
  <c r="Z32" i="19"/>
  <c r="Y32" i="19"/>
  <c r="X32" i="19"/>
  <c r="Z31" i="19"/>
  <c r="Y31" i="19"/>
  <c r="X31" i="19"/>
  <c r="Z30" i="19"/>
  <c r="Y30" i="19"/>
  <c r="X30" i="19"/>
  <c r="Z29" i="19"/>
  <c r="Y29" i="19"/>
  <c r="X29" i="19"/>
  <c r="Z28" i="19"/>
  <c r="Y28" i="19"/>
  <c r="X28" i="19"/>
  <c r="Z27" i="19"/>
  <c r="Y27" i="19"/>
  <c r="X27" i="19"/>
  <c r="Z26" i="19"/>
  <c r="Y26" i="19"/>
  <c r="X26" i="19"/>
  <c r="Z25" i="19"/>
  <c r="Y25" i="19"/>
  <c r="X25" i="19"/>
  <c r="Z24" i="19"/>
  <c r="Y24" i="19"/>
  <c r="X24" i="19"/>
  <c r="Z23" i="19"/>
  <c r="Y23" i="19"/>
  <c r="X23" i="19"/>
  <c r="Z22" i="19"/>
  <c r="Y22" i="19"/>
  <c r="X22" i="19"/>
  <c r="Z21" i="19"/>
  <c r="Y21" i="19"/>
  <c r="X21" i="19"/>
  <c r="Z20" i="19"/>
  <c r="Y20" i="19"/>
  <c r="X20" i="19"/>
  <c r="Z19" i="19"/>
  <c r="Y19" i="19"/>
  <c r="X19" i="19"/>
  <c r="AE18" i="19"/>
  <c r="AD18" i="19"/>
  <c r="AC18" i="19"/>
  <c r="Z18" i="19"/>
  <c r="Y18" i="19"/>
  <c r="X18" i="19"/>
  <c r="U18" i="19"/>
  <c r="U38" i="19" s="1"/>
  <c r="T18" i="19"/>
  <c r="T38" i="19" s="1"/>
  <c r="S18" i="19"/>
  <c r="S38" i="19" s="1"/>
  <c r="AE17" i="19"/>
  <c r="AD17" i="19"/>
  <c r="AC17" i="19"/>
  <c r="Z17" i="19"/>
  <c r="Y17" i="19"/>
  <c r="X17" i="19"/>
  <c r="U17" i="19"/>
  <c r="U37" i="19" s="1"/>
  <c r="T17" i="19"/>
  <c r="T37" i="19" s="1"/>
  <c r="S17" i="19"/>
  <c r="S37" i="19" s="1"/>
  <c r="AE16" i="19"/>
  <c r="AD16" i="19"/>
  <c r="AC16" i="19"/>
  <c r="Z16" i="19"/>
  <c r="Y16" i="19"/>
  <c r="X16" i="19"/>
  <c r="U16" i="19"/>
  <c r="U36" i="19" s="1"/>
  <c r="T16" i="19"/>
  <c r="T36" i="19" s="1"/>
  <c r="S16" i="19"/>
  <c r="S36" i="19" s="1"/>
  <c r="AE15" i="19"/>
  <c r="AD15" i="19"/>
  <c r="AC15" i="19"/>
  <c r="Z15" i="19"/>
  <c r="Y15" i="19"/>
  <c r="X15" i="19"/>
  <c r="U15" i="19"/>
  <c r="U35" i="19" s="1"/>
  <c r="T15" i="19"/>
  <c r="T35" i="19" s="1"/>
  <c r="S15" i="19"/>
  <c r="S35" i="19" s="1"/>
  <c r="AE14" i="19"/>
  <c r="AD14" i="19"/>
  <c r="AC14" i="19"/>
  <c r="Z14" i="19"/>
  <c r="Y14" i="19"/>
  <c r="X14" i="19"/>
  <c r="U14" i="19"/>
  <c r="R14" i="19" s="1"/>
  <c r="R34" i="19" s="1"/>
  <c r="T14" i="19"/>
  <c r="T34" i="19" s="1"/>
  <c r="S14" i="19"/>
  <c r="S34" i="19" s="1"/>
  <c r="AE13" i="19"/>
  <c r="AD13" i="19"/>
  <c r="AC13" i="19"/>
  <c r="Z13" i="19"/>
  <c r="Y13" i="19"/>
  <c r="X13" i="19"/>
  <c r="U13" i="19"/>
  <c r="U33" i="19" s="1"/>
  <c r="T13" i="19"/>
  <c r="T33" i="19" s="1"/>
  <c r="S13" i="19"/>
  <c r="S33" i="19" s="1"/>
  <c r="AE12" i="19"/>
  <c r="AD12" i="19"/>
  <c r="AC12" i="19"/>
  <c r="Z12" i="19"/>
  <c r="Y12" i="19"/>
  <c r="X12" i="19"/>
  <c r="U12" i="19"/>
  <c r="U32" i="19" s="1"/>
  <c r="T12" i="19"/>
  <c r="T32" i="19" s="1"/>
  <c r="S12" i="19"/>
  <c r="S32" i="19" s="1"/>
  <c r="AE11" i="19"/>
  <c r="AD11" i="19"/>
  <c r="AC11" i="19"/>
  <c r="Z11" i="19"/>
  <c r="Y11" i="19"/>
  <c r="X11" i="19"/>
  <c r="U11" i="19"/>
  <c r="R11" i="19" s="1"/>
  <c r="R31" i="19" s="1"/>
  <c r="T11" i="19"/>
  <c r="T31" i="19" s="1"/>
  <c r="S11" i="19"/>
  <c r="S31" i="19" s="1"/>
  <c r="AE10" i="19"/>
  <c r="AD10" i="19"/>
  <c r="AC10" i="19"/>
  <c r="Z10" i="19"/>
  <c r="Y10" i="19"/>
  <c r="X10" i="19"/>
  <c r="U10" i="19"/>
  <c r="U30" i="19" s="1"/>
  <c r="T10" i="19"/>
  <c r="T30" i="19" s="1"/>
  <c r="S10" i="19"/>
  <c r="S30" i="19" s="1"/>
  <c r="AE9" i="19"/>
  <c r="AD9" i="19"/>
  <c r="AC9" i="19"/>
  <c r="Z9" i="19"/>
  <c r="Y9" i="19"/>
  <c r="X9" i="19"/>
  <c r="U9" i="19"/>
  <c r="U29" i="19" s="1"/>
  <c r="T9" i="19"/>
  <c r="T29" i="19" s="1"/>
  <c r="S9" i="19"/>
  <c r="S29" i="19" s="1"/>
  <c r="AE8" i="19"/>
  <c r="AD8" i="19"/>
  <c r="AC8" i="19"/>
  <c r="Z8" i="19"/>
  <c r="Y8" i="19"/>
  <c r="X8" i="19"/>
  <c r="U8" i="19"/>
  <c r="U28" i="19" s="1"/>
  <c r="T8" i="19"/>
  <c r="T28" i="19" s="1"/>
  <c r="S8" i="19"/>
  <c r="S28" i="19" s="1"/>
  <c r="AE7" i="19"/>
  <c r="AD7" i="19"/>
  <c r="AC7" i="19"/>
  <c r="Z7" i="19"/>
  <c r="Y7" i="19"/>
  <c r="X7" i="19"/>
  <c r="U7" i="19"/>
  <c r="U27" i="19" s="1"/>
  <c r="T7" i="19"/>
  <c r="T27" i="19" s="1"/>
  <c r="S7" i="19"/>
  <c r="S27" i="19" s="1"/>
  <c r="AE6" i="19"/>
  <c r="AD6" i="19"/>
  <c r="AC6" i="19"/>
  <c r="Z6" i="19"/>
  <c r="Y6" i="19"/>
  <c r="X6" i="19"/>
  <c r="U6" i="19"/>
  <c r="R6" i="19" s="1"/>
  <c r="R26" i="19" s="1"/>
  <c r="T6" i="19"/>
  <c r="T26" i="19" s="1"/>
  <c r="S6" i="19"/>
  <c r="S26" i="19" s="1"/>
  <c r="AE5" i="19"/>
  <c r="AD5" i="19"/>
  <c r="AC5" i="19"/>
  <c r="Z5" i="19"/>
  <c r="Y5" i="19"/>
  <c r="X5" i="19"/>
  <c r="U5" i="19"/>
  <c r="U25" i="19" s="1"/>
  <c r="T5" i="19"/>
  <c r="T25" i="19" s="1"/>
  <c r="S5" i="19"/>
  <c r="S25" i="19" s="1"/>
  <c r="R5" i="19"/>
  <c r="R25" i="19" s="1"/>
  <c r="M5" i="19"/>
  <c r="C14" i="5" s="1"/>
  <c r="L5" i="19"/>
  <c r="N5" i="19" s="1"/>
  <c r="AE4" i="19"/>
  <c r="AD4" i="19"/>
  <c r="AC4" i="19"/>
  <c r="Z4" i="19"/>
  <c r="Y14" i="4" s="1"/>
  <c r="Y4" i="19"/>
  <c r="R14" i="5" s="1"/>
  <c r="X4" i="19"/>
  <c r="X14" i="4" s="1"/>
  <c r="Z14" i="4" s="1"/>
  <c r="U4" i="19"/>
  <c r="U24" i="19" s="1"/>
  <c r="T4" i="19"/>
  <c r="T24" i="19" s="1"/>
  <c r="S4" i="19"/>
  <c r="S24" i="19" s="1"/>
  <c r="M4" i="19"/>
  <c r="C14" i="6" s="1"/>
  <c r="L4" i="19"/>
  <c r="B14" i="6" s="1"/>
  <c r="AE3" i="19"/>
  <c r="AD3" i="19"/>
  <c r="AC3" i="19"/>
  <c r="U3" i="19"/>
  <c r="U23" i="19" s="1"/>
  <c r="T3" i="19"/>
  <c r="T23" i="19" s="1"/>
  <c r="S3" i="19"/>
  <c r="S23" i="19" s="1"/>
  <c r="R3" i="19"/>
  <c r="R23" i="19" s="1"/>
  <c r="M3" i="19"/>
  <c r="C14" i="4" s="1"/>
  <c r="L3" i="19"/>
  <c r="B14" i="4" s="1"/>
  <c r="I85" i="3"/>
  <c r="L77" i="3"/>
  <c r="L78" i="3" s="1"/>
  <c r="L79" i="3" s="1"/>
  <c r="L80" i="3" s="1"/>
  <c r="L81" i="3" s="1"/>
  <c r="L82" i="3" s="1"/>
  <c r="L83" i="3" s="1"/>
  <c r="L84" i="3" s="1"/>
  <c r="L85" i="3" s="1"/>
  <c r="K77" i="3"/>
  <c r="K78" i="3" s="1"/>
  <c r="K79" i="3" s="1"/>
  <c r="K80" i="3" s="1"/>
  <c r="K81" i="3" s="1"/>
  <c r="K82" i="3" s="1"/>
  <c r="K83" i="3" s="1"/>
  <c r="K84" i="3" s="1"/>
  <c r="K85" i="3" s="1"/>
  <c r="L76" i="3"/>
  <c r="K76" i="3"/>
  <c r="C14" i="3"/>
  <c r="B14" i="3"/>
  <c r="A13" i="6"/>
  <c r="S12" i="5"/>
  <c r="R12" i="5"/>
  <c r="A13" i="5"/>
  <c r="A13" i="4"/>
  <c r="Q43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AE18" i="18"/>
  <c r="AD18" i="18"/>
  <c r="AC18" i="18"/>
  <c r="Z18" i="18"/>
  <c r="Y18" i="18"/>
  <c r="X18" i="18"/>
  <c r="U18" i="18"/>
  <c r="U38" i="18" s="1"/>
  <c r="T18" i="18"/>
  <c r="T38" i="18" s="1"/>
  <c r="S18" i="18"/>
  <c r="S38" i="18" s="1"/>
  <c r="AE17" i="18"/>
  <c r="AD17" i="18"/>
  <c r="AC17" i="18"/>
  <c r="Z17" i="18"/>
  <c r="Y17" i="18"/>
  <c r="X17" i="18"/>
  <c r="U17" i="18"/>
  <c r="U37" i="18" s="1"/>
  <c r="T17" i="18"/>
  <c r="T37" i="18" s="1"/>
  <c r="S17" i="18"/>
  <c r="S37" i="18" s="1"/>
  <c r="AE16" i="18"/>
  <c r="AD16" i="18"/>
  <c r="AC16" i="18"/>
  <c r="Z16" i="18"/>
  <c r="Y16" i="18"/>
  <c r="X16" i="18"/>
  <c r="U16" i="18"/>
  <c r="U36" i="18" s="1"/>
  <c r="T16" i="18"/>
  <c r="T36" i="18" s="1"/>
  <c r="S16" i="18"/>
  <c r="S36" i="18" s="1"/>
  <c r="AE15" i="18"/>
  <c r="AD15" i="18"/>
  <c r="AC15" i="18"/>
  <c r="Z15" i="18"/>
  <c r="Y15" i="18"/>
  <c r="X15" i="18"/>
  <c r="U15" i="18"/>
  <c r="U35" i="18" s="1"/>
  <c r="T15" i="18"/>
  <c r="T35" i="18" s="1"/>
  <c r="S15" i="18"/>
  <c r="S35" i="18" s="1"/>
  <c r="AE14" i="18"/>
  <c r="AD14" i="18"/>
  <c r="AC14" i="18"/>
  <c r="Z14" i="18"/>
  <c r="Y14" i="18"/>
  <c r="X14" i="18"/>
  <c r="U14" i="18"/>
  <c r="U34" i="18" s="1"/>
  <c r="T14" i="18"/>
  <c r="T34" i="18" s="1"/>
  <c r="S14" i="18"/>
  <c r="S34" i="18" s="1"/>
  <c r="AE13" i="18"/>
  <c r="AD13" i="18"/>
  <c r="AC13" i="18"/>
  <c r="Z13" i="18"/>
  <c r="Y13" i="18"/>
  <c r="X13" i="18"/>
  <c r="U13" i="18"/>
  <c r="U33" i="18" s="1"/>
  <c r="T13" i="18"/>
  <c r="T33" i="18" s="1"/>
  <c r="S13" i="18"/>
  <c r="S33" i="18" s="1"/>
  <c r="AE12" i="18"/>
  <c r="AD12" i="18"/>
  <c r="AC12" i="18"/>
  <c r="Z12" i="18"/>
  <c r="Y12" i="18"/>
  <c r="X12" i="18"/>
  <c r="U12" i="18"/>
  <c r="R12" i="18" s="1"/>
  <c r="R32" i="18" s="1"/>
  <c r="T12" i="18"/>
  <c r="T32" i="18" s="1"/>
  <c r="S12" i="18"/>
  <c r="S32" i="18" s="1"/>
  <c r="AE11" i="18"/>
  <c r="AD11" i="18"/>
  <c r="AC11" i="18"/>
  <c r="Z11" i="18"/>
  <c r="Y11" i="18"/>
  <c r="X11" i="18"/>
  <c r="U11" i="18"/>
  <c r="R11" i="18" s="1"/>
  <c r="R31" i="18" s="1"/>
  <c r="T11" i="18"/>
  <c r="T31" i="18" s="1"/>
  <c r="S11" i="18"/>
  <c r="S31" i="18" s="1"/>
  <c r="AE10" i="18"/>
  <c r="AD10" i="18"/>
  <c r="AC10" i="18"/>
  <c r="Z10" i="18"/>
  <c r="Y10" i="18"/>
  <c r="X10" i="18"/>
  <c r="U10" i="18"/>
  <c r="U30" i="18" s="1"/>
  <c r="T10" i="18"/>
  <c r="T30" i="18" s="1"/>
  <c r="S10" i="18"/>
  <c r="S30" i="18" s="1"/>
  <c r="AE9" i="18"/>
  <c r="AD9" i="18"/>
  <c r="AC9" i="18"/>
  <c r="Z9" i="18"/>
  <c r="Y9" i="18"/>
  <c r="X9" i="18"/>
  <c r="U9" i="18"/>
  <c r="U29" i="18" s="1"/>
  <c r="T9" i="18"/>
  <c r="T29" i="18" s="1"/>
  <c r="S9" i="18"/>
  <c r="S29" i="18" s="1"/>
  <c r="AE8" i="18"/>
  <c r="AD8" i="18"/>
  <c r="AC8" i="18"/>
  <c r="Z8" i="18"/>
  <c r="Y8" i="18"/>
  <c r="X8" i="18"/>
  <c r="U8" i="18"/>
  <c r="U28" i="18" s="1"/>
  <c r="T8" i="18"/>
  <c r="T28" i="18" s="1"/>
  <c r="S8" i="18"/>
  <c r="S28" i="18" s="1"/>
  <c r="AE7" i="18"/>
  <c r="AD7" i="18"/>
  <c r="AC7" i="18"/>
  <c r="Z7" i="18"/>
  <c r="Y7" i="18"/>
  <c r="X7" i="18"/>
  <c r="U7" i="18"/>
  <c r="U27" i="18" s="1"/>
  <c r="T7" i="18"/>
  <c r="T27" i="18" s="1"/>
  <c r="S7" i="18"/>
  <c r="S27" i="18" s="1"/>
  <c r="AE6" i="18"/>
  <c r="AD6" i="18"/>
  <c r="AC6" i="18"/>
  <c r="Z6" i="18"/>
  <c r="Y6" i="18"/>
  <c r="X6" i="18"/>
  <c r="U6" i="18"/>
  <c r="U26" i="18" s="1"/>
  <c r="T6" i="18"/>
  <c r="T26" i="18" s="1"/>
  <c r="S6" i="18"/>
  <c r="S26" i="18" s="1"/>
  <c r="AE5" i="18"/>
  <c r="AD5" i="18"/>
  <c r="AC5" i="18"/>
  <c r="Z5" i="18"/>
  <c r="Y5" i="18"/>
  <c r="X5" i="18"/>
  <c r="U5" i="18"/>
  <c r="U25" i="18" s="1"/>
  <c r="T5" i="18"/>
  <c r="T25" i="18" s="1"/>
  <c r="S5" i="18"/>
  <c r="S25" i="18" s="1"/>
  <c r="M5" i="18"/>
  <c r="C13" i="5" s="1"/>
  <c r="L5" i="18"/>
  <c r="B13" i="5" s="1"/>
  <c r="AE4" i="18"/>
  <c r="AD4" i="18"/>
  <c r="AC4" i="18"/>
  <c r="Z4" i="18"/>
  <c r="S13" i="5" s="1"/>
  <c r="Y4" i="18"/>
  <c r="R13" i="5" s="1"/>
  <c r="X4" i="18"/>
  <c r="X13" i="4" s="1"/>
  <c r="U4" i="18"/>
  <c r="U24" i="18" s="1"/>
  <c r="T4" i="18"/>
  <c r="T24" i="18" s="1"/>
  <c r="S4" i="18"/>
  <c r="S24" i="18" s="1"/>
  <c r="M4" i="18"/>
  <c r="C13" i="6" s="1"/>
  <c r="L4" i="18"/>
  <c r="B13" i="6" s="1"/>
  <c r="AE3" i="18"/>
  <c r="AD3" i="18"/>
  <c r="AC3" i="18"/>
  <c r="U3" i="18"/>
  <c r="U23" i="18" s="1"/>
  <c r="T3" i="18"/>
  <c r="T23" i="18" s="1"/>
  <c r="S3" i="18"/>
  <c r="S23" i="18" s="1"/>
  <c r="M3" i="18"/>
  <c r="C13" i="4" s="1"/>
  <c r="L3" i="18"/>
  <c r="F14" i="3" s="1"/>
  <c r="AE18" i="17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D6" i="16"/>
  <c r="AC6" i="16"/>
  <c r="AE5" i="16"/>
  <c r="AD5" i="16"/>
  <c r="AC5" i="16"/>
  <c r="AE4" i="16"/>
  <c r="AD4" i="16"/>
  <c r="AC4" i="16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9"/>
  <c r="AD18" i="9"/>
  <c r="AC18" i="9"/>
  <c r="AE17" i="9"/>
  <c r="AD17" i="9"/>
  <c r="AC17" i="9"/>
  <c r="AE16" i="9"/>
  <c r="AD16" i="9"/>
  <c r="AC16" i="9"/>
  <c r="AE15" i="9"/>
  <c r="AD15" i="9"/>
  <c r="AC15" i="9"/>
  <c r="AE14" i="9"/>
  <c r="AD14" i="9"/>
  <c r="AC14" i="9"/>
  <c r="AE13" i="9"/>
  <c r="AD13" i="9"/>
  <c r="AC13" i="9"/>
  <c r="AE12" i="9"/>
  <c r="AD12" i="9"/>
  <c r="AC12" i="9"/>
  <c r="AE11" i="9"/>
  <c r="AD11" i="9"/>
  <c r="AC11" i="9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C18" i="8"/>
  <c r="AE17" i="8"/>
  <c r="AD17" i="8"/>
  <c r="AC17" i="8"/>
  <c r="AE15" i="8"/>
  <c r="AD15" i="8"/>
  <c r="AC15" i="8"/>
  <c r="AE14" i="8"/>
  <c r="AD14" i="8"/>
  <c r="AC14" i="8"/>
  <c r="AE10" i="8"/>
  <c r="AD10" i="8"/>
  <c r="AC10" i="8"/>
  <c r="AE9" i="8"/>
  <c r="AD9" i="8"/>
  <c r="AC9" i="8"/>
  <c r="D12" i="6"/>
  <c r="C12" i="6"/>
  <c r="B12" i="6"/>
  <c r="A12" i="6"/>
  <c r="D12" i="5"/>
  <c r="C12" i="5"/>
  <c r="B12" i="5"/>
  <c r="A12" i="5"/>
  <c r="Y12" i="4"/>
  <c r="X12" i="4"/>
  <c r="Z12" i="4" s="1"/>
  <c r="T12" i="4"/>
  <c r="S12" i="4"/>
  <c r="D12" i="4"/>
  <c r="C12" i="4"/>
  <c r="B12" i="4"/>
  <c r="A12" i="4"/>
  <c r="I84" i="3" s="1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Q43" i="16"/>
  <c r="A11" i="6"/>
  <c r="A11" i="5"/>
  <c r="A11" i="4"/>
  <c r="I83" i="3" s="1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N19" i="4" l="1"/>
  <c r="AN9" i="4"/>
  <c r="AC74" i="3"/>
  <c r="AC67" i="3"/>
  <c r="S7" i="26"/>
  <c r="S27" i="26" s="1"/>
  <c r="S15" i="26"/>
  <c r="S35" i="26" s="1"/>
  <c r="S3" i="26"/>
  <c r="S23" i="26" s="1"/>
  <c r="S4" i="26"/>
  <c r="S24" i="26" s="1"/>
  <c r="R45" i="26"/>
  <c r="R46" i="26"/>
  <c r="S5" i="26"/>
  <c r="S25" i="26" s="1"/>
  <c r="S9" i="26"/>
  <c r="S29" i="26" s="1"/>
  <c r="S13" i="26"/>
  <c r="S33" i="26" s="1"/>
  <c r="S17" i="26"/>
  <c r="S37" i="26" s="1"/>
  <c r="V26" i="26"/>
  <c r="R47" i="26" s="1"/>
  <c r="V34" i="26"/>
  <c r="S10" i="26"/>
  <c r="S30" i="26" s="1"/>
  <c r="S18" i="26"/>
  <c r="S38" i="26" s="1"/>
  <c r="V32" i="26"/>
  <c r="S8" i="26"/>
  <c r="S28" i="26" s="1"/>
  <c r="S16" i="26"/>
  <c r="S36" i="26" s="1"/>
  <c r="AN14" i="4"/>
  <c r="AN6" i="4"/>
  <c r="S6" i="25"/>
  <c r="S26" i="25" s="1"/>
  <c r="S11" i="25"/>
  <c r="S31" i="25" s="1"/>
  <c r="S16" i="25"/>
  <c r="S36" i="25" s="1"/>
  <c r="S7" i="25"/>
  <c r="S27" i="25" s="1"/>
  <c r="S18" i="25"/>
  <c r="S38" i="25" s="1"/>
  <c r="R46" i="25"/>
  <c r="R47" i="25"/>
  <c r="S8" i="25"/>
  <c r="S28" i="25" s="1"/>
  <c r="S12" i="25"/>
  <c r="S32" i="25" s="1"/>
  <c r="S5" i="25"/>
  <c r="S25" i="25" s="1"/>
  <c r="S9" i="25"/>
  <c r="S29" i="25" s="1"/>
  <c r="S13" i="25"/>
  <c r="S33" i="25" s="1"/>
  <c r="S17" i="25"/>
  <c r="S37" i="25" s="1"/>
  <c r="Z15" i="4"/>
  <c r="U15" i="4"/>
  <c r="U12" i="4"/>
  <c r="AI75" i="3"/>
  <c r="AE67" i="3"/>
  <c r="S5" i="23"/>
  <c r="S25" i="23" s="1"/>
  <c r="S9" i="23"/>
  <c r="S29" i="23" s="1"/>
  <c r="S13" i="23"/>
  <c r="S33" i="23" s="1"/>
  <c r="S17" i="23"/>
  <c r="S37" i="23" s="1"/>
  <c r="R45" i="23"/>
  <c r="R46" i="23"/>
  <c r="V34" i="23"/>
  <c r="S10" i="23"/>
  <c r="S30" i="23" s="1"/>
  <c r="S18" i="23"/>
  <c r="S38" i="23" s="1"/>
  <c r="V24" i="23"/>
  <c r="V32" i="23"/>
  <c r="V23" i="23"/>
  <c r="S7" i="23"/>
  <c r="S27" i="23" s="1"/>
  <c r="S15" i="23"/>
  <c r="S35" i="23" s="1"/>
  <c r="S8" i="23"/>
  <c r="S28" i="23" s="1"/>
  <c r="S16" i="23"/>
  <c r="S36" i="23" s="1"/>
  <c r="O3" i="22"/>
  <c r="S7" i="22"/>
  <c r="S27" i="22" s="1"/>
  <c r="O4" i="22"/>
  <c r="S3" i="22"/>
  <c r="S23" i="22" s="1"/>
  <c r="O5" i="22"/>
  <c r="R45" i="22"/>
  <c r="R46" i="22"/>
  <c r="S5" i="22"/>
  <c r="S25" i="22" s="1"/>
  <c r="S9" i="22"/>
  <c r="S29" i="22" s="1"/>
  <c r="S13" i="22"/>
  <c r="S33" i="22" s="1"/>
  <c r="S17" i="22"/>
  <c r="S37" i="22" s="1"/>
  <c r="V26" i="22"/>
  <c r="V34" i="22"/>
  <c r="S4" i="22"/>
  <c r="S24" i="22" s="1"/>
  <c r="S10" i="22"/>
  <c r="S30" i="22" s="1"/>
  <c r="S18" i="22"/>
  <c r="S38" i="22" s="1"/>
  <c r="V32" i="22"/>
  <c r="V31" i="22"/>
  <c r="S15" i="22"/>
  <c r="S35" i="22" s="1"/>
  <c r="S8" i="22"/>
  <c r="S28" i="22" s="1"/>
  <c r="S16" i="22"/>
  <c r="S36" i="22" s="1"/>
  <c r="E17" i="3"/>
  <c r="N4" i="21"/>
  <c r="R9" i="21"/>
  <c r="R29" i="21" s="1"/>
  <c r="Q46" i="21"/>
  <c r="N5" i="21"/>
  <c r="O5" i="21" s="1"/>
  <c r="R5" i="21"/>
  <c r="R25" i="21" s="1"/>
  <c r="R11" i="21"/>
  <c r="R31" i="21" s="1"/>
  <c r="R17" i="21"/>
  <c r="R37" i="21" s="1"/>
  <c r="R7" i="21"/>
  <c r="R27" i="21" s="1"/>
  <c r="R13" i="21"/>
  <c r="R33" i="21" s="1"/>
  <c r="Q45" i="21"/>
  <c r="O4" i="21"/>
  <c r="U26" i="21"/>
  <c r="U34" i="21"/>
  <c r="R10" i="21"/>
  <c r="R30" i="21" s="1"/>
  <c r="R18" i="21"/>
  <c r="R38" i="21" s="1"/>
  <c r="U23" i="21"/>
  <c r="R8" i="21"/>
  <c r="R28" i="21" s="1"/>
  <c r="R16" i="21"/>
  <c r="R36" i="21" s="1"/>
  <c r="O3" i="20"/>
  <c r="N5" i="20"/>
  <c r="O4" i="20"/>
  <c r="Q45" i="20"/>
  <c r="Q46" i="20"/>
  <c r="O5" i="20"/>
  <c r="R5" i="20"/>
  <c r="R25" i="20" s="1"/>
  <c r="R9" i="20"/>
  <c r="R29" i="20" s="1"/>
  <c r="R13" i="20"/>
  <c r="R33" i="20" s="1"/>
  <c r="R17" i="20"/>
  <c r="R37" i="20" s="1"/>
  <c r="U26" i="20"/>
  <c r="U34" i="20"/>
  <c r="R4" i="20"/>
  <c r="R24" i="20" s="1"/>
  <c r="R10" i="20"/>
  <c r="R30" i="20" s="1"/>
  <c r="U32" i="20"/>
  <c r="U31" i="20"/>
  <c r="R7" i="20"/>
  <c r="R27" i="20" s="1"/>
  <c r="R15" i="20"/>
  <c r="R35" i="20" s="1"/>
  <c r="R8" i="20"/>
  <c r="R28" i="20" s="1"/>
  <c r="R16" i="20"/>
  <c r="R36" i="20" s="1"/>
  <c r="Q46" i="19"/>
  <c r="N4" i="19"/>
  <c r="B14" i="5"/>
  <c r="D15" i="3"/>
  <c r="S14" i="4"/>
  <c r="U14" i="4" s="1"/>
  <c r="F15" i="3"/>
  <c r="E15" i="3" s="1"/>
  <c r="T14" i="4"/>
  <c r="S14" i="5"/>
  <c r="R9" i="19"/>
  <c r="R16" i="19"/>
  <c r="N3" i="19"/>
  <c r="O5" i="19" s="1"/>
  <c r="D14" i="5" s="1"/>
  <c r="K86" i="3" s="1"/>
  <c r="K87" i="3" s="1"/>
  <c r="K88" i="3" s="1"/>
  <c r="R12" i="19"/>
  <c r="R17" i="19"/>
  <c r="R8" i="19"/>
  <c r="R13" i="19"/>
  <c r="Q45" i="19"/>
  <c r="U26" i="19"/>
  <c r="U34" i="19"/>
  <c r="R4" i="19"/>
  <c r="R10" i="19"/>
  <c r="R18" i="19"/>
  <c r="U31" i="19"/>
  <c r="R7" i="19"/>
  <c r="R15" i="19"/>
  <c r="B13" i="4"/>
  <c r="AD44" i="3"/>
  <c r="AE44" i="3" s="1"/>
  <c r="AD36" i="3"/>
  <c r="AE36" i="3" s="1"/>
  <c r="AF44" i="3"/>
  <c r="AG44" i="3" s="1"/>
  <c r="AF36" i="3"/>
  <c r="AG36" i="3" s="1"/>
  <c r="AH44" i="3"/>
  <c r="AI44" i="3" s="1"/>
  <c r="AH36" i="3"/>
  <c r="AI36" i="3" s="1"/>
  <c r="AD43" i="3"/>
  <c r="AE43" i="3" s="1"/>
  <c r="AD35" i="3"/>
  <c r="AE35" i="3" s="1"/>
  <c r="AF43" i="3"/>
  <c r="AG43" i="3" s="1"/>
  <c r="AF35" i="3"/>
  <c r="AG35" i="3" s="1"/>
  <c r="AH43" i="3"/>
  <c r="AI43" i="3" s="1"/>
  <c r="AH35" i="3"/>
  <c r="AI35" i="3" s="1"/>
  <c r="AD42" i="3"/>
  <c r="AE42" i="3" s="1"/>
  <c r="AD34" i="3"/>
  <c r="AE34" i="3" s="1"/>
  <c r="AF42" i="3"/>
  <c r="AG42" i="3" s="1"/>
  <c r="AF34" i="3"/>
  <c r="AG34" i="3" s="1"/>
  <c r="AH42" i="3"/>
  <c r="AI42" i="3" s="1"/>
  <c r="AH34" i="3"/>
  <c r="AI34" i="3" s="1"/>
  <c r="S13" i="4"/>
  <c r="U13" i="4" s="1"/>
  <c r="AD41" i="3"/>
  <c r="AE41" i="3" s="1"/>
  <c r="AD33" i="3"/>
  <c r="AE33" i="3" s="1"/>
  <c r="AF41" i="3"/>
  <c r="AG41" i="3" s="1"/>
  <c r="AF33" i="3"/>
  <c r="AG33" i="3" s="1"/>
  <c r="AH41" i="3"/>
  <c r="AI41" i="3" s="1"/>
  <c r="AH33" i="3"/>
  <c r="AI33" i="3" s="1"/>
  <c r="T13" i="4"/>
  <c r="AD40" i="3"/>
  <c r="AE40" i="3" s="1"/>
  <c r="AD32" i="3"/>
  <c r="AE32" i="3" s="1"/>
  <c r="AF40" i="3"/>
  <c r="AG40" i="3" s="1"/>
  <c r="AF32" i="3"/>
  <c r="AG32" i="3" s="1"/>
  <c r="AH40" i="3"/>
  <c r="AI40" i="3" s="1"/>
  <c r="AH32" i="3"/>
  <c r="AI32" i="3" s="1"/>
  <c r="D14" i="3"/>
  <c r="E14" i="3" s="1"/>
  <c r="AD39" i="3"/>
  <c r="AE39" i="3" s="1"/>
  <c r="AD31" i="3"/>
  <c r="AE31" i="3" s="1"/>
  <c r="AF39" i="3"/>
  <c r="AG39" i="3" s="1"/>
  <c r="AF31" i="3"/>
  <c r="AG31" i="3" s="1"/>
  <c r="AH39" i="3"/>
  <c r="AI39" i="3" s="1"/>
  <c r="AH31" i="3"/>
  <c r="AI31" i="3" s="1"/>
  <c r="Y13" i="4"/>
  <c r="Z13" i="4" s="1"/>
  <c r="AB38" i="3"/>
  <c r="AC38" i="3" s="1"/>
  <c r="AD38" i="3"/>
  <c r="AE38" i="3" s="1"/>
  <c r="AD30" i="3"/>
  <c r="AE30" i="3" s="1"/>
  <c r="AF38" i="3"/>
  <c r="AG38" i="3" s="1"/>
  <c r="AF30" i="3"/>
  <c r="AG30" i="3" s="1"/>
  <c r="AH38" i="3"/>
  <c r="AI38" i="3" s="1"/>
  <c r="AH30" i="3"/>
  <c r="AI30" i="3" s="1"/>
  <c r="R3" i="18"/>
  <c r="AB37" i="3"/>
  <c r="AC37" i="3" s="1"/>
  <c r="AD29" i="3"/>
  <c r="AD37" i="3"/>
  <c r="AE37" i="3" s="1"/>
  <c r="AF29" i="3"/>
  <c r="AF37" i="3"/>
  <c r="AG37" i="3" s="1"/>
  <c r="AH29" i="3"/>
  <c r="AH37" i="3"/>
  <c r="AI37" i="3" s="1"/>
  <c r="R6" i="18"/>
  <c r="R14" i="18"/>
  <c r="N4" i="18"/>
  <c r="R4" i="18"/>
  <c r="Q46" i="18"/>
  <c r="R10" i="18"/>
  <c r="N5" i="18"/>
  <c r="O3" i="18" s="1"/>
  <c r="D13" i="4" s="1"/>
  <c r="R18" i="18"/>
  <c r="N3" i="18"/>
  <c r="Q45" i="18"/>
  <c r="R5" i="18"/>
  <c r="R9" i="18"/>
  <c r="R13" i="18"/>
  <c r="R17" i="18"/>
  <c r="U32" i="18"/>
  <c r="U31" i="18"/>
  <c r="R7" i="18"/>
  <c r="R15" i="18"/>
  <c r="R8" i="18"/>
  <c r="R16" i="18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Z11" i="4" s="1"/>
  <c r="R11" i="5"/>
  <c r="B11" i="4"/>
  <c r="D12" i="3"/>
  <c r="C11" i="4"/>
  <c r="S11" i="4"/>
  <c r="U11" i="4" s="1"/>
  <c r="R7" i="16"/>
  <c r="R27" i="16" s="1"/>
  <c r="E12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R44" i="26" l="1"/>
  <c r="R44" i="25"/>
  <c r="R44" i="23"/>
  <c r="R47" i="23"/>
  <c r="R47" i="22"/>
  <c r="R44" i="22"/>
  <c r="Q47" i="21"/>
  <c r="Q44" i="21"/>
  <c r="Q44" i="20"/>
  <c r="Q47" i="20"/>
  <c r="R27" i="19"/>
  <c r="R33" i="19"/>
  <c r="R36" i="19"/>
  <c r="R29" i="19"/>
  <c r="R28" i="19"/>
  <c r="O3" i="19"/>
  <c r="D14" i="4" s="1"/>
  <c r="R38" i="19"/>
  <c r="R30" i="19"/>
  <c r="O4" i="19"/>
  <c r="D14" i="6" s="1"/>
  <c r="L86" i="3" s="1"/>
  <c r="L87" i="3" s="1"/>
  <c r="L88" i="3" s="1"/>
  <c r="R35" i="19"/>
  <c r="R24" i="19"/>
  <c r="R37" i="19"/>
  <c r="R32" i="19"/>
  <c r="Q47" i="19"/>
  <c r="R30" i="18"/>
  <c r="AB36" i="3"/>
  <c r="AC36" i="3" s="1"/>
  <c r="R36" i="18"/>
  <c r="AB42" i="3"/>
  <c r="AC42" i="3" s="1"/>
  <c r="R29" i="18"/>
  <c r="AB35" i="3"/>
  <c r="AC35" i="3" s="1"/>
  <c r="R24" i="18"/>
  <c r="Q44" i="18" s="1"/>
  <c r="AB30" i="3"/>
  <c r="AC30" i="3" s="1"/>
  <c r="R33" i="18"/>
  <c r="AB39" i="3"/>
  <c r="AC39" i="3" s="1"/>
  <c r="R28" i="18"/>
  <c r="AB34" i="3"/>
  <c r="AC34" i="3" s="1"/>
  <c r="R25" i="18"/>
  <c r="AB31" i="3"/>
  <c r="AC31" i="3" s="1"/>
  <c r="R37" i="18"/>
  <c r="AB43" i="3"/>
  <c r="AC43" i="3" s="1"/>
  <c r="R35" i="18"/>
  <c r="AB41" i="3"/>
  <c r="AC41" i="3" s="1"/>
  <c r="R34" i="18"/>
  <c r="AB40" i="3"/>
  <c r="AC40" i="3" s="1"/>
  <c r="R27" i="18"/>
  <c r="AB33" i="3"/>
  <c r="AC33" i="3" s="1"/>
  <c r="O4" i="18"/>
  <c r="D13" i="6" s="1"/>
  <c r="R26" i="18"/>
  <c r="AB32" i="3"/>
  <c r="AC32" i="3" s="1"/>
  <c r="R38" i="18"/>
  <c r="AB44" i="3"/>
  <c r="AC44" i="3" s="1"/>
  <c r="R23" i="18"/>
  <c r="AB29" i="3"/>
  <c r="Q47" i="18"/>
  <c r="O5" i="18"/>
  <c r="D13" i="5" s="1"/>
  <c r="Q44" i="17"/>
  <c r="Q47" i="17"/>
  <c r="AE29" i="3"/>
  <c r="Q47" i="16"/>
  <c r="AC29" i="3"/>
  <c r="AI29" i="3"/>
  <c r="AG29" i="3"/>
  <c r="Q44" i="16"/>
  <c r="O5" i="16"/>
  <c r="D11" i="5" s="1"/>
  <c r="Q44" i="19" l="1"/>
  <c r="S10" i="5"/>
  <c r="R10" i="5"/>
  <c r="Y10" i="4"/>
  <c r="X10" i="4"/>
  <c r="T10" i="4"/>
  <c r="S10" i="4"/>
  <c r="AL8" i="4"/>
  <c r="AL12" i="4"/>
  <c r="AL11" i="4"/>
  <c r="AL14" i="4"/>
  <c r="W68" i="3"/>
  <c r="X68" i="3" s="1"/>
  <c r="W69" i="3"/>
  <c r="W70" i="3"/>
  <c r="W71" i="3"/>
  <c r="W72" i="3"/>
  <c r="X72" i="3" s="1"/>
  <c r="W73" i="3"/>
  <c r="W74" i="3"/>
  <c r="W75" i="3"/>
  <c r="X75" i="3" s="1"/>
  <c r="W76" i="3"/>
  <c r="X76" i="3" s="1"/>
  <c r="W77" i="3"/>
  <c r="W78" i="3"/>
  <c r="X78" i="3" s="1"/>
  <c r="W79" i="3"/>
  <c r="X79" i="3" s="1"/>
  <c r="W80" i="3"/>
  <c r="X80" i="3" s="1"/>
  <c r="W81" i="3"/>
  <c r="X81" i="3" s="1"/>
  <c r="W82" i="3"/>
  <c r="W67" i="3"/>
  <c r="X67" i="3" s="1"/>
  <c r="U68" i="3"/>
  <c r="U69" i="3"/>
  <c r="U70" i="3"/>
  <c r="U71" i="3"/>
  <c r="V71" i="3" s="1"/>
  <c r="U72" i="3"/>
  <c r="U73" i="3"/>
  <c r="V73" i="3" s="1"/>
  <c r="U74" i="3"/>
  <c r="V74" i="3" s="1"/>
  <c r="U75" i="3"/>
  <c r="V75" i="3" s="1"/>
  <c r="U76" i="3"/>
  <c r="U77" i="3"/>
  <c r="U78" i="3"/>
  <c r="U79" i="3"/>
  <c r="V79" i="3" s="1"/>
  <c r="U80" i="3"/>
  <c r="U81" i="3"/>
  <c r="V81" i="3" s="1"/>
  <c r="U82" i="3"/>
  <c r="V82" i="3" s="1"/>
  <c r="U67" i="3"/>
  <c r="V67" i="3" s="1"/>
  <c r="S68" i="3"/>
  <c r="T68" i="3" s="1"/>
  <c r="S69" i="3"/>
  <c r="S70" i="3"/>
  <c r="S71" i="3"/>
  <c r="T71" i="3" s="1"/>
  <c r="S72" i="3"/>
  <c r="T72" i="3" s="1"/>
  <c r="S73" i="3"/>
  <c r="S74" i="3"/>
  <c r="T74" i="3" s="1"/>
  <c r="S75" i="3"/>
  <c r="T75" i="3" s="1"/>
  <c r="S76" i="3"/>
  <c r="T76" i="3" s="1"/>
  <c r="S77" i="3"/>
  <c r="S78" i="3"/>
  <c r="S79" i="3"/>
  <c r="T79" i="3" s="1"/>
  <c r="S80" i="3"/>
  <c r="T80" i="3" s="1"/>
  <c r="S81" i="3"/>
  <c r="S82" i="3"/>
  <c r="T82" i="3" s="1"/>
  <c r="S67" i="3"/>
  <c r="Q68" i="3"/>
  <c r="Q69" i="3"/>
  <c r="Q70" i="3"/>
  <c r="R70" i="3" s="1"/>
  <c r="Q71" i="3"/>
  <c r="R71" i="3" s="1"/>
  <c r="Q72" i="3"/>
  <c r="Q73" i="3"/>
  <c r="Q74" i="3"/>
  <c r="Q75" i="3"/>
  <c r="R75" i="3" s="1"/>
  <c r="Q76" i="3"/>
  <c r="R76" i="3" s="1"/>
  <c r="Q77" i="3"/>
  <c r="Q78" i="3"/>
  <c r="Q79" i="3"/>
  <c r="R79" i="3" s="1"/>
  <c r="Q80" i="3"/>
  <c r="R80" i="3" s="1"/>
  <c r="Q81" i="3"/>
  <c r="Q82" i="3"/>
  <c r="Q67" i="3"/>
  <c r="R67" i="3" s="1"/>
  <c r="D10" i="6"/>
  <c r="C10" i="6"/>
  <c r="B10" i="6"/>
  <c r="A10" i="6"/>
  <c r="D10" i="5"/>
  <c r="C10" i="5"/>
  <c r="B10" i="5"/>
  <c r="A10" i="5"/>
  <c r="D10" i="4"/>
  <c r="C10" i="4"/>
  <c r="B10" i="4"/>
  <c r="A10" i="4"/>
  <c r="I82" i="3" s="1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9" i="3"/>
  <c r="V78" i="3"/>
  <c r="R73" i="3"/>
  <c r="R82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L3" i="14"/>
  <c r="N3" i="14" s="1"/>
  <c r="A9" i="6"/>
  <c r="A9" i="5"/>
  <c r="A9" i="4"/>
  <c r="I81" i="3" s="1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7" i="3"/>
  <c r="V70" i="3"/>
  <c r="V77" i="3"/>
  <c r="V80" i="3"/>
  <c r="T70" i="3"/>
  <c r="T77" i="3"/>
  <c r="T78" i="3"/>
  <c r="T67" i="3"/>
  <c r="R72" i="3"/>
  <c r="R78" i="3"/>
  <c r="T81" i="3"/>
  <c r="R77" i="3"/>
  <c r="V76" i="3"/>
  <c r="T73" i="3"/>
  <c r="V72" i="3"/>
  <c r="V69" i="3"/>
  <c r="R69" i="3"/>
  <c r="V68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L5" i="4"/>
  <c r="AL6" i="4"/>
  <c r="AL7" i="4"/>
  <c r="AL9" i="4"/>
  <c r="AL10" i="4"/>
  <c r="AL13" i="4"/>
  <c r="AL15" i="4"/>
  <c r="AL16" i="4"/>
  <c r="AL17" i="4"/>
  <c r="AL18" i="4"/>
  <c r="AL19" i="4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I80" i="3" s="1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I79" i="3" s="1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U10" i="4" l="1"/>
  <c r="Z9" i="4"/>
  <c r="Z10" i="4"/>
  <c r="S8" i="3"/>
  <c r="U8" i="3"/>
  <c r="W8" i="3"/>
  <c r="AK16" i="4"/>
  <c r="AK15" i="4"/>
  <c r="AK10" i="4"/>
  <c r="AK14" i="4"/>
  <c r="AK13" i="4"/>
  <c r="AG9" i="4"/>
  <c r="AG19" i="4"/>
  <c r="AI18" i="4"/>
  <c r="AK6" i="4"/>
  <c r="AK8" i="4"/>
  <c r="AK11" i="4"/>
  <c r="AK7" i="4"/>
  <c r="AK12" i="4"/>
  <c r="AK17" i="4"/>
  <c r="AI5" i="4"/>
  <c r="AK4" i="4"/>
  <c r="AI8" i="4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F9" i="3"/>
  <c r="Y8" i="4"/>
  <c r="Z8" i="4" s="1"/>
  <c r="B8" i="4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Z7" i="4" s="1"/>
  <c r="R4" i="11"/>
  <c r="R15" i="11"/>
  <c r="N5" i="11"/>
  <c r="C7" i="5"/>
  <c r="S7" i="4"/>
  <c r="U7" i="4" s="1"/>
  <c r="R7" i="5"/>
  <c r="D8" i="3"/>
  <c r="E8" i="3" s="1"/>
  <c r="R8" i="11"/>
  <c r="F8" i="3"/>
  <c r="R7" i="11"/>
  <c r="R12" i="11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8" i="4" l="1"/>
  <c r="E9" i="3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Z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I78" i="3" s="1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I77" i="3" s="1"/>
  <c r="C4" i="4"/>
  <c r="A4" i="4"/>
  <c r="I76" i="3" s="1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W14" i="3" s="1"/>
  <c r="Q43" i="3"/>
  <c r="Q22" i="3" s="1"/>
  <c r="W34" i="3"/>
  <c r="W13" i="3" s="1"/>
  <c r="U42" i="3"/>
  <c r="U21" i="3" s="1"/>
  <c r="S44" i="3"/>
  <c r="S23" i="3" s="1"/>
  <c r="Q33" i="3"/>
  <c r="U37" i="3"/>
  <c r="U16" i="3" s="1"/>
  <c r="S43" i="3"/>
  <c r="S42" i="3"/>
  <c r="S21" i="3" s="1"/>
  <c r="W44" i="3"/>
  <c r="W23" i="3" s="1"/>
  <c r="S35" i="3"/>
  <c r="S14" i="3" s="1"/>
  <c r="W43" i="3"/>
  <c r="W22" i="3" s="1"/>
  <c r="S34" i="3"/>
  <c r="S13" i="3" s="1"/>
  <c r="W36" i="3"/>
  <c r="W15" i="3" s="1"/>
  <c r="S33" i="3"/>
  <c r="S12" i="3" s="1"/>
  <c r="U44" i="3"/>
  <c r="U23" i="3" s="1"/>
  <c r="U35" i="3"/>
  <c r="U14" i="3" s="1"/>
  <c r="U43" i="3"/>
  <c r="U22" i="3" s="1"/>
  <c r="U34" i="3"/>
  <c r="W42" i="3"/>
  <c r="W33" i="3"/>
  <c r="S41" i="3"/>
  <c r="S32" i="3"/>
  <c r="S11" i="3" s="1"/>
  <c r="Q39" i="3"/>
  <c r="Q18" i="3" s="1"/>
  <c r="Q31" i="3"/>
  <c r="Q10" i="3" s="1"/>
  <c r="R16" i="8"/>
  <c r="U33" i="3"/>
  <c r="U12" i="3" s="1"/>
  <c r="W41" i="3"/>
  <c r="W32" i="3"/>
  <c r="W11" i="3" s="1"/>
  <c r="S39" i="3"/>
  <c r="S31" i="3"/>
  <c r="S10" i="3" s="1"/>
  <c r="Q38" i="3"/>
  <c r="Q17" i="3" s="1"/>
  <c r="R15" i="8"/>
  <c r="U41" i="3"/>
  <c r="U20" i="3" s="1"/>
  <c r="U32" i="3"/>
  <c r="U11" i="3" s="1"/>
  <c r="W39" i="3"/>
  <c r="W18" i="3" s="1"/>
  <c r="W31" i="3"/>
  <c r="W10" i="3" s="1"/>
  <c r="S38" i="3"/>
  <c r="S30" i="3"/>
  <c r="S9" i="3" s="1"/>
  <c r="R6" i="8"/>
  <c r="U39" i="3"/>
  <c r="U18" i="3" s="1"/>
  <c r="U31" i="3"/>
  <c r="U10" i="3" s="1"/>
  <c r="W38" i="3"/>
  <c r="W17" i="3" s="1"/>
  <c r="W30" i="3"/>
  <c r="S37" i="3"/>
  <c r="T29" i="3"/>
  <c r="U36" i="3"/>
  <c r="U15" i="3" s="1"/>
  <c r="U38" i="3"/>
  <c r="U17" i="3" s="1"/>
  <c r="U30" i="3"/>
  <c r="U9" i="3" s="1"/>
  <c r="W37" i="3"/>
  <c r="W16" i="3" s="1"/>
  <c r="S36" i="3"/>
  <c r="Q44" i="3"/>
  <c r="Q23" i="3" s="1"/>
  <c r="Q35" i="3"/>
  <c r="Q14" i="3" s="1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W40" i="3"/>
  <c r="W19" i="3" s="1"/>
  <c r="S40" i="3"/>
  <c r="S19" i="3" s="1"/>
  <c r="X6" i="4"/>
  <c r="Z6" i="4" s="1"/>
  <c r="R12" i="10"/>
  <c r="R11" i="10"/>
  <c r="T6" i="4"/>
  <c r="U33" i="10"/>
  <c r="N3" i="9"/>
  <c r="X5" i="4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U5" i="4" s="1"/>
  <c r="B5" i="4"/>
  <c r="R3" i="9"/>
  <c r="R23" i="9" s="1"/>
  <c r="R11" i="9"/>
  <c r="R31" i="9" s="1"/>
  <c r="B5" i="6"/>
  <c r="R10" i="9"/>
  <c r="R30" i="9" s="1"/>
  <c r="S4" i="4"/>
  <c r="U4" i="4" s="1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X38" i="3"/>
  <c r="V29" i="3"/>
  <c r="V37" i="3"/>
  <c r="X29" i="3"/>
  <c r="X37" i="3"/>
  <c r="S6" i="4"/>
  <c r="R44" i="3"/>
  <c r="V44" i="3"/>
  <c r="X44" i="3"/>
  <c r="B6" i="4"/>
  <c r="J7" i="4" s="1"/>
  <c r="N4" i="10"/>
  <c r="N5" i="10"/>
  <c r="R43" i="3"/>
  <c r="T35" i="3"/>
  <c r="V43" i="3"/>
  <c r="X35" i="3"/>
  <c r="V42" i="3"/>
  <c r="X34" i="3"/>
  <c r="V41" i="3"/>
  <c r="T32" i="3"/>
  <c r="X40" i="3"/>
  <c r="B6" i="5"/>
  <c r="H4" i="5" s="1"/>
  <c r="R8" i="10"/>
  <c r="R14" i="10"/>
  <c r="D7" i="3"/>
  <c r="R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6" i="4" l="1"/>
  <c r="X30" i="4"/>
  <c r="X31" i="4" s="1"/>
  <c r="K53" i="3" s="1"/>
  <c r="I55" i="3" s="1"/>
  <c r="Z5" i="4"/>
  <c r="J13" i="4" a="1"/>
  <c r="J13" i="4" s="1"/>
  <c r="T37" i="3"/>
  <c r="S16" i="3"/>
  <c r="V35" i="3"/>
  <c r="T34" i="5"/>
  <c r="V33" i="5"/>
  <c r="T33" i="3"/>
  <c r="T44" i="3"/>
  <c r="V30" i="3"/>
  <c r="V40" i="3"/>
  <c r="U19" i="3"/>
  <c r="V19" i="3" s="1"/>
  <c r="T38" i="3"/>
  <c r="S17" i="3"/>
  <c r="U33" i="6" s="1"/>
  <c r="T39" i="3"/>
  <c r="S18" i="3"/>
  <c r="T18" i="3" s="1"/>
  <c r="T41" i="3"/>
  <c r="S20" i="3"/>
  <c r="T20" i="3" s="1"/>
  <c r="R33" i="3"/>
  <c r="Q12" i="3"/>
  <c r="S36" i="6"/>
  <c r="U35" i="6"/>
  <c r="X33" i="3"/>
  <c r="W12" i="3"/>
  <c r="X12" i="3" s="1"/>
  <c r="X32" i="3"/>
  <c r="X30" i="3"/>
  <c r="W9" i="3"/>
  <c r="X9" i="3" s="1"/>
  <c r="X41" i="3"/>
  <c r="W20" i="3"/>
  <c r="V35" i="4" s="1"/>
  <c r="X42" i="3"/>
  <c r="W21" i="3"/>
  <c r="V39" i="3"/>
  <c r="T34" i="3"/>
  <c r="T36" i="3"/>
  <c r="S15" i="3"/>
  <c r="V34" i="3"/>
  <c r="U13" i="3"/>
  <c r="T35" i="5" s="1"/>
  <c r="T31" i="3"/>
  <c r="V32" i="3"/>
  <c r="T42" i="3"/>
  <c r="U34" i="6"/>
  <c r="S35" i="6"/>
  <c r="V33" i="3"/>
  <c r="X43" i="3"/>
  <c r="T43" i="3"/>
  <c r="S22" i="3"/>
  <c r="T22" i="3" s="1"/>
  <c r="U36" i="6"/>
  <c r="K32" i="6"/>
  <c r="V36" i="5"/>
  <c r="L32" i="5"/>
  <c r="Q46" i="10"/>
  <c r="V12" i="3"/>
  <c r="V15" i="3"/>
  <c r="R28" i="9"/>
  <c r="Q34" i="3"/>
  <c r="Q13" i="3" s="1"/>
  <c r="Q36" i="3"/>
  <c r="R36" i="8"/>
  <c r="Q42" i="3"/>
  <c r="R35" i="8"/>
  <c r="Q41" i="3"/>
  <c r="Q20" i="3" s="1"/>
  <c r="R23" i="8"/>
  <c r="Q29" i="3"/>
  <c r="Q8" i="3" s="1"/>
  <c r="R31" i="8"/>
  <c r="Q37" i="3"/>
  <c r="T16" i="3"/>
  <c r="R26" i="8"/>
  <c r="Q32" i="3"/>
  <c r="R24" i="8"/>
  <c r="Q30" i="3"/>
  <c r="Q9" i="3" s="1"/>
  <c r="T19" i="3"/>
  <c r="V11" i="3"/>
  <c r="T11" i="3"/>
  <c r="V16" i="3"/>
  <c r="V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57" i="3"/>
  <c r="V17" i="3"/>
  <c r="X58" i="3"/>
  <c r="X18" i="3"/>
  <c r="V54" i="3"/>
  <c r="V14" i="3"/>
  <c r="R29" i="10"/>
  <c r="V58" i="3"/>
  <c r="V18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49" i="3"/>
  <c r="T49" i="3"/>
  <c r="R35" i="10"/>
  <c r="R34" i="10"/>
  <c r="R59" i="3"/>
  <c r="V53" i="3"/>
  <c r="T57" i="3"/>
  <c r="T17" i="3"/>
  <c r="T58" i="3"/>
  <c r="V9" i="3"/>
  <c r="V49" i="3"/>
  <c r="V8" i="3"/>
  <c r="R24" i="10"/>
  <c r="R28" i="10"/>
  <c r="X15" i="3"/>
  <c r="V50" i="3"/>
  <c r="V10" i="3"/>
  <c r="V23" i="3"/>
  <c r="X21" i="3"/>
  <c r="X61" i="3"/>
  <c r="R38" i="10"/>
  <c r="T62" i="3"/>
  <c r="T40" i="3"/>
  <c r="R34" i="8"/>
  <c r="Q44" i="8" s="1"/>
  <c r="Q40" i="3"/>
  <c r="Q19" i="3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J76" i="3" s="1"/>
  <c r="Q47" i="8"/>
  <c r="Q44" i="9"/>
  <c r="Q47" i="9"/>
  <c r="X19" i="3"/>
  <c r="T23" i="3"/>
  <c r="V36" i="3"/>
  <c r="X36" i="3"/>
  <c r="X16" i="3"/>
  <c r="X31" i="3"/>
  <c r="X39" i="3"/>
  <c r="R3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R31" i="5"/>
  <c r="K54" i="3" s="1"/>
  <c r="J55" i="3" s="1"/>
  <c r="O5" i="7"/>
  <c r="E5" i="3"/>
  <c r="O3" i="7"/>
  <c r="O4" i="7"/>
  <c r="T34" i="4" l="1"/>
  <c r="U34" i="4" s="1"/>
  <c r="X20" i="3"/>
  <c r="T35" i="4"/>
  <c r="U35" i="4" s="1"/>
  <c r="V34" i="4"/>
  <c r="T15" i="3"/>
  <c r="S34" i="6"/>
  <c r="V33" i="4"/>
  <c r="J77" i="3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U32" i="6"/>
  <c r="K34" i="6" s="1"/>
  <c r="S33" i="6"/>
  <c r="V35" i="5"/>
  <c r="R32" i="3"/>
  <c r="Q11" i="3"/>
  <c r="V32" i="5" s="1"/>
  <c r="R41" i="3"/>
  <c r="R42" i="3"/>
  <c r="Q21" i="3"/>
  <c r="T36" i="4"/>
  <c r="U36" i="4" s="1"/>
  <c r="V34" i="5"/>
  <c r="V13" i="3"/>
  <c r="AI12" i="3" s="1"/>
  <c r="R37" i="3"/>
  <c r="Q16" i="3"/>
  <c r="R16" i="3" s="1"/>
  <c r="R36" i="3"/>
  <c r="Q15" i="3"/>
  <c r="V36" i="4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52" i="3"/>
  <c r="R12" i="3"/>
  <c r="R9" i="3"/>
  <c r="R49" i="3"/>
  <c r="R62" i="3"/>
  <c r="R22" i="3"/>
  <c r="R18" i="3"/>
  <c r="R58" i="3"/>
  <c r="R54" i="3"/>
  <c r="R14" i="3"/>
  <c r="R5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K33" i="6" l="1"/>
  <c r="R11" i="3"/>
  <c r="AF9" i="3" s="1"/>
  <c r="AI8" i="3"/>
  <c r="AI10" i="3"/>
  <c r="AI11" i="3"/>
  <c r="AI20" i="3"/>
  <c r="H8" i="2"/>
  <c r="H27" i="2" s="1"/>
  <c r="L34" i="5"/>
  <c r="V32" i="4"/>
  <c r="L34" i="4" s="1"/>
  <c r="T33" i="4"/>
  <c r="T33" i="5"/>
  <c r="L33" i="5" s="1"/>
  <c r="AI17" i="3"/>
  <c r="AI14" i="3"/>
  <c r="AI18" i="3"/>
  <c r="AI15" i="3"/>
  <c r="AI22" i="3"/>
  <c r="AI21" i="3"/>
  <c r="AI9" i="3"/>
  <c r="AB8" i="3"/>
  <c r="AC8" i="3" s="1"/>
  <c r="AI13" i="3"/>
  <c r="AI16" i="3"/>
  <c r="AI7" i="3"/>
  <c r="AI19" i="3"/>
  <c r="AF8" i="3"/>
  <c r="L35" i="4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12" i="3"/>
  <c r="AC12" i="3" s="1"/>
  <c r="E7" i="2"/>
  <c r="E26" i="2" s="1"/>
  <c r="AP6" i="4"/>
  <c r="AQ6" i="4" s="1"/>
  <c r="AP16" i="4"/>
  <c r="AQ16" i="4" s="1"/>
  <c r="AP9" i="4"/>
  <c r="AQ9" i="4" s="1"/>
  <c r="AP12" i="4"/>
  <c r="AQ12" i="4" s="1"/>
  <c r="AP18" i="4"/>
  <c r="AQ18" i="4" s="1"/>
  <c r="E13" i="2"/>
  <c r="E32" i="2" s="1"/>
  <c r="E18" i="2"/>
  <c r="E37" i="2" s="1"/>
  <c r="AP14" i="4"/>
  <c r="AQ14" i="4" s="1"/>
  <c r="AP10" i="4"/>
  <c r="AQ10" i="4" s="1"/>
  <c r="AP19" i="4"/>
  <c r="AQ19" i="4" s="1"/>
  <c r="AP8" i="4"/>
  <c r="AQ8" i="4" s="1"/>
  <c r="AP5" i="4"/>
  <c r="AQ5" i="4" s="1"/>
  <c r="AP17" i="4"/>
  <c r="AQ17" i="4" s="1"/>
  <c r="D13" i="2"/>
  <c r="D32" i="2" s="1"/>
  <c r="AP11" i="4"/>
  <c r="AQ11" i="4" s="1"/>
  <c r="AP13" i="4"/>
  <c r="AQ13" i="4" s="1"/>
  <c r="AP15" i="4"/>
  <c r="AQ15" i="4" s="1"/>
  <c r="E14" i="2"/>
  <c r="E33" i="2" s="1"/>
  <c r="E11" i="2"/>
  <c r="E30" i="2" s="1"/>
  <c r="K48" i="3"/>
  <c r="L48" i="3"/>
  <c r="E16" i="2"/>
  <c r="E35" i="2" s="1"/>
  <c r="R8" i="3"/>
  <c r="AF10" i="3" s="1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P7" i="4" l="1"/>
  <c r="AQ7" i="4" s="1"/>
  <c r="U33" i="4"/>
  <c r="L33" i="4" s="1"/>
  <c r="L31" i="2"/>
  <c r="L30" i="2" s="1"/>
  <c r="AP4" i="4"/>
  <c r="AQ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<sst xmlns="http://schemas.openxmlformats.org/spreadsheetml/2006/main" count="3341" uniqueCount="245">
  <si>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</si>
  <si>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</si>
  <si>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</si>
  <si>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</si>
  <si>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</si>
  <si>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</si>
  <si>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</si>
  <si>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</si>
  <si>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</si>
  <si>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</si>
  <si>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</si>
  <si>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</si>
  <si>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</si>
  <si>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</si>
  <si>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</si>
  <si>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</si>
  <si>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</si>
  <si>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</si>
  <si>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</si>
  <si>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</si>
  <si>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</si>
  <si>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</si>
  <si>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</si>
  <si>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</si>
  <si>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</si>
  <si>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</si>
  <si>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</si>
  <si>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</si>
  <si>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</si>
  <si>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</si>
  <si>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</si>
  <si>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</si>
  <si>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</si>
  <si>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</si>
  <si>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</si>
  <si>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</si>
  <si>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</si>
  <si>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</si>
  <si>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</si>
  <si>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</si>
  <si>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</si>
  <si>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</si>
  <si>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</si>
  <si>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</si>
  <si>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</si>
  <si>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</si>
  <si>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</si>
  <si>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</si>
  <si>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</si>
  <si>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</si>
  <si>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</si>
  <si>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</si>
  <si>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</si>
  <si>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</si>
  <si>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</si>
  <si>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</si>
  <si>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</si>
  <si>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</si>
  <si>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</si>
  <si>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</si>
  <si>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</si>
  <si>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</si>
  <si>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</si>
  <si>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</si>
  <si>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</si>
  <si>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</si>
  <si>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</si>
  <si>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</si>
  <si>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</si>
  <si>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</si>
  <si>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</si>
  <si>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</si>
  <si>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</si>
  <si>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</si>
  <si>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</si>
  <si>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</si>
  <si>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</si>
  <si>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</si>
  <si>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</si>
  <si>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</si>
  <si>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</si>
  <si>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</si>
  <si>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</si>
  <si>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</si>
  <si>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</si>
  <si>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</si>
  <si>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</si>
  <si>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</si>
  <si>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</si>
  <si>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</si>
  <si>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</si>
  <si>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</si>
  <si>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</si>
  <si>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</si>
  <si>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</si>
  <si>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</si>
  <si>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</si>
  <si>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</si>
  <si>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</si>
  <si>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</si>
  <si>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</si>
  <si>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</si>
  <si>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</si>
  <si>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</si>
  <si>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</si>
  <si>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</si>
  <si>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</si>
  <si>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</si>
  <si>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</si>
  <si>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</si>
  <si>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</si>
  <si>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</si>
  <si>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</si>
  <si>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</si>
  <si>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</si>
  <si>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</si>
  <si>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</si>
  <si>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</si>
  <si>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</si>
  <si>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</si>
  <si>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</si>
  <si>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</si>
  <si>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</si>
  <si>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</si>
  <si>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</si>
  <si>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</si>
  <si>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</si>
  <si>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</si>
  <si>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</si>
  <si>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</si>
  <si>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</si>
  <si>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</si>
  <si>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</si>
  <si>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</si>
  <si>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</si>
  <si>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</si>
  <si>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</si>
  <si>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</si>
  <si>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</si>
  <si>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</si>
  <si>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</si>
  <si>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</si>
  <si>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</si>
  <si>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</si>
  <si>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</si>
  <si>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</si>
  <si>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</si>
  <si>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</si>
  <si>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</si>
  <si>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</si>
  <si>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</si>
  <si>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</si>
  <si>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</si>
  <si>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</si>
  <si>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</si>
  <si>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</si>
  <si>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</si>
  <si>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</si>
  <si>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</si>
  <si>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</si>
  <si>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</si>
  <si>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</si>
  <si>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</si>
  <si>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</si>
  <si>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</si>
  <si>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</si>
  <si>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</si>
  <si>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</si>
  <si>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</si>
  <si>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</si>
  <si>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M/R</t>
  </si>
  <si>
    <t>Alex Hewes</t>
  </si>
  <si>
    <t>Three Pointer</t>
  </si>
  <si>
    <t>Week 1</t>
  </si>
  <si>
    <t>Week 2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</si>
  <si>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</si>
  <si>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</si>
  <si>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</si>
  <si>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</si>
  <si>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</si>
  <si>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</si>
  <si>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</si>
  <si>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</si>
  <si>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</si>
  <si>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</si>
  <si>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</si>
  <si>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</si>
  <si>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</si>
  <si>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</si>
  <si>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</si>
  <si>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</si>
  <si>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</si>
  <si>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</si>
  <si>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</si>
  <si>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</si>
  <si>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</si>
  <si>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</si>
  <si>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</si>
  <si>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</si>
  <si>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</si>
  <si>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</si>
  <si>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</si>
  <si>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</si>
  <si>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</si>
  <si>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</si>
  <si>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</si>
  <si>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</si>
  <si>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</si>
  <si>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</si>
  <si>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</si>
  <si>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</si>
  <si>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This Season</t>
  </si>
  <si>
    <t>Usage rates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</si>
  <si>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</si>
  <si>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</si>
  <si>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</si>
  <si>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</si>
  <si>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</si>
  <si>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</si>
  <si>
    <t>Christopher Tomkinson, Clarrie Jones, William Kim</t>
  </si>
  <si>
    <t>Samuel McConaghy, Nicholas Szogi</t>
  </si>
  <si>
    <t>Points Counter Over Days</t>
  </si>
  <si>
    <t>Week 5</t>
  </si>
  <si>
    <t>Christopher Tomkinson, Angus Walker</t>
  </si>
  <si>
    <t>Alexander Galt, Samuel McConaghy</t>
  </si>
  <si>
    <t>Lukas Johnston, Rudy Hoschke</t>
  </si>
  <si>
    <t>Medians</t>
  </si>
  <si>
    <t>Angus Walker, Christopher Tomkinson</t>
  </si>
  <si>
    <t>Samuel McConaghy, Ryan Pattemore</t>
  </si>
  <si>
    <t>Day by Day Scoring</t>
  </si>
  <si>
    <t>Team Usage Rates</t>
  </si>
  <si>
    <t>Over the League</t>
  </si>
  <si>
    <t>Score</t>
  </si>
  <si>
    <t>1-0</t>
  </si>
  <si>
    <t>-</t>
  </si>
  <si>
    <t>2-0</t>
  </si>
  <si>
    <t>3-0</t>
  </si>
  <si>
    <t>1-1</t>
  </si>
  <si>
    <t>2-1</t>
  </si>
  <si>
    <t>Angus Walker, William Kim</t>
  </si>
  <si>
    <t>Michael Iffland, Lukas Johnston</t>
  </si>
  <si>
    <t>Finals Week</t>
  </si>
  <si>
    <t>Clarri jones</t>
  </si>
  <si>
    <t>Finals</t>
  </si>
  <si>
    <t>Finals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</si>
</sst>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FF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9" fillId="0" borderId="1"/>
    <xf numFmtId="9" fontId="9" fillId="0" borderId="0" applyFont="0" applyFill="0" applyBorder="0" applyAlignment="0" applyProtection="0"/>
  </cellStyleXfs>
  <cellXfs count="172">
    <xf numFmtId="0" fontId="0" fillId="0" borderId="0" xfId="0" applyFont="1" applyAlignment="1"/>
    <xf numFmtId="0" fontId="9" fillId="0" borderId="0" xfId="0" applyFont="1"/>
    <xf numFmtId="0" fontId="10" fillId="0" borderId="0" xfId="0" applyFont="1"/>
    <xf numFmtId="0" fontId="9" fillId="0" borderId="0" xfId="0" applyFont="1" applyAlignment="1"/>
    <xf numFmtId="16" fontId="11" fillId="0" borderId="0" xfId="0" applyNumberFormat="1" applyFont="1"/>
    <xf numFmtId="0" fontId="12" fillId="0" borderId="0" xfId="0" applyFont="1"/>
    <xf numFmtId="0" fontId="11" fillId="0" borderId="1" xfId="0" applyFont="1" applyBorder="1"/>
    <xf numFmtId="2" fontId="11" fillId="0" borderId="0" xfId="0" applyNumberFormat="1" applyFont="1"/>
    <xf numFmtId="164" fontId="13" fillId="0" borderId="0" xfId="0" applyNumberFormat="1" applyFont="1"/>
    <xf numFmtId="0" fontId="12" fillId="0" borderId="0" xfId="0" applyFont="1" applyAlignment="1"/>
    <xf numFmtId="0" fontId="12" fillId="0" borderId="1" xfId="0" applyFont="1" applyBorder="1"/>
    <xf numFmtId="2" fontId="11" fillId="0" borderId="1" xfId="0" applyNumberFormat="1" applyFont="1" applyBorder="1"/>
    <xf numFmtId="0" fontId="11" fillId="0" borderId="0" xfId="0" applyFont="1" applyAlignment="1">
      <alignment horizontal="center"/>
    </xf>
    <xf numFmtId="0" fontId="9" fillId="0" borderId="0" xfId="0" applyFont="1"/>
    <xf numFmtId="2" fontId="9" fillId="0" borderId="0" xfId="0" applyNumberFormat="1" applyFont="1"/>
    <xf numFmtId="165" fontId="9" fillId="0" borderId="0" xfId="0" applyNumberFormat="1" applyFont="1"/>
    <xf numFmtId="0" fontId="11" fillId="0" borderId="0" xfId="0" applyFont="1"/>
    <xf numFmtId="0" fontId="11" fillId="2" borderId="1" xfId="0" applyFont="1" applyFill="1" applyBorder="1"/>
    <xf numFmtId="164" fontId="11" fillId="0" borderId="0" xfId="0" applyNumberFormat="1" applyFont="1"/>
    <xf numFmtId="1" fontId="9" fillId="0" borderId="0" xfId="0" applyNumberFormat="1" applyFont="1"/>
    <xf numFmtId="1" fontId="11" fillId="0" borderId="0" xfId="0" applyNumberFormat="1" applyFont="1"/>
    <xf numFmtId="0" fontId="14" fillId="0" borderId="0" xfId="0" applyFont="1"/>
    <xf numFmtId="9" fontId="11" fillId="0" borderId="0" xfId="0" applyNumberFormat="1" applyFont="1"/>
    <xf numFmtId="10" fontId="11" fillId="0" borderId="0" xfId="0" applyNumberFormat="1" applyFont="1"/>
    <xf numFmtId="0" fontId="9" fillId="0" borderId="0" xfId="0" applyFont="1"/>
    <xf numFmtId="16" fontId="9" fillId="0" borderId="0" xfId="0" applyNumberFormat="1" applyFont="1"/>
    <xf numFmtId="16" fontId="9" fillId="0" borderId="0" xfId="0" applyNumberFormat="1" applyFont="1" applyAlignment="1"/>
    <xf numFmtId="1" fontId="9" fillId="0" borderId="0" xfId="0" applyNumberFormat="1" applyFont="1" applyAlignment="1"/>
    <xf numFmtId="0" fontId="9" fillId="3" borderId="0" xfId="0" applyFont="1" applyFill="1"/>
    <xf numFmtId="2" fontId="11" fillId="3" borderId="0" xfId="0" applyNumberFormat="1" applyFont="1" applyFill="1"/>
    <xf numFmtId="0" fontId="9" fillId="3" borderId="0" xfId="0" applyFont="1" applyFill="1" applyAlignment="1"/>
    <xf numFmtId="0" fontId="15" fillId="3" borderId="0" xfId="0" applyFont="1" applyFill="1"/>
    <xf numFmtId="0" fontId="15" fillId="0" borderId="0" xfId="0" applyFont="1"/>
    <xf numFmtId="0" fontId="15" fillId="0" borderId="0" xfId="0" applyFont="1" applyAlignment="1"/>
    <xf numFmtId="0" fontId="16" fillId="3" borderId="0" xfId="0" applyFont="1" applyFill="1" applyAlignment="1"/>
    <xf numFmtId="0" fontId="16" fillId="0" borderId="0" xfId="0" applyFont="1" applyAlignment="1"/>
    <xf numFmtId="16" fontId="0" fillId="0" borderId="0" xfId="0" applyNumberFormat="1" applyFont="1" applyAlignment="1"/>
    <xf numFmtId="0" fontId="17" fillId="0" borderId="0" xfId="0" applyFont="1" applyAlignment="1">
      <alignment horizontal="center" vertical="center" wrapText="1"/>
    </xf>
    <xf numFmtId="0" fontId="0" fillId="0" borderId="0" xfId="0" applyFont="1" applyAlignment="1"/>
    <xf numFmtId="0" fontId="14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5" fillId="0" borderId="3" xfId="0" applyFont="1" applyFill="1" applyBorder="1"/>
    <xf numFmtId="0" fontId="15" fillId="0" borderId="4" xfId="0" applyFont="1" applyFill="1" applyBorder="1"/>
    <xf numFmtId="0" fontId="15" fillId="0" borderId="4" xfId="0" applyFont="1" applyFill="1" applyBorder="1" applyAlignment="1"/>
    <xf numFmtId="0" fontId="16" fillId="0" borderId="4" xfId="0" applyFont="1" applyFill="1" applyBorder="1" applyAlignment="1"/>
    <xf numFmtId="0" fontId="12" fillId="0" borderId="5" xfId="0" applyFont="1" applyFill="1" applyBorder="1"/>
    <xf numFmtId="0" fontId="19" fillId="0" borderId="1" xfId="1" applyNumberFormat="1"/>
    <xf numFmtId="0" fontId="19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21" fillId="0" borderId="0" xfId="0" applyFont="1"/>
    <xf numFmtId="9" fontId="0" fillId="0" borderId="0" xfId="2" applyFont="1" applyAlignment="1"/>
    <xf numFmtId="0" fontId="15" fillId="0" borderId="0" xfId="0" applyFont="1" applyFill="1"/>
    <xf numFmtId="0" fontId="15" fillId="0" borderId="0" xfId="0" applyFont="1" applyFill="1" applyAlignment="1"/>
    <xf numFmtId="0" fontId="16" fillId="0" borderId="0" xfId="0" applyFont="1" applyFill="1" applyAlignment="1"/>
    <xf numFmtId="1" fontId="0" fillId="0" borderId="0" xfId="0" quotePrefix="1" applyNumberFormat="1" applyFont="1" applyFill="1" applyAlignment="1"/>
    <xf numFmtId="2" fontId="11" fillId="0" borderId="0" xfId="0" applyNumberFormat="1" applyFont="1" applyFill="1"/>
    <xf numFmtId="1" fontId="9" fillId="0" borderId="0" xfId="0" applyNumberFormat="1" applyFont="1" applyFill="1" applyAlignment="1"/>
    <xf numFmtId="0" fontId="9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6" fillId="0" borderId="5" xfId="0" applyFont="1" applyFill="1" applyBorder="1" applyAlignment="1"/>
    <xf numFmtId="9" fontId="0" fillId="0" borderId="0" xfId="0" applyNumberFormat="1" applyFont="1" applyAlignment="1"/>
    <xf numFmtId="0" fontId="19" fillId="0" borderId="1" xfId="1" applyNumberFormat="1"/>
    <xf numFmtId="1" fontId="0" fillId="4" borderId="2" xfId="0" quotePrefix="1" applyNumberFormat="1" applyFont="1" applyFill="1" applyBorder="1" applyAlignment="1"/>
    <xf numFmtId="2" fontId="11" fillId="4" borderId="2" xfId="0" applyNumberFormat="1" applyFont="1" applyFill="1" applyBorder="1"/>
    <xf numFmtId="1" fontId="9" fillId="4" borderId="2" xfId="0" applyNumberFormat="1" applyFont="1" applyFill="1" applyBorder="1" applyAlignment="1"/>
    <xf numFmtId="0" fontId="9" fillId="4" borderId="2" xfId="0" applyFont="1" applyFill="1" applyBorder="1"/>
    <xf numFmtId="1" fontId="0" fillId="5" borderId="2" xfId="0" quotePrefix="1" applyNumberFormat="1" applyFont="1" applyFill="1" applyBorder="1" applyAlignment="1"/>
    <xf numFmtId="2" fontId="11" fillId="5" borderId="2" xfId="0" applyNumberFormat="1" applyFont="1" applyFill="1" applyBorder="1"/>
    <xf numFmtId="1" fontId="9" fillId="5" borderId="2" xfId="0" applyNumberFormat="1" applyFont="1" applyFill="1" applyBorder="1" applyAlignment="1"/>
    <xf numFmtId="0" fontId="9" fillId="5" borderId="2" xfId="0" applyFont="1" applyFill="1" applyBorder="1"/>
    <xf numFmtId="1" fontId="0" fillId="6" borderId="2" xfId="0" quotePrefix="1" applyNumberFormat="1" applyFont="1" applyFill="1" applyBorder="1" applyAlignment="1"/>
    <xf numFmtId="2" fontId="11" fillId="6" borderId="2" xfId="0" applyNumberFormat="1" applyFont="1" applyFill="1" applyBorder="1"/>
    <xf numFmtId="1" fontId="9" fillId="6" borderId="2" xfId="0" applyNumberFormat="1" applyFont="1" applyFill="1" applyBorder="1" applyAlignment="1"/>
    <xf numFmtId="0" fontId="9" fillId="6" borderId="2" xfId="0" applyFont="1" applyFill="1" applyBorder="1"/>
    <xf numFmtId="0" fontId="9" fillId="4" borderId="2" xfId="0" applyFont="1" applyFill="1" applyBorder="1" applyAlignment="1"/>
    <xf numFmtId="1" fontId="11" fillId="4" borderId="2" xfId="0" applyNumberFormat="1" applyFont="1" applyFill="1" applyBorder="1"/>
    <xf numFmtId="0" fontId="9" fillId="5" borderId="2" xfId="0" applyFont="1" applyFill="1" applyBorder="1" applyAlignment="1"/>
    <xf numFmtId="1" fontId="11" fillId="5" borderId="2" xfId="0" applyNumberFormat="1" applyFont="1" applyFill="1" applyBorder="1"/>
    <xf numFmtId="0" fontId="9" fillId="6" borderId="2" xfId="0" applyFont="1" applyFill="1" applyBorder="1" applyAlignment="1"/>
    <xf numFmtId="1" fontId="11" fillId="6" borderId="2" xfId="0" applyNumberFormat="1" applyFont="1" applyFill="1" applyBorder="1"/>
    <xf numFmtId="0" fontId="0" fillId="6" borderId="2" xfId="0" applyFont="1" applyFill="1" applyBorder="1" applyAlignment="1"/>
    <xf numFmtId="0" fontId="11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5" fillId="0" borderId="0" xfId="0" applyNumberFormat="1" applyFont="1" applyAlignment="1">
      <alignment vertical="center"/>
    </xf>
    <xf numFmtId="0" fontId="15" fillId="7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0" fontId="8" fillId="0" borderId="0" xfId="0" applyFont="1" applyAlignment="1"/>
    <xf numFmtId="0" fontId="19" fillId="0" borderId="1" xfId="1" applyNumberFormat="1"/>
    <xf numFmtId="2" fontId="9" fillId="0" borderId="0" xfId="0" applyNumberFormat="1" applyFont="1" applyFill="1"/>
    <xf numFmtId="2" fontId="0" fillId="0" borderId="0" xfId="0" applyNumberFormat="1" applyFont="1" applyFill="1" applyAlignment="1"/>
    <xf numFmtId="0" fontId="9" fillId="0" borderId="0" xfId="0" quotePrefix="1" applyFont="1"/>
    <xf numFmtId="0" fontId="21" fillId="0" borderId="1" xfId="0" applyFont="1" applyFill="1" applyBorder="1"/>
    <xf numFmtId="165" fontId="21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1" fontId="11" fillId="0" borderId="1" xfId="0" applyNumberFormat="1" applyFont="1" applyFill="1" applyBorder="1"/>
    <xf numFmtId="0" fontId="11" fillId="0" borderId="1" xfId="0" applyFont="1" applyFill="1" applyBorder="1" applyAlignment="1"/>
    <xf numFmtId="0" fontId="9" fillId="4" borderId="0" xfId="0" applyFont="1" applyFill="1" applyAlignment="1"/>
    <xf numFmtId="1" fontId="0" fillId="4" borderId="0" xfId="0" quotePrefix="1" applyNumberFormat="1" applyFont="1" applyFill="1" applyAlignment="1"/>
    <xf numFmtId="2" fontId="11" fillId="4" borderId="0" xfId="0" applyNumberFormat="1" applyFont="1" applyFill="1"/>
    <xf numFmtId="1" fontId="9" fillId="4" borderId="0" xfId="0" applyNumberFormat="1" applyFont="1" applyFill="1" applyAlignment="1"/>
    <xf numFmtId="2" fontId="9" fillId="4" borderId="0" xfId="0" applyNumberFormat="1" applyFont="1" applyFill="1"/>
    <xf numFmtId="0" fontId="9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11" fillId="4" borderId="0" xfId="0" applyNumberFormat="1" applyFont="1" applyFill="1" applyAlignment="1"/>
    <xf numFmtId="0" fontId="0" fillId="8" borderId="0" xfId="0" applyFont="1" applyFill="1" applyAlignment="1"/>
    <xf numFmtId="0" fontId="9" fillId="8" borderId="0" xfId="0" applyFont="1" applyFill="1"/>
    <xf numFmtId="0" fontId="11" fillId="9" borderId="1" xfId="0" applyFont="1" applyFill="1" applyBorder="1"/>
    <xf numFmtId="0" fontId="11" fillId="10" borderId="1" xfId="0" applyFont="1" applyFill="1" applyBorder="1"/>
    <xf numFmtId="0" fontId="21" fillId="9" borderId="1" xfId="0" applyFont="1" applyFill="1" applyBorder="1"/>
    <xf numFmtId="0" fontId="6" fillId="0" borderId="0" xfId="0" applyFont="1" applyAlignment="1"/>
    <xf numFmtId="16" fontId="7" fillId="0" borderId="0" xfId="0" applyNumberFormat="1" applyFont="1" applyAlignment="1"/>
    <xf numFmtId="0" fontId="0" fillId="4" borderId="2" xfId="0" applyFont="1" applyFill="1" applyBorder="1" applyAlignment="1"/>
    <xf numFmtId="0" fontId="0" fillId="5" borderId="2" xfId="0" applyFont="1" applyFill="1" applyBorder="1" applyAlignment="1"/>
    <xf numFmtId="0" fontId="5" fillId="4" borderId="2" xfId="0" applyFont="1" applyFill="1" applyBorder="1" applyAlignment="1"/>
    <xf numFmtId="0" fontId="5" fillId="5" borderId="2" xfId="0" applyFont="1" applyFill="1" applyBorder="1" applyAlignment="1"/>
    <xf numFmtId="0" fontId="5" fillId="6" borderId="2" xfId="0" applyFont="1" applyFill="1" applyBorder="1" applyAlignment="1"/>
    <xf numFmtId="9" fontId="0" fillId="4" borderId="2" xfId="2" applyFont="1" applyFill="1" applyBorder="1" applyAlignment="1"/>
    <xf numFmtId="9" fontId="0" fillId="5" borderId="2" xfId="2" applyFont="1" applyFill="1" applyBorder="1" applyAlignment="1"/>
    <xf numFmtId="9" fontId="0" fillId="6" borderId="2" xfId="0" applyNumberFormat="1" applyFont="1" applyFill="1" applyBorder="1" applyAlignment="1"/>
    <xf numFmtId="9" fontId="11" fillId="9" borderId="1" xfId="2" applyFont="1" applyFill="1" applyBorder="1"/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1" fontId="11" fillId="0" borderId="0" xfId="2" applyNumberFormat="1" applyFont="1"/>
    <xf numFmtId="0" fontId="4" fillId="0" borderId="0" xfId="0" applyFont="1" applyAlignment="1"/>
    <xf numFmtId="0" fontId="21" fillId="0" borderId="1" xfId="0" applyFont="1" applyFill="1" applyBorder="1" applyAlignment="1"/>
    <xf numFmtId="0" fontId="19" fillId="0" borderId="1" xfId="1" applyNumberFormat="1"/>
    <xf numFmtId="0" fontId="3" fillId="0" borderId="0" xfId="0" applyFont="1" applyAlignment="1"/>
    <xf numFmtId="0" fontId="0" fillId="11" borderId="0" xfId="0" applyFont="1" applyFill="1" applyAlignment="1"/>
    <xf numFmtId="0" fontId="15" fillId="11" borderId="0" xfId="0" applyFont="1" applyFill="1"/>
    <xf numFmtId="0" fontId="9" fillId="11" borderId="0" xfId="0" applyFont="1" applyFill="1" applyAlignment="1"/>
    <xf numFmtId="2" fontId="11" fillId="11" borderId="0" xfId="0" applyNumberFormat="1" applyFont="1" applyFill="1"/>
    <xf numFmtId="0" fontId="16" fillId="11" borderId="0" xfId="0" applyFont="1" applyFill="1" applyAlignment="1"/>
    <xf numFmtId="0" fontId="9" fillId="11" borderId="0" xfId="0" applyFont="1" applyFill="1"/>
    <xf numFmtId="0" fontId="9" fillId="0" borderId="0" xfId="0" applyFont="1" applyFill="1" applyAlignment="1"/>
    <xf numFmtId="0" fontId="20" fillId="0" borderId="1" xfId="0" applyFont="1" applyBorder="1" applyAlignment="1">
      <alignment horizontal="center"/>
    </xf>
    <xf numFmtId="0" fontId="0" fillId="12" borderId="6" xfId="0" applyFont="1" applyFill="1" applyBorder="1" applyAlignment="1"/>
    <xf numFmtId="0" fontId="0" fillId="0" borderId="6" xfId="0" applyFont="1" applyBorder="1" applyAlignment="1"/>
    <xf numFmtId="0" fontId="0" fillId="4" borderId="6" xfId="0" applyFont="1" applyFill="1" applyBorder="1" applyAlignment="1"/>
    <xf numFmtId="1" fontId="0" fillId="12" borderId="6" xfId="0" applyNumberFormat="1" applyFont="1" applyFill="1" applyBorder="1" applyAlignment="1"/>
    <xf numFmtId="1" fontId="0" fillId="0" borderId="6" xfId="0" applyNumberFormat="1" applyFont="1" applyBorder="1" applyAlignment="1"/>
    <xf numFmtId="0" fontId="23" fillId="13" borderId="7" xfId="0" applyFont="1" applyFill="1" applyBorder="1"/>
    <xf numFmtId="0" fontId="24" fillId="13" borderId="7" xfId="0" applyFont="1" applyFill="1" applyBorder="1" applyAlignment="1"/>
    <xf numFmtId="0" fontId="0" fillId="4" borderId="8" xfId="0" applyFont="1" applyFill="1" applyBorder="1" applyAlignment="1"/>
    <xf numFmtId="0" fontId="0" fillId="0" borderId="8" xfId="0" applyFont="1" applyBorder="1" applyAlignment="1"/>
    <xf numFmtId="1" fontId="0" fillId="0" borderId="8" xfId="0" applyNumberFormat="1" applyFont="1" applyBorder="1" applyAlignment="1"/>
    <xf numFmtId="0" fontId="20" fillId="0" borderId="1" xfId="0" applyFont="1" applyBorder="1" applyAlignment="1">
      <alignment horizontal="center"/>
    </xf>
    <xf numFmtId="0" fontId="2" fillId="0" borderId="0" xfId="0" applyFont="1" applyAlignment="1"/>
    <xf numFmtId="0" fontId="2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1" fillId="0" borderId="0" xfId="0" applyFont="1" applyAlignment="1"/>
  </cellXfs>
  <cellStyles count="3">
    <cellStyle name="Normal" xfId="0" builtinId="0"/>
    <cellStyle name="Normal 2" xfId="1" xr:uid="{E4ED72E7-E964-4884-BAF1-D3A03BDB6523}"/>
    <cellStyle name="Percent" xfId="2" builtinId="5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0.54201680672268915</c:v>
                </c:pt>
                <c:pt idx="1">
                  <c:v>0.30252100840336138</c:v>
                </c:pt>
                <c:pt idx="2">
                  <c:v>0.15546218487394958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Global'!$J$75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33721379082230485"/>
                  <c:y val="-4.43588740878797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Global'!$J$76:$J$90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25</c:v>
                </c:pt>
                <c:pt idx="12">
                  <c:v>28</c:v>
                </c:pt>
                <c:pt idx="13">
                  <c:v>30</c:v>
                </c:pt>
                <c:pt idx="1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Global'!$K$75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8.7528018325832464E-3"/>
                  <c:y val="-0.160720211004517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Global'!$K$76:$K$90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21</c:v>
                </c:pt>
                <c:pt idx="13">
                  <c:v>21</c:v>
                </c:pt>
                <c:pt idx="1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Global'!$L$75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68416458765117583"/>
                  <c:y val="-1.06028106201169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Global'!$L$76:$L$90</c:f>
              <c:numCache>
                <c:formatCode>General</c:formatCode>
                <c:ptCount val="15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21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29</c:v>
                </c:pt>
                <c:pt idx="13">
                  <c:v>29</c:v>
                </c:pt>
                <c:pt idx="1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Global'!$G$96</c:f>
              <c:strCache>
                <c:ptCount val="1"/>
                <c:pt idx="0">
                  <c:v>Jasper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Global'!$H$96:$T$96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3-4F31-B3DD-FB37CF910316}"/>
            </c:ext>
          </c:extLst>
        </c:ser>
        <c:ser>
          <c:idx val="1"/>
          <c:order val="1"/>
          <c:tx>
            <c:strRef>
              <c:f>'Stats Global'!$G$97</c:f>
              <c:strCache>
                <c:ptCount val="1"/>
                <c:pt idx="0">
                  <c:v>Conor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Global'!$H$97:$T$97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33-4F31-B3DD-FB37CF910316}"/>
            </c:ext>
          </c:extLst>
        </c:ser>
        <c:ser>
          <c:idx val="2"/>
          <c:order val="2"/>
          <c:tx>
            <c:strRef>
              <c:f>'Stats Global'!$G$98</c:f>
              <c:strCache>
                <c:ptCount val="1"/>
                <c:pt idx="0">
                  <c:v>Alex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Global'!$H$98:$T$98</c:f>
              <c:numCache>
                <c:formatCode>0</c:formatCode>
                <c:ptCount val="13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33-4F31-B3DD-FB37CF910316}"/>
            </c:ext>
          </c:extLst>
        </c:ser>
        <c:ser>
          <c:idx val="3"/>
          <c:order val="3"/>
          <c:tx>
            <c:strRef>
              <c:f>'Stats Global'!$G$99</c:f>
              <c:strCache>
                <c:ptCount val="1"/>
                <c:pt idx="0">
                  <c:v>Rudy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Global'!$H$99:$T$99</c:f>
              <c:numCache>
                <c:formatCode>0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12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33-4F31-B3DD-FB37CF910316}"/>
            </c:ext>
          </c:extLst>
        </c:ser>
        <c:ser>
          <c:idx val="4"/>
          <c:order val="4"/>
          <c:tx>
            <c:strRef>
              <c:f>'Stats Global'!$G$100</c:f>
              <c:strCache>
                <c:ptCount val="1"/>
                <c:pt idx="0">
                  <c:v>Michael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Global'!$H$100:$T$100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33-4F31-B3DD-FB37CF910316}"/>
            </c:ext>
          </c:extLst>
        </c:ser>
        <c:ser>
          <c:idx val="5"/>
          <c:order val="5"/>
          <c:tx>
            <c:strRef>
              <c:f>'Stats Global'!$G$101</c:f>
              <c:strCache>
                <c:ptCount val="1"/>
                <c:pt idx="0">
                  <c:v>Lukas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Global'!$H$101:$T$101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33-4F31-B3DD-FB37CF910316}"/>
            </c:ext>
          </c:extLst>
        </c:ser>
        <c:ser>
          <c:idx val="6"/>
          <c:order val="6"/>
          <c:tx>
            <c:strRef>
              <c:f>'Stats Global'!$G$102</c:f>
              <c:strCache>
                <c:ptCount val="1"/>
                <c:pt idx="0">
                  <c:v>Clarrie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Global'!$H$102:$T$102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33-4F31-B3DD-FB37CF910316}"/>
            </c:ext>
          </c:extLst>
        </c:ser>
        <c:ser>
          <c:idx val="7"/>
          <c:order val="7"/>
          <c:tx>
            <c:strRef>
              <c:f>'Stats Global'!$G$103</c:f>
              <c:strCache>
                <c:ptCount val="1"/>
                <c:pt idx="0">
                  <c:v>Kimmy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Global'!$H$103:$T$103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33-4F31-B3DD-FB37CF910316}"/>
            </c:ext>
          </c:extLst>
        </c:ser>
        <c:ser>
          <c:idx val="8"/>
          <c:order val="8"/>
          <c:tx>
            <c:strRef>
              <c:f>'Stats Global'!$G$104</c:f>
              <c:strCache>
                <c:ptCount val="1"/>
                <c:pt idx="0">
                  <c:v>SamM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Global'!$H$104:$T$104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5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33-4F31-B3DD-FB37CF910316}"/>
            </c:ext>
          </c:extLst>
        </c:ser>
        <c:ser>
          <c:idx val="9"/>
          <c:order val="9"/>
          <c:tx>
            <c:strRef>
              <c:f>'Stats Global'!$G$105</c:f>
              <c:strCache>
                <c:ptCount val="1"/>
                <c:pt idx="0">
                  <c:v>Ryan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Global'!$H$105:$T$105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433-4F31-B3DD-FB37CF910316}"/>
            </c:ext>
          </c:extLst>
        </c:ser>
        <c:ser>
          <c:idx val="10"/>
          <c:order val="10"/>
          <c:tx>
            <c:strRef>
              <c:f>'Stats Global'!$G$106</c:f>
              <c:strCache>
                <c:ptCount val="1"/>
                <c:pt idx="0">
                  <c:v>Nicholas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Global'!$H$106:$T$106</c:f>
              <c:numCache>
                <c:formatCode>0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433-4F31-B3DD-FB37CF910316}"/>
            </c:ext>
          </c:extLst>
        </c:ser>
        <c:ser>
          <c:idx val="11"/>
          <c:order val="11"/>
          <c:tx>
            <c:strRef>
              <c:f>'Stats Global'!$G$107</c:f>
              <c:strCache>
                <c:ptCount val="1"/>
                <c:pt idx="0">
                  <c:v>Christopher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Global'!$H$107:$T$107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433-4F31-B3DD-FB37CF910316}"/>
            </c:ext>
          </c:extLst>
        </c:ser>
        <c:ser>
          <c:idx val="12"/>
          <c:order val="12"/>
          <c:tx>
            <c:strRef>
              <c:f>'Stats Global'!$G$108</c:f>
              <c:strCache>
                <c:ptCount val="1"/>
                <c:pt idx="0">
                  <c:v>Angus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Global'!$H$108:$T$108</c:f>
              <c:numCache>
                <c:formatCode>0</c:formatCode>
                <c:ptCount val="13"/>
                <c:pt idx="0">
                  <c:v>3</c:v>
                </c:pt>
                <c:pt idx="1">
                  <c:v>1</c:v>
                </c:pt>
                <c:pt idx="2">
                  <c:v>6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433-4F31-B3DD-FB37CF910316}"/>
            </c:ext>
          </c:extLst>
        </c:ser>
        <c:ser>
          <c:idx val="13"/>
          <c:order val="13"/>
          <c:tx>
            <c:strRef>
              <c:f>'Stats Global'!$G$109</c:f>
              <c:strCache>
                <c:ptCount val="1"/>
                <c:pt idx="0">
                  <c:v>Willie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Global'!$H$109:$T$109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433-4F31-B3DD-FB37CF910316}"/>
            </c:ext>
          </c:extLst>
        </c:ser>
        <c:ser>
          <c:idx val="14"/>
          <c:order val="14"/>
          <c:tx>
            <c:strRef>
              <c:f>'Stats Global'!$G$110</c:f>
              <c:strCache>
                <c:ptCount val="1"/>
                <c:pt idx="0">
                  <c:v>Mitch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Global'!$H$110:$T$110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433-4F31-B3DD-FB37CF910316}"/>
            </c:ext>
          </c:extLst>
        </c:ser>
        <c:ser>
          <c:idx val="15"/>
          <c:order val="15"/>
          <c:tx>
            <c:strRef>
              <c:f>'Stats Global'!$G$111</c:f>
              <c:strCache>
                <c:ptCount val="1"/>
                <c:pt idx="0">
                  <c:v>SamJ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Global'!$H$111:$T$111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433-4F31-B3DD-FB37CF910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341056"/>
        <c:axId val="1848340640"/>
      </c:lineChart>
      <c:catAx>
        <c:axId val="18483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0640"/>
        <c:crosses val="autoZero"/>
        <c:auto val="1"/>
        <c:lblAlgn val="ctr"/>
        <c:lblOffset val="100"/>
        <c:noMultiLvlLbl val="0"/>
      </c:catAx>
      <c:valAx>
        <c:axId val="184834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 %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3350419408369E-2"/>
          <c:y val="0.17311303800715469"/>
          <c:w val="0.86621079958758707"/>
          <c:h val="0.57859055484462774"/>
        </c:manualLayout>
      </c:layout>
      <c:lineChart>
        <c:grouping val="standard"/>
        <c:varyColors val="0"/>
        <c:ser>
          <c:idx val="0"/>
          <c:order val="0"/>
          <c:tx>
            <c:v>Wet Willies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LG'!$U$4:$U$16</c:f>
              <c:numCache>
                <c:formatCode>0%</c:formatCode>
                <c:ptCount val="13"/>
                <c:pt idx="0">
                  <c:v>0.66666666666666663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</c:v>
                </c:pt>
                <c:pt idx="5">
                  <c:v>8.3333333333333329E-2</c:v>
                </c:pt>
                <c:pt idx="6">
                  <c:v>0.5</c:v>
                </c:pt>
                <c:pt idx="7">
                  <c:v>0.22222222222222221</c:v>
                </c:pt>
                <c:pt idx="8">
                  <c:v>0.33333333333333331</c:v>
                </c:pt>
                <c:pt idx="9">
                  <c:v>0.75</c:v>
                </c:pt>
                <c:pt idx="10">
                  <c:v>0.5</c:v>
                </c:pt>
                <c:pt idx="11">
                  <c:v>0.7142857142857143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F-4243-A81C-AA0E5280C3AE}"/>
            </c:ext>
          </c:extLst>
        </c:ser>
        <c:ser>
          <c:idx val="1"/>
          <c:order val="1"/>
          <c:tx>
            <c:v>Musketeers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LG'!$Z$4:$Z$16</c:f>
              <c:numCache>
                <c:formatCode>0%</c:formatCode>
                <c:ptCount val="13"/>
                <c:pt idx="0">
                  <c:v>0.2</c:v>
                </c:pt>
                <c:pt idx="1">
                  <c:v>0.66666666666666663</c:v>
                </c:pt>
                <c:pt idx="2">
                  <c:v>0.5</c:v>
                </c:pt>
                <c:pt idx="3">
                  <c:v>0.33333333333333331</c:v>
                </c:pt>
                <c:pt idx="4">
                  <c:v>0.2</c:v>
                </c:pt>
                <c:pt idx="5">
                  <c:v>0.66666666666666663</c:v>
                </c:pt>
                <c:pt idx="6">
                  <c:v>0.875</c:v>
                </c:pt>
                <c:pt idx="7">
                  <c:v>1</c:v>
                </c:pt>
                <c:pt idx="8">
                  <c:v>0.33333333333333331</c:v>
                </c:pt>
                <c:pt idx="9">
                  <c:v>0.5</c:v>
                </c:pt>
                <c:pt idx="10">
                  <c:v>0.14285714285714285</c:v>
                </c:pt>
                <c:pt idx="11">
                  <c:v>1</c:v>
                </c:pt>
                <c:pt idx="1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F-4243-A81C-AA0E5280C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639904"/>
        <c:axId val="1541640320"/>
      </c:lineChart>
      <c:catAx>
        <c:axId val="1541639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40320"/>
        <c:crosses val="autoZero"/>
        <c:auto val="1"/>
        <c:lblAlgn val="ctr"/>
        <c:lblOffset val="100"/>
        <c:noMultiLvlLbl val="0"/>
      </c:catAx>
      <c:valAx>
        <c:axId val="15416403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3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9329596890219028"/>
          <c:y val="0.83684391186520912"/>
          <c:w val="0.42863839578461255"/>
          <c:h val="0.157525099099085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Win</a:t>
            </a:r>
            <a:r>
              <a:rPr lang="en-AU" baseline="0"/>
              <a:t> % against Musketeers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WW'!$T$4:$T$16</c:f>
              <c:numCache>
                <c:formatCode>0%</c:formatCode>
                <c:ptCount val="13"/>
                <c:pt idx="0">
                  <c:v>0.4</c:v>
                </c:pt>
                <c:pt idx="1">
                  <c:v>0.25</c:v>
                </c:pt>
                <c:pt idx="2">
                  <c:v>0.42857142857142855</c:v>
                </c:pt>
                <c:pt idx="3">
                  <c:v>0.25</c:v>
                </c:pt>
                <c:pt idx="4">
                  <c:v>0.5714285714285714</c:v>
                </c:pt>
                <c:pt idx="5">
                  <c:v>0.61538461538461542</c:v>
                </c:pt>
                <c:pt idx="6">
                  <c:v>0.66666666666666663</c:v>
                </c:pt>
                <c:pt idx="7">
                  <c:v>0.8571428571428571</c:v>
                </c:pt>
                <c:pt idx="8">
                  <c:v>0.3</c:v>
                </c:pt>
                <c:pt idx="9">
                  <c:v>0.33333333333333331</c:v>
                </c:pt>
                <c:pt idx="10">
                  <c:v>0</c:v>
                </c:pt>
                <c:pt idx="11">
                  <c:v>0.66666666666666663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7-490C-9DF5-1B6C656BB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017439"/>
        <c:axId val="1158175359"/>
      </c:lineChart>
      <c:catAx>
        <c:axId val="1080017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175359"/>
        <c:crosses val="autoZero"/>
        <c:auto val="1"/>
        <c:lblAlgn val="ctr"/>
        <c:lblOffset val="100"/>
        <c:noMultiLvlLbl val="0"/>
      </c:catAx>
      <c:valAx>
        <c:axId val="115817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01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430696</xdr:colOff>
      <xdr:row>56</xdr:row>
      <xdr:rowOff>49696</xdr:rowOff>
    </xdr:from>
    <xdr:to>
      <xdr:col>14</xdr:col>
      <xdr:colOff>509380</xdr:colOff>
      <xdr:row>72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536863</xdr:colOff>
      <xdr:row>112</xdr:row>
      <xdr:rowOff>31170</xdr:rowOff>
    </xdr:from>
    <xdr:to>
      <xdr:col>31</xdr:col>
      <xdr:colOff>476248</xdr:colOff>
      <xdr:row>150</xdr:row>
      <xdr:rowOff>138545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67569-17A8-7E0A-EA50-CE8FF5C57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527276</xdr:colOff>
      <xdr:row>38</xdr:row>
      <xdr:rowOff>53747</xdr:rowOff>
    </xdr:from>
    <xdr:to>
      <xdr:col>24</xdr:col>
      <xdr:colOff>91847</xdr:colOff>
      <xdr:row>53</xdr:row>
      <xdr:rowOff>41500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2D6A2-FA38-EED7-7AC8-FD3E433D5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25213</xdr:colOff>
      <xdr:row>39</xdr:row>
      <xdr:rowOff>6722</xdr:rowOff>
    </xdr:from>
    <xdr:to>
      <xdr:col>17</xdr:col>
      <xdr:colOff>243727</xdr:colOff>
      <xdr:row>54</xdr:row>
      <xdr:rowOff>60511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093EB-5E1A-36FE-A6E9-45A08A356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17" headerRowBorderDxfId="15" tableBorderDxfId="16" totalsRowBorderDxfId="14">
  <autoFilter ref="P7:AC23" xr:uid="{598ECA3B-99B4-4CAB-8F81-5D711AA5A7FC}"/>
  <tableColumns count="14">
    <tableColumn id="1" xr3:uid="{9B036617-5450-4894-9268-827D2E0914FF}" name="Scoring" dataDxfId="13"/>
    <tableColumn id="2" xr3:uid="{6662CE93-E9C4-47DE-9476-E46126825B0A}" name="Points" dataDxfId="12">
      <calculatedColumnFormula>Q29+Q48+Q67+AB29+AB48+AB67</calculatedColumnFormula>
    </tableColumn>
    <tableColumn id="3" xr3:uid="{8FDDFCB0-2692-4EB0-948C-7B877263B55B}" name="Average" dataDxfId="11">
      <calculatedColumnFormula>Table1[[#This Row],[Points]]/($Q$5-Table1[[#This Row],[Missed Games]])</calculatedColumnFormula>
    </tableColumn>
    <tableColumn id="4" xr3:uid="{CC3F9B31-1857-48FB-A18B-CBC82C117BF4}" name="Finishes" dataDxfId="10">
      <calculatedColumnFormula>S29+S48+S67+AD29+AD48+AD67</calculatedColumnFormula>
    </tableColumn>
    <tableColumn id="5" xr3:uid="{5F324C66-956D-4EDC-870F-8EDE96C328C8}" name="Averages" dataDxfId="9">
      <calculatedColumnFormula>Table1[[#This Row],[Finishes]]/($Q$5-Table1[[#This Row],[Missed Games]])</calculatedColumnFormula>
    </tableColumn>
    <tableColumn id="6" xr3:uid="{80C6E15E-675D-4F58-AA26-27226F1CE373}" name="Midranges" dataDxfId="8">
      <calculatedColumnFormula>U29+U48+U67+AF29+AF48+AF67</calculatedColumnFormula>
    </tableColumn>
    <tableColumn id="7" xr3:uid="{8E7E6B37-23A0-4556-8839-B9D7834E3E68}" name="Averages2" dataDxfId="7">
      <calculatedColumnFormula>Table1[[#This Row],[Midranges]]/($Q$5-Table1[[#This Row],[Missed Games]])</calculatedColumnFormula>
    </tableColumn>
    <tableColumn id="8" xr3:uid="{8B28715D-E310-4E1F-B9F0-F58F7C70E830}" name="Threes" dataDxfId="6">
      <calculatedColumnFormula>W29+W48+W67+AH29+AH48+AH67</calculatedColumnFormula>
    </tableColumn>
    <tableColumn id="9" xr3:uid="{E0C0BF1C-40E8-4137-8E0F-BB238D651DAE}" name="Averages3" dataDxfId="5">
      <calculatedColumnFormula>Table1[[#This Row],[Threes]]/($Q$5-Table1[[#This Row],[Missed Games]])</calculatedColumnFormula>
    </tableColumn>
    <tableColumn id="10" xr3:uid="{1C75F230-74E0-47EE-BF13-C22289FE0F87}" name="Team" dataDxfId="4"/>
    <tableColumn id="11" xr3:uid="{E167D7FA-56F9-4571-B292-FF3869585F59}" name="Missed Games" dataDxfId="3">
      <calculatedColumnFormula>Y29+Y48+Y67+AJ29+AJ48+AJ67</calculatedColumnFormula>
    </tableColumn>
    <tableColumn id="12" xr3:uid="{1E9F03B6-331B-4AEA-A1FF-6B0C39F44510}" name="Last Season" dataDxfId="2" dataCellStyle="Percent"/>
    <tableColumn id="13" xr3:uid="{070DA09E-0E42-4E75-A3F1-D53845D2080C}" name="This Season" dataDxfId="1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0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N19" totalsRowShown="0" headerRowDxfId="37" dataDxfId="36">
  <autoFilter ref="AC3:AN19" xr:uid="{587B90AE-8257-4DD1-B916-54A097BDCDB9}"/>
  <tableColumns count="12">
    <tableColumn id="1" xr3:uid="{9C18B4B0-9A37-408A-98B5-B414F029A26A}" name="Scoring" dataDxfId="35"/>
    <tableColumn id="2" xr3:uid="{CC6666B6-FDFB-4B1A-846E-17C28664C92E}" name="Points" dataDxfId="34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33">
      <calculatedColumnFormula>Table2[[#This Row],[Points]]/($AE$2-Table2[[#This Row],[DNP]])</calculatedColumnFormula>
    </tableColumn>
    <tableColumn id="4" xr3:uid="{FA85A798-E688-4A4F-A92F-2DD56D710025}" name="Finishes" dataDxfId="32">
      <calculatedColumnFormula>'2404'!AC3+'2604'!AC3+'0205'!AC3+'0305'!AC3+'0805'!AC3+'0905'!AC3+'1005'!AC3+'1505'!AC3+'1605'!AC3+'1705'!AC3+'2205'!AC3+'2305'!AC3+'2405'!AC3+'Finals 1'!AD3+'Finals 2'!AD3</calculatedColumnFormula>
    </tableColumn>
    <tableColumn id="5" xr3:uid="{14C722B6-CCC7-4AA5-A077-4781282133B0}" name="Avg F" dataDxfId="31">
      <calculatedColumnFormula>Table2[[#This Row],[Finishes]]/($AE$2-Table2[[#This Row],[DNP]])</calculatedColumnFormula>
    </tableColumn>
    <tableColumn id="6" xr3:uid="{1E54054E-9F21-4987-99FC-EF35338EC708}" name="Midranges" dataDxfId="30">
      <calculatedColumnFormula>'2404'!AD3+'2604'!AD3+'0205'!AD3+'0305'!AD3+'0805'!AD3+'0905'!AD3+'1005'!AD3+'1505'!AD3+'1605'!AD3+'1705'!AD3+'2205'!AD3+'2305'!AD3+'2405'!AD3+'Finals 1'!AE3+'Finals 2'!AE3</calculatedColumnFormula>
    </tableColumn>
    <tableColumn id="7" xr3:uid="{3BC984C2-EE5E-43C7-8014-7F0DA5F9EB7A}" name="Avg M" dataDxfId="29">
      <calculatedColumnFormula>Table2[[#This Row],[Midranges]]/($AE$2-Table2[[#This Row],[DNP]])</calculatedColumnFormula>
    </tableColumn>
    <tableColumn id="8" xr3:uid="{9FAC1FFA-039C-4124-88C5-1A3BE26F7F04}" name="Threes" dataDxfId="28">
      <calculatedColumnFormula>'2404'!AE3+'2604'!AE3+'0205'!AE3+'0305'!AE3+'0805'!AE3+'0905'!AE3+'1005'!AE3+'1505'!AE3+'1605'!AE3+'1705'!AE3+'2205'!AE3+'2305'!AE3+'2405'!AE3+'Finals 1'!AF3+'Finals 2'!AF3</calculatedColumnFormula>
    </tableColumn>
    <tableColumn id="9" xr3:uid="{44E19C86-A8F7-4165-82A8-E143251937CE}" name="Avg 3" dataDxfId="27">
      <calculatedColumnFormula>Table2[[#This Row],[Threes]]/($AE$2-Table2[[#This Row],[DNP]])</calculatedColumnFormula>
    </tableColumn>
    <tableColumn id="10" xr3:uid="{DA5CCBEE-C42A-4EE7-8A28-4BA362276422}" name="DNP" dataDxfId="26">
      <calculatedColumnFormula>'Stats Global'!Z8</calculatedColumnFormula>
    </tableColumn>
    <tableColumn id="12" xr3:uid="{742E8670-21C2-4869-AA29-5DA804B8B38D}" name="Finals" dataDxfId="25">
      <calculatedColumnFormula>'Finals 1'!AD3+'Finals 2'!AD3+'Finals 1'!AE3+'Finals 2'!AE3+'Finals 1'!AF3+'Finals 2'!AF3</calculatedColumnFormula>
    </tableColumn>
    <tableColumn id="11" xr3:uid="{F325370A-84E1-41B4-8F12-F0AC604FD02D}" name="Finals Other" dataDxfId="24">
      <calculatedColumnFormula>'Stats Global'!AB67-Table2[[#This Row],[Finals]]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D39273-60CB-41AA-AA4F-D6451E6D6C52}" name="Table3" displayName="Table3" ref="AS3:AU19" totalsRowShown="0" headerRowBorderDxfId="23" tableBorderDxfId="22" totalsRowBorderDxfId="21">
  <autoFilter ref="AS3:AU19" xr:uid="{0ED39273-60CB-41AA-AA4F-D6451E6D6C52}"/>
  <tableColumns count="3">
    <tableColumn id="1" xr3:uid="{8E192C0D-F91A-43F5-B05F-D7DED980557D}" name="Scoring" dataDxfId="20"/>
    <tableColumn id="2" xr3:uid="{98A07CA9-2201-49DA-9BBF-25BAE333D261}" name="Finals" dataDxfId="19"/>
    <tableColumn id="3" xr3:uid="{C47456D8-F4DE-4131-8DEA-B0CC10B5E74A}" name="Finals Other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workbookViewId="0">
      <selection activeCell="L22" sqref="L22:L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0.41176470588235292</v>
      </c>
      <c r="E3" s="1">
        <f>'Stats Global'!Q8</f>
        <v>7</v>
      </c>
      <c r="F3" s="14">
        <f>'Stats Global'!T8</f>
        <v>0.11764705882352941</v>
      </c>
      <c r="G3" s="24">
        <f>'Stats Global'!S8</f>
        <v>2</v>
      </c>
      <c r="H3" s="14">
        <f>'Stats Global'!V8</f>
        <v>0.29411764705882354</v>
      </c>
      <c r="I3" s="24">
        <f>'Stats Global'!U8</f>
        <v>5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0.6</v>
      </c>
      <c r="E4" s="24">
        <f>'Stats Global'!Q9</f>
        <v>9</v>
      </c>
      <c r="F4" s="14">
        <f>'Stats Global'!T9</f>
        <v>0.4</v>
      </c>
      <c r="G4" s="24">
        <f>'Stats Global'!S9</f>
        <v>6</v>
      </c>
      <c r="H4" s="14">
        <f>'Stats Global'!V9</f>
        <v>0.2</v>
      </c>
      <c r="I4" s="24">
        <f>'Stats Global'!U9</f>
        <v>3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3.1428571428571428</v>
      </c>
      <c r="E5" s="24">
        <f>'Stats Global'!Q10</f>
        <v>44</v>
      </c>
      <c r="F5" s="14">
        <f>'Stats Global'!T10</f>
        <v>3.0714285714285716</v>
      </c>
      <c r="G5" s="24">
        <f>'Stats Global'!S10</f>
        <v>43</v>
      </c>
      <c r="H5" s="14">
        <f>'Stats Global'!V10</f>
        <v>7.1428571428571425E-2</v>
      </c>
      <c r="I5" s="24">
        <f>'Stats Global'!U10</f>
        <v>1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2.8125</v>
      </c>
      <c r="E6" s="24">
        <f>'Stats Global'!Q11</f>
        <v>45</v>
      </c>
      <c r="F6" s="14">
        <f>'Stats Global'!T11</f>
        <v>2.625</v>
      </c>
      <c r="G6" s="24">
        <f>'Stats Global'!S11</f>
        <v>42</v>
      </c>
      <c r="H6" s="14">
        <f>'Stats Global'!V11</f>
        <v>0.1875</v>
      </c>
      <c r="I6" s="24">
        <f>'Stats Global'!U11</f>
        <v>3</v>
      </c>
      <c r="J6" s="14">
        <f>'Stats Global'!X11</f>
        <v>0</v>
      </c>
      <c r="K6" s="24">
        <f>'Stats Global'!W11</f>
        <v>0</v>
      </c>
      <c r="L6" t="s">
        <v>216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2.0588235294117645</v>
      </c>
      <c r="E7" s="24">
        <f>'Stats Global'!Q12</f>
        <v>35</v>
      </c>
      <c r="F7" s="14">
        <f>'Stats Global'!T12</f>
        <v>0.58823529411764708</v>
      </c>
      <c r="G7" s="24">
        <f>'Stats Global'!S12</f>
        <v>10</v>
      </c>
      <c r="H7" s="14">
        <f>'Stats Global'!V12</f>
        <v>0.76470588235294112</v>
      </c>
      <c r="I7" s="24">
        <f>'Stats Global'!U12</f>
        <v>13</v>
      </c>
      <c r="J7" s="14">
        <f>'Stats Global'!X12</f>
        <v>0.35294117647058826</v>
      </c>
      <c r="K7" s="24">
        <f>'Stats Global'!W12</f>
        <v>6</v>
      </c>
      <c r="L7" t="s">
        <v>216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1.1428571428571428</v>
      </c>
      <c r="E8" s="24">
        <f>'Stats Global'!Q13</f>
        <v>16</v>
      </c>
      <c r="F8" s="14">
        <f>'Stats Global'!T13</f>
        <v>0.6428571428571429</v>
      </c>
      <c r="G8" s="24">
        <f>'Stats Global'!S13</f>
        <v>9</v>
      </c>
      <c r="H8" s="14">
        <f>'Stats Global'!V13</f>
        <v>0.5</v>
      </c>
      <c r="I8" s="24">
        <f>'Stats Global'!U13</f>
        <v>7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1.588235294117647</v>
      </c>
      <c r="E9" s="24">
        <f>'Stats Global'!Q14</f>
        <v>27</v>
      </c>
      <c r="F9" s="14">
        <f>'Stats Global'!T14</f>
        <v>0.29411764705882354</v>
      </c>
      <c r="G9" s="24">
        <f>'Stats Global'!S14</f>
        <v>5</v>
      </c>
      <c r="H9" s="14">
        <f>'Stats Global'!V14</f>
        <v>0.11764705882352941</v>
      </c>
      <c r="I9" s="24">
        <f>'Stats Global'!U14</f>
        <v>2</v>
      </c>
      <c r="J9" s="14">
        <f>'Stats Global'!X14</f>
        <v>0.58823529411764708</v>
      </c>
      <c r="K9" s="24">
        <f>'Stats Global'!W14</f>
        <v>10</v>
      </c>
      <c r="L9" s="40" t="s">
        <v>216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1.411764705882353</v>
      </c>
      <c r="E10" s="24">
        <f>'Stats Global'!Q15</f>
        <v>24</v>
      </c>
      <c r="F10" s="14">
        <f>'Stats Global'!T15</f>
        <v>0.41176470588235292</v>
      </c>
      <c r="G10" s="24">
        <f>'Stats Global'!S15</f>
        <v>7</v>
      </c>
      <c r="H10" s="14">
        <f>'Stats Global'!V15</f>
        <v>1</v>
      </c>
      <c r="I10" s="24">
        <f>'Stats Global'!U15</f>
        <v>17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2.5333333333333332</v>
      </c>
      <c r="E11" s="24">
        <f>'Stats Global'!Q16</f>
        <v>38</v>
      </c>
      <c r="F11" s="14">
        <f>'Stats Global'!T16</f>
        <v>0.46666666666666667</v>
      </c>
      <c r="G11" s="24">
        <f>'Stats Global'!S16</f>
        <v>7</v>
      </c>
      <c r="H11" s="14">
        <f>'Stats Global'!V16</f>
        <v>1.6666666666666667</v>
      </c>
      <c r="I11" s="24">
        <f>'Stats Global'!U16</f>
        <v>25</v>
      </c>
      <c r="J11" s="14">
        <f>'Stats Global'!X16</f>
        <v>0.2</v>
      </c>
      <c r="K11" s="24">
        <f>'Stats Global'!W16</f>
        <v>3</v>
      </c>
      <c r="L11" s="40" t="s">
        <v>216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0.875</v>
      </c>
      <c r="E12" s="24">
        <f>'Stats Global'!Q17</f>
        <v>14</v>
      </c>
      <c r="F12" s="14">
        <f>'Stats Global'!T17</f>
        <v>0.125</v>
      </c>
      <c r="G12" s="24">
        <f>'Stats Global'!S17</f>
        <v>2</v>
      </c>
      <c r="H12" s="14">
        <f>'Stats Global'!V17</f>
        <v>0.625</v>
      </c>
      <c r="I12" s="24">
        <f>'Stats Global'!U17</f>
        <v>10</v>
      </c>
      <c r="J12" s="14">
        <f>'Stats Global'!X17</f>
        <v>6.25E-2</v>
      </c>
      <c r="K12" s="24">
        <f>'Stats Global'!W17</f>
        <v>1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1.0666666666666667</v>
      </c>
      <c r="E13" s="24">
        <f>'Stats Global'!Q18</f>
        <v>16</v>
      </c>
      <c r="F13" s="14">
        <f>'Stats Global'!T18</f>
        <v>0.53333333333333333</v>
      </c>
      <c r="G13" s="24">
        <f>'Stats Global'!S18</f>
        <v>8</v>
      </c>
      <c r="H13" s="14">
        <f>'Stats Global'!V18</f>
        <v>0.13333333333333333</v>
      </c>
      <c r="I13" s="24">
        <f>'Stats Global'!U18</f>
        <v>2</v>
      </c>
      <c r="J13" s="14">
        <f>'Stats Global'!X18</f>
        <v>0.2</v>
      </c>
      <c r="K13" s="24">
        <f>'Stats Global'!W18</f>
        <v>3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1.0588235294117647</v>
      </c>
      <c r="E14" s="24">
        <f>'Stats Global'!Q19</f>
        <v>18</v>
      </c>
      <c r="F14" s="14">
        <f>'Stats Global'!T19</f>
        <v>0.41176470588235292</v>
      </c>
      <c r="G14" s="24">
        <f>'Stats Global'!S19</f>
        <v>7</v>
      </c>
      <c r="H14" s="14">
        <f>'Stats Global'!V19</f>
        <v>0.6470588235294118</v>
      </c>
      <c r="I14" s="24">
        <f>'Stats Global'!U19</f>
        <v>11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2.4285714285714284</v>
      </c>
      <c r="E15" s="24">
        <f>'Stats Global'!Q20</f>
        <v>34</v>
      </c>
      <c r="F15" s="14">
        <f>'Stats Global'!T20</f>
        <v>1.4285714285714286</v>
      </c>
      <c r="G15" s="24">
        <f>'Stats Global'!S20</f>
        <v>20</v>
      </c>
      <c r="H15" s="14">
        <f>'Stats Global'!V20</f>
        <v>0.5714285714285714</v>
      </c>
      <c r="I15" s="24">
        <f>'Stats Global'!U20</f>
        <v>8</v>
      </c>
      <c r="J15" s="14">
        <f>'Stats Global'!X20</f>
        <v>0.21428571428571427</v>
      </c>
      <c r="K15" s="24">
        <f>'Stats Global'!W20</f>
        <v>3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0.11764705882352941</v>
      </c>
      <c r="E16" s="24">
        <f>'Stats Global'!Q21</f>
        <v>2</v>
      </c>
      <c r="F16" s="14">
        <f>'Stats Global'!T21</f>
        <v>0.11764705882352941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0.6470588235294118</v>
      </c>
      <c r="E17" s="24">
        <f>'Stats Global'!Q22</f>
        <v>11</v>
      </c>
      <c r="F17" s="14">
        <f>'Stats Global'!T22</f>
        <v>0.23529411764705882</v>
      </c>
      <c r="G17" s="24">
        <f>'Stats Global'!S22</f>
        <v>4</v>
      </c>
      <c r="H17" s="14">
        <f>'Stats Global'!V22</f>
        <v>0.29411764705882354</v>
      </c>
      <c r="I17" s="24">
        <f>'Stats Global'!U22</f>
        <v>5</v>
      </c>
      <c r="J17" s="14">
        <f>'Stats Global'!X22</f>
        <v>5.8823529411764705E-2</v>
      </c>
      <c r="K17" s="24">
        <f>'Stats Global'!W22</f>
        <v>1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0.3125</v>
      </c>
      <c r="E18" s="24">
        <f>'Stats Global'!Q23</f>
        <v>5</v>
      </c>
      <c r="F18" s="14">
        <f>'Stats Global'!T23</f>
        <v>0.1875</v>
      </c>
      <c r="G18" s="24">
        <f>'Stats Global'!S23</f>
        <v>3</v>
      </c>
      <c r="H18" s="14">
        <f>'Stats Global'!V23</f>
        <v>0.125</v>
      </c>
      <c r="I18" s="24">
        <f>'Stats Global'!U23</f>
        <v>2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69" t="s">
        <v>159</v>
      </c>
      <c r="M20" s="169"/>
      <c r="N20" s="169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69"/>
      <c r="M21" s="169"/>
      <c r="N21" s="169"/>
      <c r="X21" s="3" t="s">
        <v>85</v>
      </c>
    </row>
    <row r="22" spans="2:24" ht="14.25" customHeight="1" x14ac:dyDescent="0.45">
      <c r="B22" s="4"/>
      <c r="D22" s="41" t="str">
        <f>ROUND(D3,2)&amp;","</f>
        <v>0.41,</v>
      </c>
      <c r="E22" s="41" t="str">
        <f>E3&amp;","</f>
        <v>7,</v>
      </c>
      <c r="F22" s="41" t="str">
        <f t="shared" ref="F22:F37" si="2">ROUND(F3,2)&amp;","</f>
        <v>0.12,</v>
      </c>
      <c r="G22" s="41" t="str">
        <f t="shared" ref="G22:G36" si="3">G3&amp;","</f>
        <v>2,</v>
      </c>
      <c r="H22" s="41" t="str">
        <f t="shared" ref="H22:H37" si="4">ROUND(H3,2)&amp;","</f>
        <v>0.29,</v>
      </c>
      <c r="I22" s="41" t="str">
        <f t="shared" ref="I22:I36" si="5">I3&amp;","</f>
        <v>5,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"PPG":[0.41,0.6,3.14,2.81,2.06,1.14,1.59,1.41,2.53,0.88,1.07,1.06,2.43,0.12,0.65,0.31,],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0.6,</v>
      </c>
      <c r="E23" s="41" t="str">
        <f t="shared" ref="E23:E37" si="9">E4&amp;","</f>
        <v>9,</v>
      </c>
      <c r="F23" s="41" t="str">
        <f t="shared" si="2"/>
        <v>0.4,</v>
      </c>
      <c r="G23" s="41" t="str">
        <f t="shared" si="3"/>
        <v>6,</v>
      </c>
      <c r="H23" s="41" t="str">
        <f t="shared" si="4"/>
        <v>0.2,</v>
      </c>
      <c r="I23" s="41" t="str">
        <f t="shared" si="5"/>
        <v>3,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"TP":[7,9,44,45,35,16,27,24,38,14,16,18,34,2,11,5,],</v>
      </c>
      <c r="X23" s="3" t="s">
        <v>87</v>
      </c>
    </row>
    <row r="24" spans="2:24" ht="14.25" customHeight="1" x14ac:dyDescent="0.45">
      <c r="D24" s="41" t="str">
        <f t="shared" si="8"/>
        <v>3.14,</v>
      </c>
      <c r="E24" s="41" t="str">
        <f t="shared" si="9"/>
        <v>44,</v>
      </c>
      <c r="F24" s="41" t="str">
        <f t="shared" si="2"/>
        <v>3.07,</v>
      </c>
      <c r="G24" s="41" t="str">
        <f t="shared" si="3"/>
        <v>43,</v>
      </c>
      <c r="H24" s="41" t="str">
        <f t="shared" si="4"/>
        <v>0.07,</v>
      </c>
      <c r="I24" s="41" t="str">
        <f t="shared" si="5"/>
        <v>1,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"FPG":[0.12,0.4,3.07,2.63,0.59,0.64,0.29,0.41,0.47,0.13,0.53,0.41,1.43,0.12,0.24,0.19,],</v>
      </c>
      <c r="X24" s="40" t="s">
        <v>107</v>
      </c>
    </row>
    <row r="25" spans="2:24" ht="14.25" customHeight="1" x14ac:dyDescent="0.45">
      <c r="D25" s="41" t="str">
        <f t="shared" si="8"/>
        <v>2.81,</v>
      </c>
      <c r="E25" s="41" t="str">
        <f t="shared" si="9"/>
        <v>45,</v>
      </c>
      <c r="F25" s="41" t="str">
        <f t="shared" si="2"/>
        <v>2.63,</v>
      </c>
      <c r="G25" s="41" t="str">
        <f t="shared" si="3"/>
        <v>42,</v>
      </c>
      <c r="H25" s="41" t="str">
        <f t="shared" si="4"/>
        <v>0.19,</v>
      </c>
      <c r="I25" s="41" t="str">
        <f t="shared" si="5"/>
        <v>3,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"TF":[2,6,43,42,10,9,5,7,7,2,8,7,20,2,4,3],</v>
      </c>
    </row>
    <row r="26" spans="2:24" ht="14.25" customHeight="1" x14ac:dyDescent="0.45">
      <c r="D26" s="41" t="str">
        <f t="shared" si="8"/>
        <v>2.06,</v>
      </c>
      <c r="E26" s="41" t="str">
        <f t="shared" si="9"/>
        <v>35,</v>
      </c>
      <c r="F26" s="41" t="str">
        <f t="shared" si="2"/>
        <v>0.59,</v>
      </c>
      <c r="G26" s="41" t="str">
        <f t="shared" si="3"/>
        <v>10,</v>
      </c>
      <c r="H26" s="41" t="str">
        <f t="shared" si="4"/>
        <v>0.76,</v>
      </c>
      <c r="I26" s="41" t="str">
        <f t="shared" si="5"/>
        <v>13,</v>
      </c>
      <c r="J26" s="41" t="str">
        <f t="shared" si="6"/>
        <v>0.35,</v>
      </c>
      <c r="K26" s="41" t="str">
        <f t="shared" si="7"/>
        <v>6,</v>
      </c>
      <c r="L26" t="str">
        <f>H21&amp;":["&amp;H22&amp;H23&amp;H24&amp;H25&amp;H26&amp;H27&amp;H28&amp;H29&amp;H30&amp;H31&amp;H32&amp;H33&amp;H34&amp;H35&amp;H36&amp;H37&amp;"],"</f>
        <v>"MPG":[0.29,0.2,0.07,0.19,0.76,0.5,0.12,1,1.67,0.63,0.13,0.65,0.57,0,0.29,0.13,],</v>
      </c>
    </row>
    <row r="27" spans="2:24" ht="14.25" customHeight="1" x14ac:dyDescent="0.45">
      <c r="D27" s="41" t="str">
        <f t="shared" si="8"/>
        <v>1.14,</v>
      </c>
      <c r="E27" s="41" t="str">
        <f t="shared" si="9"/>
        <v>16,</v>
      </c>
      <c r="F27" s="41" t="str">
        <f t="shared" si="2"/>
        <v>0.64,</v>
      </c>
      <c r="G27" s="41" t="str">
        <f t="shared" si="3"/>
        <v>9,</v>
      </c>
      <c r="H27" s="41" t="str">
        <f t="shared" si="4"/>
        <v>0.5,</v>
      </c>
      <c r="I27" s="41" t="str">
        <f t="shared" si="5"/>
        <v>7,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"TM":[5,3,1,3,13,7,2,17,25,10,2,11,8,0,5,2],</v>
      </c>
    </row>
    <row r="28" spans="2:24" ht="14.25" customHeight="1" x14ac:dyDescent="0.45">
      <c r="D28" s="41" t="str">
        <f t="shared" si="8"/>
        <v>1.59,</v>
      </c>
      <c r="E28" s="41" t="str">
        <f t="shared" si="9"/>
        <v>27,</v>
      </c>
      <c r="F28" s="41" t="str">
        <f t="shared" si="2"/>
        <v>0.29,</v>
      </c>
      <c r="G28" s="41" t="str">
        <f t="shared" si="3"/>
        <v>5,</v>
      </c>
      <c r="H28" s="41" t="str">
        <f t="shared" si="4"/>
        <v>0.12,</v>
      </c>
      <c r="I28" s="41" t="str">
        <f t="shared" si="5"/>
        <v>2,</v>
      </c>
      <c r="J28" s="41" t="str">
        <f t="shared" si="6"/>
        <v>0.59,</v>
      </c>
      <c r="K28" s="41" t="str">
        <f t="shared" si="7"/>
        <v>10,</v>
      </c>
      <c r="L28" t="str">
        <f>J21&amp;":["&amp;J22&amp;J23&amp;J24&amp;J25&amp;J26&amp;J27&amp;J28&amp;J29&amp;J30&amp;J31&amp;J32&amp;J33&amp;J34&amp;J35&amp;J36&amp;J37&amp;"],"</f>
        <v>"TPG":[0,0,0,0,0.35,0,0.59,0,0.2,0.06,0.2,0,0.21,0,0.06,0,],</v>
      </c>
    </row>
    <row r="29" spans="2:24" ht="14.25" customHeight="1" x14ac:dyDescent="0.45">
      <c r="D29" s="41" t="str">
        <f t="shared" si="8"/>
        <v>1.41,</v>
      </c>
      <c r="E29" s="41" t="str">
        <f t="shared" si="9"/>
        <v>24,</v>
      </c>
      <c r="F29" s="41" t="str">
        <f t="shared" si="2"/>
        <v>0.41,</v>
      </c>
      <c r="G29" s="41" t="str">
        <f t="shared" si="3"/>
        <v>7,</v>
      </c>
      <c r="H29" s="41" t="str">
        <f t="shared" si="4"/>
        <v>1,</v>
      </c>
      <c r="I29" s="41" t="str">
        <f t="shared" si="5"/>
        <v>17,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"TT":[0,0,0,0,6,0,10,0,3,1,3,0,3,0,1,0],</v>
      </c>
    </row>
    <row r="30" spans="2:24" ht="14.25" customHeight="1" x14ac:dyDescent="0.45">
      <c r="C30" s="41"/>
      <c r="D30" s="41" t="str">
        <f t="shared" si="8"/>
        <v>2.53,</v>
      </c>
      <c r="E30" s="41" t="str">
        <f t="shared" si="9"/>
        <v>38,</v>
      </c>
      <c r="F30" s="41" t="str">
        <f t="shared" si="2"/>
        <v>0.47,</v>
      </c>
      <c r="G30" s="41" t="str">
        <f t="shared" si="3"/>
        <v>7,</v>
      </c>
      <c r="H30" s="41" t="str">
        <f t="shared" si="4"/>
        <v>1.67,</v>
      </c>
      <c r="I30" s="41" t="str">
        <f t="shared" si="5"/>
        <v>25,</v>
      </c>
      <c r="J30" s="41" t="str">
        <f t="shared" si="6"/>
        <v>0.2,</v>
      </c>
      <c r="K30" s="41" t="str">
        <f t="shared" si="7"/>
        <v>3,</v>
      </c>
      <c r="L30" t="str">
        <f>CHAR(34)&amp;"NBAMODENUMBER"&amp;CHAR(34)&amp;":["&amp;ROUND(L31,2)&amp;"],"</f>
        <v>"NBAMODENUMBER":[12.83],</v>
      </c>
    </row>
    <row r="31" spans="2:24" ht="14.25" customHeight="1" x14ac:dyDescent="0.45">
      <c r="C31" s="41"/>
      <c r="D31" s="41" t="str">
        <f t="shared" si="8"/>
        <v>0.88,</v>
      </c>
      <c r="E31" s="41" t="str">
        <f t="shared" si="9"/>
        <v>14,</v>
      </c>
      <c r="F31" s="41" t="str">
        <f t="shared" si="2"/>
        <v>0.13,</v>
      </c>
      <c r="G31" s="41" t="str">
        <f t="shared" si="3"/>
        <v>2,</v>
      </c>
      <c r="H31" s="41" t="str">
        <f t="shared" si="4"/>
        <v>0.63,</v>
      </c>
      <c r="I31" s="41" t="str">
        <f t="shared" si="5"/>
        <v>10,</v>
      </c>
      <c r="J31" s="41" t="str">
        <f t="shared" si="6"/>
        <v>0.06,</v>
      </c>
      <c r="K31" s="41" t="str">
        <f t="shared" si="7"/>
        <v>1,</v>
      </c>
      <c r="L31" s="41">
        <f>95/(SUM(Table1[Average])/3)</f>
        <v>12.832980172544273</v>
      </c>
    </row>
    <row r="32" spans="2:24" ht="14.25" customHeight="1" x14ac:dyDescent="0.45">
      <c r="C32" s="41"/>
      <c r="D32" s="41" t="str">
        <f t="shared" si="8"/>
        <v>1.07,</v>
      </c>
      <c r="E32" s="41" t="str">
        <f t="shared" si="9"/>
        <v>16,</v>
      </c>
      <c r="F32" s="41" t="str">
        <f t="shared" si="2"/>
        <v>0.53,</v>
      </c>
      <c r="G32" s="41" t="str">
        <f t="shared" si="3"/>
        <v>8,</v>
      </c>
      <c r="H32" s="41" t="str">
        <f t="shared" si="4"/>
        <v>0.13,</v>
      </c>
      <c r="I32" s="41" t="str">
        <f t="shared" si="5"/>
        <v>2,</v>
      </c>
      <c r="J32" s="41" t="str">
        <f t="shared" si="6"/>
        <v>0.2,</v>
      </c>
      <c r="K32" s="41" t="str">
        <f t="shared" si="7"/>
        <v>3,</v>
      </c>
    </row>
    <row r="33" spans="3:11" ht="14.25" customHeight="1" x14ac:dyDescent="0.45">
      <c r="C33" s="41"/>
      <c r="D33" s="41" t="str">
        <f t="shared" si="8"/>
        <v>1.06,</v>
      </c>
      <c r="E33" s="41" t="str">
        <f t="shared" si="9"/>
        <v>18,</v>
      </c>
      <c r="F33" s="41" t="str">
        <f t="shared" si="2"/>
        <v>0.41,</v>
      </c>
      <c r="G33" s="41" t="str">
        <f t="shared" si="3"/>
        <v>7,</v>
      </c>
      <c r="H33" s="41" t="str">
        <f t="shared" si="4"/>
        <v>0.65,</v>
      </c>
      <c r="I33" s="41" t="str">
        <f t="shared" si="5"/>
        <v>11,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2.43,</v>
      </c>
      <c r="E34" s="41" t="str">
        <f t="shared" si="9"/>
        <v>34,</v>
      </c>
      <c r="F34" s="41" t="str">
        <f t="shared" si="2"/>
        <v>1.43,</v>
      </c>
      <c r="G34" s="41" t="str">
        <f t="shared" si="3"/>
        <v>20,</v>
      </c>
      <c r="H34" s="41" t="str">
        <f t="shared" si="4"/>
        <v>0.57,</v>
      </c>
      <c r="I34" s="41" t="str">
        <f t="shared" si="5"/>
        <v>8,</v>
      </c>
      <c r="J34" s="41" t="str">
        <f t="shared" si="6"/>
        <v>0.21,</v>
      </c>
      <c r="K34" s="41" t="str">
        <f t="shared" si="7"/>
        <v>3,</v>
      </c>
    </row>
    <row r="35" spans="3:11" ht="14.25" customHeight="1" x14ac:dyDescent="0.45">
      <c r="C35" s="41"/>
      <c r="D35" s="41" t="str">
        <f t="shared" si="8"/>
        <v>0.12,</v>
      </c>
      <c r="E35" s="41" t="str">
        <f t="shared" si="9"/>
        <v>2,</v>
      </c>
      <c r="F35" s="41" t="str">
        <f t="shared" si="2"/>
        <v>0.12,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0.65,</v>
      </c>
      <c r="E36" s="41" t="str">
        <f t="shared" si="9"/>
        <v>11,</v>
      </c>
      <c r="F36" s="41" t="str">
        <f t="shared" si="2"/>
        <v>0.24,</v>
      </c>
      <c r="G36" s="41" t="str">
        <f t="shared" si="3"/>
        <v>4,</v>
      </c>
      <c r="H36" s="41" t="str">
        <f t="shared" si="4"/>
        <v>0.29,</v>
      </c>
      <c r="I36" s="41" t="str">
        <f t="shared" si="5"/>
        <v>5,</v>
      </c>
      <c r="J36" s="41" t="str">
        <f t="shared" si="6"/>
        <v>0.06,</v>
      </c>
      <c r="K36" s="41" t="str">
        <f t="shared" si="7"/>
        <v>1,</v>
      </c>
    </row>
    <row r="37" spans="3:11" ht="14.25" customHeight="1" x14ac:dyDescent="0.45">
      <c r="C37" s="41"/>
      <c r="D37" s="41" t="str">
        <f t="shared" si="8"/>
        <v>0.31,</v>
      </c>
      <c r="E37" s="41" t="str">
        <f t="shared" si="9"/>
        <v>5,</v>
      </c>
      <c r="F37" s="41" t="str">
        <f t="shared" si="2"/>
        <v>0.19,</v>
      </c>
      <c r="G37" s="41">
        <f>G18</f>
        <v>3</v>
      </c>
      <c r="H37" s="41" t="str">
        <f t="shared" si="4"/>
        <v>0.13,</v>
      </c>
      <c r="I37" s="41">
        <f>I18</f>
        <v>2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N1000"/>
  <sheetViews>
    <sheetView tabSelected="1" topLeftCell="N1" workbookViewId="0">
      <selection activeCell="AE19" sqref="AE19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1" width="8.73046875" customWidth="1"/>
    <col min="32" max="32" width="11.33203125" customWidth="1"/>
    <col min="33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Q26+Q46+Q65+AB26+AB46+AB65</f>
        <v>17</v>
      </c>
      <c r="AH5" s="170" t="s">
        <v>230</v>
      </c>
      <c r="AI5" s="170"/>
      <c r="AJ5" s="170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18.307692307692307</v>
      </c>
      <c r="J6" s="1">
        <f t="shared" si="1"/>
        <v>9.9230769230769234</v>
      </c>
      <c r="K6" s="1">
        <f t="shared" si="1"/>
        <v>5.5384615384615383</v>
      </c>
      <c r="L6" s="1">
        <f t="shared" si="1"/>
        <v>2.8461538461538463</v>
      </c>
      <c r="AA6" s="33" t="s">
        <v>212</v>
      </c>
      <c r="AB6" s="33" t="s">
        <v>231</v>
      </c>
      <c r="AE6" s="105"/>
      <c r="AF6" s="55"/>
      <c r="AH6" s="170"/>
      <c r="AI6" s="170"/>
      <c r="AJ6" s="170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0.54201680672268915</v>
      </c>
      <c r="K7" s="8">
        <f t="shared" si="2"/>
        <v>0.30252100840336138</v>
      </c>
      <c r="L7" s="8">
        <f t="shared" si="2"/>
        <v>0.15546218487394958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5" t="s">
        <v>160</v>
      </c>
      <c r="AA7" s="48" t="s">
        <v>176</v>
      </c>
      <c r="AB7" s="48" t="s">
        <v>211</v>
      </c>
      <c r="AC7" s="48" t="s">
        <v>177</v>
      </c>
      <c r="AE7" s="33" t="s">
        <v>226</v>
      </c>
      <c r="AH7" s="135" t="s">
        <v>55</v>
      </c>
      <c r="AI7" s="138">
        <f>(T8+V8+X8)/SUM($T$8,V$8,X$8,T$10,V$10,X$10,T$16,V$16,X$16,T$17,V$17,X$17,T$18,V$18,X$18)</f>
        <v>5.4414969669206947E-2</v>
      </c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0" t="s">
        <v>55</v>
      </c>
      <c r="Q8" s="68">
        <f t="shared" ref="Q8:Q23" si="3">Q29+Q48+Q67+AB29+AB48+AB67</f>
        <v>7</v>
      </c>
      <c r="R8" s="69">
        <f>Table1[[#This Row],[Points]]/($Q$5-Table1[[#This Row],[Missed Games]])</f>
        <v>0.41176470588235292</v>
      </c>
      <c r="S8" s="70">
        <f t="shared" ref="S8:S23" si="4">S29+S48+S67+AD29+AD48+AD67</f>
        <v>2</v>
      </c>
      <c r="T8" s="71">
        <f>Table1[[#This Row],[Finishes]]/($Q$5-Table1[[#This Row],[Missed Games]])</f>
        <v>0.11764705882352941</v>
      </c>
      <c r="U8" s="70">
        <f t="shared" ref="U8:U23" si="5">U29+U48+U67+AF29+AF48+AF67</f>
        <v>5</v>
      </c>
      <c r="V8" s="71">
        <f>Table1[[#This Row],[Midranges]]/($Q$5-Table1[[#This Row],[Missed Games]])</f>
        <v>0.29411764705882354</v>
      </c>
      <c r="W8" s="70">
        <f t="shared" ref="W8:W23" si="6">W29+W48+W67+AH29+AH48+AH67</f>
        <v>0</v>
      </c>
      <c r="X8" s="71">
        <f>Table1[[#This Row],[Threes]]/($Q$5-Table1[[#This Row],[Missed Games]])</f>
        <v>0</v>
      </c>
      <c r="Y8" s="80" t="s">
        <v>34</v>
      </c>
      <c r="Z8" s="81">
        <f t="shared" ref="Z8:Z23" si="7">Y29+Y48+Y67+AJ29+AJ48+AJ67</f>
        <v>0</v>
      </c>
      <c r="AA8" s="108">
        <f>1.5564%*1.007842</f>
        <v>1.5686052887999999E-2</v>
      </c>
      <c r="AB8" s="108">
        <f>(Table1[[#This Row],[Averages]]+Table1[[#This Row],[Averages2]]+Table1[[#This Row],[Averages3]])/SUM(Table1[Averages],Table1[Averages2],Table1[Averages3])</f>
        <v>2.0055151667084482E-2</v>
      </c>
      <c r="AC8" s="109">
        <f t="shared" ref="AC8:AC23" si="8">AB8-AA8</f>
        <v>4.3690987790844828E-3</v>
      </c>
      <c r="AE8" s="64" t="s">
        <v>132</v>
      </c>
      <c r="AF8" s="41">
        <f>MEDIAN(R14:R15,R19:R20,R22:R23)</f>
        <v>1.2352941176470589</v>
      </c>
      <c r="AH8" s="136" t="s">
        <v>59</v>
      </c>
      <c r="AI8" s="139">
        <f>(T9+V9+X9)/SUM(T$9,V$9,X$9,T$11:T$13,V$11:V$13,X$11:X$13,T$21,V$21,X$21)</f>
        <v>9.4060302666029952E-2</v>
      </c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2" t="s">
        <v>59</v>
      </c>
      <c r="Q9" s="72">
        <f t="shared" si="3"/>
        <v>9</v>
      </c>
      <c r="R9" s="73">
        <f>Table1[[#This Row],[Points]]/($Q$5-Table1[[#This Row],[Missed Games]])</f>
        <v>0.6</v>
      </c>
      <c r="S9" s="74">
        <f t="shared" si="4"/>
        <v>6</v>
      </c>
      <c r="T9" s="75">
        <f>Table1[[#This Row],[Finishes]]/($Q$5-Table1[[#This Row],[Missed Games]])</f>
        <v>0.4</v>
      </c>
      <c r="U9" s="74">
        <f t="shared" si="5"/>
        <v>3</v>
      </c>
      <c r="V9" s="75">
        <f>Table1[[#This Row],[Midranges]]/($Q$5-Table1[[#This Row],[Missed Games]])</f>
        <v>0.2</v>
      </c>
      <c r="W9" s="74">
        <f t="shared" si="6"/>
        <v>0</v>
      </c>
      <c r="X9" s="75">
        <f>Table1[[#This Row],[Threes]]/($Q$5-Table1[[#This Row],[Missed Games]])</f>
        <v>0</v>
      </c>
      <c r="Y9" s="82" t="s">
        <v>39</v>
      </c>
      <c r="Z9" s="83">
        <f t="shared" si="7"/>
        <v>2</v>
      </c>
      <c r="AA9" s="110">
        <f>1.007842*2.7237%</f>
        <v>2.7450592553999998E-2</v>
      </c>
      <c r="AB9" s="110">
        <f>(Table1[[#This Row],[Averages]]+Table1[[#This Row],[Averages2]]+Table1[[#This Row],[Averages3]])/SUM(Table1[Averages],Table1[Averages2],Table1[Averages3])</f>
        <v>2.9223221000608823E-2</v>
      </c>
      <c r="AC9" s="109">
        <f t="shared" si="8"/>
        <v>1.7726284466088246E-3</v>
      </c>
      <c r="AE9" s="64" t="s">
        <v>133</v>
      </c>
      <c r="AF9" s="41">
        <f>MEDIAN(R9,R11:R13,R21)</f>
        <v>1.1428571428571428</v>
      </c>
      <c r="AH9" s="135" t="s">
        <v>62</v>
      </c>
      <c r="AI9" s="138">
        <f>(T10+V10+X10)/SUM($T$8,V$8,X$8,T$10,V$10,X$10,T$16,V$16,X$16,T$17,V$17,X$17,T$18,V$18,X$18)</f>
        <v>0.41533058482211027</v>
      </c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0" t="s">
        <v>62</v>
      </c>
      <c r="Q10" s="68">
        <f t="shared" si="3"/>
        <v>44</v>
      </c>
      <c r="R10" s="69">
        <f>Table1[[#This Row],[Points]]/($Q$5-Table1[[#This Row],[Missed Games]])</f>
        <v>3.1428571428571428</v>
      </c>
      <c r="S10" s="70">
        <f t="shared" si="4"/>
        <v>43</v>
      </c>
      <c r="T10" s="71">
        <f>Table1[[#This Row],[Finishes]]/($Q$5-Table1[[#This Row],[Missed Games]])</f>
        <v>3.0714285714285716</v>
      </c>
      <c r="U10" s="70">
        <f t="shared" si="5"/>
        <v>1</v>
      </c>
      <c r="V10" s="71">
        <f>Table1[[#This Row],[Midranges]]/($Q$5-Table1[[#This Row],[Missed Games]])</f>
        <v>7.1428571428571425E-2</v>
      </c>
      <c r="W10" s="70">
        <f t="shared" si="6"/>
        <v>0</v>
      </c>
      <c r="X10" s="71">
        <f>Table1[[#This Row],[Threes]]/($Q$5-Table1[[#This Row],[Missed Games]])</f>
        <v>0</v>
      </c>
      <c r="Y10" s="80" t="s">
        <v>34</v>
      </c>
      <c r="Z10" s="81">
        <f t="shared" si="7"/>
        <v>3</v>
      </c>
      <c r="AA10" s="108">
        <f>1.007842*12.0623%</f>
        <v>0.12156892556599999</v>
      </c>
      <c r="AB10" s="108">
        <f>(Table1[[#This Row],[Averages]]+Table1[[#This Row],[Averages2]]+Table1[[#This Row],[Averages3]])/SUM(Table1[Averages],Table1[Averages2],Table1[Averages3])</f>
        <v>0.15307401476509383</v>
      </c>
      <c r="AC10" s="109">
        <f t="shared" si="8"/>
        <v>3.1505089199093839E-2</v>
      </c>
      <c r="AE10" s="64" t="s">
        <v>134</v>
      </c>
      <c r="AF10" s="41">
        <f>MEDIAN(R8,R10,R16:R18)</f>
        <v>1.0666666666666667</v>
      </c>
      <c r="AH10" s="136" t="s">
        <v>65</v>
      </c>
      <c r="AI10" s="139">
        <f>(T11+V11+X11)/SUM(T$9,V$9,X$9,T$11:T$13,V$11:V$13,X$11:X$13,T$21,V$21,X$21)</f>
        <v>0.44090766874701537</v>
      </c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2" t="s">
        <v>65</v>
      </c>
      <c r="Q11" s="72">
        <f t="shared" si="3"/>
        <v>45</v>
      </c>
      <c r="R11" s="73">
        <f>Table1[[#This Row],[Points]]/($Q$5-Table1[[#This Row],[Missed Games]])</f>
        <v>2.8125</v>
      </c>
      <c r="S11" s="74">
        <f t="shared" si="4"/>
        <v>42</v>
      </c>
      <c r="T11" s="75">
        <f>Table1[[#This Row],[Finishes]]/($Q$5-Table1[[#This Row],[Missed Games]])</f>
        <v>2.625</v>
      </c>
      <c r="U11" s="74">
        <f t="shared" si="5"/>
        <v>3</v>
      </c>
      <c r="V11" s="75">
        <f>Table1[[#This Row],[Midranges]]/($Q$5-Table1[[#This Row],[Missed Games]])</f>
        <v>0.1875</v>
      </c>
      <c r="W11" s="74">
        <f t="shared" si="6"/>
        <v>0</v>
      </c>
      <c r="X11" s="75">
        <f>Table1[[#This Row],[Threes]]/($Q$5-Table1[[#This Row],[Missed Games]])</f>
        <v>0</v>
      </c>
      <c r="Y11" s="82" t="s">
        <v>39</v>
      </c>
      <c r="Z11" s="83">
        <f t="shared" si="7"/>
        <v>1</v>
      </c>
      <c r="AA11" s="110">
        <f>1.007842*12.4514%</f>
        <v>0.12549043878799998</v>
      </c>
      <c r="AB11" s="110">
        <f>(Table1[[#This Row],[Averages]]+Table1[[#This Row],[Averages2]]+Table1[[#This Row],[Averages3]])/SUM(Table1[Averages],Table1[Averages2],Table1[Averages3])</f>
        <v>0.13698384844035383</v>
      </c>
      <c r="AC11" s="109">
        <f t="shared" si="8"/>
        <v>1.1493409652353848E-2</v>
      </c>
      <c r="AE11" s="64"/>
      <c r="AH11" s="136" t="s">
        <v>68</v>
      </c>
      <c r="AI11" s="139">
        <f>(T12+V12+X12)/SUM(T$9,V$9,X$9,T$11:T$13,V$11:V$13,X$11:X$13,T$21,V$21,X$21)</f>
        <v>0.26742635071714399</v>
      </c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2" t="s">
        <v>68</v>
      </c>
      <c r="Q12" s="72">
        <f t="shared" si="3"/>
        <v>35</v>
      </c>
      <c r="R12" s="73">
        <f>Table1[[#This Row],[Points]]/($Q$5-Table1[[#This Row],[Missed Games]])</f>
        <v>2.0588235294117645</v>
      </c>
      <c r="S12" s="74">
        <f t="shared" si="4"/>
        <v>10</v>
      </c>
      <c r="T12" s="75">
        <f>Table1[[#This Row],[Finishes]]/($Q$5-Table1[[#This Row],[Missed Games]])</f>
        <v>0.58823529411764708</v>
      </c>
      <c r="U12" s="74">
        <f t="shared" si="5"/>
        <v>13</v>
      </c>
      <c r="V12" s="75">
        <f>Table1[[#This Row],[Midranges]]/($Q$5-Table1[[#This Row],[Missed Games]])</f>
        <v>0.76470588235294112</v>
      </c>
      <c r="W12" s="74">
        <f t="shared" si="6"/>
        <v>6</v>
      </c>
      <c r="X12" s="75">
        <f>Table1[[#This Row],[Threes]]/($Q$5-Table1[[#This Row],[Missed Games]])</f>
        <v>0.35294117647058826</v>
      </c>
      <c r="Y12" s="82" t="s">
        <v>39</v>
      </c>
      <c r="Z12" s="83">
        <f t="shared" si="7"/>
        <v>0</v>
      </c>
      <c r="AA12" s="110">
        <f>1.007842*5.4475%</f>
        <v>5.4902192949999991E-2</v>
      </c>
      <c r="AB12" s="110">
        <f>(Table1[[#This Row],[Averages]]+Table1[[#This Row],[Averages2]]+Table1[[#This Row],[Averages3]])/SUM(Table1[Averages],Table1[Averages2],Table1[Averages3])</f>
        <v>8.308562833506429E-2</v>
      </c>
      <c r="AC12" s="109">
        <f t="shared" si="8"/>
        <v>2.81834353850643E-2</v>
      </c>
      <c r="AE12" s="64"/>
      <c r="AH12" s="136" t="s">
        <v>71</v>
      </c>
      <c r="AI12" s="139">
        <f>(T13+V13+X13)/SUM(T$9,V$9,X$9,T$11:T$13,V$11:V$13,X$11:X$13,T$21,V$21,X$21)</f>
        <v>0.17916248126862844</v>
      </c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2" t="s">
        <v>71</v>
      </c>
      <c r="Q13" s="72">
        <f t="shared" si="3"/>
        <v>16</v>
      </c>
      <c r="R13" s="73">
        <f>Table1[[#This Row],[Points]]/($Q$5-Table1[[#This Row],[Missed Games]])</f>
        <v>1.1428571428571428</v>
      </c>
      <c r="S13" s="74">
        <f t="shared" si="4"/>
        <v>9</v>
      </c>
      <c r="T13" s="75">
        <f>Table1[[#This Row],[Finishes]]/($Q$5-Table1[[#This Row],[Missed Games]])</f>
        <v>0.6428571428571429</v>
      </c>
      <c r="U13" s="74">
        <f t="shared" si="5"/>
        <v>7</v>
      </c>
      <c r="V13" s="75">
        <f>Table1[[#This Row],[Midranges]]/($Q$5-Table1[[#This Row],[Missed Games]])</f>
        <v>0.5</v>
      </c>
      <c r="W13" s="74">
        <f t="shared" si="6"/>
        <v>0</v>
      </c>
      <c r="X13" s="75">
        <f>Table1[[#This Row],[Threes]]/($Q$5-Table1[[#This Row],[Missed Games]])</f>
        <v>0</v>
      </c>
      <c r="Y13" s="82" t="s">
        <v>39</v>
      </c>
      <c r="Z13" s="83">
        <f t="shared" si="7"/>
        <v>3</v>
      </c>
      <c r="AA13" s="110">
        <f>1.007842*10.1167%</f>
        <v>0.10196035161399998</v>
      </c>
      <c r="AB13" s="110">
        <f>(Table1[[#This Row],[Averages]]+Table1[[#This Row],[Averages2]]+Table1[[#This Row],[Averages3]])/SUM(Table1[Averages],Table1[Averages2],Table1[Averages3])</f>
        <v>5.5663278096397747E-2</v>
      </c>
      <c r="AC13" s="109">
        <f t="shared" si="8"/>
        <v>-4.6297073517602233E-2</v>
      </c>
      <c r="AE13" s="64"/>
      <c r="AH13" s="137" t="s">
        <v>75</v>
      </c>
      <c r="AI13" s="140">
        <f>SUM(T14,V14,X14)/SUM(T$14,V$14,X$14,T$15,V$15,X$15,T$19:T$20,V$19:V$20,X$19:X$20,T$22:T$23,V$22:V$23,X$22:X$23)</f>
        <v>0.15184623973203604</v>
      </c>
      <c r="AJ13" s="6"/>
      <c r="AK13" s="6"/>
      <c r="AL13" s="11"/>
    </row>
    <row r="14" spans="2:38" ht="14.25" customHeight="1" x14ac:dyDescent="0.45">
      <c r="B14" s="36">
        <f>'1705'!$C$2</f>
        <v>45063</v>
      </c>
      <c r="C14" s="3">
        <f>COUNT('1705'!$B$3:$B$35)</f>
        <v>13</v>
      </c>
      <c r="D14" s="3">
        <f>MAX('1705'!$L$3:$L$5)</f>
        <v>6</v>
      </c>
      <c r="E14" s="3">
        <f t="shared" ref="E14" si="12">C14-D14-F14</f>
        <v>5</v>
      </c>
      <c r="F14" s="3">
        <f>MIN('1705'!$L$3:$L$5)</f>
        <v>2</v>
      </c>
      <c r="P14" s="84" t="s">
        <v>75</v>
      </c>
      <c r="Q14" s="76">
        <f t="shared" si="3"/>
        <v>27</v>
      </c>
      <c r="R14" s="77">
        <f>Table1[[#This Row],[Points]]/($Q$5-Table1[[#This Row],[Missed Games]])</f>
        <v>1.588235294117647</v>
      </c>
      <c r="S14" s="78">
        <f t="shared" si="4"/>
        <v>5</v>
      </c>
      <c r="T14" s="79">
        <f>Table1[[#This Row],[Finishes]]/($Q$5-Table1[[#This Row],[Missed Games]])</f>
        <v>0.29411764705882354</v>
      </c>
      <c r="U14" s="78">
        <f t="shared" si="5"/>
        <v>2</v>
      </c>
      <c r="V14" s="79">
        <f>Table1[[#This Row],[Midranges]]/($Q$5-Table1[[#This Row],[Missed Games]])</f>
        <v>0.11764705882352941</v>
      </c>
      <c r="W14" s="78">
        <f t="shared" si="6"/>
        <v>10</v>
      </c>
      <c r="X14" s="79">
        <f>Table1[[#This Row],[Threes]]/($Q$5-Table1[[#This Row],[Missed Games]])</f>
        <v>0.58823529411764708</v>
      </c>
      <c r="Y14" s="84" t="s">
        <v>57</v>
      </c>
      <c r="Z14" s="85">
        <f t="shared" si="7"/>
        <v>0</v>
      </c>
      <c r="AA14" s="111">
        <f>1.007842*3.8911%</f>
        <v>3.9216140061999999E-2</v>
      </c>
      <c r="AB14" s="111">
        <f>(Table1[[#This Row],[Averages]]+Table1[[#This Row],[Averages2]]+Table1[[#This Row],[Averages3]])/SUM(Table1[Averages],Table1[Averages2],Table1[Averages3])</f>
        <v>4.8705368334348027E-2</v>
      </c>
      <c r="AC14" s="109">
        <f t="shared" si="8"/>
        <v>9.4892282723480284E-3</v>
      </c>
      <c r="AE14" s="64"/>
      <c r="AH14" s="137" t="s">
        <v>78</v>
      </c>
      <c r="AI14" s="140">
        <f>SUM(T15,V15,X15)/SUM(T$14,V$14,X$14,T$15,V$15,X$15,T$19:T$20,V$19:V$20,X$19:X$20,T$22:T$23,V$22:V$23,X$22:X$23)</f>
        <v>0.2143711619746391</v>
      </c>
      <c r="AJ14" s="6"/>
      <c r="AK14" s="6"/>
      <c r="AL14" s="11"/>
    </row>
    <row r="15" spans="2:38" ht="14.25" customHeight="1" x14ac:dyDescent="0.45">
      <c r="B15" s="36">
        <f>'2205'!$C$2</f>
        <v>45068</v>
      </c>
      <c r="C15" s="3">
        <f>COUNT('2205'!$B$3:$B$35)</f>
        <v>15</v>
      </c>
      <c r="D15" s="3">
        <f>MAX('2205'!$L$3:$L$5)</f>
        <v>12</v>
      </c>
      <c r="E15" s="3">
        <f t="shared" ref="E15" si="13">C15-D15-F15</f>
        <v>2</v>
      </c>
      <c r="F15" s="3">
        <f>MIN('2205'!$L$3:$L$5)</f>
        <v>1</v>
      </c>
      <c r="P15" s="84" t="s">
        <v>78</v>
      </c>
      <c r="Q15" s="76">
        <f t="shared" si="3"/>
        <v>24</v>
      </c>
      <c r="R15" s="77">
        <f>Table1[[#This Row],[Points]]/($Q$5-Table1[[#This Row],[Missed Games]])</f>
        <v>1.411764705882353</v>
      </c>
      <c r="S15" s="78">
        <f t="shared" si="4"/>
        <v>7</v>
      </c>
      <c r="T15" s="79">
        <f>Table1[[#This Row],[Finishes]]/($Q$5-Table1[[#This Row],[Missed Games]])</f>
        <v>0.41176470588235292</v>
      </c>
      <c r="U15" s="78">
        <f t="shared" si="5"/>
        <v>17</v>
      </c>
      <c r="V15" s="79">
        <f>Table1[[#This Row],[Midranges]]/($Q$5-Table1[[#This Row],[Missed Games]])</f>
        <v>1</v>
      </c>
      <c r="W15" s="78">
        <f t="shared" si="6"/>
        <v>0</v>
      </c>
      <c r="X15" s="79">
        <f>Table1[[#This Row],[Threes]]/($Q$5-Table1[[#This Row],[Missed Games]])</f>
        <v>0</v>
      </c>
      <c r="Y15" s="84" t="s">
        <v>57</v>
      </c>
      <c r="Z15" s="85">
        <f t="shared" si="7"/>
        <v>0</v>
      </c>
      <c r="AA15" s="111">
        <f>1.007842*12.4514%</f>
        <v>0.12549043878799998</v>
      </c>
      <c r="AB15" s="111">
        <f>(Table1[[#This Row],[Averages]]+Table1[[#This Row],[Averages2]]+Table1[[#This Row],[Averages3]])/SUM(Table1[Averages],Table1[Averages2],Table1[Averages3])</f>
        <v>6.8760520001432512E-2</v>
      </c>
      <c r="AC15" s="109">
        <f t="shared" si="8"/>
        <v>-5.6729918786567468E-2</v>
      </c>
      <c r="AE15" s="64"/>
      <c r="AH15" s="135" t="s">
        <v>80</v>
      </c>
      <c r="AI15" s="138">
        <f>(T16+V16+X16)/SUM($T$8,V$8,X$8,T$10,V$10,X$10,T$16,V$16,X$16,T$17,V$17,X$17,T$18,V$18,X$18)</f>
        <v>0.30835149479217272</v>
      </c>
      <c r="AJ15" s="6"/>
      <c r="AK15" s="6"/>
      <c r="AL15" s="11"/>
    </row>
    <row r="16" spans="2:38" ht="14.25" customHeight="1" x14ac:dyDescent="0.45">
      <c r="B16" s="36">
        <f>'2305'!$C$2</f>
        <v>45069</v>
      </c>
      <c r="C16" s="3">
        <f>COUNT('2305'!$B$3:$B$35)</f>
        <v>16</v>
      </c>
      <c r="D16" s="3">
        <f>MAX('2305'!$L$3:$L$5)</f>
        <v>11</v>
      </c>
      <c r="E16" s="3">
        <f t="shared" ref="E16" si="14">C16-D16-F16</f>
        <v>4</v>
      </c>
      <c r="F16" s="3">
        <f>MIN('2305'!$L$3:$L$5)</f>
        <v>1</v>
      </c>
      <c r="P16" s="80" t="s">
        <v>80</v>
      </c>
      <c r="Q16" s="68">
        <f t="shared" si="3"/>
        <v>38</v>
      </c>
      <c r="R16" s="69">
        <f>Table1[[#This Row],[Points]]/($Q$5-Table1[[#This Row],[Missed Games]])</f>
        <v>2.5333333333333332</v>
      </c>
      <c r="S16" s="70">
        <f t="shared" si="4"/>
        <v>7</v>
      </c>
      <c r="T16" s="71">
        <f>Table1[[#This Row],[Finishes]]/($Q$5-Table1[[#This Row],[Missed Games]])</f>
        <v>0.46666666666666667</v>
      </c>
      <c r="U16" s="70">
        <f t="shared" si="5"/>
        <v>25</v>
      </c>
      <c r="V16" s="71">
        <f>Table1[[#This Row],[Midranges]]/($Q$5-Table1[[#This Row],[Missed Games]])</f>
        <v>1.6666666666666667</v>
      </c>
      <c r="W16" s="70">
        <f t="shared" si="6"/>
        <v>3</v>
      </c>
      <c r="X16" s="71">
        <f>Table1[[#This Row],[Threes]]/($Q$5-Table1[[#This Row],[Missed Games]])</f>
        <v>0.2</v>
      </c>
      <c r="Y16" s="80" t="s">
        <v>34</v>
      </c>
      <c r="Z16" s="81">
        <f t="shared" si="7"/>
        <v>2</v>
      </c>
      <c r="AA16" s="108">
        <f>1.007842*9.7276%</f>
        <v>9.8038838391999991E-2</v>
      </c>
      <c r="AB16" s="108">
        <f>(Table1[[#This Row],[Averages]]+Table1[[#This Row],[Averages2]]+Table1[[#This Row],[Averages3]])/SUM(Table1[Averages],Table1[Averages2],Table1[Averages3])</f>
        <v>0.11364585944681208</v>
      </c>
      <c r="AC16" s="109">
        <f t="shared" si="8"/>
        <v>1.5607021054812084E-2</v>
      </c>
      <c r="AE16" s="64"/>
      <c r="AH16" s="135" t="s">
        <v>81</v>
      </c>
      <c r="AI16" s="138">
        <f>(T17+V17+X17)/SUM($T$8,V$8,X$8,T$10,V$10,X$10,T$16,V$16,X$16,T$17,V$17,X$17,T$18,V$18,X$18)</f>
        <v>0.10737239550798872</v>
      </c>
      <c r="AJ16" s="6"/>
      <c r="AK16" s="6"/>
      <c r="AL16" s="11"/>
    </row>
    <row r="17" spans="2:38" ht="14.25" customHeight="1" x14ac:dyDescent="0.45">
      <c r="B17" s="36">
        <f>'2405'!$C$2</f>
        <v>45070</v>
      </c>
      <c r="C17" s="3">
        <f>COUNT('2405'!$B$3:$B$35)</f>
        <v>8</v>
      </c>
      <c r="D17" s="3">
        <f>MAX('2405'!$L$3:$L$5)</f>
        <v>4</v>
      </c>
      <c r="E17" s="3">
        <f t="shared" ref="E17" si="15">C17-D17-F17</f>
        <v>4</v>
      </c>
      <c r="F17" s="3">
        <f>MIN('2405'!$L$3:$L$5)</f>
        <v>0</v>
      </c>
      <c r="P17" s="80" t="s">
        <v>81</v>
      </c>
      <c r="Q17" s="68">
        <f t="shared" si="3"/>
        <v>14</v>
      </c>
      <c r="R17" s="69">
        <f>Table1[[#This Row],[Points]]/($Q$5-Table1[[#This Row],[Missed Games]])</f>
        <v>0.875</v>
      </c>
      <c r="S17" s="70">
        <f t="shared" si="4"/>
        <v>2</v>
      </c>
      <c r="T17" s="71">
        <f>Table1[[#This Row],[Finishes]]/($Q$5-Table1[[#This Row],[Missed Games]])</f>
        <v>0.125</v>
      </c>
      <c r="U17" s="70">
        <f t="shared" si="5"/>
        <v>10</v>
      </c>
      <c r="V17" s="71">
        <f>Table1[[#This Row],[Midranges]]/($Q$5-Table1[[#This Row],[Missed Games]])</f>
        <v>0.625</v>
      </c>
      <c r="W17" s="70">
        <f t="shared" si="6"/>
        <v>1</v>
      </c>
      <c r="X17" s="71">
        <f>Table1[[#This Row],[Threes]]/($Q$5-Table1[[#This Row],[Missed Games]])</f>
        <v>6.25E-2</v>
      </c>
      <c r="Y17" s="80" t="s">
        <v>34</v>
      </c>
      <c r="Z17" s="81">
        <f t="shared" si="7"/>
        <v>1</v>
      </c>
      <c r="AA17" s="108">
        <f>1.007842*1.9455%</f>
        <v>1.9607566109999999E-2</v>
      </c>
      <c r="AB17" s="108">
        <f>(Table1[[#This Row],[Averages]]+Table1[[#This Row],[Averages2]]+Table1[[#This Row],[Averages3]])/SUM(Table1[Averages],Table1[Averages2],Table1[Averages3])</f>
        <v>3.9573111771657773E-2</v>
      </c>
      <c r="AC17" s="109">
        <f t="shared" si="8"/>
        <v>1.9965545661657775E-2</v>
      </c>
      <c r="AE17" s="64"/>
      <c r="AH17" s="135" t="s">
        <v>185</v>
      </c>
      <c r="AI17" s="138">
        <f>(T18+V18+X18)/SUM($T$8,V$8,X$8,T$10,V$10,X$10,T$16,V$16,X$16,T$17,V$17,X$17,T$18,V$18,X$18)</f>
        <v>0.1145305552085213</v>
      </c>
      <c r="AJ17" s="6"/>
      <c r="AK17" s="6"/>
      <c r="AL17" s="11"/>
    </row>
    <row r="18" spans="2:38" ht="14.25" customHeight="1" x14ac:dyDescent="0.45">
      <c r="B18" s="36"/>
      <c r="C18" s="3"/>
      <c r="D18" s="3"/>
      <c r="E18" s="3"/>
      <c r="F18" s="3"/>
      <c r="P18" s="80" t="s">
        <v>185</v>
      </c>
      <c r="Q18" s="68">
        <f t="shared" si="3"/>
        <v>16</v>
      </c>
      <c r="R18" s="69">
        <f>Table1[[#This Row],[Points]]/($Q$5-Table1[[#This Row],[Missed Games]])</f>
        <v>1.0666666666666667</v>
      </c>
      <c r="S18" s="70">
        <f t="shared" si="4"/>
        <v>8</v>
      </c>
      <c r="T18" s="71">
        <f>Table1[[#This Row],[Finishes]]/($Q$5-Table1[[#This Row],[Missed Games]])</f>
        <v>0.53333333333333333</v>
      </c>
      <c r="U18" s="70">
        <f t="shared" si="5"/>
        <v>2</v>
      </c>
      <c r="V18" s="71">
        <f>Table1[[#This Row],[Midranges]]/($Q$5-Table1[[#This Row],[Missed Games]])</f>
        <v>0.13333333333333333</v>
      </c>
      <c r="W18" s="70">
        <f t="shared" si="6"/>
        <v>3</v>
      </c>
      <c r="X18" s="71">
        <f>Table1[[#This Row],[Threes]]/($Q$5-Table1[[#This Row],[Missed Games]])</f>
        <v>0.2</v>
      </c>
      <c r="Y18" s="80" t="s">
        <v>34</v>
      </c>
      <c r="Z18" s="81">
        <f t="shared" si="7"/>
        <v>2</v>
      </c>
      <c r="AA18" s="108">
        <f>1.007842*3.8911%</f>
        <v>3.9216140061999999E-2</v>
      </c>
      <c r="AB18" s="108">
        <f>(Table1[[#This Row],[Averages]]+Table1[[#This Row],[Averages2]]+Table1[[#This Row],[Averages3]])/SUM(Table1[Averages],Table1[Averages2],Table1[Averages3])</f>
        <v>4.2211319223101625E-2</v>
      </c>
      <c r="AC18" s="109">
        <f t="shared" si="8"/>
        <v>2.9951791611016257E-3</v>
      </c>
      <c r="AE18" s="64"/>
      <c r="AH18" s="137" t="s">
        <v>184</v>
      </c>
      <c r="AI18" s="140">
        <f>SUM(T19,V19,X19)/SUM(T$14,V$14,X$14,T$15,V$15,X$15,T$19:T$20,V$19:V$20,X$19:X$20,T$22:T$23,V$22:V$23,X$22:X$23)</f>
        <v>0.16077837148097934</v>
      </c>
      <c r="AJ18" s="6"/>
      <c r="AK18" s="6"/>
      <c r="AL18" s="11"/>
    </row>
    <row r="19" spans="2:38" ht="14.25" customHeight="1" x14ac:dyDescent="0.45">
      <c r="B19" s="4"/>
      <c r="P19" s="84" t="s">
        <v>184</v>
      </c>
      <c r="Q19" s="76">
        <f t="shared" si="3"/>
        <v>18</v>
      </c>
      <c r="R19" s="77">
        <f>Table1[[#This Row],[Points]]/($Q$5-Table1[[#This Row],[Missed Games]])</f>
        <v>1.0588235294117647</v>
      </c>
      <c r="S19" s="78">
        <f t="shared" si="4"/>
        <v>7</v>
      </c>
      <c r="T19" s="79">
        <f>Table1[[#This Row],[Finishes]]/($Q$5-Table1[[#This Row],[Missed Games]])</f>
        <v>0.41176470588235292</v>
      </c>
      <c r="U19" s="78">
        <f t="shared" si="5"/>
        <v>11</v>
      </c>
      <c r="V19" s="79">
        <f>Table1[[#This Row],[Midranges]]/($Q$5-Table1[[#This Row],[Missed Games]])</f>
        <v>0.6470588235294118</v>
      </c>
      <c r="W19" s="78">
        <f t="shared" si="6"/>
        <v>0</v>
      </c>
      <c r="X19" s="79">
        <f>Table1[[#This Row],[Threes]]/($Q$5-Table1[[#This Row],[Missed Games]])</f>
        <v>0</v>
      </c>
      <c r="Y19" s="84" t="s">
        <v>57</v>
      </c>
      <c r="Z19" s="85">
        <f t="shared" si="7"/>
        <v>0</v>
      </c>
      <c r="AA19" s="111">
        <f>1.007842*3.8911%</f>
        <v>3.9216140061999999E-2</v>
      </c>
      <c r="AB19" s="111">
        <f>(Table1[[#This Row],[Averages]]+Table1[[#This Row],[Averages2]]+Table1[[#This Row],[Averages3]])/SUM(Table1[Averages],Table1[Averages2],Table1[Averages3])</f>
        <v>5.1570390001074384E-2</v>
      </c>
      <c r="AC19" s="109">
        <f t="shared" si="8"/>
        <v>1.2354249939074385E-2</v>
      </c>
      <c r="AE19" s="64"/>
      <c r="AH19" s="137" t="s">
        <v>85</v>
      </c>
      <c r="AI19" s="140">
        <f>SUM(T20,V20,X20)/SUM(T$14,V$14,X$14,T$15,V$15,X$15,T$19:T$20,V$19:V$20,X$19:X$20,T$22:T$23,V$22:V$23,X$22:X$23)</f>
        <v>0.33623095940665126</v>
      </c>
      <c r="AJ19" s="6"/>
      <c r="AK19" s="6"/>
      <c r="AL19" s="11"/>
    </row>
    <row r="20" spans="2:38" ht="14.25" customHeight="1" x14ac:dyDescent="0.45">
      <c r="B20" s="4"/>
      <c r="P20" s="84" t="s">
        <v>85</v>
      </c>
      <c r="Q20" s="76">
        <f t="shared" si="3"/>
        <v>34</v>
      </c>
      <c r="R20" s="77">
        <f>Table1[[#This Row],[Points]]/($Q$5-Table1[[#This Row],[Missed Games]])</f>
        <v>2.4285714285714284</v>
      </c>
      <c r="S20" s="78">
        <f t="shared" si="4"/>
        <v>20</v>
      </c>
      <c r="T20" s="79">
        <f>Table1[[#This Row],[Finishes]]/($Q$5-Table1[[#This Row],[Missed Games]])</f>
        <v>1.4285714285714286</v>
      </c>
      <c r="U20" s="78">
        <f t="shared" si="5"/>
        <v>8</v>
      </c>
      <c r="V20" s="79">
        <f>Table1[[#This Row],[Midranges]]/($Q$5-Table1[[#This Row],[Missed Games]])</f>
        <v>0.5714285714285714</v>
      </c>
      <c r="W20" s="78">
        <f t="shared" si="6"/>
        <v>3</v>
      </c>
      <c r="X20" s="79">
        <f>Table1[[#This Row],[Threes]]/($Q$5-Table1[[#This Row],[Missed Games]])</f>
        <v>0.21428571428571427</v>
      </c>
      <c r="Y20" s="84" t="s">
        <v>57</v>
      </c>
      <c r="Z20" s="85">
        <f t="shared" si="7"/>
        <v>3</v>
      </c>
      <c r="AA20" s="111">
        <f>1.007842*12.8405%</f>
        <v>0.12941195200999997</v>
      </c>
      <c r="AB20" s="111">
        <f>(Table1[[#This Row],[Averages]]+Table1[[#This Row],[Averages2]]+Table1[[#This Row],[Averages3]])/SUM(Table1[Averages],Table1[Averages2],Table1[Averages3])</f>
        <v>0.10784760131177064</v>
      </c>
      <c r="AC20" s="109">
        <f t="shared" si="8"/>
        <v>-2.1564350698229331E-2</v>
      </c>
      <c r="AE20" s="64"/>
      <c r="AH20" s="136" t="s">
        <v>86</v>
      </c>
      <c r="AI20" s="139">
        <f>(T21+V21+X21)/SUM(T$9,V$9,X$9,T$11:T$13,V$11:V$13,X$11:X$13,T$21,V$21,X$21)</f>
        <v>1.8443196601182342E-2</v>
      </c>
      <c r="AJ20" s="6"/>
      <c r="AK20" s="6"/>
      <c r="AL20" s="11"/>
    </row>
    <row r="21" spans="2:38" ht="14.25" customHeight="1" x14ac:dyDescent="0.45">
      <c r="B21" s="4"/>
      <c r="P21" s="82" t="s">
        <v>86</v>
      </c>
      <c r="Q21" s="72">
        <f t="shared" si="3"/>
        <v>2</v>
      </c>
      <c r="R21" s="73">
        <f>Table1[[#This Row],[Points]]/($Q$5-Table1[[#This Row],[Missed Games]])</f>
        <v>0.11764705882352941</v>
      </c>
      <c r="S21" s="74">
        <f t="shared" si="4"/>
        <v>2</v>
      </c>
      <c r="T21" s="75">
        <f>Table1[[#This Row],[Finishes]]/($Q$5-Table1[[#This Row],[Missed Games]])</f>
        <v>0.11764705882352941</v>
      </c>
      <c r="U21" s="74">
        <f t="shared" si="5"/>
        <v>0</v>
      </c>
      <c r="V21" s="75">
        <f>Table1[[#This Row],[Midranges]]/($Q$5-Table1[[#This Row],[Missed Games]])</f>
        <v>0</v>
      </c>
      <c r="W21" s="74">
        <f t="shared" si="6"/>
        <v>0</v>
      </c>
      <c r="X21" s="75">
        <f>Table1[[#This Row],[Threes]]/($Q$5-Table1[[#This Row],[Missed Games]])</f>
        <v>0</v>
      </c>
      <c r="Y21" s="82" t="s">
        <v>39</v>
      </c>
      <c r="Z21" s="83">
        <f t="shared" si="7"/>
        <v>0</v>
      </c>
      <c r="AA21" s="110">
        <f>1.007842*2.7237%</f>
        <v>2.7450592553999998E-2</v>
      </c>
      <c r="AB21" s="110">
        <f>(Table1[[#This Row],[Averages]]+Table1[[#This Row],[Averages2]]+Table1[[#This Row],[Averages3]])/SUM(Table1[Averages],Table1[Averages2],Table1[Averages3])</f>
        <v>5.7300433334527097E-3</v>
      </c>
      <c r="AC21" s="109">
        <f t="shared" si="8"/>
        <v>-2.1720549220547287E-2</v>
      </c>
      <c r="AE21" s="64"/>
      <c r="AH21" s="137" t="s">
        <v>87</v>
      </c>
      <c r="AI21" s="140">
        <f>SUM(T22,V22,X22)/SUM(T$14,V$14,X$14,T$15,V$15,X$15,T$19:T$20,V$19:V$20,X$19:X$20,T$22:T$23,V$22:V$23,X$22:X$23)</f>
        <v>8.9321317489432978E-2</v>
      </c>
      <c r="AJ21" s="6"/>
      <c r="AK21" s="6"/>
      <c r="AL21" s="11"/>
    </row>
    <row r="22" spans="2:38" ht="14.25" customHeight="1" x14ac:dyDescent="0.45">
      <c r="P22" s="84" t="s">
        <v>87</v>
      </c>
      <c r="Q22" s="76">
        <f t="shared" si="3"/>
        <v>11</v>
      </c>
      <c r="R22" s="77">
        <f>Table1[[#This Row],[Points]]/($Q$5-Table1[[#This Row],[Missed Games]])</f>
        <v>0.6470588235294118</v>
      </c>
      <c r="S22" s="78">
        <f t="shared" si="4"/>
        <v>4</v>
      </c>
      <c r="T22" s="79">
        <f>Table1[[#This Row],[Finishes]]/($Q$5-Table1[[#This Row],[Missed Games]])</f>
        <v>0.23529411764705882</v>
      </c>
      <c r="U22" s="78">
        <f t="shared" si="5"/>
        <v>5</v>
      </c>
      <c r="V22" s="79">
        <f>Table1[[#This Row],[Midranges]]/($Q$5-Table1[[#This Row],[Missed Games]])</f>
        <v>0.29411764705882354</v>
      </c>
      <c r="W22" s="78">
        <f t="shared" si="6"/>
        <v>1</v>
      </c>
      <c r="X22" s="79">
        <f>Table1[[#This Row],[Threes]]/($Q$5-Table1[[#This Row],[Missed Games]])</f>
        <v>5.8823529411764705E-2</v>
      </c>
      <c r="Y22" s="84" t="s">
        <v>57</v>
      </c>
      <c r="Z22" s="85">
        <f t="shared" si="7"/>
        <v>0</v>
      </c>
      <c r="AA22" s="111">
        <f>1.007842*2.3346%</f>
        <v>2.3529079331999995E-2</v>
      </c>
      <c r="AB22" s="111">
        <f>(Table1[[#This Row],[Averages]]+Table1[[#This Row],[Averages2]]+Table1[[#This Row],[Averages3]])/SUM(Table1[Averages],Table1[Averages2],Table1[Averages3])</f>
        <v>2.8650216667263549E-2</v>
      </c>
      <c r="AC22" s="109">
        <f t="shared" si="8"/>
        <v>5.1211373352635543E-3</v>
      </c>
      <c r="AE22" s="64"/>
      <c r="AH22" s="137" t="s">
        <v>107</v>
      </c>
      <c r="AI22" s="140">
        <f>SUM(T23,V23,X23)/SUM(T$14,V$14,X$14,T$15,V$15,X$15,T$19:T$20,V$19:V$20,X$19:X$20,T$22:T$23,V$22:V$23,X$22:X$23)</f>
        <v>4.7451949916261268E-2</v>
      </c>
      <c r="AJ22" s="6"/>
      <c r="AK22" s="6"/>
      <c r="AL22" s="11"/>
    </row>
    <row r="23" spans="2:38" ht="14.25" customHeight="1" x14ac:dyDescent="0.45">
      <c r="P23" s="86" t="s">
        <v>107</v>
      </c>
      <c r="Q23" s="76">
        <f t="shared" si="3"/>
        <v>5</v>
      </c>
      <c r="R23" s="77">
        <f>Table1[[#This Row],[Points]]/($Q$5-Table1[[#This Row],[Missed Games]])</f>
        <v>0.3125</v>
      </c>
      <c r="S23" s="78">
        <f t="shared" si="4"/>
        <v>3</v>
      </c>
      <c r="T23" s="79">
        <f>Table1[[#This Row],[Finishes]]/($Q$5-Table1[[#This Row],[Missed Games]])</f>
        <v>0.1875</v>
      </c>
      <c r="U23" s="78">
        <f t="shared" si="5"/>
        <v>2</v>
      </c>
      <c r="V23" s="79">
        <f>Table1[[#This Row],[Midranges]]/($Q$5-Table1[[#This Row],[Missed Games]])</f>
        <v>0.125</v>
      </c>
      <c r="W23" s="78">
        <f t="shared" si="6"/>
        <v>0</v>
      </c>
      <c r="X23" s="79">
        <f>Table1[[#This Row],[Threes]]/($Q$5-Table1[[#This Row],[Missed Games]])</f>
        <v>0</v>
      </c>
      <c r="Y23" s="86" t="s">
        <v>57</v>
      </c>
      <c r="Z23" s="85">
        <f t="shared" si="7"/>
        <v>1</v>
      </c>
      <c r="AA23" s="111">
        <f>1.007842*1.1673%</f>
        <v>1.1764539665999997E-2</v>
      </c>
      <c r="AB23" s="111">
        <f>(Table1[[#This Row],[Averages]]+Table1[[#This Row],[Averages2]]+Table1[[#This Row],[Averages3]])/SUM(Table1[Averages],Table1[Averages2],Table1[Averages3])</f>
        <v>1.522042760448376E-2</v>
      </c>
      <c r="AC23" s="109">
        <f t="shared" si="8"/>
        <v>3.4558879384837624E-3</v>
      </c>
      <c r="AE23" s="64"/>
      <c r="AI23" s="66"/>
      <c r="AJ23" s="6"/>
      <c r="AK23" s="6"/>
      <c r="AL23" s="11"/>
    </row>
    <row r="24" spans="2:38" ht="14.25" customHeight="1" x14ac:dyDescent="0.45">
      <c r="R24" s="7"/>
      <c r="V24" s="7"/>
      <c r="Z24" s="7"/>
      <c r="AB24" s="106"/>
      <c r="AC24" s="107"/>
      <c r="AD24" s="7"/>
      <c r="AJ24" s="6"/>
      <c r="AK24" s="6"/>
      <c r="AL24" s="11"/>
    </row>
    <row r="25" spans="2:38" ht="14.25" customHeight="1" x14ac:dyDescent="0.45">
      <c r="R25" s="41"/>
    </row>
    <row r="26" spans="2:38" ht="14.25" customHeight="1" x14ac:dyDescent="0.45">
      <c r="P26" s="3" t="s">
        <v>173</v>
      </c>
      <c r="Q26" s="1">
        <v>2</v>
      </c>
      <c r="AA26" s="3" t="s">
        <v>213</v>
      </c>
      <c r="AB26" s="24">
        <v>3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'1505'!$R3+'1605'!$R3+'1705'!$R3</f>
        <v>2</v>
      </c>
      <c r="AC29" s="29">
        <f>AB29/(AB$26-AJ29)</f>
        <v>0.66666666666666663</v>
      </c>
      <c r="AD29" s="27">
        <f>'1505'!$S3+'1605'!$S3+'1705'!$S3</f>
        <v>0</v>
      </c>
      <c r="AE29" s="28">
        <f>AD29/($Q$26-AJ29)</f>
        <v>0</v>
      </c>
      <c r="AF29" s="27">
        <f>'1505'!$T3+'1605'!$T3+'1705'!$T3</f>
        <v>2</v>
      </c>
      <c r="AG29" s="28">
        <f>AF29/($Q$26-AJ29)</f>
        <v>1</v>
      </c>
      <c r="AH29" s="27">
        <f>'1505'!$U3+'1605'!$U3+'1705'!$U3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6">Q30/(Q$26-Y30)</f>
        <v>0</v>
      </c>
      <c r="S30" s="27">
        <f>'2404'!S4+'2604'!S4</f>
        <v>0</v>
      </c>
      <c r="T30" s="28">
        <f t="shared" ref="T30:T44" si="17">S30/($Q$26-Y30)</f>
        <v>0</v>
      </c>
      <c r="U30" s="27">
        <f>'2404'!T4+'2604'!T4</f>
        <v>0</v>
      </c>
      <c r="V30" s="28">
        <f t="shared" ref="V30:V44" si="18">U30/($Q$26-Y30)</f>
        <v>0</v>
      </c>
      <c r="W30" s="27">
        <f>'2404'!U4+'2604'!U4</f>
        <v>0</v>
      </c>
      <c r="X30" s="28">
        <f t="shared" ref="X30:X44" si="19">W30/($Q$26-Y30)</f>
        <v>0</v>
      </c>
      <c r="Y30" s="40">
        <v>1</v>
      </c>
      <c r="AA30" s="30" t="s">
        <v>59</v>
      </c>
      <c r="AB30" s="44">
        <f>'1505'!$R4+'1605'!$R4+'1705'!$R4</f>
        <v>3</v>
      </c>
      <c r="AC30" s="29">
        <f t="shared" ref="AC30:AC44" si="20">AB30/(AB$26-AJ30)</f>
        <v>1</v>
      </c>
      <c r="AD30" s="27">
        <f>'1505'!$S4+'1605'!$S4+'1705'!$S4</f>
        <v>0</v>
      </c>
      <c r="AE30" s="28">
        <f t="shared" ref="AE30:AE44" si="21">AD30/($Q$26-AJ30)</f>
        <v>0</v>
      </c>
      <c r="AF30" s="27">
        <f>'1505'!$T4+'1605'!$T4+'1705'!$T4</f>
        <v>3</v>
      </c>
      <c r="AG30" s="28">
        <f t="shared" ref="AG30:AG44" si="22">AF30/($Q$26-AJ30)</f>
        <v>1.5</v>
      </c>
      <c r="AH30" s="27">
        <f>'1505'!$U4+'1605'!$U4+'1705'!$U4</f>
        <v>0</v>
      </c>
      <c r="AI30" s="28">
        <f t="shared" ref="AI30:AI44" si="23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6"/>
        <v>1.5</v>
      </c>
      <c r="S31" s="27">
        <f>'2404'!S5+'2604'!S5</f>
        <v>3</v>
      </c>
      <c r="T31" s="28">
        <f t="shared" si="17"/>
        <v>1.5</v>
      </c>
      <c r="U31" s="27">
        <f>'2404'!T5+'2604'!T5</f>
        <v>0</v>
      </c>
      <c r="V31" s="28">
        <f t="shared" si="18"/>
        <v>0</v>
      </c>
      <c r="W31" s="27">
        <f>'2404'!U5+'2604'!U5</f>
        <v>0</v>
      </c>
      <c r="X31" s="28">
        <f t="shared" si="19"/>
        <v>0</v>
      </c>
      <c r="Y31" s="40">
        <v>0</v>
      </c>
      <c r="AA31" s="30" t="s">
        <v>62</v>
      </c>
      <c r="AB31" s="44">
        <f>'1505'!$R5+'1605'!$R5+'1705'!$R5</f>
        <v>5</v>
      </c>
      <c r="AC31" s="29">
        <f t="shared" si="20"/>
        <v>2.5</v>
      </c>
      <c r="AD31" s="27">
        <f>'1505'!$S5+'1605'!$S5+'1705'!$S5</f>
        <v>5</v>
      </c>
      <c r="AE31" s="28">
        <f t="shared" si="21"/>
        <v>5</v>
      </c>
      <c r="AF31" s="27">
        <f>'1505'!$T5+'1605'!$T5+'1705'!$T5</f>
        <v>0</v>
      </c>
      <c r="AG31" s="28">
        <f t="shared" si="22"/>
        <v>0</v>
      </c>
      <c r="AH31" s="27">
        <f>'1505'!$U5+'1605'!$U5+'1705'!$U5</f>
        <v>0</v>
      </c>
      <c r="AI31" s="28">
        <f t="shared" si="23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6"/>
        <v>1.5</v>
      </c>
      <c r="S32" s="27">
        <f>'2404'!S6+'2604'!S6</f>
        <v>3</v>
      </c>
      <c r="T32" s="28">
        <f t="shared" si="17"/>
        <v>1.5</v>
      </c>
      <c r="U32" s="27">
        <f>'2404'!T6+'2604'!T6</f>
        <v>0</v>
      </c>
      <c r="V32" s="28">
        <f t="shared" si="18"/>
        <v>0</v>
      </c>
      <c r="W32" s="27">
        <f>'2404'!U6+'2604'!U6</f>
        <v>0</v>
      </c>
      <c r="X32" s="28">
        <f t="shared" si="19"/>
        <v>0</v>
      </c>
      <c r="Y32" s="40">
        <v>0</v>
      </c>
      <c r="AA32" s="30" t="s">
        <v>65</v>
      </c>
      <c r="AB32" s="44">
        <f>'1505'!$R6+'1605'!$R6+'1705'!$R6</f>
        <v>10</v>
      </c>
      <c r="AC32" s="29">
        <f t="shared" si="20"/>
        <v>3.3333333333333335</v>
      </c>
      <c r="AD32" s="27">
        <f>'1505'!$S6+'1605'!$S6+'1705'!$S6</f>
        <v>9</v>
      </c>
      <c r="AE32" s="28">
        <f t="shared" si="21"/>
        <v>4.5</v>
      </c>
      <c r="AF32" s="27">
        <f>'1505'!$T6+'1605'!$T6+'1705'!$T6</f>
        <v>1</v>
      </c>
      <c r="AG32" s="28">
        <f t="shared" si="22"/>
        <v>0.5</v>
      </c>
      <c r="AH32" s="27">
        <f>'1505'!$U6+'1605'!$U6+'1705'!$U6</f>
        <v>0</v>
      </c>
      <c r="AI32" s="28">
        <f t="shared" si="23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6"/>
        <v>0.5</v>
      </c>
      <c r="S33" s="27">
        <f>'2404'!S7+'2604'!S7</f>
        <v>1</v>
      </c>
      <c r="T33" s="28">
        <f t="shared" si="17"/>
        <v>0.5</v>
      </c>
      <c r="U33" s="27">
        <f>'2404'!T7+'2604'!T7</f>
        <v>0</v>
      </c>
      <c r="V33" s="28">
        <f t="shared" si="18"/>
        <v>0</v>
      </c>
      <c r="W33" s="27">
        <f>'2404'!U7+'2604'!U7</f>
        <v>0</v>
      </c>
      <c r="X33" s="28">
        <f t="shared" si="19"/>
        <v>0</v>
      </c>
      <c r="Y33" s="40">
        <v>0</v>
      </c>
      <c r="AA33" s="30" t="s">
        <v>68</v>
      </c>
      <c r="AB33" s="44">
        <f>'1505'!$R7+'1605'!$R7+'1705'!$R7</f>
        <v>9</v>
      </c>
      <c r="AC33" s="29">
        <f t="shared" si="20"/>
        <v>3</v>
      </c>
      <c r="AD33" s="27">
        <f>'1505'!$S7+'1605'!$S7+'1705'!$S7</f>
        <v>3</v>
      </c>
      <c r="AE33" s="28">
        <f t="shared" si="21"/>
        <v>1.5</v>
      </c>
      <c r="AF33" s="27">
        <f>'1505'!$T7+'1605'!$T7+'1705'!$T7</f>
        <v>0</v>
      </c>
      <c r="AG33" s="28">
        <f t="shared" si="22"/>
        <v>0</v>
      </c>
      <c r="AH33" s="27">
        <f>'1505'!$U7+'1605'!$U7+'1705'!$U7</f>
        <v>3</v>
      </c>
      <c r="AI33" s="28">
        <f t="shared" si="23"/>
        <v>1.5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6"/>
        <v>1</v>
      </c>
      <c r="S34" s="27">
        <f>'2404'!S8+'2604'!S8</f>
        <v>2</v>
      </c>
      <c r="T34" s="28">
        <f t="shared" si="17"/>
        <v>1</v>
      </c>
      <c r="U34" s="27">
        <f>'2404'!T8+'2604'!T8</f>
        <v>0</v>
      </c>
      <c r="V34" s="28">
        <f t="shared" si="18"/>
        <v>0</v>
      </c>
      <c r="W34" s="27">
        <f>'2404'!U8+'2604'!U8</f>
        <v>0</v>
      </c>
      <c r="X34" s="28">
        <f t="shared" si="19"/>
        <v>0</v>
      </c>
      <c r="Y34" s="40">
        <v>0</v>
      </c>
      <c r="AA34" s="30" t="s">
        <v>71</v>
      </c>
      <c r="AB34" s="44">
        <f>'1505'!$R8+'1605'!$R8+'1705'!$R8</f>
        <v>2</v>
      </c>
      <c r="AC34" s="29">
        <f t="shared" si="20"/>
        <v>0.66666666666666663</v>
      </c>
      <c r="AD34" s="27">
        <f>'1505'!$S8+'1605'!$S8+'1705'!$S8</f>
        <v>1</v>
      </c>
      <c r="AE34" s="28">
        <f t="shared" si="21"/>
        <v>0.5</v>
      </c>
      <c r="AF34" s="27">
        <f>'1505'!$T8+'1605'!$T8+'1705'!$T8</f>
        <v>1</v>
      </c>
      <c r="AG34" s="28">
        <f t="shared" si="22"/>
        <v>0.5</v>
      </c>
      <c r="AH34" s="27">
        <f>'1505'!$U8+'1605'!$U8+'1705'!$U8</f>
        <v>0</v>
      </c>
      <c r="AI34" s="28">
        <f t="shared" si="23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6"/>
        <v>0</v>
      </c>
      <c r="S35" s="27">
        <f>'2404'!S9+'2604'!S9</f>
        <v>0</v>
      </c>
      <c r="T35" s="28">
        <f t="shared" si="17"/>
        <v>0</v>
      </c>
      <c r="U35" s="27">
        <f>'2404'!T9+'2604'!T9</f>
        <v>0</v>
      </c>
      <c r="V35" s="28">
        <f t="shared" si="18"/>
        <v>0</v>
      </c>
      <c r="W35" s="27">
        <f>'2404'!U9+'2604'!U9</f>
        <v>0</v>
      </c>
      <c r="X35" s="28">
        <f t="shared" si="19"/>
        <v>0</v>
      </c>
      <c r="Y35" s="40">
        <v>0</v>
      </c>
      <c r="AA35" s="30" t="s">
        <v>75</v>
      </c>
      <c r="AB35" s="44">
        <f>'1505'!$R9+'1605'!$R9+'1705'!$R9</f>
        <v>6</v>
      </c>
      <c r="AC35" s="29">
        <f t="shared" si="20"/>
        <v>2</v>
      </c>
      <c r="AD35" s="27">
        <f>'1505'!$S9+'1605'!$S9+'1705'!$S9</f>
        <v>2</v>
      </c>
      <c r="AE35" s="28">
        <f t="shared" si="21"/>
        <v>1</v>
      </c>
      <c r="AF35" s="27">
        <f>'1505'!$T9+'1605'!$T9+'1705'!$T9</f>
        <v>0</v>
      </c>
      <c r="AG35" s="28">
        <f t="shared" si="22"/>
        <v>0</v>
      </c>
      <c r="AH35" s="27">
        <f>'1505'!$U9+'1605'!$U9+'1705'!$U9</f>
        <v>2</v>
      </c>
      <c r="AI35" s="28">
        <f t="shared" si="23"/>
        <v>1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6"/>
        <v>0</v>
      </c>
      <c r="S36" s="27">
        <f>'2404'!S10+'2604'!S10</f>
        <v>0</v>
      </c>
      <c r="T36" s="28">
        <f t="shared" si="17"/>
        <v>0</v>
      </c>
      <c r="U36" s="27">
        <f>'2404'!T10+'2604'!T10</f>
        <v>0</v>
      </c>
      <c r="V36" s="28">
        <f t="shared" si="18"/>
        <v>0</v>
      </c>
      <c r="W36" s="27">
        <f>'2404'!U10+'2604'!U10</f>
        <v>0</v>
      </c>
      <c r="X36" s="28">
        <f t="shared" si="19"/>
        <v>0</v>
      </c>
      <c r="Y36" s="40">
        <v>0</v>
      </c>
      <c r="AA36" s="30" t="s">
        <v>78</v>
      </c>
      <c r="AB36" s="44">
        <f>'1505'!$R10+'1605'!$R10+'1705'!$R10</f>
        <v>3</v>
      </c>
      <c r="AC36" s="29">
        <f t="shared" si="20"/>
        <v>1</v>
      </c>
      <c r="AD36" s="27">
        <f>'1505'!$S10+'1605'!$S10+'1705'!$S10</f>
        <v>1</v>
      </c>
      <c r="AE36" s="28">
        <f t="shared" si="21"/>
        <v>0.5</v>
      </c>
      <c r="AF36" s="27">
        <f>'1505'!$T10+'1605'!$T10+'1705'!$T10</f>
        <v>2</v>
      </c>
      <c r="AG36" s="28">
        <f t="shared" si="22"/>
        <v>1</v>
      </c>
      <c r="AH36" s="27">
        <f>'1505'!$U10+'1605'!$U10+'1705'!$U10</f>
        <v>0</v>
      </c>
      <c r="AI36" s="28">
        <f t="shared" si="23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6"/>
        <v>2</v>
      </c>
      <c r="S37" s="27">
        <f>'2404'!S11+'2604'!S11</f>
        <v>1</v>
      </c>
      <c r="T37" s="28">
        <f t="shared" si="17"/>
        <v>1</v>
      </c>
      <c r="U37" s="27">
        <f>'2404'!T11+'2604'!T11</f>
        <v>1</v>
      </c>
      <c r="V37" s="28">
        <f t="shared" si="18"/>
        <v>1</v>
      </c>
      <c r="W37" s="27">
        <f>'2404'!U11+'2604'!U11</f>
        <v>0</v>
      </c>
      <c r="X37" s="28">
        <f t="shared" si="19"/>
        <v>0</v>
      </c>
      <c r="Y37" s="40">
        <v>1</v>
      </c>
      <c r="AA37" s="30" t="s">
        <v>80</v>
      </c>
      <c r="AB37" s="44">
        <f>'1505'!$R11+'1605'!$R11+'1705'!$R11</f>
        <v>7</v>
      </c>
      <c r="AC37" s="29">
        <f t="shared" si="20"/>
        <v>2.3333333333333335</v>
      </c>
      <c r="AD37" s="27">
        <f>'1505'!$S11+'1605'!$S11+'1705'!$S11</f>
        <v>3</v>
      </c>
      <c r="AE37" s="28">
        <f t="shared" si="21"/>
        <v>1.5</v>
      </c>
      <c r="AF37" s="27">
        <f>'1505'!$T11+'1605'!$T11+'1705'!$T11</f>
        <v>4</v>
      </c>
      <c r="AG37" s="28">
        <f t="shared" si="22"/>
        <v>2</v>
      </c>
      <c r="AH37" s="27">
        <f>'1505'!$U11+'1605'!$U11+'1705'!$U11</f>
        <v>0</v>
      </c>
      <c r="AI37" s="28">
        <f t="shared" si="23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6"/>
        <v>0</v>
      </c>
      <c r="S38" s="27">
        <f>'2404'!S12+'2604'!S12</f>
        <v>0</v>
      </c>
      <c r="T38" s="28">
        <f t="shared" si="17"/>
        <v>0</v>
      </c>
      <c r="U38" s="27">
        <f>'2404'!T12+'2604'!T12</f>
        <v>0</v>
      </c>
      <c r="V38" s="28">
        <f t="shared" si="18"/>
        <v>0</v>
      </c>
      <c r="W38" s="27">
        <f>'2404'!U12+'2604'!U12</f>
        <v>0</v>
      </c>
      <c r="X38" s="28">
        <f t="shared" si="19"/>
        <v>0</v>
      </c>
      <c r="Y38" s="40">
        <v>0</v>
      </c>
      <c r="AA38" s="30" t="s">
        <v>81</v>
      </c>
      <c r="AB38" s="44">
        <f>'1505'!$R12+'1605'!$R12+'1705'!$R12</f>
        <v>2</v>
      </c>
      <c r="AC38" s="29">
        <f t="shared" si="20"/>
        <v>0.66666666666666663</v>
      </c>
      <c r="AD38" s="27">
        <f>'1505'!$S12+'1605'!$S12+'1705'!$S12</f>
        <v>0</v>
      </c>
      <c r="AE38" s="28">
        <f t="shared" si="21"/>
        <v>0</v>
      </c>
      <c r="AF38" s="27">
        <f>'1505'!$T12+'1605'!$T12+'1705'!$T12</f>
        <v>2</v>
      </c>
      <c r="AG38" s="28">
        <f t="shared" si="22"/>
        <v>1</v>
      </c>
      <c r="AH38" s="27">
        <f>'1505'!$U12+'1605'!$U12+'1705'!$U12</f>
        <v>0</v>
      </c>
      <c r="AI38" s="28">
        <f t="shared" si="23"/>
        <v>0</v>
      </c>
      <c r="AJ38" s="40">
        <v>0</v>
      </c>
    </row>
    <row r="39" spans="8:36" ht="14.25" customHeight="1" x14ac:dyDescent="0.45">
      <c r="P39" s="30" t="s">
        <v>185</v>
      </c>
      <c r="Q39" s="44">
        <f>'2404'!R13+'2604'!R13</f>
        <v>4</v>
      </c>
      <c r="R39" s="29">
        <f t="shared" si="16"/>
        <v>2</v>
      </c>
      <c r="S39" s="27">
        <f>'2404'!S13+'2604'!S13</f>
        <v>4</v>
      </c>
      <c r="T39" s="28">
        <f t="shared" si="17"/>
        <v>2</v>
      </c>
      <c r="U39" s="27">
        <f>'2404'!T13+'2604'!T13</f>
        <v>0</v>
      </c>
      <c r="V39" s="28">
        <f t="shared" si="18"/>
        <v>0</v>
      </c>
      <c r="W39" s="27">
        <f>'2404'!U13+'2604'!U13</f>
        <v>0</v>
      </c>
      <c r="X39" s="28">
        <f t="shared" si="19"/>
        <v>0</v>
      </c>
      <c r="Y39" s="40">
        <v>0</v>
      </c>
      <c r="Z39" s="12"/>
      <c r="AA39" s="30" t="s">
        <v>185</v>
      </c>
      <c r="AB39" s="44">
        <f>'1505'!$R13+'1605'!$R13+'1705'!$R13</f>
        <v>4</v>
      </c>
      <c r="AC39" s="29">
        <f t="shared" si="20"/>
        <v>1.3333333333333333</v>
      </c>
      <c r="AD39" s="27">
        <f>'1505'!$S13+'1605'!$S13+'1705'!$S13</f>
        <v>1</v>
      </c>
      <c r="AE39" s="28">
        <f t="shared" si="21"/>
        <v>0.5</v>
      </c>
      <c r="AF39" s="27">
        <f>'1505'!$T13+'1605'!$T13+'1705'!$T13</f>
        <v>1</v>
      </c>
      <c r="AG39" s="28">
        <f t="shared" si="22"/>
        <v>0.5</v>
      </c>
      <c r="AH39" s="27">
        <f>'1505'!$U13+'1605'!$U13+'1705'!$U13</f>
        <v>1</v>
      </c>
      <c r="AI39" s="28">
        <f t="shared" si="23"/>
        <v>0.5</v>
      </c>
      <c r="AJ39" s="40">
        <v>0</v>
      </c>
    </row>
    <row r="40" spans="8:36" ht="14.25" customHeight="1" x14ac:dyDescent="0.45">
      <c r="I40" s="33" t="s">
        <v>155</v>
      </c>
      <c r="P40" s="30" t="s">
        <v>184</v>
      </c>
      <c r="Q40" s="44">
        <f>'2404'!R14+'2604'!R14</f>
        <v>0</v>
      </c>
      <c r="R40" s="29">
        <f t="shared" si="16"/>
        <v>0</v>
      </c>
      <c r="S40" s="27">
        <f>'2404'!S14+'2604'!S14</f>
        <v>0</v>
      </c>
      <c r="T40" s="28">
        <f t="shared" si="17"/>
        <v>0</v>
      </c>
      <c r="U40" s="27">
        <f>'2404'!T14+'2604'!T14</f>
        <v>0</v>
      </c>
      <c r="V40" s="28">
        <f t="shared" si="18"/>
        <v>0</v>
      </c>
      <c r="W40" s="27">
        <f>'2404'!U14+'2604'!U14</f>
        <v>0</v>
      </c>
      <c r="X40" s="28">
        <f t="shared" si="19"/>
        <v>0</v>
      </c>
      <c r="Y40" s="40">
        <v>0</v>
      </c>
      <c r="AA40" s="30" t="s">
        <v>184</v>
      </c>
      <c r="AB40" s="44">
        <f>'1505'!$R14+'1605'!$R14+'1705'!$R14</f>
        <v>4</v>
      </c>
      <c r="AC40" s="29">
        <f t="shared" si="20"/>
        <v>1.3333333333333333</v>
      </c>
      <c r="AD40" s="27">
        <f>'1505'!$S14+'1605'!$S14+'1705'!$S14</f>
        <v>2</v>
      </c>
      <c r="AE40" s="28">
        <f t="shared" si="21"/>
        <v>1</v>
      </c>
      <c r="AF40" s="27">
        <f>'1505'!$T14+'1605'!$T14+'1705'!$T14</f>
        <v>2</v>
      </c>
      <c r="AG40" s="28">
        <f t="shared" si="22"/>
        <v>1</v>
      </c>
      <c r="AH40" s="27">
        <f>'1505'!$U14+'1605'!$U14+'1705'!$U14</f>
        <v>0</v>
      </c>
      <c r="AI40" s="28">
        <f t="shared" si="23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35</v>
      </c>
      <c r="L41" s="55"/>
      <c r="P41" s="30" t="s">
        <v>85</v>
      </c>
      <c r="Q41" s="44">
        <f>'2404'!R15+'2604'!R15</f>
        <v>4</v>
      </c>
      <c r="R41" s="29">
        <f t="shared" si="16"/>
        <v>2</v>
      </c>
      <c r="S41" s="27">
        <f>'2404'!S15+'2604'!S15</f>
        <v>4</v>
      </c>
      <c r="T41" s="28">
        <f t="shared" si="17"/>
        <v>2</v>
      </c>
      <c r="U41" s="27">
        <f>'2404'!T15+'2604'!T15</f>
        <v>0</v>
      </c>
      <c r="V41" s="28">
        <f t="shared" si="18"/>
        <v>0</v>
      </c>
      <c r="W41" s="27">
        <f>'2404'!U15+'2604'!U15</f>
        <v>0</v>
      </c>
      <c r="X41" s="28">
        <f t="shared" si="19"/>
        <v>0</v>
      </c>
      <c r="Y41" s="40">
        <v>0</v>
      </c>
      <c r="AA41" s="30" t="s">
        <v>85</v>
      </c>
      <c r="AB41" s="44">
        <f>'1505'!$R15+'1605'!$R15+'1705'!$R15</f>
        <v>3</v>
      </c>
      <c r="AC41" s="29">
        <f t="shared" si="20"/>
        <v>1</v>
      </c>
      <c r="AD41" s="27">
        <f>'1505'!$S15+'1605'!$S15+'1705'!$S15</f>
        <v>3</v>
      </c>
      <c r="AE41" s="28">
        <f t="shared" si="21"/>
        <v>1.5</v>
      </c>
      <c r="AF41" s="27">
        <f>'1505'!$T15+'1605'!$T15+'1705'!$T15</f>
        <v>0</v>
      </c>
      <c r="AG41" s="28">
        <f t="shared" si="22"/>
        <v>0</v>
      </c>
      <c r="AH41" s="27">
        <f>'1505'!$U15+'1605'!$U15+'1705'!$U15</f>
        <v>0</v>
      </c>
      <c r="AI41" s="28">
        <f t="shared" si="23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26</v>
      </c>
      <c r="L42" s="55"/>
      <c r="P42" s="30" t="s">
        <v>86</v>
      </c>
      <c r="Q42" s="44">
        <f>'2404'!R16+'2604'!R16</f>
        <v>0</v>
      </c>
      <c r="R42" s="29">
        <f t="shared" si="16"/>
        <v>0</v>
      </c>
      <c r="S42" s="27">
        <f>'2404'!S16+'2604'!S16</f>
        <v>0</v>
      </c>
      <c r="T42" s="28">
        <f t="shared" si="17"/>
        <v>0</v>
      </c>
      <c r="U42" s="27">
        <f>'2404'!T16+'2604'!T16</f>
        <v>0</v>
      </c>
      <c r="V42" s="28">
        <f t="shared" si="18"/>
        <v>0</v>
      </c>
      <c r="W42" s="27">
        <f>'2404'!U16+'2604'!U16</f>
        <v>0</v>
      </c>
      <c r="X42" s="28">
        <f t="shared" si="19"/>
        <v>0</v>
      </c>
      <c r="Y42" s="40">
        <v>0</v>
      </c>
      <c r="AA42" s="30" t="s">
        <v>86</v>
      </c>
      <c r="AB42" s="44">
        <f>'1505'!$R16+'1605'!$R16+'1705'!$R16</f>
        <v>1</v>
      </c>
      <c r="AC42" s="29">
        <f t="shared" si="20"/>
        <v>0.33333333333333331</v>
      </c>
      <c r="AD42" s="27">
        <f>'1505'!$S16+'1605'!$S16+'1705'!$S16</f>
        <v>1</v>
      </c>
      <c r="AE42" s="28">
        <f t="shared" si="21"/>
        <v>0.5</v>
      </c>
      <c r="AF42" s="27">
        <f>'1505'!$T16+'1605'!$T16+'1705'!$T16</f>
        <v>0</v>
      </c>
      <c r="AG42" s="28">
        <f t="shared" si="22"/>
        <v>0</v>
      </c>
      <c r="AH42" s="27">
        <f>'1505'!$U16+'1605'!$U16+'1705'!$U16</f>
        <v>0</v>
      </c>
      <c r="AI42" s="28">
        <f t="shared" si="23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35</v>
      </c>
      <c r="L43" s="55"/>
      <c r="P43" s="30" t="s">
        <v>87</v>
      </c>
      <c r="Q43" s="44">
        <f>'2404'!R17+'2604'!R17</f>
        <v>1</v>
      </c>
      <c r="R43" s="29">
        <f t="shared" si="16"/>
        <v>0.5</v>
      </c>
      <c r="S43" s="27">
        <f>'2404'!S17+'2604'!S17</f>
        <v>1</v>
      </c>
      <c r="T43" s="28">
        <f t="shared" si="17"/>
        <v>0.5</v>
      </c>
      <c r="U43" s="27">
        <f>'2404'!T17+'2604'!T17</f>
        <v>0</v>
      </c>
      <c r="V43" s="28">
        <f t="shared" si="18"/>
        <v>0</v>
      </c>
      <c r="W43" s="27">
        <f>'2404'!U17+'2604'!U17</f>
        <v>0</v>
      </c>
      <c r="X43" s="28">
        <f t="shared" si="19"/>
        <v>0</v>
      </c>
      <c r="Y43" s="40">
        <v>0</v>
      </c>
      <c r="AA43" s="30" t="s">
        <v>87</v>
      </c>
      <c r="AB43" s="44">
        <f>'1505'!$R17+'1605'!$R17+'1705'!$R17</f>
        <v>2</v>
      </c>
      <c r="AC43" s="29">
        <f t="shared" si="20"/>
        <v>0.66666666666666663</v>
      </c>
      <c r="AD43" s="27">
        <f>'1505'!$S17+'1605'!$S17+'1705'!$S17</f>
        <v>0</v>
      </c>
      <c r="AE43" s="28">
        <f t="shared" si="21"/>
        <v>0</v>
      </c>
      <c r="AF43" s="27">
        <f>'1505'!$T17+'1605'!$T17+'1705'!$T17</f>
        <v>2</v>
      </c>
      <c r="AG43" s="28">
        <f t="shared" si="22"/>
        <v>1</v>
      </c>
      <c r="AH43" s="27">
        <f>'1505'!$U17+'1605'!$U17+'1705'!$U17</f>
        <v>0</v>
      </c>
      <c r="AI43" s="28">
        <f t="shared" si="23"/>
        <v>0</v>
      </c>
      <c r="AJ43" s="40">
        <v>0</v>
      </c>
    </row>
    <row r="44" spans="8:36" ht="14.25" customHeight="1" x14ac:dyDescent="0.45">
      <c r="P44" s="52" t="s">
        <v>107</v>
      </c>
      <c r="Q44" s="44">
        <f>'2404'!R18+'2604'!R18</f>
        <v>1</v>
      </c>
      <c r="R44" s="29">
        <f t="shared" si="16"/>
        <v>0.5</v>
      </c>
      <c r="S44" s="27">
        <f>'2404'!S18+'2604'!S18</f>
        <v>1</v>
      </c>
      <c r="T44" s="28">
        <f t="shared" si="17"/>
        <v>0.5</v>
      </c>
      <c r="U44" s="27">
        <f>'2404'!T18+'2604'!T18</f>
        <v>0</v>
      </c>
      <c r="V44" s="28">
        <f t="shared" si="18"/>
        <v>0</v>
      </c>
      <c r="W44" s="27">
        <f>'2404'!U18+'2604'!U18</f>
        <v>0</v>
      </c>
      <c r="X44" s="28">
        <f t="shared" si="19"/>
        <v>0</v>
      </c>
      <c r="Y44" s="40">
        <v>0</v>
      </c>
      <c r="AA44" s="52" t="s">
        <v>107</v>
      </c>
      <c r="AB44" s="44">
        <f>'1505'!$R18+'1605'!$R18+'1705'!$R18</f>
        <v>1</v>
      </c>
      <c r="AC44" s="29">
        <f t="shared" si="20"/>
        <v>0.33333333333333331</v>
      </c>
      <c r="AD44" s="27">
        <f>'1505'!$S18+'1605'!$S18+'1705'!$S18</f>
        <v>0</v>
      </c>
      <c r="AE44" s="28">
        <f t="shared" si="21"/>
        <v>0</v>
      </c>
      <c r="AF44" s="27">
        <f>'1505'!$T18+'1605'!$T18+'1705'!$T18</f>
        <v>1</v>
      </c>
      <c r="AG44" s="28">
        <f t="shared" si="22"/>
        <v>0.5</v>
      </c>
      <c r="AH44" s="27">
        <f>'1505'!$U18+'1605'!$U18+'1705'!$U18</f>
        <v>0</v>
      </c>
      <c r="AI44" s="28">
        <f t="shared" si="23"/>
        <v>0</v>
      </c>
      <c r="AJ44" s="40">
        <v>0</v>
      </c>
    </row>
    <row r="45" spans="8:36" ht="14.25" customHeight="1" x14ac:dyDescent="0.45">
      <c r="H45" s="33" t="s">
        <v>214</v>
      </c>
      <c r="J45" s="33" t="s">
        <v>95</v>
      </c>
      <c r="K45" s="33" t="s">
        <v>98</v>
      </c>
      <c r="L45" s="33" t="s">
        <v>215</v>
      </c>
      <c r="O45" s="40"/>
    </row>
    <row r="46" spans="8:36" ht="14.25" customHeight="1" x14ac:dyDescent="0.45">
      <c r="I46" s="33" t="s">
        <v>9</v>
      </c>
      <c r="J46" s="42">
        <f>SUM(Table1[Finishes])</f>
        <v>177</v>
      </c>
      <c r="K46" s="41">
        <f>J46/Q5</f>
        <v>10.411764705882353</v>
      </c>
      <c r="L46" s="55">
        <f>J46/SUM($J$46:$J$48)</f>
        <v>0.55660377358490565</v>
      </c>
      <c r="P46" s="63" t="s">
        <v>174</v>
      </c>
      <c r="Q46" s="13">
        <v>2</v>
      </c>
      <c r="R46" s="13"/>
      <c r="S46" s="13"/>
      <c r="AA46" s="3" t="s">
        <v>222</v>
      </c>
      <c r="AB46" s="24">
        <v>3</v>
      </c>
      <c r="AC46" s="40"/>
      <c r="AD46" s="40"/>
      <c r="AE46" s="40"/>
      <c r="AF46" s="40"/>
      <c r="AG46" s="40"/>
      <c r="AH46" s="40"/>
      <c r="AI46" s="40"/>
      <c r="AJ46" s="40"/>
    </row>
    <row r="47" spans="8:36" ht="14.25" customHeight="1" x14ac:dyDescent="0.45">
      <c r="I47" s="33" t="s">
        <v>10</v>
      </c>
      <c r="J47" s="42">
        <f>SUM(Table1[Midranges])</f>
        <v>114</v>
      </c>
      <c r="K47" s="41">
        <f>J47/Q5</f>
        <v>6.7058823529411766</v>
      </c>
      <c r="L47" s="55">
        <f t="shared" ref="L47:L48" si="24">J47/SUM($J$46:$J$48)</f>
        <v>0.35849056603773582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31" t="s">
        <v>97</v>
      </c>
      <c r="AB47" s="32" t="s">
        <v>8</v>
      </c>
      <c r="AC47" s="31" t="s">
        <v>98</v>
      </c>
      <c r="AD47" s="33" t="s">
        <v>9</v>
      </c>
      <c r="AE47" s="34" t="s">
        <v>93</v>
      </c>
      <c r="AF47" s="35" t="s">
        <v>10</v>
      </c>
      <c r="AG47" s="34" t="s">
        <v>93</v>
      </c>
      <c r="AH47" s="33" t="s">
        <v>11</v>
      </c>
      <c r="AI47" s="34" t="s">
        <v>93</v>
      </c>
      <c r="AJ47" s="5" t="s">
        <v>160</v>
      </c>
    </row>
    <row r="48" spans="8:36" ht="14.25" customHeight="1" x14ac:dyDescent="0.45">
      <c r="I48" s="33" t="s">
        <v>11</v>
      </c>
      <c r="J48" s="42">
        <f>SUM(Table1[Threes])</f>
        <v>27</v>
      </c>
      <c r="K48" s="41">
        <f>J48/Q5</f>
        <v>1.588235294117647</v>
      </c>
      <c r="L48" s="55">
        <f t="shared" si="24"/>
        <v>8.4905660377358486E-2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  <c r="AA48" s="30" t="s">
        <v>55</v>
      </c>
      <c r="AB48" s="44">
        <f>'2205'!$R3+'2305'!$R3+'2405'!$R3</f>
        <v>0</v>
      </c>
      <c r="AC48" s="29">
        <f t="shared" ref="AC48:AC63" si="25">AB48/(AB$46-AJ48)</f>
        <v>0</v>
      </c>
      <c r="AD48" s="27">
        <f>'2205'!$S3+'2305'!$S3+'2405'!$S3</f>
        <v>0</v>
      </c>
      <c r="AE48" s="28">
        <f t="shared" ref="AE48:AE63" si="26">AD48/($AB$46-AJ48)</f>
        <v>0</v>
      </c>
      <c r="AF48" s="27">
        <f>'2205'!$T3+'2305'!$T3+'2405'!$T3</f>
        <v>0</v>
      </c>
      <c r="AG48" s="28">
        <f t="shared" ref="AG48:AG63" si="27">AF48/(AB$46-AJ48)</f>
        <v>0</v>
      </c>
      <c r="AH48" s="27">
        <f>'2205'!$U3+'2305'!$U3+'2405'!$U3</f>
        <v>0</v>
      </c>
      <c r="AI48" s="28">
        <f t="shared" ref="AI48:AI63" si="28">AH48/(AB$46-AJ48)</f>
        <v>0</v>
      </c>
      <c r="AJ48" s="40">
        <v>0</v>
      </c>
    </row>
    <row r="49" spans="8:36" ht="14.25" customHeight="1" x14ac:dyDescent="0.45">
      <c r="P49" s="30" t="s">
        <v>59</v>
      </c>
      <c r="Q49" s="44">
        <f>'0205'!R4+'0305'!R4</f>
        <v>1</v>
      </c>
      <c r="R49" s="29">
        <f t="shared" ref="R49:R63" si="29">Q49/(Q$46-Y49)</f>
        <v>0.5</v>
      </c>
      <c r="S49" s="27">
        <f>'0205'!S4+'0305'!S4</f>
        <v>1</v>
      </c>
      <c r="T49" s="28">
        <f t="shared" ref="T49:T63" si="30">S49/($Q$46-Y49)</f>
        <v>0.5</v>
      </c>
      <c r="U49" s="27">
        <f>'0205'!T4+'0305'!T4</f>
        <v>0</v>
      </c>
      <c r="V49" s="28">
        <f t="shared" ref="V49:V63" si="31">U49/($Q$46-Y49)</f>
        <v>0</v>
      </c>
      <c r="W49" s="27">
        <f>'0205'!U4+'0305'!U4</f>
        <v>0</v>
      </c>
      <c r="X49" s="28">
        <f t="shared" ref="X49:X63" si="32">W49/($Q$46-Y49)</f>
        <v>0</v>
      </c>
      <c r="Y49" s="40">
        <v>0</v>
      </c>
      <c r="AA49" s="30" t="s">
        <v>59</v>
      </c>
      <c r="AB49" s="44">
        <f>'2205'!$R4+'2305'!$R4+'2405'!$R4</f>
        <v>0</v>
      </c>
      <c r="AC49" s="29">
        <f t="shared" si="25"/>
        <v>0</v>
      </c>
      <c r="AD49" s="27">
        <f>'2205'!$S4+'2305'!$S4+'2405'!$S4</f>
        <v>0</v>
      </c>
      <c r="AE49" s="28">
        <f t="shared" si="26"/>
        <v>0</v>
      </c>
      <c r="AF49" s="27">
        <f>'2205'!$T4+'2305'!$T4+'2405'!$T4</f>
        <v>0</v>
      </c>
      <c r="AG49" s="28">
        <f t="shared" si="27"/>
        <v>0</v>
      </c>
      <c r="AH49" s="27">
        <f>'2205'!$U4+'2305'!$U4+'2405'!$U4</f>
        <v>0</v>
      </c>
      <c r="AI49" s="28">
        <f t="shared" si="28"/>
        <v>0</v>
      </c>
      <c r="AJ49" s="40">
        <v>1</v>
      </c>
    </row>
    <row r="50" spans="8:36" ht="14.25" customHeight="1" x14ac:dyDescent="0.45">
      <c r="P50" s="30" t="s">
        <v>62</v>
      </c>
      <c r="Q50" s="44">
        <f>'0205'!R5+'0305'!R5</f>
        <v>8</v>
      </c>
      <c r="R50" s="29">
        <f t="shared" si="29"/>
        <v>4</v>
      </c>
      <c r="S50" s="27">
        <f>'0205'!S5+'0305'!S5</f>
        <v>8</v>
      </c>
      <c r="T50" s="28">
        <f t="shared" si="30"/>
        <v>4</v>
      </c>
      <c r="U50" s="27">
        <f>'0205'!T5+'0305'!T5</f>
        <v>0</v>
      </c>
      <c r="V50" s="28">
        <f t="shared" si="31"/>
        <v>0</v>
      </c>
      <c r="W50" s="27">
        <f>'0205'!U5+'0305'!U5</f>
        <v>0</v>
      </c>
      <c r="X50" s="28">
        <f t="shared" si="32"/>
        <v>0</v>
      </c>
      <c r="Y50" s="40">
        <v>0</v>
      </c>
      <c r="AA50" s="30" t="s">
        <v>62</v>
      </c>
      <c r="AB50" s="44">
        <f>'2205'!$R5+'2305'!$R5+'2405'!$R5</f>
        <v>7</v>
      </c>
      <c r="AC50" s="29">
        <f t="shared" si="25"/>
        <v>2.3333333333333335</v>
      </c>
      <c r="AD50" s="27">
        <f>'2205'!$S5+'2305'!$S5+'2405'!$S5</f>
        <v>7</v>
      </c>
      <c r="AE50" s="28">
        <f t="shared" si="26"/>
        <v>2.3333333333333335</v>
      </c>
      <c r="AF50" s="27">
        <f>'2205'!$T5+'2305'!$T5+'2405'!$T5</f>
        <v>0</v>
      </c>
      <c r="AG50" s="28">
        <f t="shared" si="27"/>
        <v>0</v>
      </c>
      <c r="AH50" s="27">
        <f>'2205'!$U5+'2305'!$U5+'2405'!$U5</f>
        <v>0</v>
      </c>
      <c r="AI50" s="28">
        <f t="shared" si="28"/>
        <v>0</v>
      </c>
      <c r="AJ50" s="40">
        <v>0</v>
      </c>
    </row>
    <row r="51" spans="8:36" ht="14.25" customHeight="1" x14ac:dyDescent="0.45">
      <c r="I51" s="33" t="s">
        <v>188</v>
      </c>
      <c r="P51" s="30" t="s">
        <v>65</v>
      </c>
      <c r="Q51" s="44">
        <f>'0205'!R6+'0305'!R6</f>
        <v>4</v>
      </c>
      <c r="R51" s="29">
        <f t="shared" si="29"/>
        <v>2</v>
      </c>
      <c r="S51" s="27">
        <f>'0205'!S6+'0305'!S6</f>
        <v>4</v>
      </c>
      <c r="T51" s="28">
        <f t="shared" si="30"/>
        <v>2</v>
      </c>
      <c r="U51" s="27">
        <f>'0205'!T6+'0305'!T6</f>
        <v>0</v>
      </c>
      <c r="V51" s="28">
        <f t="shared" si="31"/>
        <v>0</v>
      </c>
      <c r="W51" s="27">
        <f>'0205'!U6+'0305'!U6</f>
        <v>0</v>
      </c>
      <c r="X51" s="28">
        <f t="shared" si="32"/>
        <v>0</v>
      </c>
      <c r="Y51" s="40">
        <v>0</v>
      </c>
      <c r="AA51" s="30" t="s">
        <v>65</v>
      </c>
      <c r="AB51" s="44">
        <f>'2205'!$R6+'2305'!$R6+'2405'!$R6</f>
        <v>2</v>
      </c>
      <c r="AC51" s="29">
        <f t="shared" si="25"/>
        <v>0.66666666666666663</v>
      </c>
      <c r="AD51" s="27">
        <f>'2205'!$S6+'2305'!$S6+'2405'!$S6</f>
        <v>2</v>
      </c>
      <c r="AE51" s="28">
        <f t="shared" si="26"/>
        <v>0.66666666666666663</v>
      </c>
      <c r="AF51" s="27">
        <f>'2205'!$T6+'2305'!$T6+'2405'!$T6</f>
        <v>0</v>
      </c>
      <c r="AG51" s="28">
        <f t="shared" si="27"/>
        <v>0</v>
      </c>
      <c r="AH51" s="27">
        <f>'2205'!$U6+'2305'!$U6+'2405'!$U6</f>
        <v>0</v>
      </c>
      <c r="AI51" s="28">
        <f t="shared" si="28"/>
        <v>0</v>
      </c>
      <c r="AJ51" s="40">
        <v>0</v>
      </c>
    </row>
    <row r="52" spans="8:36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9"/>
        <v>1.5</v>
      </c>
      <c r="S52" s="27">
        <f>'0205'!S7+'0305'!S7</f>
        <v>0</v>
      </c>
      <c r="T52" s="28">
        <f t="shared" si="30"/>
        <v>0</v>
      </c>
      <c r="U52" s="27">
        <f>'0205'!T7+'0305'!T7</f>
        <v>3</v>
      </c>
      <c r="V52" s="28">
        <f t="shared" si="31"/>
        <v>1.5</v>
      </c>
      <c r="W52" s="27">
        <f>'0205'!U7+'0305'!U7</f>
        <v>0</v>
      </c>
      <c r="X52" s="28">
        <f t="shared" si="32"/>
        <v>0</v>
      </c>
      <c r="Y52" s="40">
        <v>0</v>
      </c>
      <c r="AA52" s="30" t="s">
        <v>68</v>
      </c>
      <c r="AB52" s="44">
        <f>'2205'!$R7+'2305'!$R7+'2405'!$R7</f>
        <v>1</v>
      </c>
      <c r="AC52" s="29">
        <f t="shared" si="25"/>
        <v>0.33333333333333331</v>
      </c>
      <c r="AD52" s="27">
        <f>'2205'!$S7+'2305'!$S7+'2405'!$S7</f>
        <v>1</v>
      </c>
      <c r="AE52" s="28">
        <f t="shared" si="26"/>
        <v>0.33333333333333331</v>
      </c>
      <c r="AF52" s="27">
        <f>'2205'!$T7+'2305'!$T7+'2405'!$T7</f>
        <v>0</v>
      </c>
      <c r="AG52" s="28">
        <f t="shared" si="27"/>
        <v>0</v>
      </c>
      <c r="AH52" s="27">
        <f>'2205'!$U7+'2305'!$U7+'2405'!$U7</f>
        <v>0</v>
      </c>
      <c r="AI52" s="28">
        <f t="shared" si="28"/>
        <v>0</v>
      </c>
      <c r="AJ52" s="40">
        <v>0</v>
      </c>
    </row>
    <row r="53" spans="8:36" ht="14.25" customHeight="1" x14ac:dyDescent="0.45">
      <c r="H53" s="33" t="s">
        <v>190</v>
      </c>
      <c r="I53" s="98" t="s">
        <v>189</v>
      </c>
      <c r="J53" s="66">
        <f>'Statistics LG'!S31</f>
        <v>0.5056179775280899</v>
      </c>
      <c r="K53" s="66">
        <f>'Statistics LG'!X31</f>
        <v>0.5</v>
      </c>
      <c r="L53" s="66">
        <f>AVERAGE(J53:K53)</f>
        <v>0.50280898876404501</v>
      </c>
      <c r="P53" s="30" t="s">
        <v>71</v>
      </c>
      <c r="Q53" s="44">
        <f>'0205'!R8+'0305'!R8</f>
        <v>1</v>
      </c>
      <c r="R53" s="29">
        <f t="shared" si="29"/>
        <v>0.5</v>
      </c>
      <c r="S53" s="27">
        <f>'0205'!S8+'0305'!S8</f>
        <v>0</v>
      </c>
      <c r="T53" s="28">
        <f t="shared" si="30"/>
        <v>0</v>
      </c>
      <c r="U53" s="27">
        <f>'0205'!T8+'0305'!T8</f>
        <v>1</v>
      </c>
      <c r="V53" s="28">
        <f t="shared" si="31"/>
        <v>0.5</v>
      </c>
      <c r="W53" s="27">
        <f>'0205'!U8+'0305'!U8</f>
        <v>0</v>
      </c>
      <c r="X53" s="28">
        <f t="shared" si="32"/>
        <v>0</v>
      </c>
      <c r="Y53" s="40">
        <v>0</v>
      </c>
      <c r="AA53" s="30" t="s">
        <v>71</v>
      </c>
      <c r="AB53" s="44">
        <f>'2205'!$R8+'2305'!$R8+'2405'!$R8</f>
        <v>2</v>
      </c>
      <c r="AC53" s="29">
        <f t="shared" si="25"/>
        <v>0.66666666666666663</v>
      </c>
      <c r="AD53" s="27">
        <f>'2205'!$S8+'2305'!$S8+'2405'!$S8</f>
        <v>1</v>
      </c>
      <c r="AE53" s="28">
        <f t="shared" si="26"/>
        <v>0.33333333333333331</v>
      </c>
      <c r="AF53" s="27">
        <f>'2205'!$T8+'2305'!$T8+'2405'!$T8</f>
        <v>1</v>
      </c>
      <c r="AG53" s="28">
        <f t="shared" si="27"/>
        <v>0.33333333333333331</v>
      </c>
      <c r="AH53" s="27">
        <f>'2205'!$U8+'2305'!$U8+'2405'!$U8</f>
        <v>0</v>
      </c>
      <c r="AI53" s="28">
        <f t="shared" si="28"/>
        <v>0</v>
      </c>
      <c r="AJ53" s="40">
        <v>0</v>
      </c>
    </row>
    <row r="54" spans="8:36" ht="14.25" customHeight="1" x14ac:dyDescent="0.45">
      <c r="H54" s="33" t="s">
        <v>191</v>
      </c>
      <c r="I54" s="66">
        <f>1-'Statistics LG'!S31</f>
        <v>0.4943820224719101</v>
      </c>
      <c r="J54" s="98" t="s">
        <v>189</v>
      </c>
      <c r="K54" s="66">
        <f>'Statistics WW'!R31</f>
        <v>0.45454545454545453</v>
      </c>
      <c r="L54" s="66">
        <f>AVERAGE(I54:K54)</f>
        <v>0.47446373850868229</v>
      </c>
      <c r="P54" s="30" t="s">
        <v>75</v>
      </c>
      <c r="Q54" s="44">
        <f>'0205'!R9+'0305'!R9</f>
        <v>5</v>
      </c>
      <c r="R54" s="29">
        <f t="shared" si="29"/>
        <v>2.5</v>
      </c>
      <c r="S54" s="27">
        <f>'0205'!S9+'0305'!S9</f>
        <v>0</v>
      </c>
      <c r="T54" s="28">
        <f t="shared" si="30"/>
        <v>0</v>
      </c>
      <c r="U54" s="27">
        <f>'0205'!T9+'0305'!T9</f>
        <v>1</v>
      </c>
      <c r="V54" s="28">
        <f t="shared" si="31"/>
        <v>0.5</v>
      </c>
      <c r="W54" s="27">
        <f>'0205'!U9+'0305'!U9</f>
        <v>2</v>
      </c>
      <c r="X54" s="28">
        <f t="shared" si="32"/>
        <v>1</v>
      </c>
      <c r="Y54" s="40">
        <v>0</v>
      </c>
      <c r="AA54" s="30" t="s">
        <v>75</v>
      </c>
      <c r="AB54" s="44">
        <f>'2205'!$R9+'2305'!$R9+'2405'!$R9</f>
        <v>3</v>
      </c>
      <c r="AC54" s="29">
        <f t="shared" si="25"/>
        <v>1</v>
      </c>
      <c r="AD54" s="27">
        <f>'2205'!$S9+'2305'!$S9+'2405'!$S9</f>
        <v>0</v>
      </c>
      <c r="AE54" s="28">
        <f t="shared" si="26"/>
        <v>0</v>
      </c>
      <c r="AF54" s="27">
        <f>'2205'!$T9+'2305'!$T9+'2405'!$T9</f>
        <v>1</v>
      </c>
      <c r="AG54" s="28">
        <f t="shared" si="27"/>
        <v>0.33333333333333331</v>
      </c>
      <c r="AH54" s="27">
        <f>'2205'!$U9+'2305'!$U9+'2405'!$U9</f>
        <v>1</v>
      </c>
      <c r="AI54" s="28">
        <f t="shared" si="28"/>
        <v>0.33333333333333331</v>
      </c>
      <c r="AJ54" s="40">
        <v>0</v>
      </c>
    </row>
    <row r="55" spans="8:36" ht="14.25" customHeight="1" x14ac:dyDescent="0.45">
      <c r="H55" s="33" t="s">
        <v>192</v>
      </c>
      <c r="I55" s="66">
        <f>1-K53</f>
        <v>0.5</v>
      </c>
      <c r="J55" s="66">
        <f>1-K54</f>
        <v>0.54545454545454541</v>
      </c>
      <c r="K55" s="98" t="s">
        <v>189</v>
      </c>
      <c r="L55" s="66">
        <f>AVERAGE(I55:K55)</f>
        <v>0.52272727272727271</v>
      </c>
      <c r="P55" s="30" t="s">
        <v>78</v>
      </c>
      <c r="Q55" s="44">
        <f>'0205'!R10+'0305'!R10</f>
        <v>3</v>
      </c>
      <c r="R55" s="29">
        <f t="shared" si="29"/>
        <v>1.5</v>
      </c>
      <c r="S55" s="27">
        <f>'0205'!S10+'0305'!S10</f>
        <v>1</v>
      </c>
      <c r="T55" s="28">
        <f t="shared" si="30"/>
        <v>0.5</v>
      </c>
      <c r="U55" s="27">
        <f>'0205'!T10+'0305'!T10</f>
        <v>2</v>
      </c>
      <c r="V55" s="28">
        <f t="shared" si="31"/>
        <v>1</v>
      </c>
      <c r="W55" s="27">
        <f>'0205'!U10+'0305'!U10</f>
        <v>0</v>
      </c>
      <c r="X55" s="28">
        <f t="shared" si="32"/>
        <v>0</v>
      </c>
      <c r="Y55" s="40">
        <v>0</v>
      </c>
      <c r="AA55" s="30" t="s">
        <v>78</v>
      </c>
      <c r="AB55" s="44">
        <f>'2205'!$R10+'2305'!$R10+'2405'!$R10</f>
        <v>2</v>
      </c>
      <c r="AC55" s="29">
        <f t="shared" si="25"/>
        <v>0.66666666666666663</v>
      </c>
      <c r="AD55" s="27">
        <f>'2205'!$S10+'2305'!$S10+'2405'!$S10</f>
        <v>0</v>
      </c>
      <c r="AE55" s="28">
        <f t="shared" si="26"/>
        <v>0</v>
      </c>
      <c r="AF55" s="27">
        <f>'2205'!$T10+'2305'!$T10+'2405'!$T10</f>
        <v>2</v>
      </c>
      <c r="AG55" s="28">
        <f t="shared" si="27"/>
        <v>0.66666666666666663</v>
      </c>
      <c r="AH55" s="27">
        <f>'2205'!$U10+'2305'!$U10+'2405'!$U10</f>
        <v>0</v>
      </c>
      <c r="AI55" s="28">
        <f t="shared" si="28"/>
        <v>0</v>
      </c>
      <c r="AJ55" s="40">
        <v>0</v>
      </c>
    </row>
    <row r="56" spans="8:36" ht="14.25" customHeight="1" x14ac:dyDescent="0.45">
      <c r="L56" s="99"/>
      <c r="M56" s="99"/>
      <c r="P56" s="30" t="s">
        <v>80</v>
      </c>
      <c r="Q56" s="44">
        <f>'0205'!R11+'0305'!R11</f>
        <v>5</v>
      </c>
      <c r="R56" s="29">
        <f t="shared" si="29"/>
        <v>2.5</v>
      </c>
      <c r="S56" s="27">
        <f>'0205'!S11+'0305'!S11</f>
        <v>2</v>
      </c>
      <c r="T56" s="28">
        <f t="shared" si="30"/>
        <v>1</v>
      </c>
      <c r="U56" s="27">
        <f>'0205'!T11+'0305'!T11</f>
        <v>3</v>
      </c>
      <c r="V56" s="28">
        <f t="shared" si="31"/>
        <v>1.5</v>
      </c>
      <c r="W56" s="27">
        <f>'0205'!U11+'0305'!U11</f>
        <v>0</v>
      </c>
      <c r="X56" s="28">
        <f t="shared" si="32"/>
        <v>0</v>
      </c>
      <c r="Y56" s="40">
        <v>0</v>
      </c>
      <c r="AA56" s="30" t="s">
        <v>80</v>
      </c>
      <c r="AB56" s="44">
        <f>'2205'!$R11+'2305'!$R11+'2405'!$R11</f>
        <v>6</v>
      </c>
      <c r="AC56" s="29">
        <f t="shared" si="25"/>
        <v>2</v>
      </c>
      <c r="AD56" s="27">
        <f>'2205'!$S11+'2305'!$S11+'2405'!$S11</f>
        <v>1</v>
      </c>
      <c r="AE56" s="28">
        <f t="shared" si="26"/>
        <v>0.33333333333333331</v>
      </c>
      <c r="AF56" s="27">
        <f>'2205'!$T11+'2305'!$T11+'2405'!$T11</f>
        <v>5</v>
      </c>
      <c r="AG56" s="28">
        <f t="shared" si="27"/>
        <v>1.6666666666666667</v>
      </c>
      <c r="AH56" s="27">
        <f>'2205'!$U11+'2305'!$U11+'2405'!$U11</f>
        <v>0</v>
      </c>
      <c r="AI56" s="28">
        <f t="shared" si="28"/>
        <v>0</v>
      </c>
      <c r="AJ56" s="40">
        <v>0</v>
      </c>
    </row>
    <row r="57" spans="8:36" ht="14.25" customHeight="1" x14ac:dyDescent="0.45">
      <c r="P57" s="30" t="s">
        <v>81</v>
      </c>
      <c r="Q57" s="44">
        <f>'0205'!R12+'0305'!R12</f>
        <v>4</v>
      </c>
      <c r="R57" s="29">
        <f t="shared" si="29"/>
        <v>2</v>
      </c>
      <c r="S57" s="27">
        <f>'0205'!S12+'0305'!S12</f>
        <v>1</v>
      </c>
      <c r="T57" s="28">
        <f t="shared" si="30"/>
        <v>0.5</v>
      </c>
      <c r="U57" s="27">
        <f>'0205'!T12+'0305'!T12</f>
        <v>3</v>
      </c>
      <c r="V57" s="28">
        <f t="shared" si="31"/>
        <v>1.5</v>
      </c>
      <c r="W57" s="27">
        <f>'0205'!U12+'0305'!U12</f>
        <v>0</v>
      </c>
      <c r="X57" s="28">
        <f t="shared" si="32"/>
        <v>0</v>
      </c>
      <c r="Y57" s="40">
        <v>0</v>
      </c>
      <c r="AA57" s="30" t="s">
        <v>81</v>
      </c>
      <c r="AB57" s="44">
        <f>'2205'!$R12+'2305'!$R12+'2405'!$R12</f>
        <v>3</v>
      </c>
      <c r="AC57" s="29">
        <f t="shared" si="25"/>
        <v>1.5</v>
      </c>
      <c r="AD57" s="27">
        <f>'2205'!$S12+'2305'!$S12+'2405'!$S12</f>
        <v>0</v>
      </c>
      <c r="AE57" s="28">
        <f t="shared" si="26"/>
        <v>0</v>
      </c>
      <c r="AF57" s="27">
        <f>'2205'!$T12+'2305'!$T12+'2405'!$T12</f>
        <v>3</v>
      </c>
      <c r="AG57" s="28">
        <f t="shared" si="27"/>
        <v>1.5</v>
      </c>
      <c r="AH57" s="27">
        <f>'2205'!$U12+'2305'!$U12+'2405'!$U12</f>
        <v>0</v>
      </c>
      <c r="AI57" s="28">
        <f t="shared" si="28"/>
        <v>0</v>
      </c>
      <c r="AJ57" s="40">
        <v>1</v>
      </c>
    </row>
    <row r="58" spans="8:36" ht="14.25" customHeight="1" x14ac:dyDescent="0.45">
      <c r="P58" s="30" t="s">
        <v>185</v>
      </c>
      <c r="Q58" s="44">
        <f>'0205'!R13+'0305'!R13</f>
        <v>3</v>
      </c>
      <c r="R58" s="29">
        <f t="shared" si="29"/>
        <v>1.5</v>
      </c>
      <c r="S58" s="27">
        <f>'0205'!S13+'0305'!S13</f>
        <v>3</v>
      </c>
      <c r="T58" s="28">
        <f t="shared" si="30"/>
        <v>1.5</v>
      </c>
      <c r="U58" s="27">
        <f>'0205'!T13+'0305'!T13</f>
        <v>0</v>
      </c>
      <c r="V58" s="28">
        <f t="shared" si="31"/>
        <v>0</v>
      </c>
      <c r="W58" s="27">
        <f>'0205'!U13+'0305'!U13</f>
        <v>0</v>
      </c>
      <c r="X58" s="28">
        <f t="shared" si="32"/>
        <v>0</v>
      </c>
      <c r="Y58" s="40">
        <v>0</v>
      </c>
      <c r="AA58" s="30" t="s">
        <v>185</v>
      </c>
      <c r="AB58" s="44">
        <f>'2205'!$R13+'2305'!$R13+'2405'!$R13</f>
        <v>1</v>
      </c>
      <c r="AC58" s="29">
        <f t="shared" si="25"/>
        <v>0.33333333333333331</v>
      </c>
      <c r="AD58" s="27">
        <f>'2205'!$S13+'2305'!$S13+'2405'!$S13</f>
        <v>0</v>
      </c>
      <c r="AE58" s="28">
        <f t="shared" si="26"/>
        <v>0</v>
      </c>
      <c r="AF58" s="27">
        <f>'2205'!$T13+'2305'!$T13+'2405'!$T13</f>
        <v>1</v>
      </c>
      <c r="AG58" s="28">
        <f t="shared" si="27"/>
        <v>0.33333333333333331</v>
      </c>
      <c r="AH58" s="27">
        <f>'2205'!$U13+'2305'!$U13+'2405'!$U13</f>
        <v>0</v>
      </c>
      <c r="AI58" s="28">
        <f t="shared" si="28"/>
        <v>0</v>
      </c>
      <c r="AJ58" s="40">
        <v>0</v>
      </c>
    </row>
    <row r="59" spans="8:36" ht="14.25" customHeight="1" x14ac:dyDescent="0.45">
      <c r="P59" s="30" t="s">
        <v>184</v>
      </c>
      <c r="Q59" s="44">
        <f>'0205'!R14+'0305'!R14</f>
        <v>2</v>
      </c>
      <c r="R59" s="29">
        <f t="shared" si="29"/>
        <v>1</v>
      </c>
      <c r="S59" s="27">
        <f>'0205'!S14+'0305'!S14</f>
        <v>2</v>
      </c>
      <c r="T59" s="28">
        <f t="shared" si="30"/>
        <v>1</v>
      </c>
      <c r="U59" s="27">
        <f>'0205'!T14+'0305'!T14</f>
        <v>0</v>
      </c>
      <c r="V59" s="28">
        <f t="shared" si="31"/>
        <v>0</v>
      </c>
      <c r="W59" s="27">
        <f>'0205'!U14+'0305'!U14</f>
        <v>0</v>
      </c>
      <c r="X59" s="28">
        <f t="shared" si="32"/>
        <v>0</v>
      </c>
      <c r="Y59" s="40">
        <v>0</v>
      </c>
      <c r="AA59" s="30" t="s">
        <v>184</v>
      </c>
      <c r="AB59" s="44">
        <f>'2205'!$R14+'2305'!$R14+'2405'!$R14</f>
        <v>5</v>
      </c>
      <c r="AC59" s="29">
        <f t="shared" si="25"/>
        <v>1.6666666666666667</v>
      </c>
      <c r="AD59" s="27">
        <f>'2205'!$S14+'2305'!$S14+'2405'!$S14</f>
        <v>2</v>
      </c>
      <c r="AE59" s="28">
        <f t="shared" si="26"/>
        <v>0.66666666666666663</v>
      </c>
      <c r="AF59" s="27">
        <f>'2205'!$T14+'2305'!$T14+'2405'!$T14</f>
        <v>3</v>
      </c>
      <c r="AG59" s="28">
        <f t="shared" si="27"/>
        <v>1</v>
      </c>
      <c r="AH59" s="27">
        <f>'2205'!$U14+'2305'!$U14+'2405'!$U14</f>
        <v>0</v>
      </c>
      <c r="AI59" s="28">
        <f t="shared" si="28"/>
        <v>0</v>
      </c>
      <c r="AJ59" s="40">
        <v>0</v>
      </c>
    </row>
    <row r="60" spans="8:36" ht="14.25" customHeight="1" x14ac:dyDescent="0.45">
      <c r="P60" s="30" t="s">
        <v>85</v>
      </c>
      <c r="Q60" s="44">
        <f>'0205'!R15+'0305'!R15</f>
        <v>6</v>
      </c>
      <c r="R60" s="29">
        <f t="shared" si="29"/>
        <v>6</v>
      </c>
      <c r="S60" s="27">
        <f>'0205'!S15+'0305'!S15</f>
        <v>4</v>
      </c>
      <c r="T60" s="28">
        <f t="shared" si="30"/>
        <v>4</v>
      </c>
      <c r="U60" s="27">
        <f>'0205'!T15+'0305'!T15</f>
        <v>0</v>
      </c>
      <c r="V60" s="28">
        <f t="shared" si="31"/>
        <v>0</v>
      </c>
      <c r="W60" s="27">
        <f>'0205'!U15+'0305'!U15</f>
        <v>1</v>
      </c>
      <c r="X60" s="28">
        <f t="shared" si="32"/>
        <v>1</v>
      </c>
      <c r="Y60" s="40">
        <v>1</v>
      </c>
      <c r="AA60" s="30" t="s">
        <v>85</v>
      </c>
      <c r="AB60" s="44">
        <f>'2205'!$R15+'2305'!$R15+'2405'!$R15</f>
        <v>8</v>
      </c>
      <c r="AC60" s="29">
        <f t="shared" si="25"/>
        <v>2.6666666666666665</v>
      </c>
      <c r="AD60" s="27">
        <f>'2205'!$S15+'2305'!$S15+'2405'!$S15</f>
        <v>4</v>
      </c>
      <c r="AE60" s="28">
        <f t="shared" si="26"/>
        <v>1.3333333333333333</v>
      </c>
      <c r="AF60" s="27">
        <f>'2205'!$T15+'2305'!$T15+'2405'!$T15</f>
        <v>2</v>
      </c>
      <c r="AG60" s="28">
        <f t="shared" si="27"/>
        <v>0.66666666666666663</v>
      </c>
      <c r="AH60" s="27">
        <f>'2205'!$U15+'2305'!$U15+'2405'!$U15</f>
        <v>1</v>
      </c>
      <c r="AI60" s="28">
        <f t="shared" si="28"/>
        <v>0.33333333333333331</v>
      </c>
      <c r="AJ60" s="40">
        <v>0</v>
      </c>
    </row>
    <row r="61" spans="8:36" ht="14.25" customHeight="1" x14ac:dyDescent="0.45">
      <c r="P61" s="30" t="s">
        <v>86</v>
      </c>
      <c r="Q61" s="44">
        <f>'0205'!R16+'0305'!R16</f>
        <v>0</v>
      </c>
      <c r="R61" s="29">
        <f t="shared" si="29"/>
        <v>0</v>
      </c>
      <c r="S61" s="27">
        <f>'0205'!S16+'0305'!S16</f>
        <v>0</v>
      </c>
      <c r="T61" s="28">
        <f t="shared" si="30"/>
        <v>0</v>
      </c>
      <c r="U61" s="27">
        <f>'0205'!T16+'0305'!T16</f>
        <v>0</v>
      </c>
      <c r="V61" s="28">
        <f t="shared" si="31"/>
        <v>0</v>
      </c>
      <c r="W61" s="27">
        <f>'0205'!U16+'0305'!U16</f>
        <v>0</v>
      </c>
      <c r="X61" s="28">
        <f t="shared" si="32"/>
        <v>0</v>
      </c>
      <c r="Y61" s="40">
        <v>0</v>
      </c>
      <c r="AA61" s="30" t="s">
        <v>86</v>
      </c>
      <c r="AB61" s="44">
        <f>'2205'!$R16+'2305'!$R16+'2405'!$R16</f>
        <v>0</v>
      </c>
      <c r="AC61" s="29">
        <f t="shared" si="25"/>
        <v>0</v>
      </c>
      <c r="AD61" s="27">
        <f>'2205'!$S16+'2305'!$S16+'2405'!$S16</f>
        <v>0</v>
      </c>
      <c r="AE61" s="28">
        <f t="shared" si="26"/>
        <v>0</v>
      </c>
      <c r="AF61" s="27">
        <f>'2205'!$T16+'2305'!$T16+'2405'!$T16</f>
        <v>0</v>
      </c>
      <c r="AG61" s="28">
        <f t="shared" si="27"/>
        <v>0</v>
      </c>
      <c r="AH61" s="27">
        <f>'2205'!$U16+'2305'!$U16+'2405'!$U16</f>
        <v>0</v>
      </c>
      <c r="AI61" s="28">
        <f t="shared" si="28"/>
        <v>0</v>
      </c>
      <c r="AJ61" s="40">
        <v>0</v>
      </c>
    </row>
    <row r="62" spans="8:36" ht="14.25" customHeight="1" x14ac:dyDescent="0.45">
      <c r="P62" s="30" t="s">
        <v>87</v>
      </c>
      <c r="Q62" s="44">
        <f>'0205'!R17+'0305'!R17</f>
        <v>0</v>
      </c>
      <c r="R62" s="29">
        <f t="shared" si="29"/>
        <v>0</v>
      </c>
      <c r="S62" s="27">
        <f>'0205'!S17+'0305'!S17</f>
        <v>0</v>
      </c>
      <c r="T62" s="28">
        <f t="shared" si="30"/>
        <v>0</v>
      </c>
      <c r="U62" s="27">
        <f>'0205'!T17+'0305'!T17</f>
        <v>0</v>
      </c>
      <c r="V62" s="28">
        <f t="shared" si="31"/>
        <v>0</v>
      </c>
      <c r="W62" s="27">
        <f>'0205'!U17+'0305'!U17</f>
        <v>0</v>
      </c>
      <c r="X62" s="28">
        <f t="shared" si="32"/>
        <v>0</v>
      </c>
      <c r="Y62" s="40">
        <v>0</v>
      </c>
      <c r="AA62" s="30" t="s">
        <v>87</v>
      </c>
      <c r="AB62" s="44">
        <f>'2205'!$R17+'2305'!$R17+'2405'!$R17</f>
        <v>1</v>
      </c>
      <c r="AC62" s="29">
        <f t="shared" si="25"/>
        <v>0.33333333333333331</v>
      </c>
      <c r="AD62" s="27">
        <f>'2205'!$S17+'2305'!$S17+'2405'!$S17</f>
        <v>1</v>
      </c>
      <c r="AE62" s="28">
        <f t="shared" si="26"/>
        <v>0.33333333333333331</v>
      </c>
      <c r="AF62" s="27">
        <f>'2205'!$T17+'2305'!$T17+'2405'!$T17</f>
        <v>0</v>
      </c>
      <c r="AG62" s="28">
        <f t="shared" si="27"/>
        <v>0</v>
      </c>
      <c r="AH62" s="27">
        <f>'2205'!$U17+'2305'!$U17+'2405'!$U17</f>
        <v>0</v>
      </c>
      <c r="AI62" s="28">
        <f t="shared" si="28"/>
        <v>0</v>
      </c>
      <c r="AJ62" s="40">
        <v>0</v>
      </c>
    </row>
    <row r="63" spans="8:36" ht="14.25" customHeight="1" x14ac:dyDescent="0.45">
      <c r="P63" s="52" t="s">
        <v>107</v>
      </c>
      <c r="Q63" s="44">
        <f>'0205'!R18+'0305'!R18</f>
        <v>2</v>
      </c>
      <c r="R63" s="29">
        <f t="shared" si="29"/>
        <v>1</v>
      </c>
      <c r="S63" s="27">
        <f>'0205'!S18+'0305'!S18</f>
        <v>2</v>
      </c>
      <c r="T63" s="28">
        <f t="shared" si="30"/>
        <v>1</v>
      </c>
      <c r="U63" s="27">
        <f>'0205'!T18+'0305'!T18</f>
        <v>0</v>
      </c>
      <c r="V63" s="28">
        <f t="shared" si="31"/>
        <v>0</v>
      </c>
      <c r="W63" s="27">
        <f>'0205'!U18+'0305'!U18</f>
        <v>0</v>
      </c>
      <c r="X63" s="28">
        <f t="shared" si="32"/>
        <v>0</v>
      </c>
      <c r="Y63" s="40">
        <v>0</v>
      </c>
      <c r="AA63" s="52" t="s">
        <v>107</v>
      </c>
      <c r="AB63" s="44">
        <f>'2205'!$R18+'2305'!$R18+'2405'!$R18</f>
        <v>0</v>
      </c>
      <c r="AC63" s="29">
        <f t="shared" si="25"/>
        <v>0</v>
      </c>
      <c r="AD63" s="27">
        <f>'2205'!$S18+'2305'!$S18+'2405'!$S18</f>
        <v>0</v>
      </c>
      <c r="AE63" s="28">
        <f t="shared" si="26"/>
        <v>0</v>
      </c>
      <c r="AF63" s="27">
        <f>'2205'!$T18+'2305'!$T18+'2405'!$T18</f>
        <v>0</v>
      </c>
      <c r="AG63" s="28">
        <f t="shared" si="27"/>
        <v>0</v>
      </c>
      <c r="AH63" s="27">
        <f>'2205'!$U18+'2305'!$U18+'2405'!$U18</f>
        <v>0</v>
      </c>
      <c r="AI63" s="28">
        <f t="shared" si="28"/>
        <v>0</v>
      </c>
      <c r="AJ63" s="40">
        <v>1</v>
      </c>
    </row>
    <row r="64" spans="8:36" ht="14.25" customHeight="1" x14ac:dyDescent="0.45">
      <c r="P64" s="13"/>
      <c r="Q64" s="15"/>
      <c r="R64" s="15"/>
      <c r="S64" s="15"/>
    </row>
    <row r="65" spans="8:40" ht="14.25" customHeight="1" x14ac:dyDescent="0.45">
      <c r="P65" s="52" t="s">
        <v>186</v>
      </c>
      <c r="Q65">
        <v>3</v>
      </c>
      <c r="AA65" s="149" t="s">
        <v>241</v>
      </c>
      <c r="AB65">
        <v>4</v>
      </c>
    </row>
    <row r="66" spans="8:40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  <c r="AA66" s="150" t="s">
        <v>97</v>
      </c>
      <c r="AB66" s="32" t="s">
        <v>8</v>
      </c>
      <c r="AC66" s="150" t="s">
        <v>98</v>
      </c>
      <c r="AD66" s="33" t="s">
        <v>9</v>
      </c>
      <c r="AE66" s="153" t="s">
        <v>93</v>
      </c>
      <c r="AF66" s="35" t="s">
        <v>10</v>
      </c>
      <c r="AG66" s="153" t="s">
        <v>93</v>
      </c>
      <c r="AH66" s="33" t="s">
        <v>11</v>
      </c>
      <c r="AI66" s="153" t="s">
        <v>93</v>
      </c>
      <c r="AJ66" s="5" t="s">
        <v>160</v>
      </c>
    </row>
    <row r="67" spans="8:40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33">Q67/(Q$65-Y67)</f>
        <v>1.3333333333333333</v>
      </c>
      <c r="S67" s="27">
        <f>'0805'!$S3+'0905'!$S3+'1005'!$S3</f>
        <v>2</v>
      </c>
      <c r="T67" s="28">
        <f t="shared" ref="T67:T82" si="34">S67/($Q$65-Y67)</f>
        <v>0.66666666666666663</v>
      </c>
      <c r="U67" s="27">
        <f>'0805'!$T3+'0905'!$T3+'1005'!$T3</f>
        <v>2</v>
      </c>
      <c r="V67" s="28">
        <f t="shared" ref="V67:V82" si="35">U67/($Q$65-Y67)</f>
        <v>0.66666666666666663</v>
      </c>
      <c r="W67" s="27">
        <f>'0805'!$U3+'0905'!$U3+'1005'!$U3</f>
        <v>0</v>
      </c>
      <c r="X67" s="28">
        <f t="shared" ref="X67:X82" si="36">W67/($Q$65-Y67)</f>
        <v>0</v>
      </c>
      <c r="Y67" s="40">
        <v>0</v>
      </c>
      <c r="AA67" s="151" t="s">
        <v>55</v>
      </c>
      <c r="AB67" s="44">
        <f>'Finals 1'!$S3+'Finals 2'!$S3+'Finals 3'!$S3+'Finals 4'!$S3</f>
        <v>0</v>
      </c>
      <c r="AC67" s="152">
        <f>AB67/(AB$65-AJ67)</f>
        <v>0</v>
      </c>
      <c r="AD67" s="27">
        <f>'Finals 1'!$T3+'Finals 2'!$T3+'Finals 3'!$T3+'Finals 4'!$T3</f>
        <v>0</v>
      </c>
      <c r="AE67" s="154">
        <f>AD67/(AB$65-AJ67)</f>
        <v>0</v>
      </c>
      <c r="AF67" s="27">
        <f>'Finals 1'!$U3+'Finals 2'!$U3+'Finals 3'!$U3+'Finals 4'!$U3</f>
        <v>0</v>
      </c>
      <c r="AG67" s="154">
        <f>AF67/(AB$65-AJ67)</f>
        <v>0</v>
      </c>
      <c r="AH67" s="27">
        <f>'Finals 1'!$V3+'Finals 2'!$V3+'Finals 3'!$V3+'Finals 4'!$V3</f>
        <v>0</v>
      </c>
      <c r="AI67" s="154">
        <f>AH67/(AB$65-AJ67)</f>
        <v>0</v>
      </c>
      <c r="AJ67" s="40">
        <v>0</v>
      </c>
      <c r="AM67" s="155"/>
      <c r="AN67" s="59"/>
    </row>
    <row r="68" spans="8:40" ht="14.25" customHeight="1" x14ac:dyDescent="0.45">
      <c r="P68" s="30" t="s">
        <v>59</v>
      </c>
      <c r="Q68" s="44">
        <f>'0805'!$R4+'0905'!$R4+'1005'!$R4</f>
        <v>4</v>
      </c>
      <c r="R68" s="29">
        <f t="shared" si="33"/>
        <v>1.3333333333333333</v>
      </c>
      <c r="S68" s="27">
        <f>'0805'!$S4+'0905'!$S4+'1005'!$S4</f>
        <v>4</v>
      </c>
      <c r="T68" s="28">
        <f t="shared" si="34"/>
        <v>1.3333333333333333</v>
      </c>
      <c r="U68" s="27">
        <f>'0805'!$T4+'0905'!$T4+'1005'!$T4</f>
        <v>0</v>
      </c>
      <c r="V68" s="28">
        <f t="shared" si="35"/>
        <v>0</v>
      </c>
      <c r="W68" s="27">
        <f>'0805'!$U4+'0905'!$U4+'1005'!$U4</f>
        <v>0</v>
      </c>
      <c r="X68" s="28">
        <f t="shared" si="36"/>
        <v>0</v>
      </c>
      <c r="Y68" s="40">
        <v>0</v>
      </c>
      <c r="AA68" s="151" t="s">
        <v>59</v>
      </c>
      <c r="AB68" s="44">
        <f>'Finals 1'!$S4+'Finals 2'!$S4+'Finals 3'!$S4+'Finals 4'!$S4</f>
        <v>1</v>
      </c>
      <c r="AC68" s="152">
        <f t="shared" ref="AC68:AC82" si="37">AB68/(AB$65-AJ68)</f>
        <v>0.25</v>
      </c>
      <c r="AD68" s="27">
        <f>'Finals 1'!$T4+'Finals 2'!$T4+'Finals 3'!$T4+'Finals 4'!$T4</f>
        <v>1</v>
      </c>
      <c r="AE68" s="154">
        <f t="shared" ref="AE68:AE82" si="38">AD68/(AB$65-AJ68)</f>
        <v>0.25</v>
      </c>
      <c r="AF68" s="27">
        <f>'Finals 1'!$U4+'Finals 2'!$U4+'Finals 3'!$U4+'Finals 4'!$U4</f>
        <v>0</v>
      </c>
      <c r="AG68" s="154">
        <f t="shared" ref="AG68:AG82" si="39">AF68/(AB$65-AJ68)</f>
        <v>0</v>
      </c>
      <c r="AH68" s="27">
        <f>'Finals 1'!$V4+'Finals 2'!$V4+'Finals 3'!$V4+'Finals 4'!$V4</f>
        <v>0</v>
      </c>
      <c r="AI68" s="154">
        <f t="shared" ref="AI68:AI82" si="40">AH68/(AB$65-AJ68)</f>
        <v>0</v>
      </c>
      <c r="AJ68" s="40">
        <v>0</v>
      </c>
      <c r="AM68" s="155"/>
      <c r="AN68" s="59"/>
    </row>
    <row r="69" spans="8:40" ht="14.25" customHeight="1" x14ac:dyDescent="0.45">
      <c r="P69" s="30" t="s">
        <v>62</v>
      </c>
      <c r="Q69" s="44">
        <f>'0805'!$R5+'0905'!$R5+'1005'!$R5</f>
        <v>2</v>
      </c>
      <c r="R69" s="29">
        <f t="shared" si="33"/>
        <v>2</v>
      </c>
      <c r="S69" s="27">
        <f>'0805'!$S5+'0905'!$S5+'1005'!$S5</f>
        <v>2</v>
      </c>
      <c r="T69" s="28">
        <f t="shared" si="34"/>
        <v>2</v>
      </c>
      <c r="U69" s="27">
        <f>'0805'!$T5+'0905'!$T5+'1005'!$T5</f>
        <v>0</v>
      </c>
      <c r="V69" s="28">
        <f t="shared" si="35"/>
        <v>0</v>
      </c>
      <c r="W69" s="27">
        <f>'0805'!$U5+'0905'!$U5+'1005'!$U5</f>
        <v>0</v>
      </c>
      <c r="X69" s="28">
        <f t="shared" si="36"/>
        <v>0</v>
      </c>
      <c r="Y69" s="40">
        <v>2</v>
      </c>
      <c r="AA69" s="151" t="s">
        <v>62</v>
      </c>
      <c r="AB69" s="44">
        <f>'Finals 1'!$S5+'Finals 2'!$S5+'Finals 3'!$S5+'Finals 4'!$S5</f>
        <v>19</v>
      </c>
      <c r="AC69" s="152">
        <f t="shared" si="37"/>
        <v>4.75</v>
      </c>
      <c r="AD69" s="27">
        <f>'Finals 1'!$T5+'Finals 2'!$T5+'Finals 3'!$T5+'Finals 4'!$T5</f>
        <v>18</v>
      </c>
      <c r="AE69" s="154">
        <f t="shared" si="38"/>
        <v>4.5</v>
      </c>
      <c r="AF69" s="27">
        <f>'Finals 1'!$U5+'Finals 2'!$U5+'Finals 3'!$U5+'Finals 4'!$U5</f>
        <v>1</v>
      </c>
      <c r="AG69" s="154">
        <f t="shared" si="39"/>
        <v>0.25</v>
      </c>
      <c r="AH69" s="27">
        <f>'Finals 1'!$V5+'Finals 2'!$V5+'Finals 3'!$V5+'Finals 4'!$V5</f>
        <v>0</v>
      </c>
      <c r="AI69" s="154">
        <f t="shared" si="40"/>
        <v>0</v>
      </c>
      <c r="AJ69" s="40">
        <v>0</v>
      </c>
      <c r="AM69" s="155"/>
      <c r="AN69" s="59"/>
    </row>
    <row r="70" spans="8:40" ht="14.25" customHeight="1" x14ac:dyDescent="0.45">
      <c r="H70" s="132"/>
      <c r="I70" s="40"/>
      <c r="J70" s="40"/>
      <c r="K70" s="40"/>
      <c r="P70" s="30" t="s">
        <v>65</v>
      </c>
      <c r="Q70" s="44">
        <f>'0805'!$R6+'0905'!$R6+'1005'!$R6</f>
        <v>19</v>
      </c>
      <c r="R70" s="29">
        <f t="shared" si="33"/>
        <v>6.333333333333333</v>
      </c>
      <c r="S70" s="27">
        <f>'0805'!$S6+'0905'!$S6+'1005'!$S6</f>
        <v>17</v>
      </c>
      <c r="T70" s="28">
        <f t="shared" si="34"/>
        <v>5.666666666666667</v>
      </c>
      <c r="U70" s="27">
        <f>'0805'!$T6+'0905'!$T6+'1005'!$T6</f>
        <v>2</v>
      </c>
      <c r="V70" s="28">
        <f t="shared" si="35"/>
        <v>0.66666666666666663</v>
      </c>
      <c r="W70" s="27">
        <f>'0805'!$U6+'0905'!$U6+'1005'!$U6</f>
        <v>0</v>
      </c>
      <c r="X70" s="28">
        <f t="shared" si="36"/>
        <v>0</v>
      </c>
      <c r="Y70" s="40">
        <v>0</v>
      </c>
      <c r="AA70" s="151" t="s">
        <v>65</v>
      </c>
      <c r="AB70" s="44">
        <f>'Finals 1'!$S6+'Finals 2'!$S6+'Finals 3'!$S6+'Finals 4'!$S6</f>
        <v>7</v>
      </c>
      <c r="AC70" s="152">
        <f t="shared" si="37"/>
        <v>2.3333333333333335</v>
      </c>
      <c r="AD70" s="27">
        <f>'Finals 1'!$T6+'Finals 2'!$T6+'Finals 3'!$T6+'Finals 4'!$T6</f>
        <v>7</v>
      </c>
      <c r="AE70" s="154">
        <f t="shared" si="38"/>
        <v>2.3333333333333335</v>
      </c>
      <c r="AF70" s="27">
        <f>'Finals 1'!$U6+'Finals 2'!$U6+'Finals 3'!$U6+'Finals 4'!$U6</f>
        <v>0</v>
      </c>
      <c r="AG70" s="154">
        <f t="shared" si="39"/>
        <v>0</v>
      </c>
      <c r="AH70" s="27">
        <f>'Finals 1'!$V6+'Finals 2'!$V6+'Finals 3'!$V6+'Finals 4'!$V6</f>
        <v>0</v>
      </c>
      <c r="AI70" s="154">
        <f t="shared" si="40"/>
        <v>0</v>
      </c>
      <c r="AJ70" s="40">
        <v>1</v>
      </c>
      <c r="AM70" s="155"/>
      <c r="AN70" s="59"/>
    </row>
    <row r="71" spans="8:40" ht="14.25" customHeight="1" x14ac:dyDescent="0.45">
      <c r="P71" s="30" t="s">
        <v>68</v>
      </c>
      <c r="Q71" s="44">
        <f>'0805'!$R7+'0905'!$R7+'1005'!$R7</f>
        <v>11</v>
      </c>
      <c r="R71" s="29">
        <f t="shared" si="33"/>
        <v>3.6666666666666665</v>
      </c>
      <c r="S71" s="27">
        <f>'0805'!$S7+'0905'!$S7+'1005'!$S7</f>
        <v>2</v>
      </c>
      <c r="T71" s="28">
        <f t="shared" si="34"/>
        <v>0.66666666666666663</v>
      </c>
      <c r="U71" s="27">
        <f>'0805'!$T7+'0905'!$T7+'1005'!$T7</f>
        <v>9</v>
      </c>
      <c r="V71" s="28">
        <f t="shared" si="35"/>
        <v>3</v>
      </c>
      <c r="W71" s="27">
        <f>'0805'!$U7+'0905'!$U7+'1005'!$U7</f>
        <v>0</v>
      </c>
      <c r="X71" s="28">
        <f t="shared" si="36"/>
        <v>0</v>
      </c>
      <c r="Y71" s="40">
        <v>0</v>
      </c>
      <c r="AA71" s="151" t="s">
        <v>68</v>
      </c>
      <c r="AB71" s="44">
        <f>'Finals 1'!$S7+'Finals 2'!$S7+'Finals 3'!$S7+'Finals 4'!$S7</f>
        <v>10</v>
      </c>
      <c r="AC71" s="152">
        <f t="shared" si="37"/>
        <v>2.5</v>
      </c>
      <c r="AD71" s="27">
        <f>'Finals 1'!$T7+'Finals 2'!$T7+'Finals 3'!$T7+'Finals 4'!$T7</f>
        <v>3</v>
      </c>
      <c r="AE71" s="154">
        <f t="shared" si="38"/>
        <v>0.75</v>
      </c>
      <c r="AF71" s="27">
        <f>'Finals 1'!$U7+'Finals 2'!$U7+'Finals 3'!$U7+'Finals 4'!$U7</f>
        <v>1</v>
      </c>
      <c r="AG71" s="154">
        <f t="shared" si="39"/>
        <v>0.25</v>
      </c>
      <c r="AH71" s="27">
        <f>'Finals 1'!$V7+'Finals 2'!$V7+'Finals 3'!$V7+'Finals 4'!$V7</f>
        <v>3</v>
      </c>
      <c r="AI71" s="154">
        <f t="shared" si="40"/>
        <v>0.75</v>
      </c>
      <c r="AJ71" s="40">
        <v>0</v>
      </c>
      <c r="AM71" s="155"/>
      <c r="AN71" s="59"/>
    </row>
    <row r="72" spans="8:40" ht="14.25" customHeight="1" x14ac:dyDescent="0.45">
      <c r="P72" s="30" t="s">
        <v>71</v>
      </c>
      <c r="Q72" s="44">
        <f>'0805'!$R8+'0905'!$R8+'1005'!$R8</f>
        <v>0</v>
      </c>
      <c r="R72" s="29" t="e">
        <f t="shared" si="33"/>
        <v>#DIV/0!</v>
      </c>
      <c r="S72" s="27">
        <f>'0805'!$S8+'0905'!$S8+'1005'!$S8</f>
        <v>0</v>
      </c>
      <c r="T72" s="28" t="e">
        <f t="shared" si="34"/>
        <v>#DIV/0!</v>
      </c>
      <c r="U72" s="27">
        <f>'0805'!$T8+'0905'!$T8+'1005'!$T8</f>
        <v>0</v>
      </c>
      <c r="V72" s="28" t="e">
        <f t="shared" si="35"/>
        <v>#DIV/0!</v>
      </c>
      <c r="W72" s="27">
        <f>'0805'!$U8+'0905'!$U8+'1005'!$U8</f>
        <v>0</v>
      </c>
      <c r="X72" s="28" t="e">
        <f t="shared" si="36"/>
        <v>#DIV/0!</v>
      </c>
      <c r="Y72" s="40">
        <v>3</v>
      </c>
      <c r="AA72" s="151" t="s">
        <v>71</v>
      </c>
      <c r="AB72" s="44">
        <f>'Finals 1'!$S8+'Finals 2'!$S8+'Finals 3'!$S8+'Finals 4'!$S8</f>
        <v>9</v>
      </c>
      <c r="AC72" s="152">
        <f t="shared" si="37"/>
        <v>2.25</v>
      </c>
      <c r="AD72" s="27">
        <f>'Finals 1'!$T8+'Finals 2'!$T8+'Finals 3'!$T8+'Finals 4'!$T8</f>
        <v>5</v>
      </c>
      <c r="AE72" s="154">
        <f t="shared" si="38"/>
        <v>1.25</v>
      </c>
      <c r="AF72" s="27">
        <f>'Finals 1'!$U8+'Finals 2'!$U8+'Finals 3'!$U8+'Finals 4'!$U8</f>
        <v>4</v>
      </c>
      <c r="AG72" s="154">
        <f t="shared" si="39"/>
        <v>1</v>
      </c>
      <c r="AH72" s="27">
        <f>'Finals 1'!$V8+'Finals 2'!$V8+'Finals 3'!$V8+'Finals 4'!$V8</f>
        <v>0</v>
      </c>
      <c r="AI72" s="154">
        <f t="shared" si="40"/>
        <v>0</v>
      </c>
      <c r="AJ72" s="40">
        <v>0</v>
      </c>
      <c r="AM72" s="155"/>
      <c r="AN72" s="59"/>
    </row>
    <row r="73" spans="8:40" ht="14.25" customHeight="1" x14ac:dyDescent="0.45">
      <c r="P73" s="30" t="s">
        <v>75</v>
      </c>
      <c r="Q73" s="44">
        <f>'0805'!$R9+'0905'!$R9+'1005'!$R9</f>
        <v>4</v>
      </c>
      <c r="R73" s="29">
        <f t="shared" si="33"/>
        <v>1.3333333333333333</v>
      </c>
      <c r="S73" s="27">
        <f>'0805'!$S9+'0905'!$S9+'1005'!$S9</f>
        <v>2</v>
      </c>
      <c r="T73" s="28">
        <f t="shared" si="34"/>
        <v>0.66666666666666663</v>
      </c>
      <c r="U73" s="27">
        <f>'0805'!$T9+'0905'!$T9+'1005'!$T9</f>
        <v>0</v>
      </c>
      <c r="V73" s="28">
        <f t="shared" si="35"/>
        <v>0</v>
      </c>
      <c r="W73" s="27">
        <f>'0805'!$U9+'0905'!$U9+'1005'!$U9</f>
        <v>1</v>
      </c>
      <c r="X73" s="28">
        <f t="shared" si="36"/>
        <v>0.33333333333333331</v>
      </c>
      <c r="Y73" s="40">
        <v>0</v>
      </c>
      <c r="AA73" s="151" t="s">
        <v>75</v>
      </c>
      <c r="AB73" s="44">
        <f>'Finals 1'!$S9+'Finals 2'!$S9+'Finals 3'!$S9+'Finals 4'!$S9</f>
        <v>9</v>
      </c>
      <c r="AC73" s="152">
        <f t="shared" si="37"/>
        <v>2.25</v>
      </c>
      <c r="AD73" s="27">
        <f>'Finals 1'!$T9+'Finals 2'!$T9+'Finals 3'!$T9+'Finals 4'!$T9</f>
        <v>1</v>
      </c>
      <c r="AE73" s="154">
        <f t="shared" si="38"/>
        <v>0.25</v>
      </c>
      <c r="AF73" s="27">
        <f>'Finals 1'!$U9+'Finals 2'!$U9+'Finals 3'!$U9+'Finals 4'!$U9</f>
        <v>0</v>
      </c>
      <c r="AG73" s="154">
        <f t="shared" si="39"/>
        <v>0</v>
      </c>
      <c r="AH73" s="27">
        <f>'Finals 1'!$V9+'Finals 2'!$V9+'Finals 3'!$V9+'Finals 4'!$V9</f>
        <v>4</v>
      </c>
      <c r="AI73" s="154">
        <f t="shared" si="40"/>
        <v>1</v>
      </c>
      <c r="AJ73" s="40">
        <v>0</v>
      </c>
      <c r="AM73" s="155"/>
      <c r="AN73" s="59"/>
    </row>
    <row r="74" spans="8:40" ht="14.25" customHeight="1" x14ac:dyDescent="0.45">
      <c r="J74" s="33" t="s">
        <v>221</v>
      </c>
      <c r="P74" s="30" t="s">
        <v>78</v>
      </c>
      <c r="Q74" s="44">
        <f>'0805'!$R10+'0905'!$R10+'1005'!$R10</f>
        <v>10</v>
      </c>
      <c r="R74" s="29">
        <f t="shared" si="33"/>
        <v>3.3333333333333335</v>
      </c>
      <c r="S74" s="27">
        <f>'0805'!$S10+'0905'!$S10+'1005'!$S10</f>
        <v>4</v>
      </c>
      <c r="T74" s="28">
        <f t="shared" si="34"/>
        <v>1.3333333333333333</v>
      </c>
      <c r="U74" s="27">
        <f>'0805'!$T10+'0905'!$T10+'1005'!$T10</f>
        <v>6</v>
      </c>
      <c r="V74" s="28">
        <f t="shared" si="35"/>
        <v>2</v>
      </c>
      <c r="W74" s="27">
        <f>'0805'!$U10+'0905'!$U10+'1005'!$U10</f>
        <v>0</v>
      </c>
      <c r="X74" s="28">
        <f t="shared" si="36"/>
        <v>0</v>
      </c>
      <c r="Y74" s="40">
        <v>0</v>
      </c>
      <c r="AA74" s="151" t="s">
        <v>78</v>
      </c>
      <c r="AB74" s="44">
        <f>'Finals 1'!$S10+'Finals 2'!$S10+'Finals 3'!$S10+'Finals 4'!$S10</f>
        <v>6</v>
      </c>
      <c r="AC74" s="152">
        <f t="shared" si="37"/>
        <v>1.5</v>
      </c>
      <c r="AD74" s="27">
        <f>'Finals 1'!$T10+'Finals 2'!$T10+'Finals 3'!$T10+'Finals 4'!$T10</f>
        <v>1</v>
      </c>
      <c r="AE74" s="154">
        <f t="shared" si="38"/>
        <v>0.25</v>
      </c>
      <c r="AF74" s="27">
        <f>'Finals 1'!$U10+'Finals 2'!$U10+'Finals 3'!$U10+'Finals 4'!$U10</f>
        <v>5</v>
      </c>
      <c r="AG74" s="154">
        <f t="shared" si="39"/>
        <v>1.25</v>
      </c>
      <c r="AH74" s="27">
        <f>'Finals 1'!$V10+'Finals 2'!$V10+'Finals 3'!$V10+'Finals 4'!$V10</f>
        <v>0</v>
      </c>
      <c r="AI74" s="154">
        <f t="shared" si="40"/>
        <v>0</v>
      </c>
      <c r="AJ74" s="40">
        <v>0</v>
      </c>
      <c r="AM74" s="155"/>
      <c r="AN74" s="59"/>
    </row>
    <row r="75" spans="8:40" ht="14.25" customHeight="1" x14ac:dyDescent="0.45">
      <c r="I75" s="131" t="s">
        <v>84</v>
      </c>
      <c r="J75" t="s">
        <v>132</v>
      </c>
      <c r="K75" t="s">
        <v>133</v>
      </c>
      <c r="L75" t="s">
        <v>134</v>
      </c>
      <c r="P75" s="30" t="s">
        <v>80</v>
      </c>
      <c r="Q75" s="44">
        <f>'0805'!$R11+'0905'!$R11+'1005'!$R11</f>
        <v>9</v>
      </c>
      <c r="R75" s="29">
        <f t="shared" si="33"/>
        <v>3</v>
      </c>
      <c r="S75" s="27">
        <f>'0805'!$S11+'0905'!$S11+'1005'!$S11</f>
        <v>0</v>
      </c>
      <c r="T75" s="28">
        <f t="shared" si="34"/>
        <v>0</v>
      </c>
      <c r="U75" s="27">
        <f>'0805'!$T11+'0905'!$T11+'1005'!$T11</f>
        <v>9</v>
      </c>
      <c r="V75" s="28">
        <f t="shared" si="35"/>
        <v>3</v>
      </c>
      <c r="W75" s="27">
        <f>'0805'!$U11+'0905'!$U11+'1005'!$U11</f>
        <v>0</v>
      </c>
      <c r="X75" s="28">
        <f t="shared" si="36"/>
        <v>0</v>
      </c>
      <c r="Y75" s="40">
        <v>0</v>
      </c>
      <c r="AA75" s="151" t="s">
        <v>80</v>
      </c>
      <c r="AB75" s="44">
        <f>'Finals 1'!$S11+'Finals 2'!$S11+'Finals 3'!$S11+'Finals 4'!$S11</f>
        <v>9</v>
      </c>
      <c r="AC75" s="152">
        <f t="shared" si="37"/>
        <v>3</v>
      </c>
      <c r="AD75" s="27">
        <f>'Finals 1'!$T11+'Finals 2'!$T11+'Finals 3'!$T11+'Finals 4'!$T11</f>
        <v>0</v>
      </c>
      <c r="AE75" s="154">
        <f t="shared" si="38"/>
        <v>0</v>
      </c>
      <c r="AF75" s="27">
        <f>'Finals 1'!$U11+'Finals 2'!$U11+'Finals 3'!$U11+'Finals 4'!$U11</f>
        <v>3</v>
      </c>
      <c r="AG75" s="154">
        <f t="shared" si="39"/>
        <v>1</v>
      </c>
      <c r="AH75" s="27">
        <f>'Finals 1'!$V11+'Finals 2'!$V11+'Finals 3'!$V11+'Finals 4'!$V11</f>
        <v>3</v>
      </c>
      <c r="AI75" s="154">
        <f t="shared" si="40"/>
        <v>1</v>
      </c>
      <c r="AJ75" s="40">
        <v>1</v>
      </c>
      <c r="AM75" s="155"/>
      <c r="AN75" s="59"/>
    </row>
    <row r="76" spans="8:40" ht="14.25" customHeight="1" x14ac:dyDescent="0.45">
      <c r="H76">
        <v>1</v>
      </c>
      <c r="I76" s="132">
        <f>'Statistics LG'!A4</f>
        <v>45040</v>
      </c>
      <c r="J76">
        <f>'Statistics LG'!D4</f>
        <v>2</v>
      </c>
      <c r="K76">
        <f>'Statistics WW'!D4</f>
        <v>1</v>
      </c>
      <c r="L76">
        <f>'Statistics 5M'!D4</f>
        <v>3</v>
      </c>
      <c r="P76" s="30" t="s">
        <v>81</v>
      </c>
      <c r="Q76" s="44">
        <f>'0805'!$R12+'0905'!$R12+'1005'!$R12</f>
        <v>2</v>
      </c>
      <c r="R76" s="29">
        <f t="shared" si="33"/>
        <v>0.66666666666666663</v>
      </c>
      <c r="S76" s="27">
        <f>'0805'!$S12+'0905'!$S12+'1005'!$S12</f>
        <v>0</v>
      </c>
      <c r="T76" s="28">
        <f t="shared" si="34"/>
        <v>0</v>
      </c>
      <c r="U76" s="27">
        <f>'0805'!$T12+'0905'!$T12+'1005'!$T12</f>
        <v>2</v>
      </c>
      <c r="V76" s="28">
        <f t="shared" si="35"/>
        <v>0.66666666666666663</v>
      </c>
      <c r="W76" s="27">
        <f>'0805'!$U12+'0905'!$U12+'1005'!$U12</f>
        <v>0</v>
      </c>
      <c r="X76" s="28">
        <f t="shared" si="36"/>
        <v>0</v>
      </c>
      <c r="Y76" s="40">
        <v>0</v>
      </c>
      <c r="AA76" s="151" t="s">
        <v>81</v>
      </c>
      <c r="AB76" s="44">
        <f>'Finals 1'!$S12+'Finals 2'!$S12+'Finals 3'!$S12+'Finals 4'!$S12</f>
        <v>3</v>
      </c>
      <c r="AC76" s="152">
        <f t="shared" si="37"/>
        <v>0.75</v>
      </c>
      <c r="AD76" s="27">
        <f>'Finals 1'!$T12+'Finals 2'!$T12+'Finals 3'!$T12+'Finals 4'!$T12</f>
        <v>1</v>
      </c>
      <c r="AE76" s="154">
        <f t="shared" si="38"/>
        <v>0.25</v>
      </c>
      <c r="AF76" s="27">
        <f>'Finals 1'!$U12+'Finals 2'!$U12+'Finals 3'!$U12+'Finals 4'!$U12</f>
        <v>0</v>
      </c>
      <c r="AG76" s="154">
        <f t="shared" si="39"/>
        <v>0</v>
      </c>
      <c r="AH76" s="27">
        <f>'Finals 1'!$V12+'Finals 2'!$V12+'Finals 3'!$V12+'Finals 4'!$V12</f>
        <v>1</v>
      </c>
      <c r="AI76" s="154">
        <f t="shared" si="40"/>
        <v>0.25</v>
      </c>
      <c r="AJ76" s="40">
        <v>0</v>
      </c>
      <c r="AM76" s="155"/>
      <c r="AN76" s="59"/>
    </row>
    <row r="77" spans="8:40" ht="14.25" customHeight="1" x14ac:dyDescent="0.45">
      <c r="H77">
        <v>2</v>
      </c>
      <c r="I77" s="132">
        <f>'Statistics LG'!A5</f>
        <v>45042</v>
      </c>
      <c r="J77">
        <f>J76+'Statistics LG'!D5</f>
        <v>4</v>
      </c>
      <c r="K77">
        <f>K76+'Statistics WW'!D5</f>
        <v>2</v>
      </c>
      <c r="L77">
        <f>L76+'Statistics 5M'!D5</f>
        <v>6</v>
      </c>
      <c r="P77" s="30" t="s">
        <v>185</v>
      </c>
      <c r="Q77" s="44">
        <f>'0805'!$R13+'0905'!$R13+'1005'!$R13</f>
        <v>0</v>
      </c>
      <c r="R77" s="29">
        <f t="shared" si="33"/>
        <v>0</v>
      </c>
      <c r="S77" s="27">
        <f>'0805'!$S13+'0905'!$S13+'1005'!$S13</f>
        <v>0</v>
      </c>
      <c r="T77" s="28">
        <f t="shared" si="34"/>
        <v>0</v>
      </c>
      <c r="U77" s="27">
        <f>'0805'!$T13+'0905'!$T13+'1005'!$T13</f>
        <v>0</v>
      </c>
      <c r="V77" s="28">
        <f t="shared" si="35"/>
        <v>0</v>
      </c>
      <c r="W77" s="27">
        <f>'0805'!$U13+'0905'!$U13+'1005'!$U13</f>
        <v>0</v>
      </c>
      <c r="X77" s="28">
        <f t="shared" si="36"/>
        <v>0</v>
      </c>
      <c r="Y77" s="40">
        <v>2</v>
      </c>
      <c r="AA77" s="151" t="s">
        <v>185</v>
      </c>
      <c r="AB77" s="44">
        <f>'Finals 1'!$S13+'Finals 2'!$S13+'Finals 3'!$S13+'Finals 4'!$S13</f>
        <v>4</v>
      </c>
      <c r="AC77" s="152">
        <f t="shared" si="37"/>
        <v>1</v>
      </c>
      <c r="AD77" s="27">
        <f>'Finals 1'!$T13+'Finals 2'!$T13+'Finals 3'!$T13+'Finals 4'!$T13</f>
        <v>0</v>
      </c>
      <c r="AE77" s="154">
        <f t="shared" si="38"/>
        <v>0</v>
      </c>
      <c r="AF77" s="27">
        <f>'Finals 1'!$U13+'Finals 2'!$U13+'Finals 3'!$U13+'Finals 4'!$U13</f>
        <v>0</v>
      </c>
      <c r="AG77" s="154">
        <f t="shared" si="39"/>
        <v>0</v>
      </c>
      <c r="AH77" s="27">
        <f>'Finals 1'!$V13+'Finals 2'!$V13+'Finals 3'!$V13+'Finals 4'!$V13</f>
        <v>2</v>
      </c>
      <c r="AI77" s="154">
        <f t="shared" si="40"/>
        <v>0.5</v>
      </c>
      <c r="AJ77" s="40">
        <v>0</v>
      </c>
      <c r="AM77" s="155"/>
      <c r="AN77" s="59"/>
    </row>
    <row r="78" spans="8:40" ht="14.25" customHeight="1" x14ac:dyDescent="0.45">
      <c r="H78" s="40">
        <v>3</v>
      </c>
      <c r="I78" s="132">
        <f>'Statistics LG'!A6</f>
        <v>45048</v>
      </c>
      <c r="J78" s="40">
        <f>J77+'Statistics LG'!D6</f>
        <v>7</v>
      </c>
      <c r="K78" s="40">
        <f>K77+'Statistics WW'!D6</f>
        <v>3</v>
      </c>
      <c r="L78" s="40">
        <f>L77+'Statistics 5M'!D6</f>
        <v>8</v>
      </c>
      <c r="P78" s="30" t="s">
        <v>184</v>
      </c>
      <c r="Q78" s="44">
        <f>'0805'!$R14+'0905'!$R14+'1005'!$R14</f>
        <v>3</v>
      </c>
      <c r="R78" s="29">
        <f t="shared" si="33"/>
        <v>1</v>
      </c>
      <c r="S78" s="27">
        <f>'0805'!$S14+'0905'!$S14+'1005'!$S14</f>
        <v>1</v>
      </c>
      <c r="T78" s="28">
        <f t="shared" si="34"/>
        <v>0.33333333333333331</v>
      </c>
      <c r="U78" s="27">
        <f>'0805'!$T14+'0905'!$T14+'1005'!$T14</f>
        <v>2</v>
      </c>
      <c r="V78" s="28">
        <f t="shared" si="35"/>
        <v>0.66666666666666663</v>
      </c>
      <c r="W78" s="27">
        <f>'0805'!$U14+'0905'!$U14+'1005'!$U14</f>
        <v>0</v>
      </c>
      <c r="X78" s="28">
        <f t="shared" si="36"/>
        <v>0</v>
      </c>
      <c r="Y78" s="40">
        <v>0</v>
      </c>
      <c r="AA78" s="151" t="s">
        <v>184</v>
      </c>
      <c r="AB78" s="44">
        <f>'Finals 1'!$S14+'Finals 2'!$S14+'Finals 3'!$S14+'Finals 4'!$S14</f>
        <v>4</v>
      </c>
      <c r="AC78" s="152">
        <f t="shared" si="37"/>
        <v>1</v>
      </c>
      <c r="AD78" s="27">
        <f>'Finals 1'!$T14+'Finals 2'!$T14+'Finals 3'!$T14+'Finals 4'!$T14</f>
        <v>0</v>
      </c>
      <c r="AE78" s="154">
        <f t="shared" si="38"/>
        <v>0</v>
      </c>
      <c r="AF78" s="27">
        <f>'Finals 1'!$U14+'Finals 2'!$U14+'Finals 3'!$U14+'Finals 4'!$U14</f>
        <v>4</v>
      </c>
      <c r="AG78" s="154">
        <f t="shared" si="39"/>
        <v>1</v>
      </c>
      <c r="AH78" s="27">
        <f>'Finals 1'!$V14+'Finals 2'!$V14+'Finals 3'!$V14+'Finals 4'!$V14</f>
        <v>0</v>
      </c>
      <c r="AI78" s="154">
        <f t="shared" si="40"/>
        <v>0</v>
      </c>
      <c r="AJ78" s="40">
        <v>0</v>
      </c>
      <c r="AM78" s="155"/>
      <c r="AN78" s="59"/>
    </row>
    <row r="79" spans="8:40" ht="14.25" customHeight="1" x14ac:dyDescent="0.45">
      <c r="H79" s="40">
        <v>4</v>
      </c>
      <c r="I79" s="132">
        <f>'Statistics LG'!A7</f>
        <v>45049</v>
      </c>
      <c r="J79" s="40">
        <f>J78+'Statistics LG'!D7</f>
        <v>9</v>
      </c>
      <c r="K79" s="40">
        <f>K78+'Statistics WW'!D7</f>
        <v>4</v>
      </c>
      <c r="L79" s="40">
        <f>L78+'Statistics 5M'!D7</f>
        <v>11</v>
      </c>
      <c r="P79" s="30" t="s">
        <v>85</v>
      </c>
      <c r="Q79" s="44">
        <f>'0805'!$R15+'0905'!$R15+'1005'!$R15</f>
        <v>4</v>
      </c>
      <c r="R79" s="29">
        <f t="shared" si="33"/>
        <v>4</v>
      </c>
      <c r="S79" s="27">
        <f>'0805'!$S15+'0905'!$S15+'1005'!$S15</f>
        <v>2</v>
      </c>
      <c r="T79" s="28">
        <f t="shared" si="34"/>
        <v>2</v>
      </c>
      <c r="U79" s="27">
        <f>'0805'!$T15+'0905'!$T15+'1005'!$T15</f>
        <v>0</v>
      </c>
      <c r="V79" s="28">
        <f t="shared" si="35"/>
        <v>0</v>
      </c>
      <c r="W79" s="27">
        <f>'0805'!$U15+'0905'!$U15+'1005'!$U15</f>
        <v>1</v>
      </c>
      <c r="X79" s="28">
        <f t="shared" si="36"/>
        <v>1</v>
      </c>
      <c r="Y79" s="40">
        <v>2</v>
      </c>
      <c r="AA79" s="151" t="s">
        <v>85</v>
      </c>
      <c r="AB79" s="44">
        <f>'Finals 1'!$S15+'Finals 2'!$S15+'Finals 3'!$S15+'Finals 4'!$S15</f>
        <v>9</v>
      </c>
      <c r="AC79" s="152">
        <f t="shared" si="37"/>
        <v>2.25</v>
      </c>
      <c r="AD79" s="27">
        <f>'Finals 1'!$T15+'Finals 2'!$T15+'Finals 3'!$T15+'Finals 4'!$T15</f>
        <v>3</v>
      </c>
      <c r="AE79" s="154">
        <f t="shared" si="38"/>
        <v>0.75</v>
      </c>
      <c r="AF79" s="27">
        <f>'Finals 1'!$U15+'Finals 2'!$U15+'Finals 3'!$U15+'Finals 4'!$U15</f>
        <v>6</v>
      </c>
      <c r="AG79" s="154">
        <f t="shared" si="39"/>
        <v>1.5</v>
      </c>
      <c r="AH79" s="27">
        <f>'Finals 1'!$V15+'Finals 2'!$V15+'Finals 3'!$V15+'Finals 4'!$V15</f>
        <v>0</v>
      </c>
      <c r="AI79" s="154">
        <f t="shared" si="40"/>
        <v>0</v>
      </c>
      <c r="AJ79" s="40">
        <v>0</v>
      </c>
      <c r="AM79" s="155"/>
      <c r="AN79" s="59"/>
    </row>
    <row r="80" spans="8:40" ht="14.25" customHeight="1" x14ac:dyDescent="0.45">
      <c r="H80" s="40">
        <v>5</v>
      </c>
      <c r="I80" s="132">
        <f>'Statistics LG'!A8</f>
        <v>45054</v>
      </c>
      <c r="J80" s="40">
        <f>J79+'Statistics LG'!D8</f>
        <v>10</v>
      </c>
      <c r="K80" s="40">
        <f>K79+'Statistics WW'!D8</f>
        <v>6</v>
      </c>
      <c r="L80" s="40">
        <f>L79+'Statistics 5M'!D8</f>
        <v>14</v>
      </c>
      <c r="P80" s="30" t="s">
        <v>86</v>
      </c>
      <c r="Q80" s="44">
        <f>'0805'!$R16+'0905'!$R16+'1005'!$R16</f>
        <v>1</v>
      </c>
      <c r="R80" s="29">
        <f t="shared" si="33"/>
        <v>0.33333333333333331</v>
      </c>
      <c r="S80" s="27">
        <f>'0805'!$S16+'0905'!$S16+'1005'!$S16</f>
        <v>1</v>
      </c>
      <c r="T80" s="28">
        <f t="shared" si="34"/>
        <v>0.33333333333333331</v>
      </c>
      <c r="U80" s="27">
        <f>'0805'!$T16+'0905'!$T16+'1005'!$T16</f>
        <v>0</v>
      </c>
      <c r="V80" s="28">
        <f t="shared" si="35"/>
        <v>0</v>
      </c>
      <c r="W80" s="27">
        <f>'0805'!$U16+'0905'!$U16+'1005'!$U16</f>
        <v>0</v>
      </c>
      <c r="X80" s="28">
        <f t="shared" si="36"/>
        <v>0</v>
      </c>
      <c r="Y80" s="40">
        <v>0</v>
      </c>
      <c r="AA80" s="151" t="s">
        <v>86</v>
      </c>
      <c r="AB80" s="44">
        <f>'Finals 1'!$S16+'Finals 2'!$S16+'Finals 3'!$S16+'Finals 4'!$S16</f>
        <v>0</v>
      </c>
      <c r="AC80" s="152">
        <f t="shared" si="37"/>
        <v>0</v>
      </c>
      <c r="AD80" s="27">
        <f>'Finals 1'!$T16+'Finals 2'!$T16+'Finals 3'!$T16+'Finals 4'!$T16</f>
        <v>0</v>
      </c>
      <c r="AE80" s="154">
        <f t="shared" si="38"/>
        <v>0</v>
      </c>
      <c r="AF80" s="27">
        <f>'Finals 1'!$U16+'Finals 2'!$U16+'Finals 3'!$U16+'Finals 4'!$U16</f>
        <v>0</v>
      </c>
      <c r="AG80" s="154">
        <f t="shared" si="39"/>
        <v>0</v>
      </c>
      <c r="AH80" s="27">
        <f>'Finals 1'!$V16+'Finals 2'!$V16+'Finals 3'!$V16+'Finals 4'!$V16</f>
        <v>0</v>
      </c>
      <c r="AI80" s="154">
        <f t="shared" si="40"/>
        <v>0</v>
      </c>
      <c r="AJ80" s="40">
        <v>0</v>
      </c>
      <c r="AM80" s="155"/>
      <c r="AN80" s="59"/>
    </row>
    <row r="81" spans="7:40" ht="14.25" customHeight="1" x14ac:dyDescent="0.45">
      <c r="H81" s="40">
        <v>6</v>
      </c>
      <c r="I81" s="132">
        <f>'Statistics LG'!A9</f>
        <v>45055</v>
      </c>
      <c r="J81" s="40">
        <f>J80+'Statistics LG'!D9</f>
        <v>11</v>
      </c>
      <c r="K81" s="40">
        <f>K80+'Statistics WW'!D9</f>
        <v>9</v>
      </c>
      <c r="L81" s="40">
        <f>L80+'Statistics 5M'!D9</f>
        <v>16</v>
      </c>
      <c r="P81" s="30" t="s">
        <v>87</v>
      </c>
      <c r="Q81" s="44">
        <f>'0805'!$R17+'0905'!$R17+'1005'!$R17</f>
        <v>3</v>
      </c>
      <c r="R81" s="29">
        <f t="shared" si="33"/>
        <v>1</v>
      </c>
      <c r="S81" s="27">
        <f>'0805'!$S17+'0905'!$S17+'1005'!$S17</f>
        <v>2</v>
      </c>
      <c r="T81" s="28">
        <f t="shared" si="34"/>
        <v>0.66666666666666663</v>
      </c>
      <c r="U81" s="27">
        <f>'0805'!$T17+'0905'!$T17+'1005'!$T17</f>
        <v>1</v>
      </c>
      <c r="V81" s="28">
        <f t="shared" si="35"/>
        <v>0.33333333333333331</v>
      </c>
      <c r="W81" s="27">
        <f>'0805'!$U17+'0905'!$U17+'1005'!$U17</f>
        <v>0</v>
      </c>
      <c r="X81" s="28">
        <f t="shared" si="36"/>
        <v>0</v>
      </c>
      <c r="Y81" s="40">
        <v>0</v>
      </c>
      <c r="AA81" s="151" t="s">
        <v>87</v>
      </c>
      <c r="AB81" s="44">
        <f>'Finals 1'!$S17+'Finals 2'!$S17+'Finals 3'!$S17+'Finals 4'!$S17</f>
        <v>4</v>
      </c>
      <c r="AC81" s="152">
        <f t="shared" si="37"/>
        <v>1</v>
      </c>
      <c r="AD81" s="27">
        <f>'Finals 1'!$T17+'Finals 2'!$T17+'Finals 3'!$T17+'Finals 4'!$T17</f>
        <v>0</v>
      </c>
      <c r="AE81" s="154">
        <f t="shared" si="38"/>
        <v>0</v>
      </c>
      <c r="AF81" s="27">
        <f>'Finals 1'!$U17+'Finals 2'!$U17+'Finals 3'!$U17+'Finals 4'!$U17</f>
        <v>2</v>
      </c>
      <c r="AG81" s="154">
        <f t="shared" si="39"/>
        <v>0.5</v>
      </c>
      <c r="AH81" s="27">
        <f>'Finals 1'!$V17+'Finals 2'!$V17+'Finals 3'!$V17+'Finals 4'!$V17</f>
        <v>1</v>
      </c>
      <c r="AI81" s="154">
        <f t="shared" si="40"/>
        <v>0.25</v>
      </c>
      <c r="AJ81" s="40">
        <v>0</v>
      </c>
      <c r="AM81" s="155"/>
      <c r="AN81" s="59"/>
    </row>
    <row r="82" spans="7:40" ht="14.25" customHeight="1" x14ac:dyDescent="0.45">
      <c r="H82" s="40">
        <v>7</v>
      </c>
      <c r="I82" s="132">
        <f>'Statistics LG'!A10</f>
        <v>45056</v>
      </c>
      <c r="J82" s="40">
        <f>J81+'Statistics LG'!D10</f>
        <v>14</v>
      </c>
      <c r="K82" s="40">
        <f>K81+'Statistics WW'!D10</f>
        <v>11</v>
      </c>
      <c r="L82" s="40">
        <f>L81+'Statistics 5M'!D10</f>
        <v>17</v>
      </c>
      <c r="P82" s="52" t="s">
        <v>107</v>
      </c>
      <c r="Q82" s="44">
        <f>'0805'!$R18+'0905'!$R18+'1005'!$R18</f>
        <v>0</v>
      </c>
      <c r="R82" s="29">
        <f t="shared" si="33"/>
        <v>0</v>
      </c>
      <c r="S82" s="27">
        <f>'0805'!$S18+'0905'!$S18+'1005'!$S18</f>
        <v>0</v>
      </c>
      <c r="T82" s="28">
        <f t="shared" si="34"/>
        <v>0</v>
      </c>
      <c r="U82" s="27">
        <f>'0805'!$T18+'0905'!$T18+'1005'!$T18</f>
        <v>0</v>
      </c>
      <c r="V82" s="28">
        <f t="shared" si="35"/>
        <v>0</v>
      </c>
      <c r="W82" s="27">
        <f>'0805'!$U18+'0905'!$U18+'1005'!$U18</f>
        <v>0</v>
      </c>
      <c r="X82" s="28">
        <f t="shared" si="36"/>
        <v>0</v>
      </c>
      <c r="Y82" s="40">
        <v>0</v>
      </c>
      <c r="AA82" s="149" t="s">
        <v>107</v>
      </c>
      <c r="AB82" s="44">
        <f>'Finals 1'!$S18+'Finals 2'!$S18+'Finals 3'!$S18+'Finals 4'!$S18</f>
        <v>1</v>
      </c>
      <c r="AC82" s="152">
        <f t="shared" si="37"/>
        <v>0.25</v>
      </c>
      <c r="AD82" s="27">
        <f>'Finals 1'!$T18+'Finals 2'!$T18+'Finals 3'!$T18+'Finals 4'!$T18</f>
        <v>0</v>
      </c>
      <c r="AE82" s="154">
        <f t="shared" si="38"/>
        <v>0</v>
      </c>
      <c r="AF82" s="27">
        <f>'Finals 1'!$U18+'Finals 2'!$U18+'Finals 3'!$U18+'Finals 4'!$U18</f>
        <v>1</v>
      </c>
      <c r="AG82" s="154">
        <f t="shared" si="39"/>
        <v>0.25</v>
      </c>
      <c r="AH82" s="27">
        <f>'Finals 1'!$V18+'Finals 2'!$V18+'Finals 3'!$V18+'Finals 4'!$V18</f>
        <v>0</v>
      </c>
      <c r="AI82" s="154">
        <f t="shared" si="40"/>
        <v>0</v>
      </c>
      <c r="AJ82" s="40">
        <v>0</v>
      </c>
      <c r="AM82" s="155"/>
      <c r="AN82" s="59"/>
    </row>
    <row r="83" spans="7:40" ht="14.25" customHeight="1" x14ac:dyDescent="0.45">
      <c r="H83" s="40">
        <v>8</v>
      </c>
      <c r="I83" s="132">
        <f>'Statistics LG'!A11</f>
        <v>45061</v>
      </c>
      <c r="J83" s="40">
        <f>J82+'Statistics LG'!D11</f>
        <v>16</v>
      </c>
      <c r="K83" s="40">
        <f>K82+'Statistics WW'!D11</f>
        <v>14</v>
      </c>
      <c r="L83" s="40">
        <f>L82+'Statistics 5M'!D11</f>
        <v>18</v>
      </c>
      <c r="AM83" s="63"/>
      <c r="AN83" s="59"/>
    </row>
    <row r="84" spans="7:40" ht="14.25" customHeight="1" x14ac:dyDescent="0.45">
      <c r="H84" s="40">
        <v>9</v>
      </c>
      <c r="I84" s="132">
        <f>'Statistics LG'!A12</f>
        <v>45062</v>
      </c>
      <c r="J84" s="40">
        <f>J83+'Statistics LG'!D12</f>
        <v>17</v>
      </c>
      <c r="K84" s="40">
        <f>K83+'Statistics WW'!D12</f>
        <v>16</v>
      </c>
      <c r="L84" s="40">
        <f>L83+'Statistics 5M'!D12</f>
        <v>21</v>
      </c>
    </row>
    <row r="85" spans="7:40" ht="14.25" customHeight="1" x14ac:dyDescent="0.45">
      <c r="H85" s="40">
        <v>10</v>
      </c>
      <c r="I85" s="132">
        <f>'Statistics LG'!A13</f>
        <v>45063</v>
      </c>
      <c r="J85" s="40">
        <f>J84+'Statistics LG'!D13</f>
        <v>20</v>
      </c>
      <c r="K85" s="40">
        <f>K84+'Statistics WW'!D13</f>
        <v>17</v>
      </c>
      <c r="L85" s="40">
        <f>L84+'Statistics 5M'!D13</f>
        <v>23</v>
      </c>
    </row>
    <row r="86" spans="7:40" ht="14.25" customHeight="1" x14ac:dyDescent="0.45">
      <c r="H86" s="40">
        <v>11</v>
      </c>
      <c r="I86" s="132">
        <f>'Statistics LG'!A14</f>
        <v>45068</v>
      </c>
      <c r="J86" s="40">
        <f>J85+'Statistics LG'!D14</f>
        <v>22</v>
      </c>
      <c r="K86" s="40">
        <f>K85+'Statistics WW'!D14</f>
        <v>18</v>
      </c>
      <c r="L86" s="40">
        <f>L85+'Statistics 5M'!D14</f>
        <v>26</v>
      </c>
    </row>
    <row r="87" spans="7:40" ht="14.25" customHeight="1" x14ac:dyDescent="0.45">
      <c r="H87" s="40">
        <v>12</v>
      </c>
      <c r="I87" s="132">
        <f>'Statistics LG'!A15</f>
        <v>45069</v>
      </c>
      <c r="J87" s="40">
        <f>J86+'Statistics LG'!D15</f>
        <v>25</v>
      </c>
      <c r="K87" s="40">
        <f>K86+'Statistics WW'!D15</f>
        <v>20</v>
      </c>
      <c r="L87" s="40">
        <f>L86+'Statistics 5M'!D15</f>
        <v>27</v>
      </c>
    </row>
    <row r="88" spans="7:40" ht="14.25" customHeight="1" x14ac:dyDescent="0.45">
      <c r="H88" s="40">
        <v>13</v>
      </c>
      <c r="I88" s="132">
        <f>'Statistics LG'!A16</f>
        <v>45070</v>
      </c>
      <c r="J88" s="40">
        <f>J87+'Statistics LG'!D16</f>
        <v>28</v>
      </c>
      <c r="K88" s="40">
        <f>K87+'Statistics WW'!D16</f>
        <v>21</v>
      </c>
      <c r="L88" s="40">
        <f>L87+'Statistics 5M'!D16</f>
        <v>29</v>
      </c>
    </row>
    <row r="89" spans="7:40" ht="14.25" customHeight="1" x14ac:dyDescent="0.45">
      <c r="H89" s="40">
        <v>14</v>
      </c>
      <c r="I89" s="132">
        <f>'Statistics LG'!A17</f>
        <v>45075</v>
      </c>
      <c r="J89" s="40">
        <f>J88+'Statistics LG'!D17</f>
        <v>30</v>
      </c>
      <c r="K89" s="40">
        <f>K88+'Statistics WW'!D17</f>
        <v>21</v>
      </c>
      <c r="L89" s="40">
        <f>L88+'Statistics 5M'!D17</f>
        <v>29</v>
      </c>
    </row>
    <row r="90" spans="7:40" ht="14.25" customHeight="1" x14ac:dyDescent="0.45">
      <c r="H90" s="40">
        <v>15</v>
      </c>
      <c r="I90" s="132">
        <f>'Statistics LG'!A18</f>
        <v>45076</v>
      </c>
      <c r="J90" s="40">
        <f>J89+'Statistics LG'!D18</f>
        <v>31</v>
      </c>
      <c r="K90" s="40">
        <f>K89+'Statistics WW'!D18</f>
        <v>22</v>
      </c>
      <c r="L90" s="40">
        <f>L89+'Statistics 5M'!D18</f>
        <v>31</v>
      </c>
    </row>
    <row r="91" spans="7:40" ht="14.25" customHeight="1" x14ac:dyDescent="0.45"/>
    <row r="92" spans="7:40" ht="14.25" customHeight="1" x14ac:dyDescent="0.45"/>
    <row r="93" spans="7:40" ht="14.25" customHeight="1" x14ac:dyDescent="0.45"/>
    <row r="94" spans="7:40" ht="14.25" customHeight="1" x14ac:dyDescent="0.45">
      <c r="G94" t="s">
        <v>229</v>
      </c>
    </row>
    <row r="95" spans="7:40" ht="14.25" customHeight="1" x14ac:dyDescent="0.45">
      <c r="H95">
        <v>1</v>
      </c>
      <c r="I95" s="40">
        <v>2</v>
      </c>
      <c r="J95" s="40">
        <v>3</v>
      </c>
      <c r="K95" s="40">
        <v>4</v>
      </c>
      <c r="L95" s="40">
        <v>5</v>
      </c>
      <c r="M95" s="40">
        <v>6</v>
      </c>
      <c r="N95" s="40">
        <v>7</v>
      </c>
      <c r="O95" s="40">
        <v>8</v>
      </c>
      <c r="P95" s="40">
        <v>9</v>
      </c>
      <c r="Q95" s="40">
        <v>10</v>
      </c>
      <c r="R95" s="40">
        <v>11</v>
      </c>
      <c r="S95" s="40">
        <v>12</v>
      </c>
      <c r="T95" s="40">
        <v>13</v>
      </c>
    </row>
    <row r="96" spans="7:40" ht="14.25" customHeight="1" x14ac:dyDescent="0.45">
      <c r="G96" s="133" t="s">
        <v>55</v>
      </c>
      <c r="H96" s="42">
        <f>'2404'!$R3</f>
        <v>0</v>
      </c>
      <c r="I96" s="42">
        <f>'2604'!$R3</f>
        <v>1</v>
      </c>
      <c r="J96" s="42">
        <f>'0205'!$R3</f>
        <v>0</v>
      </c>
      <c r="K96" s="42">
        <f>'0305'!$R3</f>
        <v>0</v>
      </c>
      <c r="L96" s="42">
        <f>'0805'!$R3</f>
        <v>1</v>
      </c>
      <c r="M96" s="42">
        <f>'0905'!$R3</f>
        <v>2</v>
      </c>
      <c r="N96" s="42">
        <f>'1005'!$R3</f>
        <v>1</v>
      </c>
      <c r="O96" s="42">
        <f>'1505'!$R3</f>
        <v>0</v>
      </c>
      <c r="P96" s="42">
        <f>'1605'!$R3</f>
        <v>1</v>
      </c>
      <c r="Q96" s="42">
        <f>'1705'!$R3</f>
        <v>1</v>
      </c>
      <c r="R96" s="42">
        <f>'2205'!$R3</f>
        <v>0</v>
      </c>
      <c r="S96" s="42">
        <f>'2305'!$R3</f>
        <v>0</v>
      </c>
      <c r="T96" s="42">
        <f>'2405'!$R3</f>
        <v>0</v>
      </c>
      <c r="U96" cm="1">
        <f t="array" ref="U96:V96">LINEST(H96:T96)</f>
        <v>-2.1978021978021976E-2</v>
      </c>
      <c r="V96">
        <v>0.69230769230769229</v>
      </c>
    </row>
    <row r="97" spans="7:22" ht="14.25" customHeight="1" x14ac:dyDescent="0.45">
      <c r="G97" s="134" t="s">
        <v>59</v>
      </c>
      <c r="H97" s="42">
        <f>'2404'!$R4</f>
        <v>0</v>
      </c>
      <c r="I97" s="42">
        <f>'2604'!$R4</f>
        <v>0</v>
      </c>
      <c r="J97" s="42">
        <f>'0205'!$R4</f>
        <v>0</v>
      </c>
      <c r="K97" s="42">
        <f>'0305'!$R4</f>
        <v>1</v>
      </c>
      <c r="L97" s="42">
        <f>'0805'!$R4</f>
        <v>1</v>
      </c>
      <c r="M97" s="42">
        <f>'0905'!$R4</f>
        <v>2</v>
      </c>
      <c r="N97" s="42">
        <f>'1005'!$R4</f>
        <v>1</v>
      </c>
      <c r="O97" s="42">
        <f>'1505'!$R4</f>
        <v>2</v>
      </c>
      <c r="P97" s="42">
        <f>'1605'!$R4</f>
        <v>0</v>
      </c>
      <c r="Q97" s="42">
        <f>'1705'!$R4</f>
        <v>1</v>
      </c>
      <c r="R97" s="42">
        <f>'2205'!$R4</f>
        <v>0</v>
      </c>
      <c r="S97" s="42">
        <f>'2305'!$R4</f>
        <v>0</v>
      </c>
      <c r="T97" s="42">
        <f>'2405'!$R4</f>
        <v>0</v>
      </c>
      <c r="U97" s="40" cm="1">
        <f t="array" ref="U97:V97">LINEST(H97:T97)</f>
        <v>-1.0989010989011E-2</v>
      </c>
      <c r="V97">
        <v>0.6923076923076924</v>
      </c>
    </row>
    <row r="98" spans="7:22" ht="14.25" customHeight="1" x14ac:dyDescent="0.45">
      <c r="G98" s="133" t="s">
        <v>62</v>
      </c>
      <c r="H98" s="42">
        <f>'2404'!$R5</f>
        <v>3</v>
      </c>
      <c r="I98" s="42">
        <f>'2604'!$R5</f>
        <v>0</v>
      </c>
      <c r="J98" s="42">
        <f>'0205'!$R5</f>
        <v>2</v>
      </c>
      <c r="K98" s="42">
        <f>'0305'!$R5</f>
        <v>6</v>
      </c>
      <c r="L98" s="42">
        <f>'0805'!$R5</f>
        <v>2</v>
      </c>
      <c r="M98" s="42">
        <f>'0905'!$R5</f>
        <v>0</v>
      </c>
      <c r="N98" s="42">
        <f>'1005'!$R5</f>
        <v>0</v>
      </c>
      <c r="O98" s="42">
        <f>'1505'!$R5</f>
        <v>0</v>
      </c>
      <c r="P98" s="42">
        <f>'1605'!$R5</f>
        <v>4</v>
      </c>
      <c r="Q98" s="42">
        <f>'1705'!$R5</f>
        <v>1</v>
      </c>
      <c r="R98" s="42">
        <f>'2205'!$R5</f>
        <v>4</v>
      </c>
      <c r="S98" s="42">
        <f>'2305'!$R5</f>
        <v>1</v>
      </c>
      <c r="T98" s="42">
        <f>'2405'!$R5</f>
        <v>2</v>
      </c>
      <c r="U98" s="40" cm="1">
        <f t="array" ref="U98:V98">LINEST(H98:T98)</f>
        <v>-2.1978021978021928E-2</v>
      </c>
      <c r="V98">
        <v>2.0769230769230766</v>
      </c>
    </row>
    <row r="99" spans="7:22" ht="14.25" customHeight="1" x14ac:dyDescent="0.45">
      <c r="G99" s="134" t="s">
        <v>65</v>
      </c>
      <c r="H99" s="42">
        <f>'2404'!$R6</f>
        <v>1</v>
      </c>
      <c r="I99" s="42">
        <f>'2604'!$R6</f>
        <v>2</v>
      </c>
      <c r="J99" s="42">
        <f>'0205'!$R6</f>
        <v>2</v>
      </c>
      <c r="K99" s="42">
        <f>'0305'!$R6</f>
        <v>2</v>
      </c>
      <c r="L99" s="42">
        <f>'0805'!$R6</f>
        <v>1</v>
      </c>
      <c r="M99" s="42">
        <f>'0905'!$R6</f>
        <v>12</v>
      </c>
      <c r="N99" s="42">
        <f>'1005'!$R6</f>
        <v>6</v>
      </c>
      <c r="O99" s="42">
        <f>'1505'!$R6</f>
        <v>4</v>
      </c>
      <c r="P99" s="42">
        <f>'1605'!$R6</f>
        <v>5</v>
      </c>
      <c r="Q99" s="42">
        <f>'1705'!$R6</f>
        <v>1</v>
      </c>
      <c r="R99" s="42">
        <f>'2205'!$R6</f>
        <v>0</v>
      </c>
      <c r="S99" s="42">
        <f>'2305'!$R6</f>
        <v>2</v>
      </c>
      <c r="T99" s="42">
        <f>'2405'!$R6</f>
        <v>0</v>
      </c>
      <c r="U99" s="40" cm="1">
        <f t="array" ref="U99:V99">LINEST(H99:T99)</f>
        <v>-9.3406593406593394E-2</v>
      </c>
      <c r="V99">
        <v>3.5769230769230766</v>
      </c>
    </row>
    <row r="100" spans="7:22" ht="14.25" customHeight="1" x14ac:dyDescent="0.45">
      <c r="G100" s="134" t="s">
        <v>68</v>
      </c>
      <c r="H100" s="42">
        <f>'2404'!$R7</f>
        <v>0</v>
      </c>
      <c r="I100" s="42">
        <f>'2604'!$R7</f>
        <v>1</v>
      </c>
      <c r="J100" s="42">
        <f>'0205'!$R7</f>
        <v>2</v>
      </c>
      <c r="K100" s="42">
        <f>'0305'!$R7</f>
        <v>1</v>
      </c>
      <c r="L100" s="42">
        <f>'0805'!$R7</f>
        <v>4</v>
      </c>
      <c r="M100" s="42">
        <f>'0905'!$R7</f>
        <v>4</v>
      </c>
      <c r="N100" s="42">
        <f>'1005'!$R7</f>
        <v>3</v>
      </c>
      <c r="O100" s="42">
        <f>'1505'!$R7</f>
        <v>5</v>
      </c>
      <c r="P100" s="42">
        <f>'1605'!$R7</f>
        <v>4</v>
      </c>
      <c r="Q100" s="42">
        <f>'1705'!$R7</f>
        <v>0</v>
      </c>
      <c r="R100" s="42">
        <f>'2205'!$R7</f>
        <v>1</v>
      </c>
      <c r="S100" s="42">
        <f>'2305'!$R7</f>
        <v>0</v>
      </c>
      <c r="T100" s="42">
        <f>'2405'!$R7</f>
        <v>0</v>
      </c>
      <c r="U100" s="40" cm="1">
        <f t="array" ref="U100:V100">LINEST(H100:T100)</f>
        <v>-6.0439560439560412E-2</v>
      </c>
      <c r="V100">
        <v>2.3461538461538458</v>
      </c>
    </row>
    <row r="101" spans="7:22" ht="14.25" customHeight="1" x14ac:dyDescent="0.45">
      <c r="G101" s="134" t="s">
        <v>71</v>
      </c>
      <c r="H101" s="42">
        <f>'2404'!$R8</f>
        <v>2</v>
      </c>
      <c r="I101" s="42">
        <f>'2604'!$R8</f>
        <v>0</v>
      </c>
      <c r="J101" s="42">
        <f>'0205'!$R8</f>
        <v>1</v>
      </c>
      <c r="K101" s="42">
        <f>'0305'!$R8</f>
        <v>0</v>
      </c>
      <c r="L101" s="42">
        <f>'0805'!$R8</f>
        <v>0</v>
      </c>
      <c r="M101" s="42">
        <f>'0905'!$R8</f>
        <v>0</v>
      </c>
      <c r="N101" s="42">
        <f>'1005'!$R8</f>
        <v>0</v>
      </c>
      <c r="O101" s="42">
        <f>'1505'!$R8</f>
        <v>2</v>
      </c>
      <c r="P101" s="42">
        <f>'1605'!$R8</f>
        <v>0</v>
      </c>
      <c r="Q101" s="42">
        <f>'1705'!$R8</f>
        <v>0</v>
      </c>
      <c r="R101" s="42">
        <f>'2205'!$R8</f>
        <v>0</v>
      </c>
      <c r="S101" s="42">
        <f>'2305'!$R8</f>
        <v>2</v>
      </c>
      <c r="T101" s="42">
        <f>'2405'!$R8</f>
        <v>0</v>
      </c>
      <c r="U101" s="40" cm="1">
        <f t="array" ref="U101:V101">LINEST(H101:T101)</f>
        <v>-2.1978021978021969E-2</v>
      </c>
      <c r="V101">
        <v>0.69230769230769229</v>
      </c>
    </row>
    <row r="102" spans="7:22" ht="14.25" customHeight="1" x14ac:dyDescent="0.45">
      <c r="G102" s="86" t="s">
        <v>75</v>
      </c>
      <c r="H102" s="42">
        <f>'2404'!$R9</f>
        <v>0</v>
      </c>
      <c r="I102" s="42">
        <f>'2604'!$R9</f>
        <v>0</v>
      </c>
      <c r="J102" s="42">
        <f>'0205'!$R9</f>
        <v>3</v>
      </c>
      <c r="K102" s="42">
        <f>'0305'!$R9</f>
        <v>2</v>
      </c>
      <c r="L102" s="42">
        <f>'0805'!$R9</f>
        <v>0</v>
      </c>
      <c r="M102" s="42">
        <f>'0905'!$R9</f>
        <v>0</v>
      </c>
      <c r="N102" s="42">
        <f>'1005'!$R9</f>
        <v>4</v>
      </c>
      <c r="O102" s="42">
        <f>'1505'!$R9</f>
        <v>3</v>
      </c>
      <c r="P102" s="42">
        <f>'1605'!$R9</f>
        <v>2</v>
      </c>
      <c r="Q102" s="42">
        <f>'1705'!$R9</f>
        <v>1</v>
      </c>
      <c r="R102" s="42">
        <f>'2205'!$R9</f>
        <v>0</v>
      </c>
      <c r="S102" s="42">
        <f>'2305'!$R9</f>
        <v>1</v>
      </c>
      <c r="T102" s="42">
        <f>'2405'!$R9</f>
        <v>2</v>
      </c>
      <c r="U102" s="40" cm="1">
        <f t="array" ref="U102:V102">LINEST(H102:T102)</f>
        <v>4.9450549450549497E-2</v>
      </c>
      <c r="V102">
        <v>1.0384615384615381</v>
      </c>
    </row>
    <row r="103" spans="7:22" ht="14.25" customHeight="1" x14ac:dyDescent="0.45">
      <c r="G103" s="86" t="s">
        <v>78</v>
      </c>
      <c r="H103" s="42">
        <f>'2404'!$R10</f>
        <v>0</v>
      </c>
      <c r="I103" s="42">
        <f>'2604'!$R10</f>
        <v>0</v>
      </c>
      <c r="J103" s="42">
        <f>'0205'!$R10</f>
        <v>0</v>
      </c>
      <c r="K103" s="42">
        <f>'0305'!$R10</f>
        <v>3</v>
      </c>
      <c r="L103" s="42">
        <f>'0805'!$R10</f>
        <v>1</v>
      </c>
      <c r="M103" s="42">
        <f>'0905'!$R10</f>
        <v>2</v>
      </c>
      <c r="N103" s="42">
        <f>'1005'!$R10</f>
        <v>7</v>
      </c>
      <c r="O103" s="42">
        <f>'1505'!$R10</f>
        <v>0</v>
      </c>
      <c r="P103" s="42">
        <f>'1605'!$R10</f>
        <v>0</v>
      </c>
      <c r="Q103" s="42">
        <f>'1705'!$R10</f>
        <v>3</v>
      </c>
      <c r="R103" s="42">
        <f>'2205'!$R10</f>
        <v>0</v>
      </c>
      <c r="S103" s="42">
        <f>'2305'!$R10</f>
        <v>2</v>
      </c>
      <c r="T103" s="42">
        <f>'2405'!$R10</f>
        <v>0</v>
      </c>
      <c r="U103" s="40" cm="1">
        <f t="array" ref="U103:V103">LINEST(H103:T103)</f>
        <v>3.296703296703303E-2</v>
      </c>
      <c r="V103">
        <v>1.1538461538461533</v>
      </c>
    </row>
    <row r="104" spans="7:22" ht="14.25" customHeight="1" x14ac:dyDescent="0.45">
      <c r="G104" s="133" t="s">
        <v>80</v>
      </c>
      <c r="H104" s="42">
        <f>'2404'!$R11</f>
        <v>2</v>
      </c>
      <c r="I104" s="42">
        <f>'2604'!$R11</f>
        <v>0</v>
      </c>
      <c r="J104" s="42">
        <f>'0205'!$R11</f>
        <v>3</v>
      </c>
      <c r="K104" s="42">
        <f>'0305'!$R11</f>
        <v>2</v>
      </c>
      <c r="L104" s="42">
        <f>'0805'!$R11</f>
        <v>3</v>
      </c>
      <c r="M104" s="42">
        <f>'0905'!$R11</f>
        <v>4</v>
      </c>
      <c r="N104" s="42">
        <f>'1005'!$R11</f>
        <v>2</v>
      </c>
      <c r="O104" s="42">
        <f>'1505'!$R11</f>
        <v>1</v>
      </c>
      <c r="P104" s="42">
        <f>'1605'!$R11</f>
        <v>5</v>
      </c>
      <c r="Q104" s="42">
        <f>'1705'!$R11</f>
        <v>1</v>
      </c>
      <c r="R104" s="42">
        <f>'2205'!$R11</f>
        <v>5</v>
      </c>
      <c r="S104" s="42">
        <f>'2305'!$R11</f>
        <v>0</v>
      </c>
      <c r="T104" s="42">
        <f>'2405'!$R11</f>
        <v>1</v>
      </c>
      <c r="U104" s="40" cm="1">
        <f t="array" ref="U104:V104">LINEST(H104:T104)</f>
        <v>3.2918082333792727E-17</v>
      </c>
      <c r="V104">
        <v>2.2307692307692304</v>
      </c>
    </row>
    <row r="105" spans="7:22" ht="14.25" customHeight="1" x14ac:dyDescent="0.45">
      <c r="G105" s="133" t="s">
        <v>81</v>
      </c>
      <c r="H105" s="42">
        <f>'2404'!$R12</f>
        <v>0</v>
      </c>
      <c r="I105" s="42">
        <f>'2604'!$R12</f>
        <v>0</v>
      </c>
      <c r="J105" s="42">
        <f>'0205'!$R12</f>
        <v>2</v>
      </c>
      <c r="K105" s="42">
        <f>'0305'!$R12</f>
        <v>2</v>
      </c>
      <c r="L105" s="42">
        <f>'0805'!$R12</f>
        <v>1</v>
      </c>
      <c r="M105" s="42">
        <f>'0905'!$R12</f>
        <v>1</v>
      </c>
      <c r="N105" s="42">
        <f>'1005'!$R12</f>
        <v>0</v>
      </c>
      <c r="O105" s="42">
        <f>'1505'!$R12</f>
        <v>0</v>
      </c>
      <c r="P105" s="42">
        <f>'1605'!$R12</f>
        <v>2</v>
      </c>
      <c r="Q105" s="42">
        <f>'1705'!$R12</f>
        <v>0</v>
      </c>
      <c r="R105" s="42">
        <f>'2205'!$R12</f>
        <v>2</v>
      </c>
      <c r="S105" s="42">
        <f>'2305'!$R12</f>
        <v>0</v>
      </c>
      <c r="T105" s="42">
        <f>'2405'!$R12</f>
        <v>1</v>
      </c>
      <c r="U105" s="40" cm="1">
        <f t="array" ref="U105:V105">LINEST(H105:T105)</f>
        <v>5.4945054945055105E-3</v>
      </c>
      <c r="V105">
        <v>0.8076923076923076</v>
      </c>
    </row>
    <row r="106" spans="7:22" ht="14.25" customHeight="1" x14ac:dyDescent="0.45">
      <c r="G106" s="133" t="s">
        <v>185</v>
      </c>
      <c r="H106" s="42">
        <f>'2404'!$R13</f>
        <v>2</v>
      </c>
      <c r="I106" s="42">
        <f>'2604'!$R13</f>
        <v>2</v>
      </c>
      <c r="J106" s="42">
        <f>'0205'!$R13</f>
        <v>1</v>
      </c>
      <c r="K106" s="42">
        <f>'0305'!$R13</f>
        <v>2</v>
      </c>
      <c r="L106" s="42">
        <f>'0805'!$R13</f>
        <v>0</v>
      </c>
      <c r="M106" s="42">
        <f>'0905'!$R13</f>
        <v>0</v>
      </c>
      <c r="N106" s="42">
        <f>'1005'!$R13</f>
        <v>0</v>
      </c>
      <c r="O106" s="42">
        <f>'1505'!$R13</f>
        <v>0</v>
      </c>
      <c r="P106" s="42">
        <f>'1605'!$R13</f>
        <v>2</v>
      </c>
      <c r="Q106" s="42">
        <f>'1705'!$R13</f>
        <v>2</v>
      </c>
      <c r="R106" s="42">
        <f>'2205'!$R13</f>
        <v>1</v>
      </c>
      <c r="S106" s="42">
        <f>'2305'!$R13</f>
        <v>0</v>
      </c>
      <c r="T106" s="42">
        <f>'2405'!$R13</f>
        <v>0</v>
      </c>
      <c r="U106" s="40" cm="1">
        <f t="array" ref="U106:V106">LINEST(H106:T106)</f>
        <v>-9.8901098901098897E-2</v>
      </c>
      <c r="V106">
        <v>1.6153846153846154</v>
      </c>
    </row>
    <row r="107" spans="7:22" ht="14.25" customHeight="1" x14ac:dyDescent="0.45">
      <c r="G107" s="86" t="s">
        <v>184</v>
      </c>
      <c r="H107" s="42">
        <f>'2404'!$R14</f>
        <v>0</v>
      </c>
      <c r="I107" s="42">
        <f>'2604'!$R14</f>
        <v>0</v>
      </c>
      <c r="J107" s="42">
        <f>'0205'!$R14</f>
        <v>1</v>
      </c>
      <c r="K107" s="42">
        <f>'0305'!$R14</f>
        <v>1</v>
      </c>
      <c r="L107" s="42">
        <f>'0805'!$R14</f>
        <v>0</v>
      </c>
      <c r="M107" s="42">
        <f>'0905'!$R14</f>
        <v>2</v>
      </c>
      <c r="N107" s="42">
        <f>'1005'!$R14</f>
        <v>1</v>
      </c>
      <c r="O107" s="42">
        <f>'1505'!$R14</f>
        <v>1</v>
      </c>
      <c r="P107" s="42">
        <f>'1605'!$R14</f>
        <v>2</v>
      </c>
      <c r="Q107" s="42">
        <f>'1705'!$R14</f>
        <v>1</v>
      </c>
      <c r="R107" s="42">
        <f>'2205'!$R14</f>
        <v>1</v>
      </c>
      <c r="S107" s="42">
        <f>'2305'!$R14</f>
        <v>3</v>
      </c>
      <c r="T107" s="42">
        <f>'2405'!$R14</f>
        <v>1</v>
      </c>
      <c r="U107" s="40" cm="1">
        <f t="array" ref="U107:V107">LINEST(H107:T107)</f>
        <v>0.1318681318681319</v>
      </c>
      <c r="V107">
        <v>0.15384615384615352</v>
      </c>
    </row>
    <row r="108" spans="7:22" ht="14.25" customHeight="1" x14ac:dyDescent="0.45">
      <c r="G108" s="86" t="s">
        <v>85</v>
      </c>
      <c r="H108" s="42">
        <f>'2404'!$R15</f>
        <v>3</v>
      </c>
      <c r="I108" s="42">
        <f>'2604'!$R15</f>
        <v>1</v>
      </c>
      <c r="J108" s="42">
        <f>'0205'!$R15</f>
        <v>6</v>
      </c>
      <c r="K108" s="42">
        <f>'0305'!$R15</f>
        <v>0</v>
      </c>
      <c r="L108" s="42">
        <f>'0805'!$R15</f>
        <v>4</v>
      </c>
      <c r="M108" s="42">
        <f>'0905'!$R15</f>
        <v>0</v>
      </c>
      <c r="N108" s="42">
        <f>'1005'!$R15</f>
        <v>0</v>
      </c>
      <c r="O108" s="42">
        <f>'1505'!$R15</f>
        <v>0</v>
      </c>
      <c r="P108" s="42">
        <f>'1605'!$R15</f>
        <v>2</v>
      </c>
      <c r="Q108" s="42">
        <f>'1705'!$R15</f>
        <v>1</v>
      </c>
      <c r="R108" s="42">
        <f>'2205'!$R15</f>
        <v>2</v>
      </c>
      <c r="S108" s="42">
        <f>'2305'!$R15</f>
        <v>4</v>
      </c>
      <c r="T108" s="42">
        <f>'2405'!$R15</f>
        <v>2</v>
      </c>
      <c r="U108" s="40" cm="1">
        <f t="array" ref="U108:V108">LINEST(H108:T108)</f>
        <v>-4.3956043956043939E-2</v>
      </c>
      <c r="V108">
        <v>2.2307692307692308</v>
      </c>
    </row>
    <row r="109" spans="7:22" ht="14.25" customHeight="1" x14ac:dyDescent="0.45">
      <c r="G109" s="134" t="s">
        <v>86</v>
      </c>
      <c r="H109" s="42">
        <f>'2404'!$R16</f>
        <v>0</v>
      </c>
      <c r="I109" s="42">
        <f>'2604'!$R16</f>
        <v>0</v>
      </c>
      <c r="J109" s="42">
        <f>'0205'!$R16</f>
        <v>0</v>
      </c>
      <c r="K109" s="42">
        <f>'0305'!$R16</f>
        <v>0</v>
      </c>
      <c r="L109" s="42">
        <f>'0805'!$R16</f>
        <v>0</v>
      </c>
      <c r="M109" s="42">
        <f>'0905'!$R16</f>
        <v>1</v>
      </c>
      <c r="N109" s="42">
        <f>'1005'!$R16</f>
        <v>0</v>
      </c>
      <c r="O109" s="42">
        <f>'1505'!$R16</f>
        <v>1</v>
      </c>
      <c r="P109" s="42">
        <f>'1605'!$R16</f>
        <v>0</v>
      </c>
      <c r="Q109" s="42">
        <f>'1705'!$R16</f>
        <v>0</v>
      </c>
      <c r="R109" s="42">
        <f>'2205'!$R16</f>
        <v>0</v>
      </c>
      <c r="S109" s="42">
        <f>'2305'!$R16</f>
        <v>0</v>
      </c>
      <c r="T109" s="42">
        <f>'2405'!$R16</f>
        <v>0</v>
      </c>
      <c r="U109" s="40" cm="1">
        <f t="array" ref="U109:V109">LINEST(H109:T109)</f>
        <v>-3.0860702187930682E-18</v>
      </c>
      <c r="V109">
        <v>0.15384615384615388</v>
      </c>
    </row>
    <row r="110" spans="7:22" ht="14.25" customHeight="1" x14ac:dyDescent="0.45">
      <c r="G110" s="86" t="s">
        <v>87</v>
      </c>
      <c r="H110" s="42">
        <f>'2404'!$R17</f>
        <v>0</v>
      </c>
      <c r="I110" s="42">
        <f>'2604'!$R17</f>
        <v>1</v>
      </c>
      <c r="J110" s="42">
        <f>'0205'!$R17</f>
        <v>0</v>
      </c>
      <c r="K110" s="42">
        <f>'0305'!$R17</f>
        <v>0</v>
      </c>
      <c r="L110" s="42">
        <f>'0805'!$R17</f>
        <v>0</v>
      </c>
      <c r="M110" s="42">
        <f>'0905'!$R17</f>
        <v>1</v>
      </c>
      <c r="N110" s="42">
        <f>'1005'!$R17</f>
        <v>2</v>
      </c>
      <c r="O110" s="42">
        <f>'1505'!$R17</f>
        <v>2</v>
      </c>
      <c r="P110" s="42">
        <f>'1605'!$R17</f>
        <v>0</v>
      </c>
      <c r="Q110" s="42">
        <f>'1705'!$R17</f>
        <v>0</v>
      </c>
      <c r="R110" s="42">
        <f>'2205'!$R17</f>
        <v>0</v>
      </c>
      <c r="S110" s="42">
        <f>'2305'!$R17</f>
        <v>1</v>
      </c>
      <c r="T110" s="42">
        <f>'2405'!$R17</f>
        <v>0</v>
      </c>
      <c r="U110" s="40" cm="1">
        <f t="array" ref="U110:V110">LINEST(H110:T110)</f>
        <v>5.4945054945055027E-3</v>
      </c>
      <c r="V110">
        <v>0.49999999999999989</v>
      </c>
    </row>
    <row r="111" spans="7:22" ht="14.25" customHeight="1" x14ac:dyDescent="0.45">
      <c r="G111" s="86" t="s">
        <v>107</v>
      </c>
      <c r="H111" s="42">
        <f>'2404'!$R18</f>
        <v>0</v>
      </c>
      <c r="I111" s="42">
        <f>'2604'!$R18</f>
        <v>1</v>
      </c>
      <c r="J111" s="42">
        <f>'0205'!$R18</f>
        <v>0</v>
      </c>
      <c r="K111" s="42">
        <f>'0305'!$R18</f>
        <v>2</v>
      </c>
      <c r="L111" s="42">
        <f>'0805'!$R18</f>
        <v>0</v>
      </c>
      <c r="M111" s="42">
        <f>'0905'!$R18</f>
        <v>0</v>
      </c>
      <c r="N111" s="42">
        <f>'1005'!$R18</f>
        <v>0</v>
      </c>
      <c r="O111" s="42">
        <f>'1505'!$R18</f>
        <v>1</v>
      </c>
      <c r="P111" s="42">
        <f>'1605'!$R18</f>
        <v>0</v>
      </c>
      <c r="Q111" s="42">
        <f>'1705'!$R18</f>
        <v>0</v>
      </c>
      <c r="R111" s="42">
        <f>'2205'!$R18</f>
        <v>0</v>
      </c>
      <c r="S111" s="42">
        <f>'2305'!$R18</f>
        <v>0</v>
      </c>
      <c r="T111" s="42">
        <f>'2405'!$R18</f>
        <v>0</v>
      </c>
      <c r="U111" s="40" cm="1">
        <f t="array" ref="U111:V111">LINEST(H111:T111)</f>
        <v>-5.4945054945054944E-2</v>
      </c>
      <c r="V111">
        <v>0.69230769230769229</v>
      </c>
    </row>
    <row r="112" spans="7:2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AH5:AJ6"/>
  </mergeCells>
  <phoneticPr fontId="18" type="noConversion"/>
  <conditionalFormatting sqref="AE11:AE23">
    <cfRule type="cellIs" dxfId="50" priority="11" operator="lessThan">
      <formula>$AE$6</formula>
    </cfRule>
    <cfRule type="cellIs" dxfId="49" priority="12" operator="greaterThan">
      <formula>$AE$6</formula>
    </cfRule>
  </conditionalFormatting>
  <conditionalFormatting sqref="AC8:AC23">
    <cfRule type="cellIs" dxfId="48" priority="3" operator="lessThan">
      <formula>0</formula>
    </cfRule>
    <cfRule type="cellIs" dxfId="47" priority="4" operator="greaterThan">
      <formula>0</formula>
    </cfRule>
  </conditionalFormatting>
  <conditionalFormatting sqref="U96:U111">
    <cfRule type="cellIs" dxfId="46" priority="2" operator="greaterThan">
      <formula>0</formula>
    </cfRule>
  </conditionalFormatting>
  <conditionalFormatting sqref="U96:U111">
    <cfRule type="cellIs" dxfId="45" priority="1" operator="less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1000"/>
  <sheetViews>
    <sheetView workbookViewId="0">
      <selection activeCell="A3" sqref="A3:F20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7" ht="14.35" customHeight="1" x14ac:dyDescent="0.45"/>
    <row r="2" spans="1:47" ht="14.35" customHeight="1" x14ac:dyDescent="0.45">
      <c r="B2" s="5" t="s">
        <v>136</v>
      </c>
      <c r="L2" s="126"/>
      <c r="M2" s="126"/>
      <c r="N2" s="127" t="s">
        <v>99</v>
      </c>
      <c r="O2" s="126"/>
      <c r="P2" s="126"/>
      <c r="Q2" s="126"/>
      <c r="S2" s="1" t="s">
        <v>100</v>
      </c>
      <c r="U2" s="126"/>
      <c r="V2" s="126"/>
      <c r="X2" s="1" t="s">
        <v>101</v>
      </c>
      <c r="Z2" s="126"/>
      <c r="AA2" s="126"/>
      <c r="AC2" t="s">
        <v>162</v>
      </c>
      <c r="AE2">
        <f>'Stats Global'!Q5</f>
        <v>17</v>
      </c>
    </row>
    <row r="3" spans="1:47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201</v>
      </c>
      <c r="F3" s="40" t="s">
        <v>202</v>
      </c>
      <c r="H3" s="1" t="s">
        <v>104</v>
      </c>
      <c r="I3" s="1" t="s">
        <v>105</v>
      </c>
      <c r="J3" s="1" t="s">
        <v>106</v>
      </c>
      <c r="L3" s="127" t="s">
        <v>85</v>
      </c>
      <c r="M3" s="127" t="s">
        <v>78</v>
      </c>
      <c r="N3" s="127" t="s">
        <v>75</v>
      </c>
      <c r="O3" s="127" t="s">
        <v>184</v>
      </c>
      <c r="P3" s="127" t="s">
        <v>87</v>
      </c>
      <c r="Q3" s="127" t="s">
        <v>149</v>
      </c>
      <c r="S3" s="1" t="s">
        <v>102</v>
      </c>
      <c r="T3" s="1" t="s">
        <v>103</v>
      </c>
      <c r="U3" s="127" t="s">
        <v>108</v>
      </c>
      <c r="V3" s="127" t="s">
        <v>109</v>
      </c>
      <c r="X3" s="1" t="s">
        <v>102</v>
      </c>
      <c r="Y3" s="1" t="s">
        <v>103</v>
      </c>
      <c r="Z3" s="127" t="s">
        <v>108</v>
      </c>
      <c r="AA3" s="127" t="s">
        <v>109</v>
      </c>
      <c r="AC3" s="56" t="s">
        <v>97</v>
      </c>
      <c r="AD3" s="56" t="s">
        <v>8</v>
      </c>
      <c r="AE3" s="56" t="s">
        <v>166</v>
      </c>
      <c r="AF3" s="57" t="s">
        <v>9</v>
      </c>
      <c r="AG3" s="58" t="s">
        <v>163</v>
      </c>
      <c r="AH3" s="58" t="s">
        <v>10</v>
      </c>
      <c r="AI3" s="58" t="s">
        <v>164</v>
      </c>
      <c r="AJ3" s="57" t="s">
        <v>11</v>
      </c>
      <c r="AK3" s="58" t="s">
        <v>165</v>
      </c>
      <c r="AL3" s="58" t="s">
        <v>180</v>
      </c>
      <c r="AM3" s="58" t="s">
        <v>243</v>
      </c>
      <c r="AN3" s="58" t="s">
        <v>244</v>
      </c>
      <c r="AP3" t="s">
        <v>181</v>
      </c>
      <c r="AQ3" t="s">
        <v>96</v>
      </c>
      <c r="AS3" s="162" t="s">
        <v>97</v>
      </c>
      <c r="AT3" s="163" t="s">
        <v>243</v>
      </c>
      <c r="AU3" s="163" t="s">
        <v>244</v>
      </c>
    </row>
    <row r="4" spans="1:47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92</v>
      </c>
      <c r="I4" s="1">
        <f>SUM(C4:C30)</f>
        <v>93</v>
      </c>
      <c r="J4" s="1">
        <f>SUM(D4:D30)</f>
        <v>35</v>
      </c>
      <c r="L4" s="128">
        <v>1</v>
      </c>
      <c r="M4" s="129"/>
      <c r="N4" s="129"/>
      <c r="O4" s="128"/>
      <c r="P4" s="128"/>
      <c r="Q4" s="129"/>
      <c r="S4" s="17">
        <f>COUNTIF('2404'!$X$4:$X$26,"LG/WW")</f>
        <v>2</v>
      </c>
      <c r="T4" s="17">
        <f>COUNTIF('2404'!$Y$4:$Y$26,"WW/LG")</f>
        <v>1</v>
      </c>
      <c r="U4" s="141">
        <f>S4/(S4+T4)</f>
        <v>0.66666666666666663</v>
      </c>
      <c r="V4" s="128" t="s">
        <v>65</v>
      </c>
      <c r="X4" s="17">
        <f>COUNTIF('2404'!$X$4:$X$26,"LG/5M")</f>
        <v>1</v>
      </c>
      <c r="Y4" s="17">
        <f>COUNTIF('2404'!$Z$4:$Z$26,"5M/LG")</f>
        <v>4</v>
      </c>
      <c r="Z4" s="141">
        <f>X4/SUM(X4,Y4)</f>
        <v>0.2</v>
      </c>
      <c r="AA4" s="128" t="s">
        <v>62</v>
      </c>
      <c r="AC4" s="3" t="s">
        <v>33</v>
      </c>
      <c r="AD4" s="59">
        <f>Table2[[#This Row],[Finishes]]+Table2[[#This Row],[Midranges]]+Table2[[#This Row],[Threes]]+Table2[[#This Row],[Threes]]</f>
        <v>2</v>
      </c>
      <c r="AE4" s="60">
        <f>Table2[[#This Row],[Points]]/($AE$2-Table2[[#This Row],[DNP]])</f>
        <v>0.11764705882352941</v>
      </c>
      <c r="AF4" s="61">
        <f>'2404'!AC3+'2604'!AC3+'0205'!AC3+'0305'!AC3+'0805'!AC3+'0905'!AC3+'1005'!AC3+'1505'!AC3+'1605'!AC3+'1705'!AC3+'2205'!AC3+'2305'!AC3+'2405'!AC3+'Finals 1'!AD3+'Finals 2'!AD3</f>
        <v>2</v>
      </c>
      <c r="AG4" s="101">
        <f>Table2[[#This Row],[Finishes]]/($AE$2-Table2[[#This Row],[DNP]])</f>
        <v>0.11764705882352941</v>
      </c>
      <c r="AH4" s="61">
        <f>'2404'!AD3+'2604'!AD3+'0205'!AD3+'0305'!AD3+'0805'!AD3+'0905'!AD3+'1005'!AD3+'1505'!AD3+'1605'!AD3+'1705'!AD3+'2205'!AD3+'2305'!AD3+'2405'!AD3+'Finals 1'!AE3+'Finals 2'!AE3</f>
        <v>0</v>
      </c>
      <c r="AI4" s="101">
        <f>Table2[[#This Row],[Midranges]]/($AE$2-Table2[[#This Row],[DNP]])</f>
        <v>0</v>
      </c>
      <c r="AJ4" s="61">
        <f>'2404'!AE3+'2604'!AE3+'0205'!AE3+'0305'!AE3+'0805'!AE3+'0905'!AE3+'1005'!AE3+'1505'!AE3+'1605'!AE3+'1705'!AE3+'2205'!AE3+'2305'!AE3+'2405'!AE3+'Finals 1'!AF3+'Finals 2'!AF3</f>
        <v>0</v>
      </c>
      <c r="AK4" s="62">
        <f>Table2[[#This Row],[Threes]]/($AE$2-Table2[[#This Row],[DNP]])</f>
        <v>0</v>
      </c>
      <c r="AL4" s="89">
        <f>'Stats Global'!Z8</f>
        <v>0</v>
      </c>
      <c r="AM4" s="63">
        <f>'Finals 1'!AD3+'Finals 2'!AD3+'Finals 1'!AE3+'Finals 2'!AE3+'Finals 1'!AF3+'Finals 2'!AF3</f>
        <v>0</v>
      </c>
      <c r="AN4" s="89">
        <f>'Stats Global'!AB67-Table2[[#This Row],[Finals]]</f>
        <v>0</v>
      </c>
      <c r="AP4" s="41">
        <f>'Stats Global'!R8-Table2[[#This Row],[Avg P]]</f>
        <v>0.29411764705882348</v>
      </c>
      <c r="AQ4" s="55">
        <f>Table2[[#This Row],[Avg P]]/(Table2[[#This Row],[Avg P]]+AP4)</f>
        <v>0.2857142857142857</v>
      </c>
      <c r="AS4" s="157" t="s">
        <v>33</v>
      </c>
      <c r="AT4" s="157">
        <v>0</v>
      </c>
      <c r="AU4" s="160">
        <v>0</v>
      </c>
    </row>
    <row r="5" spans="1:47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198</v>
      </c>
      <c r="L5" s="128">
        <v>1</v>
      </c>
      <c r="M5" s="129"/>
      <c r="N5" s="129"/>
      <c r="O5" s="128"/>
      <c r="P5" s="128">
        <v>1</v>
      </c>
      <c r="Q5" s="129">
        <v>1</v>
      </c>
      <c r="S5" s="17">
        <f>COUNTIF('2604'!$X$4:$X$26,"LG/WW")</f>
        <v>1</v>
      </c>
      <c r="T5" s="17">
        <f>COUNTIF('2604'!$Y$4:$Y$26,"WW/LG")</f>
        <v>2</v>
      </c>
      <c r="U5" s="141">
        <f t="shared" ref="U5:U16" si="0">S5/(S5+T5)</f>
        <v>0.33333333333333331</v>
      </c>
      <c r="V5" s="130" t="s">
        <v>170</v>
      </c>
      <c r="X5" s="17">
        <f>COUNTIF('2604'!$X$4:$X$26,"LG/5M")</f>
        <v>2</v>
      </c>
      <c r="Y5" s="17">
        <f>COUNTIF('2604'!$Z$4:$Z$26,"5M/LG")</f>
        <v>1</v>
      </c>
      <c r="Z5" s="141">
        <f t="shared" ref="Z5:Z16" si="1">X5/SUM(X5,Y5)</f>
        <v>0.66666666666666663</v>
      </c>
      <c r="AA5" s="130" t="s">
        <v>185</v>
      </c>
      <c r="AC5" s="3" t="s">
        <v>36</v>
      </c>
      <c r="AD5" s="59">
        <f>Table2[[#This Row],[Finishes]]+Table2[[#This Row],[Midranges]]+Table2[[#This Row],[Threes]]+Table2[[#This Row],[Threes]]</f>
        <v>3</v>
      </c>
      <c r="AE5" s="60">
        <f>Table2[[#This Row],[Points]]/($AE$2-Table2[[#This Row],[DNP]])</f>
        <v>0.2</v>
      </c>
      <c r="AF5" s="61">
        <f>'2404'!AC4+'2604'!AC4+'0205'!AC4+'0305'!AC4+'0805'!AC4+'0905'!AC4+'1005'!AC4+'1505'!AC4+'1605'!AC4+'1705'!AC4+'2205'!AC4+'2305'!AC4+'2405'!AC4+'Finals 1'!AD4+'Finals 2'!AD4</f>
        <v>3</v>
      </c>
      <c r="AG5" s="101">
        <f>Table2[[#This Row],[Finishes]]/($AE$2-Table2[[#This Row],[DNP]])</f>
        <v>0.2</v>
      </c>
      <c r="AH5" s="61">
        <f>'2404'!AD4+'2604'!AD4+'0205'!AD4+'0305'!AD4+'0805'!AD4+'0905'!AD4+'1005'!AD4+'1505'!AD4+'1605'!AD4+'1705'!AD4+'2205'!AD4+'2305'!AD4+'2405'!AD4+'Finals 1'!AE4+'Finals 2'!AE4</f>
        <v>0</v>
      </c>
      <c r="AI5" s="101">
        <f>Table2[[#This Row],[Midranges]]/($AE$2-Table2[[#This Row],[DNP]])</f>
        <v>0</v>
      </c>
      <c r="AJ5" s="61">
        <f>'2404'!AE4+'2604'!AE4+'0205'!AE4+'0305'!AE4+'0805'!AE4+'0905'!AE4+'1005'!AE4+'1505'!AE4+'1605'!AE4+'1705'!AE4+'2205'!AE4+'2305'!AE4+'2405'!AE4+'Finals 1'!AF4+'Finals 2'!AF4</f>
        <v>0</v>
      </c>
      <c r="AK5" s="62">
        <f>Table2[[#This Row],[Threes]]/($AE$2-Table2[[#This Row],[DNP]])</f>
        <v>0</v>
      </c>
      <c r="AL5" s="89">
        <f>'Stats Global'!Z9</f>
        <v>2</v>
      </c>
      <c r="AM5" s="63">
        <f>'Finals 1'!AD4+'Finals 2'!AD4+'Finals 1'!AE4+'Finals 2'!AE4+'Finals 1'!AF4+'Finals 2'!AF4</f>
        <v>1</v>
      </c>
      <c r="AN5" s="89">
        <f>'Stats Global'!AB68-Table2[[#This Row],[Finals]]</f>
        <v>0</v>
      </c>
      <c r="AP5" s="41">
        <f>'Stats Global'!R9-Table2[[#This Row],[Avg P]]</f>
        <v>0.39999999999999997</v>
      </c>
      <c r="AQ5" s="55">
        <f>Table2[[#This Row],[Avg P]]/(Table2[[#This Row],[Avg P]]+AP5)</f>
        <v>0.33333333333333337</v>
      </c>
      <c r="AS5" s="158" t="s">
        <v>36</v>
      </c>
      <c r="AT5" s="158">
        <v>1</v>
      </c>
      <c r="AU5" s="161">
        <v>0</v>
      </c>
    </row>
    <row r="6" spans="1:47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199</v>
      </c>
      <c r="I6" s="1" t="s">
        <v>110</v>
      </c>
      <c r="J6" s="18">
        <f>SUM(B4:B5)/SUM(B4:C5)</f>
        <v>0.42857142857142855</v>
      </c>
      <c r="L6" s="128">
        <v>3</v>
      </c>
      <c r="M6" s="129"/>
      <c r="N6" s="129">
        <v>1</v>
      </c>
      <c r="O6" s="128">
        <v>1</v>
      </c>
      <c r="P6" s="128"/>
      <c r="Q6" s="129"/>
      <c r="S6" s="17">
        <f>COUNTIF('0205'!$X$4:$X$26,"LG/WW")</f>
        <v>4</v>
      </c>
      <c r="T6" s="17">
        <f>COUNTIF('0205'!$Y$4:$Y$26,"WW/LG")</f>
        <v>2</v>
      </c>
      <c r="U6" s="141">
        <f t="shared" si="0"/>
        <v>0.66666666666666663</v>
      </c>
      <c r="V6" s="128" t="s">
        <v>65</v>
      </c>
      <c r="X6" s="17">
        <f>COUNTIF('0205'!$X$4:$X$26,"LG/5M")</f>
        <v>4</v>
      </c>
      <c r="Y6" s="17">
        <f>COUNTIF('0205'!$Z$4:$Z$26,"5M/LG")</f>
        <v>4</v>
      </c>
      <c r="Z6" s="141">
        <f t="shared" si="1"/>
        <v>0.5</v>
      </c>
      <c r="AA6" s="128" t="s">
        <v>175</v>
      </c>
      <c r="AC6" s="3" t="s">
        <v>38</v>
      </c>
      <c r="AD6" s="59">
        <f>Table2[[#This Row],[Finishes]]+Table2[[#This Row],[Midranges]]+Table2[[#This Row],[Threes]]+Table2[[#This Row],[Threes]]</f>
        <v>26</v>
      </c>
      <c r="AE6" s="60">
        <f>Table2[[#This Row],[Points]]/($AE$2-Table2[[#This Row],[DNP]])</f>
        <v>1.8571428571428572</v>
      </c>
      <c r="AF6" s="61">
        <f>'2404'!AC5+'2604'!AC5+'0205'!AC5+'0305'!AC5+'0805'!AC5+'0905'!AC5+'1005'!AC5+'1505'!AC5+'1605'!AC5+'1705'!AC5+'2205'!AC5+'2305'!AC5+'2405'!AC5+'Finals 1'!AD5+'Finals 2'!AD5</f>
        <v>26</v>
      </c>
      <c r="AG6" s="101">
        <f>Table2[[#This Row],[Finishes]]/($AE$2-Table2[[#This Row],[DNP]])</f>
        <v>1.8571428571428572</v>
      </c>
      <c r="AH6" s="61">
        <f>'2404'!AD5+'2604'!AD5+'0205'!AD5+'0305'!AD5+'0805'!AD5+'0905'!AD5+'1005'!AD5+'1505'!AD5+'1605'!AD5+'1705'!AD5+'2205'!AD5+'2305'!AD5+'2405'!AD5+'Finals 1'!AE5+'Finals 2'!AE5</f>
        <v>0</v>
      </c>
      <c r="AI6" s="101">
        <f>Table2[[#This Row],[Midranges]]/($AE$2-Table2[[#This Row],[DNP]])</f>
        <v>0</v>
      </c>
      <c r="AJ6" s="61">
        <f>'2404'!AE5+'2604'!AE5+'0205'!AE5+'0305'!AE5+'0805'!AE5+'0905'!AE5+'1005'!AE5+'1505'!AE5+'1605'!AE5+'1705'!AE5+'2205'!AE5+'2305'!AE5+'2405'!AE5+'Finals 1'!AF5+'Finals 2'!AF5</f>
        <v>0</v>
      </c>
      <c r="AK6" s="62">
        <f>Table2[[#This Row],[Threes]]/($AE$2-Table2[[#This Row],[DNP]])</f>
        <v>0</v>
      </c>
      <c r="AL6" s="89">
        <f>'Stats Global'!Z10</f>
        <v>3</v>
      </c>
      <c r="AM6" s="63">
        <f>'Finals 1'!AD5+'Finals 2'!AD5+'Finals 1'!AE5+'Finals 2'!AE5+'Finals 1'!AF5+'Finals 2'!AF5</f>
        <v>6</v>
      </c>
      <c r="AN6" s="89">
        <f>'Stats Global'!AB69-Table2[[#This Row],[Finals]]</f>
        <v>13</v>
      </c>
      <c r="AP6" s="41">
        <f>'Stats Global'!R10-Table2[[#This Row],[Avg P]]</f>
        <v>1.2857142857142856</v>
      </c>
      <c r="AQ6" s="55">
        <f>Table2[[#This Row],[Avg P]]/(Table2[[#This Row],[Avg P]]+AP6)</f>
        <v>0.59090909090909094</v>
      </c>
      <c r="AS6" s="157" t="s">
        <v>38</v>
      </c>
      <c r="AT6" s="157">
        <v>6</v>
      </c>
      <c r="AU6" s="160">
        <v>1</v>
      </c>
    </row>
    <row r="7" spans="1:47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28"/>
      <c r="M7" s="128">
        <v>1</v>
      </c>
      <c r="N7" s="128">
        <v>1</v>
      </c>
      <c r="O7" s="128">
        <v>1</v>
      </c>
      <c r="P7" s="128"/>
      <c r="Q7" s="129">
        <v>1</v>
      </c>
      <c r="S7" s="17">
        <f>COUNTIF('0305'!$X$4:$X$26,"LG/WW")</f>
        <v>4</v>
      </c>
      <c r="T7" s="17">
        <f>COUNTIF('0305'!$Y$4:$Y$26,"WW/LG")</f>
        <v>2</v>
      </c>
      <c r="U7" s="141">
        <f t="shared" si="0"/>
        <v>0.66666666666666663</v>
      </c>
      <c r="V7" s="128" t="s">
        <v>178</v>
      </c>
      <c r="X7" s="17">
        <f>COUNTIF('0305'!$X$4:$X$26,"LG/5M")</f>
        <v>3</v>
      </c>
      <c r="Y7" s="17">
        <f>COUNTIF('0305'!$Z$4:$Z$26,"5M/LG")</f>
        <v>6</v>
      </c>
      <c r="Z7" s="141">
        <f t="shared" si="1"/>
        <v>0.33333333333333331</v>
      </c>
      <c r="AA7" s="128" t="s">
        <v>62</v>
      </c>
      <c r="AC7" s="3" t="s">
        <v>44</v>
      </c>
      <c r="AD7" s="59">
        <f>Table2[[#This Row],[Finishes]]+Table2[[#This Row],[Midranges]]+Table2[[#This Row],[Threes]]+Table2[[#This Row],[Threes]]</f>
        <v>23</v>
      </c>
      <c r="AE7" s="60">
        <f>Table2[[#This Row],[Points]]/($AE$2-Table2[[#This Row],[DNP]])</f>
        <v>1.4375</v>
      </c>
      <c r="AF7" s="61">
        <f>'2404'!AC6+'2604'!AC6+'0205'!AC6+'0305'!AC6+'0805'!AC6+'0905'!AC6+'1005'!AC6+'1505'!AC6+'1605'!AC6+'1705'!AC6+'2205'!AC6+'2305'!AC6+'2405'!AC6+'Finals 1'!AD6+'Finals 2'!AD6</f>
        <v>21</v>
      </c>
      <c r="AG7" s="101">
        <f>Table2[[#This Row],[Finishes]]/($AE$2-Table2[[#This Row],[DNP]])</f>
        <v>1.3125</v>
      </c>
      <c r="AH7" s="61">
        <f>'2404'!AD6+'2604'!AD6+'0205'!AD6+'0305'!AD6+'0805'!AD6+'0905'!AD6+'1005'!AD6+'1505'!AD6+'1605'!AD6+'1705'!AD6+'2205'!AD6+'2305'!AD6+'2405'!AD6+'Finals 1'!AE6+'Finals 2'!AE6</f>
        <v>2</v>
      </c>
      <c r="AI7" s="101">
        <f>Table2[[#This Row],[Midranges]]/($AE$2-Table2[[#This Row],[DNP]])</f>
        <v>0.125</v>
      </c>
      <c r="AJ7" s="61">
        <f>'2404'!AE6+'2604'!AE6+'0205'!AE6+'0305'!AE6+'0805'!AE6+'0905'!AE6+'1005'!AE6+'1505'!AE6+'1605'!AE6+'1705'!AE6+'2205'!AE6+'2305'!AE6+'2405'!AE6+'Finals 1'!AF6+'Finals 2'!AF6</f>
        <v>0</v>
      </c>
      <c r="AK7" s="62">
        <f>Table2[[#This Row],[Threes]]/($AE$2-Table2[[#This Row],[DNP]])</f>
        <v>0</v>
      </c>
      <c r="AL7" s="89">
        <f>'Stats Global'!Z11</f>
        <v>1</v>
      </c>
      <c r="AM7" s="63">
        <f>'Finals 1'!AD6+'Finals 2'!AD6+'Finals 1'!AE6+'Finals 2'!AE6+'Finals 1'!AF6+'Finals 2'!AF6</f>
        <v>0</v>
      </c>
      <c r="AN7" s="89">
        <f>'Stats Global'!AB70-Table2[[#This Row],[Finals]]</f>
        <v>7</v>
      </c>
      <c r="AP7" s="41">
        <f>'Stats Global'!R11-Table2[[#This Row],[Avg P]]</f>
        <v>1.375</v>
      </c>
      <c r="AQ7" s="55">
        <f>Table2[[#This Row],[Avg P]]/(Table2[[#This Row],[Avg P]]+AP7)</f>
        <v>0.51111111111111107</v>
      </c>
      <c r="AS7" s="158" t="s">
        <v>44</v>
      </c>
      <c r="AT7" s="158">
        <v>0</v>
      </c>
      <c r="AU7" s="161">
        <v>1</v>
      </c>
    </row>
    <row r="8" spans="1:47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28">
        <v>1</v>
      </c>
      <c r="M8" s="128">
        <v>1</v>
      </c>
      <c r="N8" s="128"/>
      <c r="O8" s="128"/>
      <c r="P8" s="128"/>
      <c r="Q8" s="129"/>
      <c r="S8" s="17">
        <f>COUNTIF('0805'!$X$4:$X$26,"LG/WW")</f>
        <v>3</v>
      </c>
      <c r="T8" s="17">
        <f>COUNTIF('0805'!$Y$4:$Y$26,"WW/LG")</f>
        <v>2</v>
      </c>
      <c r="U8" s="141">
        <f t="shared" si="0"/>
        <v>0.6</v>
      </c>
      <c r="V8" s="128" t="s">
        <v>187</v>
      </c>
      <c r="X8" s="17">
        <f>COUNTIF('0805'!$X$4:$X$26,"LG/5M")</f>
        <v>1</v>
      </c>
      <c r="Y8" s="17">
        <f>COUNTIF('0805'!$Z$4:$Z$26,"5M/LG")</f>
        <v>4</v>
      </c>
      <c r="Z8" s="141">
        <f t="shared" si="1"/>
        <v>0.2</v>
      </c>
      <c r="AA8" s="128" t="s">
        <v>62</v>
      </c>
      <c r="AC8" s="3" t="s">
        <v>46</v>
      </c>
      <c r="AD8" s="59">
        <f>Table2[[#This Row],[Finishes]]+Table2[[#This Row],[Midranges]]+Table2[[#This Row],[Threes]]+Table2[[#This Row],[Threes]]</f>
        <v>13</v>
      </c>
      <c r="AE8" s="60">
        <f>Table2[[#This Row],[Points]]/($AE$2-Table2[[#This Row],[DNP]])</f>
        <v>0.76470588235294112</v>
      </c>
      <c r="AF8" s="61">
        <f>'2404'!AC7+'2604'!AC7+'0205'!AC7+'0305'!AC7+'0805'!AC7+'0905'!AC7+'1005'!AC7+'1505'!AC7+'1605'!AC7+'1705'!AC7+'2205'!AC7+'2305'!AC7+'2405'!AC7+'Finals 1'!AD7+'Finals 2'!AD7</f>
        <v>6</v>
      </c>
      <c r="AG8" s="101">
        <f>Table2[[#This Row],[Finishes]]/($AE$2-Table2[[#This Row],[DNP]])</f>
        <v>0.35294117647058826</v>
      </c>
      <c r="AH8" s="61">
        <f>'2404'!AD7+'2604'!AD7+'0205'!AD7+'0305'!AD7+'0805'!AD7+'0905'!AD7+'1005'!AD7+'1505'!AD7+'1605'!AD7+'1705'!AD7+'2205'!AD7+'2305'!AD7+'2405'!AD7+'Finals 1'!AE7+'Finals 2'!AE7</f>
        <v>5</v>
      </c>
      <c r="AI8" s="101">
        <f>Table2[[#This Row],[Midranges]]/($AE$2-Table2[[#This Row],[DNP]])</f>
        <v>0.29411764705882354</v>
      </c>
      <c r="AJ8" s="61">
        <f>'2404'!AE7+'2604'!AE7+'0205'!AE7+'0305'!AE7+'0805'!AE7+'0905'!AE7+'1005'!AE7+'1505'!AE7+'1605'!AE7+'1705'!AE7+'2205'!AE7+'2305'!AE7+'2405'!AE7+'Finals 1'!AF7+'Finals 2'!AF7</f>
        <v>1</v>
      </c>
      <c r="AK8" s="62">
        <f>Table2[[#This Row],[Threes]]/($AE$2-Table2[[#This Row],[DNP]])</f>
        <v>5.8823529411764705E-2</v>
      </c>
      <c r="AL8" s="89">
        <f>'Stats Global'!Z12</f>
        <v>0</v>
      </c>
      <c r="AM8" s="63">
        <f>'Finals 1'!AD7+'Finals 2'!AD7+'Finals 1'!AE7+'Finals 2'!AE7+'Finals 1'!AF7+'Finals 2'!AF7</f>
        <v>0</v>
      </c>
      <c r="AN8" s="89">
        <f>'Stats Global'!AB71-Table2[[#This Row],[Finals]]</f>
        <v>10</v>
      </c>
      <c r="AP8" s="41">
        <f>'Stats Global'!R12-Table2[[#This Row],[Avg P]]</f>
        <v>1.2941176470588234</v>
      </c>
      <c r="AQ8" s="55">
        <f>Table2[[#This Row],[Avg P]]/(Table2[[#This Row],[Avg P]]+AP8)</f>
        <v>0.37142857142857144</v>
      </c>
      <c r="AS8" s="157" t="s">
        <v>46</v>
      </c>
      <c r="AT8" s="157">
        <v>0</v>
      </c>
      <c r="AU8" s="160">
        <v>4</v>
      </c>
    </row>
    <row r="9" spans="1:47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200</v>
      </c>
      <c r="I9" s="1" t="s">
        <v>113</v>
      </c>
      <c r="J9" s="18"/>
      <c r="L9" s="128"/>
      <c r="M9" s="128">
        <v>1</v>
      </c>
      <c r="N9" s="128"/>
      <c r="O9" s="128">
        <v>1</v>
      </c>
      <c r="P9" s="128">
        <v>1</v>
      </c>
      <c r="Q9" s="129"/>
      <c r="S9" s="17">
        <f>COUNTIF('0905'!$X$4:$X$40,"LG/WW")</f>
        <v>1</v>
      </c>
      <c r="T9" s="17">
        <f>COUNTIF('0905'!$Y$4:$Y$40,"WW/LG")</f>
        <v>11</v>
      </c>
      <c r="U9" s="141">
        <f t="shared" si="0"/>
        <v>8.3333333333333329E-2</v>
      </c>
      <c r="V9" s="128" t="s">
        <v>65</v>
      </c>
      <c r="X9" s="17">
        <f>COUNTIF('0905'!$X$4:$X$40,"LG/5M")</f>
        <v>4</v>
      </c>
      <c r="Y9" s="17">
        <f>COUNTIF('0905'!$Z$4:$Z$40,"5M/LG")</f>
        <v>2</v>
      </c>
      <c r="Z9" s="141">
        <f t="shared" si="1"/>
        <v>0.66666666666666663</v>
      </c>
      <c r="AA9" s="128" t="s">
        <v>169</v>
      </c>
      <c r="AC9" s="3" t="s">
        <v>51</v>
      </c>
      <c r="AD9" s="59">
        <f>Table2[[#This Row],[Finishes]]+Table2[[#This Row],[Midranges]]+Table2[[#This Row],[Threes]]+Table2[[#This Row],[Threes]]</f>
        <v>5</v>
      </c>
      <c r="AE9" s="60">
        <f>Table2[[#This Row],[Points]]/($AE$2-Table2[[#This Row],[DNP]])</f>
        <v>0.35714285714285715</v>
      </c>
      <c r="AF9" s="61">
        <f>'2404'!AC8+'2604'!AC8+'0205'!AC8+'0305'!AC8+'0805'!AC8+'0905'!AC8+'1005'!AC8+'1505'!AC8+'1605'!AC8+'1705'!AC8+'2205'!AC8+'2305'!AC8+'2405'!AC8+'Finals 1'!AD8+'Finals 2'!AD8</f>
        <v>2</v>
      </c>
      <c r="AG9" s="101">
        <f>Table2[[#This Row],[Finishes]]/($AE$2-Table2[[#This Row],[DNP]])</f>
        <v>0.14285714285714285</v>
      </c>
      <c r="AH9" s="61">
        <f>'2404'!AD8+'2604'!AD8+'0205'!AD8+'0305'!AD8+'0805'!AD8+'0905'!AD8+'1005'!AD8+'1505'!AD8+'1605'!AD8+'1705'!AD8+'2205'!AD8+'2305'!AD8+'2405'!AD8+'Finals 1'!AE8+'Finals 2'!AE8</f>
        <v>3</v>
      </c>
      <c r="AI9" s="101">
        <f>Table2[[#This Row],[Midranges]]/($AE$2-Table2[[#This Row],[DNP]])</f>
        <v>0.21428571428571427</v>
      </c>
      <c r="AJ9" s="61">
        <f>'2404'!AE8+'2604'!AE8+'0205'!AE8+'0305'!AE8+'0805'!AE8+'0905'!AE8+'1005'!AE8+'1505'!AE8+'1605'!AE8+'1705'!AE8+'2205'!AE8+'2305'!AE8+'2405'!AE8+'Finals 1'!AF8+'Finals 2'!AF8</f>
        <v>0</v>
      </c>
      <c r="AK9" s="62">
        <f>Table2[[#This Row],[Threes]]/($AE$2-Table2[[#This Row],[DNP]])</f>
        <v>0</v>
      </c>
      <c r="AL9" s="89">
        <f>'Stats Global'!Z13</f>
        <v>3</v>
      </c>
      <c r="AM9" s="63">
        <f>'Finals 1'!AD8+'Finals 2'!AD8+'Finals 1'!AE8+'Finals 2'!AE8+'Finals 1'!AF8+'Finals 2'!AF8</f>
        <v>2</v>
      </c>
      <c r="AN9" s="89">
        <f>'Stats Global'!AB72-Table2[[#This Row],[Finals]]</f>
        <v>7</v>
      </c>
      <c r="AP9" s="41">
        <f>'Stats Global'!R13-Table2[[#This Row],[Avg P]]</f>
        <v>0.78571428571428559</v>
      </c>
      <c r="AQ9" s="55">
        <f>Table2[[#This Row],[Avg P]]/(Table2[[#This Row],[Avg P]]+AP9)</f>
        <v>0.3125</v>
      </c>
      <c r="AS9" s="158" t="s">
        <v>51</v>
      </c>
      <c r="AT9" s="158">
        <v>2</v>
      </c>
      <c r="AU9" s="161">
        <v>1</v>
      </c>
    </row>
    <row r="10" spans="1:47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28"/>
      <c r="M10" s="128">
        <v>2</v>
      </c>
      <c r="N10" s="128">
        <v>1</v>
      </c>
      <c r="O10" s="128">
        <v>1</v>
      </c>
      <c r="P10" s="128">
        <v>1</v>
      </c>
      <c r="Q10" s="129"/>
      <c r="S10" s="17">
        <f>COUNTIF('1005'!$X$4:$X$40,"LG/WW")</f>
        <v>6</v>
      </c>
      <c r="T10" s="17">
        <f>COUNTIF('1005'!$Y$4:$Y$40,"WW/LG")</f>
        <v>6</v>
      </c>
      <c r="U10" s="141">
        <f t="shared" si="0"/>
        <v>0.5</v>
      </c>
      <c r="V10" s="128" t="s">
        <v>65</v>
      </c>
      <c r="X10" s="17">
        <f>COUNTIF('1005'!$X$4:$X$40,"LG/5M")</f>
        <v>7</v>
      </c>
      <c r="Y10" s="17">
        <f>COUNTIF('1005'!$Z$4:$Z$40,"5M/LG")</f>
        <v>1</v>
      </c>
      <c r="Z10" s="141">
        <f t="shared" si="1"/>
        <v>0.875</v>
      </c>
      <c r="AA10" s="128" t="s">
        <v>55</v>
      </c>
      <c r="AC10" s="114" t="s">
        <v>53</v>
      </c>
      <c r="AD10" s="115">
        <f>Table2[[#This Row],[Finishes]]+Table2[[#This Row],[Midranges]]+Table2[[#This Row],[Threes]]+Table2[[#This Row],[Threes]]</f>
        <v>14</v>
      </c>
      <c r="AE10" s="116">
        <f>Table2[[#This Row],[Points]]/($AE$2-Table2[[#This Row],[DNP]])</f>
        <v>0.82352941176470584</v>
      </c>
      <c r="AF10" s="117">
        <f>'2404'!AC9+'2604'!AC9+'0205'!AC9+'0305'!AC9+'0805'!AC9+'0905'!AC9+'1005'!AC9+'1505'!AC9+'1605'!AC9+'1705'!AC9+'2205'!AC9+'2305'!AC9+'2405'!AC9+'Finals 1'!AD9+'Finals 2'!AD9</f>
        <v>1</v>
      </c>
      <c r="AG10" s="118">
        <f>Table2[[#This Row],[Finishes]]/($AE$2-Table2[[#This Row],[DNP]])</f>
        <v>5.8823529411764705E-2</v>
      </c>
      <c r="AH10" s="117">
        <f>'2404'!AD9+'2604'!AD9+'0205'!AD9+'0305'!AD9+'0805'!AD9+'0905'!AD9+'1005'!AD9+'1505'!AD9+'1605'!AD9+'1705'!AD9+'2205'!AD9+'2305'!AD9+'2405'!AD9+'Finals 1'!AE9+'Finals 2'!AE9</f>
        <v>1</v>
      </c>
      <c r="AI10" s="118">
        <f>Table2[[#This Row],[Midranges]]/($AE$2-Table2[[#This Row],[DNP]])</f>
        <v>5.8823529411764705E-2</v>
      </c>
      <c r="AJ10" s="117">
        <f>'2404'!AE9+'2604'!AE9+'0205'!AE9+'0305'!AE9+'0805'!AE9+'0905'!AE9+'1005'!AE9+'1505'!AE9+'1605'!AE9+'1705'!AE9+'2205'!AE9+'2305'!AE9+'2405'!AE9+'Finals 1'!AF9+'Finals 2'!AF9</f>
        <v>6</v>
      </c>
      <c r="AK10" s="119">
        <f>Table2[[#This Row],[Threes]]/($AE$2-Table2[[#This Row],[DNP]])</f>
        <v>0.35294117647058826</v>
      </c>
      <c r="AL10" s="120">
        <f>'Stats Global'!Z14</f>
        <v>0</v>
      </c>
      <c r="AM10" s="63">
        <f>'Finals 1'!AD9+'Finals 2'!AD9+'Finals 1'!AE9+'Finals 2'!AE9+'Finals 1'!AF9+'Finals 2'!AF9</f>
        <v>3</v>
      </c>
      <c r="AN10" s="89">
        <f>'Stats Global'!AB73-Table2[[#This Row],[Finals]]</f>
        <v>6</v>
      </c>
      <c r="AP10" s="121">
        <f>'Stats Global'!R14-Table2[[#This Row],[Avg P]]</f>
        <v>0.76470588235294112</v>
      </c>
      <c r="AQ10" s="123">
        <f>Table2[[#This Row],[Avg P]]/(Table2[[#This Row],[Avg P]]+AP10)</f>
        <v>0.51851851851851849</v>
      </c>
      <c r="AS10" s="159" t="s">
        <v>53</v>
      </c>
      <c r="AT10" s="157">
        <v>3</v>
      </c>
      <c r="AU10" s="160">
        <v>4</v>
      </c>
    </row>
    <row r="11" spans="1:47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217</v>
      </c>
      <c r="F11" t="s">
        <v>53</v>
      </c>
      <c r="I11" s="1" t="s">
        <v>115</v>
      </c>
      <c r="J11" s="18"/>
      <c r="L11" s="128"/>
      <c r="M11" s="128"/>
      <c r="N11" s="128">
        <v>1</v>
      </c>
      <c r="O11" s="128">
        <v>1</v>
      </c>
      <c r="P11" s="128">
        <v>1</v>
      </c>
      <c r="Q11" s="128">
        <v>1</v>
      </c>
      <c r="S11" s="17">
        <f>COUNTIF('1505'!$X$4:$X$40,"LG/WW")</f>
        <v>2</v>
      </c>
      <c r="T11" s="17">
        <f>COUNTIF('1505'!$Y$4:$Y$40,"WW/LG")</f>
        <v>7</v>
      </c>
      <c r="U11" s="141">
        <f t="shared" si="0"/>
        <v>0.22222222222222221</v>
      </c>
      <c r="V11" s="128"/>
      <c r="X11" s="17">
        <f>COUNTIF('1505'!$X$4:$X$40,"LG/5M")</f>
        <v>4</v>
      </c>
      <c r="Y11" s="17">
        <f>COUNTIF('1505'!$Z$4:$Z$40,"5M/LG")</f>
        <v>0</v>
      </c>
      <c r="Z11" s="141">
        <f t="shared" si="1"/>
        <v>1</v>
      </c>
      <c r="AA11" s="128"/>
      <c r="AC11" s="114" t="s">
        <v>56</v>
      </c>
      <c r="AD11" s="115">
        <f>Table2[[#This Row],[Finishes]]+Table2[[#This Row],[Midranges]]+Table2[[#This Row],[Threes]]+Table2[[#This Row],[Threes]]</f>
        <v>10</v>
      </c>
      <c r="AE11" s="116">
        <f>Table2[[#This Row],[Points]]/($AE$2-Table2[[#This Row],[DNP]])</f>
        <v>0.58823529411764708</v>
      </c>
      <c r="AF11" s="117">
        <f>'2404'!AC10+'2604'!AC10+'0205'!AC10+'0305'!AC10+'0805'!AC10+'0905'!AC10+'1005'!AC10+'1505'!AC10+'1605'!AC10+'1705'!AC10+'2205'!AC10+'2305'!AC10+'2405'!AC10+'Finals 1'!AD10+'Finals 2'!AD10</f>
        <v>2</v>
      </c>
      <c r="AG11" s="118">
        <f>Table2[[#This Row],[Finishes]]/($AE$2-Table2[[#This Row],[DNP]])</f>
        <v>0.11764705882352941</v>
      </c>
      <c r="AH11" s="117">
        <f>'2404'!AD10+'2604'!AD10+'0205'!AD10+'0305'!AD10+'0805'!AD10+'0905'!AD10+'1005'!AD10+'1505'!AD10+'1605'!AD10+'1705'!AD10+'2205'!AD10+'2305'!AD10+'2405'!AD10+'Finals 1'!AE10+'Finals 2'!AE10</f>
        <v>8</v>
      </c>
      <c r="AI11" s="118">
        <f>Table2[[#This Row],[Midranges]]/($AE$2-Table2[[#This Row],[DNP]])</f>
        <v>0.47058823529411764</v>
      </c>
      <c r="AJ11" s="117">
        <f>'2404'!AE10+'2604'!AE10+'0205'!AE10+'0305'!AE10+'0805'!AE10+'0905'!AE10+'1005'!AE10+'1505'!AE10+'1605'!AE10+'1705'!AE10+'2205'!AE10+'2305'!AE10+'2405'!AE10+'Finals 1'!AF10+'Finals 2'!AF10</f>
        <v>0</v>
      </c>
      <c r="AK11" s="119">
        <f>Table2[[#This Row],[Threes]]/($AE$2-Table2[[#This Row],[DNP]])</f>
        <v>0</v>
      </c>
      <c r="AL11" s="120">
        <f>'Stats Global'!Z15</f>
        <v>0</v>
      </c>
      <c r="AM11" s="63">
        <f>'Finals 1'!AD10+'Finals 2'!AD10+'Finals 1'!AE10+'Finals 2'!AE10+'Finals 1'!AF10+'Finals 2'!AF10</f>
        <v>2</v>
      </c>
      <c r="AN11" s="89">
        <f>'Stats Global'!AB74-Table2[[#This Row],[Finals]]</f>
        <v>4</v>
      </c>
      <c r="AP11" s="121">
        <f>'Stats Global'!R15-Table2[[#This Row],[Avg P]]</f>
        <v>0.82352941176470595</v>
      </c>
      <c r="AQ11" s="123">
        <f>Table2[[#This Row],[Avg P]]/(Table2[[#This Row],[Avg P]]+AP11)</f>
        <v>0.41666666666666663</v>
      </c>
      <c r="AS11" s="159" t="s">
        <v>56</v>
      </c>
      <c r="AT11" s="158">
        <v>2</v>
      </c>
      <c r="AU11" s="161">
        <v>3</v>
      </c>
    </row>
    <row r="12" spans="1:47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218</v>
      </c>
      <c r="F12" t="s">
        <v>72</v>
      </c>
      <c r="I12" s="1" t="s">
        <v>116</v>
      </c>
      <c r="J12" s="18"/>
      <c r="L12" s="128"/>
      <c r="M12" s="128"/>
      <c r="N12" s="128"/>
      <c r="O12" s="128"/>
      <c r="P12" s="128"/>
      <c r="Q12" s="128"/>
      <c r="S12" s="17">
        <f>COUNTIF('1605'!$X$4:$X$40,"LG/WW")</f>
        <v>2</v>
      </c>
      <c r="T12" s="17">
        <f>COUNTIF('1605'!$Y$4:$Y$40,"WW/LG")</f>
        <v>4</v>
      </c>
      <c r="U12" s="141">
        <f t="shared" si="0"/>
        <v>0.33333333333333331</v>
      </c>
      <c r="V12" s="128"/>
      <c r="X12" s="17">
        <f>COUNTIF('1605'!$X$4:$X$40,"LG/5M")</f>
        <v>3</v>
      </c>
      <c r="Y12" s="17">
        <f>COUNTIF('1605'!$Z$4:$Z$40,"5M/LG")</f>
        <v>6</v>
      </c>
      <c r="Z12" s="141">
        <f t="shared" si="1"/>
        <v>0.33333333333333331</v>
      </c>
      <c r="AA12" s="128"/>
      <c r="AC12" s="3" t="s">
        <v>60</v>
      </c>
      <c r="AD12" s="59">
        <f>Table2[[#This Row],[Finishes]]+Table2[[#This Row],[Midranges]]+Table2[[#This Row],[Threes]]+Table2[[#This Row],[Threes]]</f>
        <v>11</v>
      </c>
      <c r="AE12" s="60">
        <f>Table2[[#This Row],[Points]]/($AE$2-Table2[[#This Row],[DNP]])</f>
        <v>0.73333333333333328</v>
      </c>
      <c r="AF12" s="61">
        <f>'2404'!AC11+'2604'!AC11+'0205'!AC11+'0305'!AC11+'0805'!AC11+'0905'!AC11+'1005'!AC11+'1505'!AC11+'1605'!AC11+'1705'!AC11+'2205'!AC11+'2305'!AC11+'2405'!AC11+'Finals 1'!AD11+'Finals 2'!AD11</f>
        <v>2</v>
      </c>
      <c r="AG12" s="101">
        <f>Table2[[#This Row],[Finishes]]/($AE$2-Table2[[#This Row],[DNP]])</f>
        <v>0.13333333333333333</v>
      </c>
      <c r="AH12" s="61">
        <f>'2404'!AD11+'2604'!AD11+'0205'!AD11+'0305'!AD11+'0805'!AD11+'0905'!AD11+'1005'!AD11+'1505'!AD11+'1605'!AD11+'1705'!AD11+'2205'!AD11+'2305'!AD11+'2405'!AD11+'Finals 1'!AE11+'Finals 2'!AE11</f>
        <v>9</v>
      </c>
      <c r="AI12" s="101">
        <f>Table2[[#This Row],[Midranges]]/($AE$2-Table2[[#This Row],[DNP]])</f>
        <v>0.6</v>
      </c>
      <c r="AJ12" s="61">
        <f>'2404'!AE11+'2604'!AE11+'0205'!AE11+'0305'!AE11+'0805'!AE11+'0905'!AE11+'1005'!AE11+'1505'!AE11+'1605'!AE11+'1705'!AE11+'2205'!AE11+'2305'!AE11+'2405'!AE11+'Finals 1'!AF11+'Finals 2'!AF11</f>
        <v>0</v>
      </c>
      <c r="AK12" s="62">
        <f>Table2[[#This Row],[Threes]]/($AE$2-Table2[[#This Row],[DNP]])</f>
        <v>0</v>
      </c>
      <c r="AL12" s="89">
        <f>'Stats Global'!Z16</f>
        <v>2</v>
      </c>
      <c r="AM12" s="63">
        <f>'Finals 1'!AD11+'Finals 2'!AD11+'Finals 1'!AE11+'Finals 2'!AE11+'Finals 1'!AF11+'Finals 2'!AF11</f>
        <v>1</v>
      </c>
      <c r="AN12" s="89">
        <f>'Stats Global'!AB75-Table2[[#This Row],[Finals]]</f>
        <v>8</v>
      </c>
      <c r="AP12" s="41">
        <f>'Stats Global'!R16-Table2[[#This Row],[Avg P]]</f>
        <v>1.7999999999999998</v>
      </c>
      <c r="AQ12" s="55">
        <f>Table2[[#This Row],[Avg P]]/(Table2[[#This Row],[Avg P]]+AP12)</f>
        <v>0.28947368421052633</v>
      </c>
      <c r="AS12" s="157" t="s">
        <v>60</v>
      </c>
      <c r="AT12" s="157">
        <v>1</v>
      </c>
      <c r="AU12" s="160">
        <v>0</v>
      </c>
    </row>
    <row r="13" spans="1:47" ht="14.35" customHeight="1" x14ac:dyDescent="0.45">
      <c r="A13" s="4">
        <f>'1705'!$C$2</f>
        <v>45063</v>
      </c>
      <c r="B13" s="16">
        <f>'1705'!$L$3</f>
        <v>6</v>
      </c>
      <c r="C13" s="16">
        <f>'1705'!$M$3</f>
        <v>4</v>
      </c>
      <c r="D13" s="16">
        <f>'1705'!$O$3</f>
        <v>3</v>
      </c>
      <c r="E13" t="s">
        <v>219</v>
      </c>
      <c r="F13" t="s">
        <v>56</v>
      </c>
      <c r="I13" s="1" t="s">
        <v>117</v>
      </c>
      <c r="J13" s="18" cm="1">
        <f t="array" ref="J13">SUM(B4:B16/SUM(B4:C16))</f>
        <v>0.49044585987261141</v>
      </c>
      <c r="L13" s="128"/>
      <c r="M13" s="128"/>
      <c r="N13" s="128"/>
      <c r="O13" s="128"/>
      <c r="P13" s="128"/>
      <c r="Q13" s="128"/>
      <c r="S13" s="17">
        <f>COUNTIF('1705'!$X$4:$X$40,"LG/WW")</f>
        <v>3</v>
      </c>
      <c r="T13" s="17">
        <f>COUNTIF('1705'!$Y$4:$Y$40,"WW/LG")</f>
        <v>1</v>
      </c>
      <c r="U13" s="141">
        <f t="shared" si="0"/>
        <v>0.75</v>
      </c>
      <c r="V13" s="128"/>
      <c r="X13" s="17">
        <f>COUNTIF('1705'!$X$4:$X$40,"LG/5M")</f>
        <v>3</v>
      </c>
      <c r="Y13" s="17">
        <f>COUNTIF('1705'!$Z$4:$Z$40,"5M/LG")</f>
        <v>3</v>
      </c>
      <c r="Z13" s="141">
        <f t="shared" si="1"/>
        <v>0.5</v>
      </c>
      <c r="AA13" s="128"/>
      <c r="AC13" s="3" t="s">
        <v>63</v>
      </c>
      <c r="AD13" s="59">
        <f>Table2[[#This Row],[Finishes]]+Table2[[#This Row],[Midranges]]+Table2[[#This Row],[Threes]]+Table2[[#This Row],[Threes]]</f>
        <v>3</v>
      </c>
      <c r="AE13" s="60">
        <f>Table2[[#This Row],[Points]]/($AE$2-Table2[[#This Row],[DNP]])</f>
        <v>0.1875</v>
      </c>
      <c r="AF13" s="61">
        <f>'2404'!AC12+'2604'!AC12+'0205'!AC12+'0305'!AC12+'0805'!AC12+'0905'!AC12+'1005'!AC12+'1505'!AC12+'1605'!AC12+'1705'!AC12+'2205'!AC12+'2305'!AC12+'2405'!AC12+'Finals 1'!AD12+'Finals 2'!AD12</f>
        <v>1</v>
      </c>
      <c r="AG13" s="101">
        <f>Table2[[#This Row],[Finishes]]/($AE$2-Table2[[#This Row],[DNP]])</f>
        <v>6.25E-2</v>
      </c>
      <c r="AH13" s="61">
        <f>'2404'!AD12+'2604'!AD12+'0205'!AD12+'0305'!AD12+'0805'!AD12+'0905'!AD12+'1005'!AD12+'1505'!AD12+'1605'!AD12+'1705'!AD12+'2205'!AD12+'2305'!AD12+'2405'!AD12+'Finals 1'!AE12+'Finals 2'!AE12</f>
        <v>2</v>
      </c>
      <c r="AI13" s="101">
        <f>Table2[[#This Row],[Midranges]]/($AE$2-Table2[[#This Row],[DNP]])</f>
        <v>0.125</v>
      </c>
      <c r="AJ13" s="61">
        <f>'2404'!AE12+'2604'!AE12+'0205'!AE12+'0305'!AE12+'0805'!AE12+'0905'!AE12+'1005'!AE12+'1505'!AE12+'1605'!AE12+'1705'!AE12+'2205'!AE12+'2305'!AE12+'2405'!AE12+'Finals 1'!AF12+'Finals 2'!AF12</f>
        <v>0</v>
      </c>
      <c r="AK13" s="62">
        <f>Table2[[#This Row],[Threes]]/($AE$2-Table2[[#This Row],[DNP]])</f>
        <v>0</v>
      </c>
      <c r="AL13" s="89">
        <f>'Stats Global'!Z17</f>
        <v>1</v>
      </c>
      <c r="AM13" s="63">
        <f>'Finals 1'!AD12+'Finals 2'!AD12+'Finals 1'!AE12+'Finals 2'!AE12+'Finals 1'!AF12+'Finals 2'!AF12</f>
        <v>0</v>
      </c>
      <c r="AN13" s="89">
        <f>'Stats Global'!AB76-Table2[[#This Row],[Finals]]</f>
        <v>3</v>
      </c>
      <c r="AP13" s="41">
        <f>'Stats Global'!R17-Table2[[#This Row],[Avg P]]</f>
        <v>0.6875</v>
      </c>
      <c r="AQ13" s="55">
        <f>Table2[[#This Row],[Avg P]]/(Table2[[#This Row],[Avg P]]+AP13)</f>
        <v>0.21428571428571427</v>
      </c>
      <c r="AS13" s="158" t="s">
        <v>63</v>
      </c>
      <c r="AT13" s="158">
        <v>0</v>
      </c>
      <c r="AU13" s="161">
        <v>1</v>
      </c>
    </row>
    <row r="14" spans="1:47" ht="14.35" customHeight="1" x14ac:dyDescent="0.45">
      <c r="A14" s="4">
        <f>'2205'!$C$2</f>
        <v>45068</v>
      </c>
      <c r="B14" s="16">
        <f>'2205'!$L$3</f>
        <v>2</v>
      </c>
      <c r="C14" s="16">
        <f>'2205'!$M$3</f>
        <v>7</v>
      </c>
      <c r="D14" s="16">
        <f>'2205'!$O$3</f>
        <v>2</v>
      </c>
      <c r="E14" t="s">
        <v>203</v>
      </c>
      <c r="F14" t="s">
        <v>223</v>
      </c>
      <c r="L14" s="128"/>
      <c r="M14" s="128"/>
      <c r="N14" s="128"/>
      <c r="O14" s="128"/>
      <c r="P14" s="128"/>
      <c r="Q14" s="128"/>
      <c r="S14" s="17">
        <f>COUNTIF('2205'!$X$4:$X$40,"LG/WW")</f>
        <v>1</v>
      </c>
      <c r="T14" s="17">
        <f>COUNTIF('2205'!$Y$4:$Y$40,"WW/LG")</f>
        <v>1</v>
      </c>
      <c r="U14" s="141">
        <f t="shared" si="0"/>
        <v>0.5</v>
      </c>
      <c r="V14" s="128"/>
      <c r="X14" s="17">
        <f>COUNTIF('2205'!$X$4:$X$40,"LG/5M")</f>
        <v>1</v>
      </c>
      <c r="Y14" s="17">
        <f>COUNTIF('2205'!$Z$4:$Z$40,"5M/LG")</f>
        <v>6</v>
      </c>
      <c r="Z14" s="141">
        <f t="shared" si="1"/>
        <v>0.14285714285714285</v>
      </c>
      <c r="AA14" s="128"/>
      <c r="AC14" s="3" t="s">
        <v>66</v>
      </c>
      <c r="AD14" s="89">
        <f>Table2[[#This Row],[Finishes]]+Table2[[#This Row],[Midranges]]+Table2[[#This Row],[Threes]]+Table2[[#This Row],[Threes]]</f>
        <v>6</v>
      </c>
      <c r="AE14" s="60">
        <f>Table2[[#This Row],[Points]]/($AE$2-Table2[[#This Row],[DNP]])</f>
        <v>0.4</v>
      </c>
      <c r="AF14" s="89">
        <f>'2404'!AC13+'2604'!AC13+'0205'!AC13+'0305'!AC13+'0805'!AC13+'0905'!AC13+'1005'!AC13+'1505'!AC13+'1605'!AC13+'1705'!AC13+'2205'!AC13+'2305'!AC13+'2405'!AC13+'Finals 1'!AD13+'Finals 2'!AD13</f>
        <v>3</v>
      </c>
      <c r="AG14" s="102">
        <f>Table2[[#This Row],[Finishes]]/($AE$2-Table2[[#This Row],[DNP]])</f>
        <v>0.2</v>
      </c>
      <c r="AH14" s="89">
        <f>'2404'!AD13+'2604'!AD13+'0205'!AD13+'0305'!AD13+'0805'!AD13+'0905'!AD13+'1005'!AD13+'1505'!AD13+'1605'!AD13+'1705'!AD13+'2205'!AD13+'2305'!AD13+'2405'!AD13+'Finals 1'!AE13+'Finals 2'!AE13</f>
        <v>1</v>
      </c>
      <c r="AI14" s="102">
        <f>Table2[[#This Row],[Midranges]]/($AE$2-Table2[[#This Row],[DNP]])</f>
        <v>6.6666666666666666E-2</v>
      </c>
      <c r="AJ14" s="89">
        <f>'2404'!AE13+'2604'!AE13+'0205'!AE13+'0305'!AE13+'0805'!AE13+'0905'!AE13+'1005'!AE13+'1505'!AE13+'1605'!AE13+'1705'!AE13+'2205'!AE13+'2305'!AE13+'2405'!AE13+'Finals 1'!AF13+'Finals 2'!AF13</f>
        <v>1</v>
      </c>
      <c r="AK14" s="88">
        <f>Table2[[#This Row],[Threes]]/($AE$2-Table2[[#This Row],[DNP]])</f>
        <v>6.6666666666666666E-2</v>
      </c>
      <c r="AL14" s="89">
        <f>'Stats Global'!Z18</f>
        <v>2</v>
      </c>
      <c r="AM14" s="63">
        <f>'Finals 1'!AD13+'Finals 2'!AD13+'Finals 1'!AE13+'Finals 2'!AE13+'Finals 1'!AF13+'Finals 2'!AF13</f>
        <v>1</v>
      </c>
      <c r="AN14" s="89">
        <f>'Stats Global'!AB77-Table2[[#This Row],[Finals]]</f>
        <v>3</v>
      </c>
      <c r="AP14" s="41">
        <f>'Stats Global'!R18-Table2[[#This Row],[Avg P]]</f>
        <v>0.66666666666666663</v>
      </c>
      <c r="AQ14" s="55">
        <f>Table2[[#This Row],[Avg P]]/(Table2[[#This Row],[Avg P]]+AP14)</f>
        <v>0.375</v>
      </c>
      <c r="AS14" s="157" t="s">
        <v>66</v>
      </c>
      <c r="AT14" s="157">
        <v>1</v>
      </c>
      <c r="AU14" s="160">
        <v>3</v>
      </c>
    </row>
    <row r="15" spans="1:47" ht="14.35" customHeight="1" x14ac:dyDescent="0.45">
      <c r="A15" s="4">
        <f>'2305'!$C$2</f>
        <v>45069</v>
      </c>
      <c r="B15" s="16">
        <f>'2305'!$L$3</f>
        <v>11</v>
      </c>
      <c r="C15" s="16">
        <f>'2305'!$M$3</f>
        <v>2</v>
      </c>
      <c r="D15" s="16">
        <f>'2305'!$O$3</f>
        <v>3</v>
      </c>
      <c r="E15" t="s">
        <v>72</v>
      </c>
      <c r="F15" t="s">
        <v>69</v>
      </c>
      <c r="L15" s="128"/>
      <c r="M15" s="128"/>
      <c r="N15" s="128"/>
      <c r="O15" s="128"/>
      <c r="P15" s="128"/>
      <c r="Q15" s="128"/>
      <c r="S15" s="17">
        <f>COUNTIF('2305'!$X$4:$X$40,"LG/WW")</f>
        <v>5</v>
      </c>
      <c r="T15" s="17">
        <f>COUNTIF('2305'!$Y$4:$Y$40,"WW/LG")</f>
        <v>2</v>
      </c>
      <c r="U15" s="141">
        <f t="shared" si="0"/>
        <v>0.7142857142857143</v>
      </c>
      <c r="V15" s="128"/>
      <c r="X15" s="17">
        <f>COUNTIF('2305'!$X$4:$X$40,"LG/5M")</f>
        <v>6</v>
      </c>
      <c r="Y15" s="17">
        <f>COUNTIF('2305'!$Z$4:$Z$40,"5M/LG")</f>
        <v>0</v>
      </c>
      <c r="Z15" s="141">
        <f t="shared" si="1"/>
        <v>1</v>
      </c>
      <c r="AA15" s="128"/>
      <c r="AC15" s="114" t="s">
        <v>69</v>
      </c>
      <c r="AD15" s="120">
        <f>Table2[[#This Row],[Finishes]]+Table2[[#This Row],[Midranges]]+Table2[[#This Row],[Threes]]+Table2[[#This Row],[Threes]]</f>
        <v>6</v>
      </c>
      <c r="AE15" s="116">
        <f>Table2[[#This Row],[Points]]/($AE$2-Table2[[#This Row],[DNP]])</f>
        <v>0.35294117647058826</v>
      </c>
      <c r="AF15" s="120">
        <f>'2404'!AC14+'2604'!AC14+'0205'!AC14+'0305'!AC14+'0805'!AC14+'0905'!AC14+'1005'!AC14+'1505'!AC14+'1605'!AC14+'1705'!AC14+'2205'!AC14+'2305'!AC14+'2405'!AC14+'Finals 1'!AD14+'Finals 2'!AD14</f>
        <v>4</v>
      </c>
      <c r="AG15" s="121">
        <f>Table2[[#This Row],[Finishes]]/($AE$2-Table2[[#This Row],[DNP]])</f>
        <v>0.23529411764705882</v>
      </c>
      <c r="AH15" s="120">
        <f>'2404'!AD14+'2604'!AD14+'0205'!AD14+'0305'!AD14+'0805'!AD14+'0905'!AD14+'1005'!AD14+'1505'!AD14+'1605'!AD14+'1705'!AD14+'2205'!AD14+'2305'!AD14+'2405'!AD14+'Finals 1'!AE14+'Finals 2'!AE14</f>
        <v>2</v>
      </c>
      <c r="AI15" s="121">
        <f>Table2[[#This Row],[Midranges]]/($AE$2-Table2[[#This Row],[DNP]])</f>
        <v>0.11764705882352941</v>
      </c>
      <c r="AJ15" s="120">
        <f>'2404'!AE14+'2604'!AE14+'0205'!AE14+'0305'!AE14+'0805'!AE14+'0905'!AE14+'1005'!AE14+'1505'!AE14+'1605'!AE14+'1705'!AE14+'2205'!AE14+'2305'!AE14+'2405'!AE14+'Finals 1'!AF14+'Finals 2'!AF14</f>
        <v>0</v>
      </c>
      <c r="AK15" s="122">
        <f>Table2[[#This Row],[Threes]]/($AE$2-Table2[[#This Row],[DNP]])</f>
        <v>0</v>
      </c>
      <c r="AL15" s="120">
        <f>'Stats Global'!Z19</f>
        <v>0</v>
      </c>
      <c r="AM15" s="63">
        <f>'Finals 1'!AD14+'Finals 2'!AD14+'Finals 1'!AE14+'Finals 2'!AE14+'Finals 1'!AF14+'Finals 2'!AF14</f>
        <v>0</v>
      </c>
      <c r="AN15" s="89">
        <f>'Stats Global'!AB78-Table2[[#This Row],[Finals]]</f>
        <v>4</v>
      </c>
      <c r="AP15" s="121">
        <f>'Stats Global'!R19-Table2[[#This Row],[Avg P]]</f>
        <v>0.70588235294117641</v>
      </c>
      <c r="AQ15" s="123">
        <f>Table2[[#This Row],[Avg P]]/(Table2[[#This Row],[Avg P]]+AP15)</f>
        <v>0.33333333333333337</v>
      </c>
      <c r="AS15" s="159" t="s">
        <v>69</v>
      </c>
      <c r="AT15" s="158">
        <v>0</v>
      </c>
      <c r="AU15" s="161">
        <v>0</v>
      </c>
    </row>
    <row r="16" spans="1:47" ht="14.35" customHeight="1" x14ac:dyDescent="0.45">
      <c r="A16" s="4">
        <f>'2405'!$C$2</f>
        <v>45070</v>
      </c>
      <c r="B16" s="16">
        <f>'2405'!$L$3</f>
        <v>4</v>
      </c>
      <c r="C16" s="16">
        <f>'2405'!$M$3</f>
        <v>2</v>
      </c>
      <c r="D16" s="16">
        <f>'2405'!$O$3</f>
        <v>3</v>
      </c>
      <c r="E16" t="s">
        <v>199</v>
      </c>
      <c r="F16" t="s">
        <v>227</v>
      </c>
      <c r="L16" s="128"/>
      <c r="M16" s="128"/>
      <c r="N16" s="128"/>
      <c r="O16" s="128"/>
      <c r="P16" s="128"/>
      <c r="Q16" s="128"/>
      <c r="S16" s="17">
        <f>COUNTIF('2405'!$X$4:$X$40,"LG/WW")</f>
        <v>2</v>
      </c>
      <c r="T16" s="17">
        <f>COUNTIF('2405'!$Y$4:$Y$40,"WW/LG")</f>
        <v>0</v>
      </c>
      <c r="U16" s="141">
        <f t="shared" si="0"/>
        <v>1</v>
      </c>
      <c r="V16" s="128"/>
      <c r="X16" s="17">
        <f>COUNTIF('2405'!$X$4:$X$40,"LG/5M")</f>
        <v>2</v>
      </c>
      <c r="Y16" s="17">
        <f>COUNTIF('2405'!$Z$4:$Z$40,"5M/LG")</f>
        <v>2</v>
      </c>
      <c r="Z16" s="141">
        <f t="shared" si="1"/>
        <v>0.5</v>
      </c>
      <c r="AA16" s="128"/>
      <c r="AC16" s="114" t="s">
        <v>72</v>
      </c>
      <c r="AD16" s="120">
        <f>Table2[[#This Row],[Finishes]]+Table2[[#This Row],[Midranges]]+Table2[[#This Row],[Threes]]+Table2[[#This Row],[Threes]]</f>
        <v>14</v>
      </c>
      <c r="AE16" s="116">
        <f>Table2[[#This Row],[Points]]/($AE$2-Table2[[#This Row],[DNP]])</f>
        <v>1</v>
      </c>
      <c r="AF16" s="120">
        <f>'2404'!AC15+'2604'!AC15+'0205'!AC15+'0305'!AC15+'0805'!AC15+'0905'!AC15+'1005'!AC15+'1505'!AC15+'1605'!AC15+'1705'!AC15+'2205'!AC15+'2305'!AC15+'2405'!AC15+'Finals 1'!AD15+'Finals 2'!AD15</f>
        <v>9</v>
      </c>
      <c r="AG16" s="121">
        <f>Table2[[#This Row],[Finishes]]/($AE$2-Table2[[#This Row],[DNP]])</f>
        <v>0.6428571428571429</v>
      </c>
      <c r="AH16" s="120">
        <f>'2404'!AD15+'2604'!AD15+'0205'!AD15+'0305'!AD15+'0805'!AD15+'0905'!AD15+'1005'!AD15+'1505'!AD15+'1605'!AD15+'1705'!AD15+'2205'!AD15+'2305'!AD15+'2405'!AD15+'Finals 1'!AE15+'Finals 2'!AE15</f>
        <v>3</v>
      </c>
      <c r="AI16" s="121">
        <f>Table2[[#This Row],[Midranges]]/($AE$2-Table2[[#This Row],[DNP]])</f>
        <v>0.21428571428571427</v>
      </c>
      <c r="AJ16" s="120">
        <f>'2404'!AE15+'2604'!AE15+'0205'!AE15+'0305'!AE15+'0805'!AE15+'0905'!AE15+'1005'!AE15+'1505'!AE15+'1605'!AE15+'1705'!AE15+'2205'!AE15+'2305'!AE15+'2405'!AE15+'Finals 1'!AF15+'Finals 2'!AF15</f>
        <v>1</v>
      </c>
      <c r="AK16" s="122">
        <f>Table2[[#This Row],[Threes]]/($AE$2-Table2[[#This Row],[DNP]])</f>
        <v>7.1428571428571425E-2</v>
      </c>
      <c r="AL16" s="120">
        <f>'Stats Global'!Z20</f>
        <v>3</v>
      </c>
      <c r="AM16" s="63">
        <f>'Finals 1'!AD15+'Finals 2'!AD15+'Finals 1'!AE15+'Finals 2'!AE15+'Finals 1'!AF15+'Finals 2'!AF15</f>
        <v>2</v>
      </c>
      <c r="AN16" s="89">
        <f>'Stats Global'!AB79-Table2[[#This Row],[Finals]]</f>
        <v>7</v>
      </c>
      <c r="AP16" s="121">
        <f>'Stats Global'!R20-Table2[[#This Row],[Avg P]]</f>
        <v>1.4285714285714284</v>
      </c>
      <c r="AQ16" s="123">
        <f>Table2[[#This Row],[Avg P]]/(Table2[[#This Row],[Avg P]]+AP16)</f>
        <v>0.41176470588235298</v>
      </c>
      <c r="AS16" s="159" t="s">
        <v>72</v>
      </c>
      <c r="AT16" s="157">
        <v>2</v>
      </c>
      <c r="AU16" s="160">
        <v>2</v>
      </c>
    </row>
    <row r="17" spans="1:47" ht="14.35" customHeight="1" x14ac:dyDescent="0.45">
      <c r="A17" s="4">
        <f>'Finals 1'!$C$2</f>
        <v>45075</v>
      </c>
      <c r="B17" s="16">
        <f>'Finals 1'!$M$3</f>
        <v>4</v>
      </c>
      <c r="C17" s="16">
        <f>'Finals 1'!$N$3</f>
        <v>1</v>
      </c>
      <c r="D17" s="144">
        <f>'Finals 1'!$P$3</f>
        <v>2</v>
      </c>
      <c r="E17" s="145" t="s">
        <v>239</v>
      </c>
      <c r="F17" s="145" t="s">
        <v>199</v>
      </c>
      <c r="L17" s="128"/>
      <c r="M17" s="128"/>
      <c r="N17" s="128"/>
      <c r="O17" s="128"/>
      <c r="P17" s="128"/>
      <c r="Q17" s="128"/>
      <c r="S17" s="17">
        <v>3</v>
      </c>
      <c r="T17" s="17">
        <f>COUNTIF('Finals 1'!$Y$4:$Y$40,"WW/LG")</f>
        <v>0</v>
      </c>
      <c r="U17" s="128"/>
      <c r="V17" s="128"/>
      <c r="X17" s="17">
        <v>1</v>
      </c>
      <c r="Y17" s="17">
        <v>1</v>
      </c>
      <c r="Z17" s="128"/>
      <c r="AA17" s="128"/>
      <c r="AC17" s="3" t="s">
        <v>76</v>
      </c>
      <c r="AD17" s="89">
        <f>Table2[[#This Row],[Finishes]]+Table2[[#This Row],[Midranges]]+Table2[[#This Row],[Threes]]+Table2[[#This Row],[Threes]]</f>
        <v>1</v>
      </c>
      <c r="AE17" s="60">
        <f>Table2[[#This Row],[Points]]/($AE$2-Table2[[#This Row],[DNP]])</f>
        <v>5.8823529411764705E-2</v>
      </c>
      <c r="AF17" s="89">
        <f>'2404'!AC16+'2604'!AC16+'0205'!AC16+'0305'!AC16+'0805'!AC16+'0905'!AC16+'1005'!AC16+'1505'!AC16+'1605'!AC16+'1705'!AC16+'2205'!AC16+'2305'!AC16+'2405'!AC16+'Finals 1'!AD16+'Finals 2'!AD16</f>
        <v>1</v>
      </c>
      <c r="AG17" s="102">
        <f>Table2[[#This Row],[Finishes]]/($AE$2-Table2[[#This Row],[DNP]])</f>
        <v>5.8823529411764705E-2</v>
      </c>
      <c r="AH17" s="89">
        <f>'2404'!AD16+'2604'!AD16+'0205'!AD16+'0305'!AD16+'0805'!AD16+'0905'!AD16+'1005'!AD16+'1505'!AD16+'1605'!AD16+'1705'!AD16+'2205'!AD16+'2305'!AD16+'2405'!AD16+'Finals 1'!AE16+'Finals 2'!AE16</f>
        <v>0</v>
      </c>
      <c r="AI17" s="102">
        <f>Table2[[#This Row],[Midranges]]/($AE$2-Table2[[#This Row],[DNP]])</f>
        <v>0</v>
      </c>
      <c r="AJ17" s="89">
        <f>'2404'!AE16+'2604'!AE16+'0205'!AE16+'0305'!AE16+'0805'!AE16+'0905'!AE16+'1005'!AE16+'1505'!AE16+'1605'!AE16+'1705'!AE16+'2205'!AE16+'2305'!AE16+'2405'!AE16+'Finals 1'!AF16+'Finals 2'!AF16</f>
        <v>0</v>
      </c>
      <c r="AK17" s="88">
        <f>Table2[[#This Row],[Threes]]/($AE$2-Table2[[#This Row],[DNP]])</f>
        <v>0</v>
      </c>
      <c r="AL17" s="89">
        <f>'Stats Global'!Z21</f>
        <v>0</v>
      </c>
      <c r="AM17" s="63">
        <f>'Finals 1'!AD16+'Finals 2'!AD16+'Finals 1'!AE16+'Finals 2'!AE16+'Finals 1'!AF16+'Finals 2'!AF16</f>
        <v>0</v>
      </c>
      <c r="AN17" s="89">
        <f>'Stats Global'!AB80-Table2[[#This Row],[Finals]]</f>
        <v>0</v>
      </c>
      <c r="AP17" s="41">
        <f>'Stats Global'!R21-Table2[[#This Row],[Avg P]]</f>
        <v>5.8823529411764705E-2</v>
      </c>
      <c r="AQ17" s="55">
        <f>Table2[[#This Row],[Avg P]]/(Table2[[#This Row],[Avg P]]+AP17)</f>
        <v>0.5</v>
      </c>
      <c r="AS17" s="158" t="s">
        <v>76</v>
      </c>
      <c r="AT17" s="158">
        <v>0</v>
      </c>
      <c r="AU17" s="161">
        <v>0</v>
      </c>
    </row>
    <row r="18" spans="1:47" ht="14.35" customHeight="1" x14ac:dyDescent="0.45">
      <c r="A18" s="4">
        <f>'Finals 2'!$C$2</f>
        <v>45076</v>
      </c>
      <c r="B18" s="16">
        <f>'Finals 2'!$M$3</f>
        <v>3</v>
      </c>
      <c r="C18" s="16">
        <f>'Finals 2'!$N$3</f>
        <v>4</v>
      </c>
      <c r="D18" s="144">
        <f>'Finals 2'!$P$3</f>
        <v>1</v>
      </c>
      <c r="E18" s="148" t="s">
        <v>242</v>
      </c>
      <c r="F18" s="148" t="s">
        <v>56</v>
      </c>
      <c r="L18" s="128"/>
      <c r="M18" s="128"/>
      <c r="N18" s="128"/>
      <c r="O18" s="128"/>
      <c r="P18" s="128"/>
      <c r="Q18" s="128"/>
      <c r="S18" s="17">
        <v>2</v>
      </c>
      <c r="T18" s="17">
        <v>1</v>
      </c>
      <c r="U18" s="128"/>
      <c r="V18" s="128"/>
      <c r="X18" s="17">
        <v>1</v>
      </c>
      <c r="Y18" s="17">
        <v>3</v>
      </c>
      <c r="Z18" s="128"/>
      <c r="AA18" s="128"/>
      <c r="AC18" s="114" t="s">
        <v>79</v>
      </c>
      <c r="AD18" s="120">
        <f>Table2[[#This Row],[Finishes]]+Table2[[#This Row],[Midranges]]+Table2[[#This Row],[Threes]]+Table2[[#This Row],[Threes]]</f>
        <v>3</v>
      </c>
      <c r="AE18" s="116">
        <f>Table2[[#This Row],[Points]]/($AE$2-Table2[[#This Row],[DNP]])</f>
        <v>0.17647058823529413</v>
      </c>
      <c r="AF18" s="120">
        <f>'2404'!AC17+'2604'!AC17+'0205'!AC17+'0305'!AC17+'0805'!AC17+'0905'!AC17+'1005'!AC17+'1505'!AC17+'1605'!AC17+'1705'!AC17+'2205'!AC17+'2305'!AC17+'2405'!AC17+'Finals 1'!AD17+'Finals 2'!AD17</f>
        <v>2</v>
      </c>
      <c r="AG18" s="121">
        <f>Table2[[#This Row],[Finishes]]/($AE$2-Table2[[#This Row],[DNP]])</f>
        <v>0.11764705882352941</v>
      </c>
      <c r="AH18" s="120">
        <f>'2404'!AD17+'2604'!AD17+'0205'!AD17+'0305'!AD17+'0805'!AD17+'0905'!AD17+'1005'!AD17+'1505'!AD17+'1605'!AD17+'1705'!AD17+'2205'!AD17+'2305'!AD17+'2405'!AD17+'Finals 1'!AE17+'Finals 2'!AE17</f>
        <v>1</v>
      </c>
      <c r="AI18" s="121">
        <f>Table2[[#This Row],[Midranges]]/($AE$2-Table2[[#This Row],[DNP]])</f>
        <v>5.8823529411764705E-2</v>
      </c>
      <c r="AJ18" s="120">
        <f>'2404'!AE17+'2604'!AE17+'0205'!AE17+'0305'!AE17+'0805'!AE17+'0905'!AE17+'1005'!AE17+'1505'!AE17+'1605'!AE17+'1705'!AE17+'2205'!AE17+'2305'!AE17+'2405'!AE17+'Finals 1'!AF17+'Finals 2'!AF17</f>
        <v>0</v>
      </c>
      <c r="AK18" s="122">
        <f>Table2[[#This Row],[Threes]]/($AE$2-Table2[[#This Row],[DNP]])</f>
        <v>0</v>
      </c>
      <c r="AL18" s="120">
        <f>'Stats Global'!Z22</f>
        <v>0</v>
      </c>
      <c r="AM18" s="63">
        <f>'Finals 1'!AD17+'Finals 2'!AD17+'Finals 1'!AE17+'Finals 2'!AE17+'Finals 1'!AF17+'Finals 2'!AF17</f>
        <v>0</v>
      </c>
      <c r="AN18" s="89">
        <f>'Stats Global'!AB81-Table2[[#This Row],[Finals]]</f>
        <v>4</v>
      </c>
      <c r="AP18" s="121">
        <f>'Stats Global'!R22-Table2[[#This Row],[Avg P]]</f>
        <v>0.47058823529411764</v>
      </c>
      <c r="AQ18" s="123">
        <f>Table2[[#This Row],[Avg P]]/(Table2[[#This Row],[Avg P]]+AP18)</f>
        <v>0.27272727272727271</v>
      </c>
      <c r="AS18" s="159" t="s">
        <v>79</v>
      </c>
      <c r="AT18" s="157">
        <v>0</v>
      </c>
      <c r="AU18" s="160">
        <v>0</v>
      </c>
    </row>
    <row r="19" spans="1:47" ht="14.35" customHeight="1" x14ac:dyDescent="0.45">
      <c r="A19" s="4">
        <f>'Finals 3'!$C$2</f>
        <v>45077</v>
      </c>
      <c r="B19" s="16">
        <f>'Finals 3'!$M$3</f>
        <v>4</v>
      </c>
      <c r="C19" s="16">
        <f>'Finals 3'!$N$3</f>
        <v>5</v>
      </c>
      <c r="D19" s="144">
        <f>'Finals 3'!$P$3</f>
        <v>2</v>
      </c>
      <c r="E19" s="168" t="s">
        <v>53</v>
      </c>
      <c r="F19" s="168" t="s">
        <v>79</v>
      </c>
      <c r="L19" s="128"/>
      <c r="M19" s="128"/>
      <c r="N19" s="128"/>
      <c r="O19" s="128"/>
      <c r="P19" s="128"/>
      <c r="Q19" s="128"/>
      <c r="S19" s="17">
        <v>2</v>
      </c>
      <c r="T19" s="17">
        <v>1</v>
      </c>
      <c r="U19" s="128"/>
      <c r="V19" s="128"/>
      <c r="X19" s="17">
        <v>2</v>
      </c>
      <c r="Y19" s="17">
        <v>2</v>
      </c>
      <c r="Z19" s="128"/>
      <c r="AA19" s="128"/>
      <c r="AC19" s="124" t="s">
        <v>148</v>
      </c>
      <c r="AD19" s="120">
        <f>Table2[[#This Row],[Finishes]]+Table2[[#This Row],[Midranges]]+Table2[[#This Row],[Threes]]+Table2[[#This Row],[Threes]]</f>
        <v>3</v>
      </c>
      <c r="AE19" s="125">
        <f>Table2[[#This Row],[Points]]/($AE$2-Table2[[#This Row],[DNP]])</f>
        <v>0.1875</v>
      </c>
      <c r="AF19" s="120">
        <f>'2404'!AC18+'2604'!AC18+'0205'!AC18+'0305'!AC18+'0805'!AC18+'0905'!AC18+'1005'!AC18+'1505'!AC18+'1605'!AC18+'1705'!AC18+'2205'!AC18+'2305'!AC18+'2405'!AC18+'Finals 1'!AD18+'Finals 2'!AD18</f>
        <v>3</v>
      </c>
      <c r="AG19" s="121">
        <f>Table2[[#This Row],[Finishes]]/($AE$2-Table2[[#This Row],[DNP]])</f>
        <v>0.1875</v>
      </c>
      <c r="AH19" s="120">
        <f>'2404'!AD18+'2604'!AD18+'0205'!AD18+'0305'!AD18+'0805'!AD18+'0905'!AD18+'1005'!AD18+'1505'!AD18+'1605'!AD18+'1705'!AD18+'2205'!AD18+'2305'!AD18+'2405'!AD18+'Finals 1'!AE18+'Finals 2'!AE18</f>
        <v>0</v>
      </c>
      <c r="AI19" s="121">
        <f>Table2[[#This Row],[Midranges]]/($AE$2-Table2[[#This Row],[DNP]])</f>
        <v>0</v>
      </c>
      <c r="AJ19" s="120">
        <f>'2404'!AE18+'2604'!AE18+'0205'!AE18+'0305'!AE18+'0805'!AE18+'0905'!AE18+'1005'!AE18+'1505'!AE18+'1605'!AE18+'1705'!AE18+'2205'!AE18+'2305'!AE18+'2405'!AE18+'Finals 1'!AF18+'Finals 2'!AF18</f>
        <v>0</v>
      </c>
      <c r="AK19" s="122">
        <f>Table2[[#This Row],[Threes]]/($AE$2-Table2[[#This Row],[DNP]])</f>
        <v>0</v>
      </c>
      <c r="AL19" s="120">
        <f>'Stats Global'!Z23</f>
        <v>1</v>
      </c>
      <c r="AM19" s="63">
        <f>'Finals 1'!AD18+'Finals 2'!AD18+'Finals 1'!AE18+'Finals 2'!AE18+'Finals 1'!AF18+'Finals 2'!AF18</f>
        <v>0</v>
      </c>
      <c r="AN19" s="89">
        <f>'Stats Global'!AB82-Table2[[#This Row],[Finals]]</f>
        <v>1</v>
      </c>
      <c r="AP19" s="121">
        <f>'Stats Global'!R23-Table2[[#This Row],[Avg P]]</f>
        <v>0.125</v>
      </c>
      <c r="AQ19" s="123">
        <f>Table2[[#This Row],[Avg P]]/(Table2[[#This Row],[Avg P]]+AP19)</f>
        <v>0.6</v>
      </c>
      <c r="AS19" s="164" t="s">
        <v>148</v>
      </c>
      <c r="AT19" s="165">
        <v>0</v>
      </c>
      <c r="AU19" s="166">
        <v>0</v>
      </c>
    </row>
    <row r="20" spans="1:47" ht="14.35" customHeight="1" x14ac:dyDescent="0.45">
      <c r="A20" s="4">
        <f>'Finals 4'!$C$2</f>
        <v>45078</v>
      </c>
      <c r="B20" s="16">
        <f>'Finals 4'!$M$3</f>
        <v>4</v>
      </c>
      <c r="C20" s="16">
        <f>'Finals 4'!$N$3</f>
        <v>3</v>
      </c>
      <c r="D20" s="144">
        <f>'Finals 4'!$P$3</f>
        <v>2</v>
      </c>
      <c r="E20" s="171" t="s">
        <v>227</v>
      </c>
      <c r="F20" s="171" t="s">
        <v>72</v>
      </c>
      <c r="L20" s="128"/>
      <c r="M20" s="128"/>
      <c r="N20" s="128"/>
      <c r="O20" s="128"/>
      <c r="P20" s="128"/>
      <c r="Q20" s="128"/>
      <c r="S20" s="17">
        <v>2</v>
      </c>
      <c r="T20" s="17">
        <v>1</v>
      </c>
      <c r="U20" s="128"/>
      <c r="V20" s="128"/>
      <c r="X20" s="17"/>
      <c r="Y20" s="17"/>
      <c r="Z20" s="128"/>
      <c r="AA20" s="128"/>
    </row>
    <row r="21" spans="1:47" ht="14.3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Q21" s="128"/>
      <c r="S21" s="17"/>
      <c r="T21" s="17"/>
      <c r="U21" s="128"/>
      <c r="V21" s="128"/>
      <c r="X21" s="17"/>
      <c r="Y21" s="17"/>
      <c r="Z21" s="128"/>
      <c r="AA21" s="128"/>
      <c r="AC21" t="s">
        <v>182</v>
      </c>
      <c r="AO21" s="66"/>
    </row>
    <row r="22" spans="1:47" ht="14.35" customHeight="1" x14ac:dyDescent="0.45">
      <c r="L22" s="128"/>
      <c r="M22" s="128"/>
      <c r="N22" s="128"/>
      <c r="O22" s="128"/>
      <c r="P22" s="128"/>
      <c r="Q22" s="128"/>
      <c r="S22" s="17"/>
      <c r="T22" s="17"/>
      <c r="U22" s="128"/>
      <c r="V22" s="128"/>
      <c r="X22" s="17"/>
      <c r="Y22" s="17"/>
      <c r="Z22" s="128"/>
      <c r="AA22" s="128"/>
      <c r="AD22" s="40"/>
      <c r="AE22" s="40"/>
      <c r="AF22" s="40"/>
    </row>
    <row r="23" spans="1:47" ht="14.35" customHeight="1" x14ac:dyDescent="1.1000000000000001">
      <c r="A23" s="21"/>
      <c r="B23" s="21"/>
      <c r="C23" s="21"/>
      <c r="D23" s="21"/>
      <c r="E23" s="21"/>
      <c r="H23" s="21"/>
      <c r="L23" s="128"/>
      <c r="M23" s="128"/>
      <c r="N23" s="128"/>
      <c r="O23" s="128"/>
      <c r="P23" s="128"/>
      <c r="Q23" s="128"/>
      <c r="S23" s="17"/>
      <c r="T23" s="17"/>
      <c r="U23" s="128"/>
      <c r="V23" s="128"/>
      <c r="X23" s="17"/>
      <c r="Y23" s="17"/>
      <c r="Z23" s="128"/>
      <c r="AA23" s="128"/>
      <c r="AC23" s="95" t="s">
        <v>183</v>
      </c>
      <c r="AD23" s="96" t="s">
        <v>169</v>
      </c>
      <c r="AE23" s="97" t="s">
        <v>78</v>
      </c>
      <c r="AF23" s="96" t="s">
        <v>184</v>
      </c>
      <c r="AG23" s="97" t="s">
        <v>75</v>
      </c>
      <c r="AH23" s="96" t="s">
        <v>87</v>
      </c>
    </row>
    <row r="24" spans="1:47" ht="14.35" customHeight="1" x14ac:dyDescent="1.1000000000000001">
      <c r="A24" s="21"/>
      <c r="B24" s="21"/>
      <c r="C24" s="21"/>
      <c r="D24" s="21"/>
      <c r="E24" s="21"/>
      <c r="H24" s="21"/>
      <c r="L24" s="128"/>
      <c r="M24" s="128"/>
      <c r="N24" s="128"/>
      <c r="O24" s="128"/>
      <c r="P24" s="128"/>
      <c r="Q24" s="128"/>
      <c r="S24" s="17"/>
      <c r="T24" s="17"/>
      <c r="U24" s="128"/>
      <c r="V24" s="128"/>
      <c r="X24" s="17"/>
      <c r="Y24" s="17"/>
      <c r="Z24" s="128"/>
      <c r="AA24" s="128"/>
      <c r="AC24" s="90" t="s">
        <v>65</v>
      </c>
      <c r="AD24" s="91" t="s">
        <v>85</v>
      </c>
      <c r="AE24" s="92" t="s">
        <v>85</v>
      </c>
      <c r="AF24" s="91" t="s">
        <v>85</v>
      </c>
      <c r="AG24" s="92" t="s">
        <v>85</v>
      </c>
      <c r="AH24" s="91" t="s">
        <v>85</v>
      </c>
    </row>
    <row r="25" spans="1:47" ht="14.35" customHeight="1" x14ac:dyDescent="1.1000000000000001">
      <c r="A25" s="21"/>
      <c r="B25" s="21"/>
      <c r="C25" s="21"/>
      <c r="D25" s="21"/>
      <c r="E25" s="21"/>
      <c r="H25" s="21"/>
      <c r="L25" s="128"/>
      <c r="M25" s="128"/>
      <c r="N25" s="128"/>
      <c r="O25" s="128"/>
      <c r="P25" s="128"/>
      <c r="Q25" s="128"/>
      <c r="S25" s="17"/>
      <c r="T25" s="17"/>
      <c r="U25" s="128"/>
      <c r="V25" s="128"/>
      <c r="X25" s="17"/>
      <c r="Y25" s="17"/>
      <c r="Z25" s="128"/>
      <c r="AA25" s="128"/>
      <c r="AC25" s="90" t="s">
        <v>71</v>
      </c>
      <c r="AD25" s="91" t="s">
        <v>78</v>
      </c>
      <c r="AE25" s="92" t="s">
        <v>184</v>
      </c>
      <c r="AF25" s="91" t="s">
        <v>78</v>
      </c>
      <c r="AG25" s="92" t="s">
        <v>78</v>
      </c>
      <c r="AH25" s="91" t="s">
        <v>78</v>
      </c>
    </row>
    <row r="26" spans="1:47" ht="14.35" customHeight="1" x14ac:dyDescent="0.45">
      <c r="L26" s="128"/>
      <c r="M26" s="128"/>
      <c r="N26" s="128"/>
      <c r="O26" s="128"/>
      <c r="P26" s="128"/>
      <c r="Q26" s="128"/>
      <c r="S26" s="17"/>
      <c r="T26" s="17"/>
      <c r="U26" s="128"/>
      <c r="V26" s="128"/>
      <c r="X26" s="17"/>
      <c r="Y26" s="17"/>
      <c r="Z26" s="128"/>
      <c r="AA26" s="128"/>
      <c r="AC26" s="90" t="s">
        <v>68</v>
      </c>
      <c r="AD26" s="93" t="s">
        <v>184</v>
      </c>
      <c r="AE26" s="94" t="s">
        <v>75</v>
      </c>
      <c r="AF26" s="93" t="s">
        <v>75</v>
      </c>
      <c r="AG26" s="94" t="s">
        <v>184</v>
      </c>
      <c r="AH26" s="93" t="s">
        <v>184</v>
      </c>
    </row>
    <row r="27" spans="1:47" ht="14.35" customHeight="1" x14ac:dyDescent="0.45">
      <c r="L27" s="128"/>
      <c r="M27" s="128"/>
      <c r="N27" s="128"/>
      <c r="O27" s="128"/>
      <c r="P27" s="128"/>
      <c r="Q27" s="128"/>
      <c r="S27" s="17"/>
      <c r="T27" s="17"/>
      <c r="U27" s="128"/>
      <c r="V27" s="128"/>
      <c r="X27" s="17"/>
      <c r="Y27" s="17"/>
      <c r="Z27" s="128"/>
      <c r="AA27" s="128"/>
      <c r="AC27" s="90" t="s">
        <v>59</v>
      </c>
      <c r="AD27" s="93" t="s">
        <v>75</v>
      </c>
      <c r="AE27" s="94" t="s">
        <v>87</v>
      </c>
      <c r="AF27" s="93" t="s">
        <v>87</v>
      </c>
      <c r="AG27" s="94" t="s">
        <v>87</v>
      </c>
      <c r="AH27" s="93" t="s">
        <v>75</v>
      </c>
    </row>
    <row r="28" spans="1:47" ht="14.35" customHeight="1" x14ac:dyDescent="0.45">
      <c r="L28" s="128"/>
      <c r="M28" s="128"/>
      <c r="N28" s="128"/>
      <c r="O28" s="128"/>
      <c r="P28" s="128"/>
      <c r="Q28" s="128"/>
      <c r="S28" s="17"/>
      <c r="T28" s="17"/>
      <c r="U28" s="128"/>
      <c r="V28" s="128"/>
      <c r="X28" s="17"/>
      <c r="Y28" s="17"/>
      <c r="Z28" s="128"/>
      <c r="AA28" s="128"/>
      <c r="AC28" s="90" t="s">
        <v>86</v>
      </c>
      <c r="AD28" s="93" t="s">
        <v>87</v>
      </c>
      <c r="AE28" s="94" t="s">
        <v>169</v>
      </c>
      <c r="AF28" s="93" t="s">
        <v>169</v>
      </c>
      <c r="AG28" s="94" t="s">
        <v>169</v>
      </c>
      <c r="AH28" s="93" t="s">
        <v>169</v>
      </c>
    </row>
    <row r="29" spans="1:47" ht="14.35" customHeight="1" x14ac:dyDescent="0.45">
      <c r="L29" s="128"/>
      <c r="M29" s="128"/>
      <c r="N29" s="128"/>
      <c r="O29" s="128"/>
      <c r="P29" s="128"/>
      <c r="Q29" s="128"/>
      <c r="S29" s="17"/>
      <c r="T29" s="17"/>
      <c r="U29" s="128"/>
      <c r="V29" s="128"/>
      <c r="X29" s="17"/>
      <c r="Y29" s="17"/>
      <c r="Z29" s="128"/>
      <c r="AA29" s="128"/>
      <c r="AC29" s="92"/>
      <c r="AD29" s="91"/>
      <c r="AE29" s="92"/>
      <c r="AF29" s="91"/>
      <c r="AG29" s="92"/>
      <c r="AH29" s="91"/>
    </row>
    <row r="30" spans="1:47" ht="14.35" customHeight="1" x14ac:dyDescent="0.45">
      <c r="L30" s="128"/>
      <c r="M30" s="128"/>
      <c r="N30" s="128"/>
      <c r="O30" s="128"/>
      <c r="P30" s="128"/>
      <c r="Q30" s="128"/>
      <c r="R30" s="1" t="s">
        <v>118</v>
      </c>
      <c r="S30" s="17">
        <f t="shared" ref="S30:T30" si="2">SUM(S4:S29)</f>
        <v>45</v>
      </c>
      <c r="T30" s="17">
        <f t="shared" si="2"/>
        <v>44</v>
      </c>
      <c r="U30" s="128"/>
      <c r="V30" s="128"/>
      <c r="X30" s="17">
        <f t="shared" ref="X30:Y30" si="3">SUM(X4:X29)</f>
        <v>45</v>
      </c>
      <c r="Y30" s="17">
        <f t="shared" si="3"/>
        <v>45</v>
      </c>
      <c r="Z30" s="128"/>
      <c r="AA30" s="128"/>
      <c r="AC30" s="95" t="s">
        <v>183</v>
      </c>
      <c r="AD30" s="96" t="s">
        <v>169</v>
      </c>
      <c r="AE30" s="97" t="s">
        <v>78</v>
      </c>
      <c r="AF30" s="96" t="s">
        <v>184</v>
      </c>
      <c r="AG30" s="97" t="s">
        <v>75</v>
      </c>
      <c r="AH30" s="96" t="s">
        <v>87</v>
      </c>
    </row>
    <row r="31" spans="1:47" ht="14.35" customHeight="1" x14ac:dyDescent="0.45">
      <c r="K31" s="1"/>
      <c r="S31" s="22">
        <f>S30/(T30+S30)</f>
        <v>0.5056179775280899</v>
      </c>
      <c r="X31" s="22">
        <f>X30/(Y30+X30)</f>
        <v>0.5</v>
      </c>
      <c r="AC31" s="92" t="s">
        <v>169</v>
      </c>
      <c r="AD31" s="91" t="s">
        <v>85</v>
      </c>
      <c r="AE31" s="92" t="s">
        <v>85</v>
      </c>
      <c r="AF31" s="91" t="s">
        <v>85</v>
      </c>
      <c r="AG31" s="92" t="s">
        <v>85</v>
      </c>
      <c r="AH31" s="91" t="s">
        <v>85</v>
      </c>
    </row>
    <row r="32" spans="1:47" ht="14.35" customHeight="1" x14ac:dyDescent="0.45">
      <c r="K32" s="1"/>
      <c r="L32" s="103" t="str">
        <f>R32&amp;H4&amp;","&amp;I4&amp;"],"</f>
        <v>"PartA":[92,93],</v>
      </c>
      <c r="M32" s="1"/>
      <c r="N32" s="1"/>
      <c r="O32" s="1"/>
      <c r="P32" s="1"/>
      <c r="Q32" s="1"/>
      <c r="R32" t="s">
        <v>193</v>
      </c>
      <c r="T32" t="s">
        <v>197</v>
      </c>
      <c r="V32" s="64">
        <f>ROUND(SUM('Stats Global'!Q14:Q15,'Stats Global'!Q19:Q20,'Stats Global'!Q22:Q23)/COUNT(B4:B40),1)</f>
        <v>7</v>
      </c>
      <c r="X32" s="22"/>
      <c r="AC32" s="92" t="s">
        <v>62</v>
      </c>
      <c r="AD32" s="91" t="s">
        <v>78</v>
      </c>
      <c r="AE32" s="92" t="s">
        <v>184</v>
      </c>
      <c r="AF32" s="91" t="s">
        <v>78</v>
      </c>
      <c r="AG32" s="92" t="s">
        <v>78</v>
      </c>
      <c r="AH32" s="91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"PartB":[34,"Angus Walker",20,"Angus Walker",17,"William Kim",10,"Clarrie Jones"],</v>
      </c>
      <c r="R33" t="s">
        <v>194</v>
      </c>
      <c r="T33" s="42">
        <f>MAX('Stats Global'!Q14:Q15,'Stats Global'!Q19:Q20,'Stats Global'!Q22:Q23)</f>
        <v>34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4">
        <f>ROUND(SUM('Stats Global'!S14:S15,'Stats Global'!S19:S20,'Stats Global'!S22:S23)/COUNT(B4:B40),1)</f>
        <v>2.7</v>
      </c>
      <c r="AC33" s="92" t="s">
        <v>185</v>
      </c>
      <c r="AD33" s="91" t="s">
        <v>184</v>
      </c>
      <c r="AE33" s="92" t="s">
        <v>75</v>
      </c>
      <c r="AF33" s="91" t="s">
        <v>75</v>
      </c>
      <c r="AG33" s="92" t="s">
        <v>184</v>
      </c>
      <c r="AH33" s="91" t="s">
        <v>184</v>
      </c>
    </row>
    <row r="34" spans="12:34" ht="14.25" customHeight="1" x14ac:dyDescent="0.45">
      <c r="L34" t="str">
        <f>R34&amp;V32&amp;","&amp;V33&amp;","&amp;V34&amp;","&amp;V35&amp;","&amp;V36&amp;","&amp;V37&amp;"],"</f>
        <v>"PartC":[7,2.7,2.6,0.8,5.4,5.5],</v>
      </c>
      <c r="R34" t="s">
        <v>195</v>
      </c>
      <c r="T34" s="42">
        <f>MAX('Stats Global'!S14:S15,'Stats Global'!S19:S20,'Stats Global'!S22:S23)</f>
        <v>20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4">
        <f>ROUND(SUM('Stats Global'!U14:U15,'Stats Global'!U19:U20,'Stats Global'!U22:U23)/COUNT(B4:B40),1)</f>
        <v>2.6</v>
      </c>
      <c r="AC34" s="92" t="s">
        <v>55</v>
      </c>
      <c r="AD34" s="91" t="s">
        <v>87</v>
      </c>
      <c r="AE34" s="92" t="s">
        <v>169</v>
      </c>
      <c r="AF34" s="91" t="s">
        <v>169</v>
      </c>
      <c r="AG34" s="92" t="s">
        <v>169</v>
      </c>
      <c r="AH34" s="91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"PartD":[45,44,50.6,45,45,50],</v>
      </c>
      <c r="R35" t="s">
        <v>196</v>
      </c>
      <c r="T35" s="42">
        <f>MAX('Stats Global'!U14:U15,'Stats Global'!U19:U20,'Stats Global'!U22:U23)</f>
        <v>17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4">
        <f>ROUND(SUM('Stats Global'!W14:W15,'Stats Global'!W19:W20,'Stats Global'!W22:W23)/COUNT(B4:B40),1)</f>
        <v>0.8</v>
      </c>
      <c r="AC35" s="92" t="s">
        <v>81</v>
      </c>
      <c r="AD35" s="91" t="s">
        <v>75</v>
      </c>
      <c r="AE35" s="92" t="s">
        <v>87</v>
      </c>
      <c r="AF35" s="91" t="s">
        <v>87</v>
      </c>
      <c r="AG35" s="92" t="s">
        <v>87</v>
      </c>
      <c r="AH35" s="91" t="s">
        <v>75</v>
      </c>
    </row>
    <row r="36" spans="12:34" ht="14.25" customHeight="1" x14ac:dyDescent="0.45">
      <c r="T36" s="42">
        <f>MAX('Stats Global'!W14:W15,'Stats Global'!W19:W20,'Stats Global'!W22:W23)</f>
        <v>10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5.4</v>
      </c>
    </row>
    <row r="37" spans="12:34" ht="14.25" customHeight="1" x14ac:dyDescent="0.45">
      <c r="V37">
        <f>ROUND(I4/COUNT(B4:B40),1)</f>
        <v>5.5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Q4:AQ19">
    <cfRule type="cellIs" dxfId="44" priority="4" operator="lessThan">
      <formula>0.3333</formula>
    </cfRule>
    <cfRule type="cellIs" dxfId="43" priority="5" operator="greaterThan">
      <formula>0.5</formula>
    </cfRule>
  </conditionalFormatting>
  <conditionalFormatting sqref="AT4:AT19">
    <cfRule type="cellIs" dxfId="42" priority="3" operator="greaterThan">
      <formula>$AU4</formula>
    </cfRule>
    <cfRule type="cellIs" dxfId="41" priority="2" operator="lessThan">
      <formula>$AU4</formula>
    </cfRule>
    <cfRule type="cellIs" dxfId="40" priority="1" operator="equal">
      <formula>$AU4</formula>
    </cfRule>
  </conditionalFormatting>
  <pageMargins left="0.7" right="0.7" top="0.75" bottom="0.75" header="0" footer="0"/>
  <pageSetup paperSize="9"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6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workbookViewId="0">
      <selection activeCell="A3" sqref="A3:F20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126"/>
      <c r="M2" s="126"/>
      <c r="N2" s="127" t="s">
        <v>99</v>
      </c>
      <c r="O2" s="126"/>
      <c r="P2" s="126"/>
      <c r="R2" s="24" t="s">
        <v>101</v>
      </c>
      <c r="T2" s="126"/>
      <c r="U2" s="126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201</v>
      </c>
      <c r="F3" s="40" t="s">
        <v>202</v>
      </c>
      <c r="H3" s="24" t="s">
        <v>104</v>
      </c>
      <c r="I3" s="24" t="s">
        <v>105</v>
      </c>
      <c r="J3" s="24" t="s">
        <v>106</v>
      </c>
      <c r="L3" s="127" t="s">
        <v>68</v>
      </c>
      <c r="M3" s="127" t="s">
        <v>65</v>
      </c>
      <c r="N3" s="127" t="s">
        <v>71</v>
      </c>
      <c r="O3" s="127" t="s">
        <v>59</v>
      </c>
      <c r="P3" s="127" t="s">
        <v>86</v>
      </c>
      <c r="R3" s="24" t="s">
        <v>102</v>
      </c>
      <c r="S3" s="24" t="s">
        <v>103</v>
      </c>
      <c r="T3" s="127" t="s">
        <v>108</v>
      </c>
      <c r="U3" s="127" t="s">
        <v>109</v>
      </c>
      <c r="V3" s="63"/>
      <c r="W3" s="62"/>
      <c r="X3" s="62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89</v>
      </c>
      <c r="I4" s="24">
        <f>SUM(C4:C30)</f>
        <v>95</v>
      </c>
      <c r="J4" s="24">
        <f>SUM(D4:D30)</f>
        <v>26</v>
      </c>
      <c r="L4" s="128"/>
      <c r="M4" s="129">
        <v>1</v>
      </c>
      <c r="N4" s="129">
        <v>2</v>
      </c>
      <c r="O4" s="128"/>
      <c r="P4" s="128"/>
      <c r="R4" s="17">
        <f>COUNTIF('2404'!$Y$4:$Y$26,"WW/5M")</f>
        <v>2</v>
      </c>
      <c r="S4" s="17">
        <f>COUNTIF('2404'!$Z$4:$Z$26,"5M/WW")</f>
        <v>3</v>
      </c>
      <c r="T4" s="141">
        <f>R4/SUM(S4,R4)</f>
        <v>0.4</v>
      </c>
      <c r="U4" s="128"/>
      <c r="V4" s="63"/>
      <c r="W4" s="87"/>
      <c r="X4" s="8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204</v>
      </c>
      <c r="F5" s="40" t="s">
        <v>44</v>
      </c>
      <c r="L5" s="128">
        <v>1</v>
      </c>
      <c r="M5" s="129">
        <v>1</v>
      </c>
      <c r="N5" s="129"/>
      <c r="O5" s="128"/>
      <c r="P5" s="128"/>
      <c r="R5" s="17">
        <f>COUNTIF('2604'!$Y$4:$Y$26,"WW/5M")</f>
        <v>1</v>
      </c>
      <c r="S5" s="17">
        <f>COUNTIF('2604'!$Z$4:$Z$26,"5M/WW")</f>
        <v>3</v>
      </c>
      <c r="T5" s="141">
        <f t="shared" ref="T5:T16" si="0">R5/SUM(S5,R5)</f>
        <v>0.25</v>
      </c>
      <c r="U5" s="128"/>
      <c r="V5" s="63"/>
      <c r="W5" s="87"/>
      <c r="X5" s="8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28">
        <v>1</v>
      </c>
      <c r="M6" s="129">
        <v>1</v>
      </c>
      <c r="N6" s="129">
        <v>1</v>
      </c>
      <c r="O6" s="128"/>
      <c r="P6" s="128"/>
      <c r="R6" s="17">
        <f>COUNTIF('0205'!$Y$4:$Y$26,"WW/5M")</f>
        <v>3</v>
      </c>
      <c r="S6" s="17">
        <f>COUNTIF('0205'!$Z$4:$Z$26,"5M/WW")</f>
        <v>4</v>
      </c>
      <c r="T6" s="141">
        <f t="shared" si="0"/>
        <v>0.42857142857142855</v>
      </c>
      <c r="U6" s="128"/>
      <c r="V6" s="63"/>
      <c r="W6" s="87"/>
      <c r="X6" s="8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205</v>
      </c>
      <c r="F7" s="40" t="s">
        <v>207</v>
      </c>
      <c r="I7" s="24" t="s">
        <v>111</v>
      </c>
      <c r="J7" s="18"/>
      <c r="L7" s="128">
        <v>1</v>
      </c>
      <c r="M7" s="128">
        <v>2</v>
      </c>
      <c r="N7" s="128"/>
      <c r="O7" s="128">
        <v>1</v>
      </c>
      <c r="P7" s="128"/>
      <c r="R7" s="17">
        <f>COUNTIF('0305'!$Y$4:$Y$26,"WW/5M")</f>
        <v>2</v>
      </c>
      <c r="S7" s="17">
        <f>COUNTIF('0305'!$Z$4:$Z$26,"5M/WW")</f>
        <v>6</v>
      </c>
      <c r="T7" s="141">
        <f t="shared" si="0"/>
        <v>0.25</v>
      </c>
      <c r="U7" s="128"/>
      <c r="V7" s="63"/>
      <c r="W7" s="87"/>
      <c r="X7" s="87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206</v>
      </c>
      <c r="F8" s="40" t="s">
        <v>46</v>
      </c>
      <c r="I8" s="24" t="s">
        <v>112</v>
      </c>
      <c r="J8" s="18"/>
      <c r="L8" s="128">
        <v>2</v>
      </c>
      <c r="M8" s="128">
        <v>1</v>
      </c>
      <c r="N8" s="128"/>
      <c r="O8" s="128">
        <v>1</v>
      </c>
      <c r="P8" s="128"/>
      <c r="R8" s="17">
        <f>COUNTIF('0805'!$Y$4:$Y$26,"WW/5M")</f>
        <v>4</v>
      </c>
      <c r="S8" s="17">
        <f>COUNTIF('0805'!$Z$4:$Z$26,"5M/WW")</f>
        <v>3</v>
      </c>
      <c r="T8" s="141">
        <f t="shared" si="0"/>
        <v>0.5714285714285714</v>
      </c>
      <c r="U8" s="128"/>
      <c r="V8" s="63"/>
      <c r="W8" s="87"/>
      <c r="X8" s="87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28">
        <v>1</v>
      </c>
      <c r="M9" s="128">
        <v>3</v>
      </c>
      <c r="N9" s="128"/>
      <c r="O9" s="128">
        <v>1</v>
      </c>
      <c r="P9" s="128">
        <v>1</v>
      </c>
      <c r="R9" s="17">
        <f>COUNTIF('0905'!$Y$4:$Y$40,"WW/5M")</f>
        <v>8</v>
      </c>
      <c r="S9" s="17">
        <f>COUNTIF('0905'!$Z$4:$Z$40,"5M/WW")</f>
        <v>5</v>
      </c>
      <c r="T9" s="141">
        <f t="shared" si="0"/>
        <v>0.61538461538461542</v>
      </c>
      <c r="U9" s="128"/>
      <c r="V9" s="63"/>
      <c r="W9" s="87"/>
      <c r="X9" s="87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28">
        <v>2</v>
      </c>
      <c r="M10" s="128">
        <v>1</v>
      </c>
      <c r="N10" s="128"/>
      <c r="O10" s="128">
        <v>1</v>
      </c>
      <c r="P10" s="128"/>
      <c r="R10" s="17">
        <f>COUNTIF('1005'!$Y$4:$Y$40,"WW/5M")</f>
        <v>4</v>
      </c>
      <c r="S10" s="17">
        <f>COUNTIF('1005'!$Z$4:$Z$40,"5M/WW")</f>
        <v>2</v>
      </c>
      <c r="T10" s="141">
        <f t="shared" si="0"/>
        <v>0.66666666666666663</v>
      </c>
      <c r="U10" s="128"/>
      <c r="V10" s="63"/>
      <c r="W10" s="87"/>
      <c r="X10" s="87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28"/>
      <c r="M11" s="128"/>
      <c r="N11" s="128"/>
      <c r="O11" s="128"/>
      <c r="P11" s="128"/>
      <c r="R11" s="17">
        <f>COUNTIF('1505'!$Y$4:$Y$40,"WW/5M")</f>
        <v>6</v>
      </c>
      <c r="S11" s="17">
        <f>COUNTIF('1505'!$Z$4:$Z$40,"5M/WW")</f>
        <v>1</v>
      </c>
      <c r="T11" s="141">
        <f t="shared" si="0"/>
        <v>0.8571428571428571</v>
      </c>
      <c r="U11" s="128"/>
      <c r="V11" s="63"/>
      <c r="W11" s="87"/>
      <c r="X11" s="87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116</v>
      </c>
      <c r="J12" s="18"/>
      <c r="L12" s="128"/>
      <c r="M12" s="128"/>
      <c r="N12" s="128"/>
      <c r="O12" s="128"/>
      <c r="P12" s="128"/>
      <c r="R12" s="17">
        <f>COUNTIF('1605'!$Y$4:$Y$40,"WW/5M")</f>
        <v>3</v>
      </c>
      <c r="S12" s="17">
        <f>COUNTIF('1605'!$Z$4:$Z$40,"5M/WW")</f>
        <v>7</v>
      </c>
      <c r="T12" s="141">
        <f t="shared" si="0"/>
        <v>0.3</v>
      </c>
      <c r="U12" s="128"/>
      <c r="V12" s="63"/>
      <c r="W12" s="87"/>
      <c r="X12" s="87"/>
    </row>
    <row r="13" spans="1:24" ht="14.25" customHeight="1" x14ac:dyDescent="0.45">
      <c r="A13" s="4">
        <f>'1705'!C$2</f>
        <v>45063</v>
      </c>
      <c r="B13" s="16">
        <f>'1705'!L$5</f>
        <v>2</v>
      </c>
      <c r="C13" s="16">
        <f>'1705'!M$5</f>
        <v>5</v>
      </c>
      <c r="D13" s="16">
        <f>'1705'!O$5</f>
        <v>1</v>
      </c>
      <c r="E13" s="40" t="s">
        <v>44</v>
      </c>
      <c r="F13" s="40" t="s">
        <v>36</v>
      </c>
      <c r="I13" s="24" t="s">
        <v>117</v>
      </c>
      <c r="J13" s="18" cm="1">
        <f t="array" ref="J13">SUM(B4:B7/SUM(B4:C7))</f>
        <v>0.3571428571428571</v>
      </c>
      <c r="L13" s="128"/>
      <c r="M13" s="128"/>
      <c r="N13" s="128"/>
      <c r="O13" s="128"/>
      <c r="P13" s="128"/>
      <c r="R13" s="17">
        <f>COUNTIF('1705'!$Y$4:$Y$40,"WW/5M")</f>
        <v>1</v>
      </c>
      <c r="S13" s="17">
        <f>COUNTIF('1705'!$Z$4:$Z$40,"5M/WW")</f>
        <v>2</v>
      </c>
      <c r="T13" s="141">
        <f t="shared" si="0"/>
        <v>0.33333333333333331</v>
      </c>
      <c r="U13" s="128"/>
      <c r="V13" s="63"/>
      <c r="W13" s="87"/>
      <c r="X13" s="87"/>
    </row>
    <row r="14" spans="1:24" ht="14.25" customHeight="1" x14ac:dyDescent="0.45">
      <c r="A14" s="4">
        <f>'2205'!C$2</f>
        <v>45068</v>
      </c>
      <c r="B14" s="16">
        <f>'2205'!L$5</f>
        <v>1</v>
      </c>
      <c r="C14" s="16">
        <f>'2205'!M$5</f>
        <v>7</v>
      </c>
      <c r="D14" s="16">
        <f>'2205'!O$5</f>
        <v>1</v>
      </c>
      <c r="E14" s="40" t="s">
        <v>46</v>
      </c>
      <c r="F14" s="40" t="s">
        <v>203</v>
      </c>
      <c r="L14" s="128"/>
      <c r="M14" s="128"/>
      <c r="N14" s="128"/>
      <c r="O14" s="128"/>
      <c r="P14" s="128"/>
      <c r="R14" s="17">
        <f>COUNTIF('2205'!$Y$4:$Y$40,"WW/5M")</f>
        <v>0</v>
      </c>
      <c r="S14" s="17">
        <f>COUNTIF('2205'!$Z$4:$Z$40,"5M/WW")</f>
        <v>6</v>
      </c>
      <c r="T14" s="141">
        <f t="shared" si="0"/>
        <v>0</v>
      </c>
      <c r="U14" s="128"/>
      <c r="V14" s="63"/>
      <c r="W14" s="87"/>
      <c r="X14" s="87"/>
    </row>
    <row r="15" spans="1:24" ht="14.25" customHeight="1" x14ac:dyDescent="0.45">
      <c r="A15" s="4">
        <f>'2305'!C$2</f>
        <v>45069</v>
      </c>
      <c r="B15" s="16">
        <f>'2305'!L$5</f>
        <v>4</v>
      </c>
      <c r="C15" s="16">
        <f>'2305'!M$5</f>
        <v>6</v>
      </c>
      <c r="D15" s="16">
        <f>'2305'!O$5</f>
        <v>2</v>
      </c>
      <c r="E15" s="40" t="s">
        <v>225</v>
      </c>
      <c r="F15" s="40" t="s">
        <v>225</v>
      </c>
      <c r="L15" s="128"/>
      <c r="M15" s="128"/>
      <c r="N15" s="128"/>
      <c r="O15" s="128"/>
      <c r="P15" s="128"/>
      <c r="R15" s="17">
        <f>COUNTIF('2305'!$Y$4:$Y$40,"WW/5M")</f>
        <v>2</v>
      </c>
      <c r="S15" s="17">
        <f>COUNTIF('2305'!$Z$4:$Z$40,"5M/WW")</f>
        <v>1</v>
      </c>
      <c r="T15" s="141">
        <f t="shared" si="0"/>
        <v>0.66666666666666663</v>
      </c>
      <c r="U15" s="128"/>
      <c r="V15" s="63"/>
      <c r="W15" s="87"/>
      <c r="X15" s="87"/>
    </row>
    <row r="16" spans="1:24" ht="14.25" customHeight="1" x14ac:dyDescent="0.45">
      <c r="A16" s="4">
        <f>'2405'!C$2</f>
        <v>45070</v>
      </c>
      <c r="B16" s="16">
        <f>'2405'!L$5</f>
        <v>0</v>
      </c>
      <c r="C16" s="16">
        <f>'2405'!M$5</f>
        <v>4</v>
      </c>
      <c r="D16" s="16">
        <f>'2405'!O$5</f>
        <v>1</v>
      </c>
      <c r="E16" s="40" t="s">
        <v>203</v>
      </c>
      <c r="F16" s="40" t="s">
        <v>203</v>
      </c>
      <c r="L16" s="128"/>
      <c r="M16" s="128"/>
      <c r="N16" s="128"/>
      <c r="O16" s="128"/>
      <c r="P16" s="128"/>
      <c r="R16" s="17">
        <f>COUNTIF('2405'!$Y$4:$Y$40,"WW/5M")</f>
        <v>0</v>
      </c>
      <c r="S16" s="17">
        <f>COUNTIF('2405'!$Z$4:$Z$40,"5M/WW")</f>
        <v>2</v>
      </c>
      <c r="T16" s="141">
        <f t="shared" si="0"/>
        <v>0</v>
      </c>
      <c r="U16" s="128"/>
      <c r="V16" s="63"/>
      <c r="W16" s="87"/>
      <c r="X16" s="87"/>
    </row>
    <row r="17" spans="1:24" ht="14.25" customHeight="1" x14ac:dyDescent="0.45">
      <c r="A17" s="4">
        <f>'Finals 1'!C$2</f>
        <v>45075</v>
      </c>
      <c r="B17" s="16">
        <f>'Finals 1'!M$5</f>
        <v>1</v>
      </c>
      <c r="C17" s="16">
        <f>'Finals 1'!N$5</f>
        <v>3</v>
      </c>
      <c r="D17" s="20">
        <f>'Finals 1'!Q$5</f>
        <v>0</v>
      </c>
      <c r="E17" s="40" t="s">
        <v>36</v>
      </c>
      <c r="F17" s="40" t="s">
        <v>240</v>
      </c>
      <c r="L17" s="128"/>
      <c r="M17" s="128"/>
      <c r="N17" s="128"/>
      <c r="O17" s="128"/>
      <c r="P17" s="128"/>
      <c r="R17" s="17">
        <f>1</f>
        <v>1</v>
      </c>
      <c r="S17" s="17">
        <v>0</v>
      </c>
      <c r="T17" s="128"/>
      <c r="U17" s="128"/>
      <c r="V17" s="63"/>
      <c r="W17" s="87"/>
      <c r="X17" s="87"/>
    </row>
    <row r="18" spans="1:24" ht="14.25" customHeight="1" x14ac:dyDescent="0.45">
      <c r="A18" s="4">
        <f>'Finals 2'!C$2</f>
        <v>45076</v>
      </c>
      <c r="B18" s="16">
        <f>'Finals 2'!M$5</f>
        <v>3</v>
      </c>
      <c r="C18" s="16">
        <f>'Finals 2'!N$5</f>
        <v>3</v>
      </c>
      <c r="D18" s="20">
        <f>'Finals 2'!P$5</f>
        <v>1</v>
      </c>
      <c r="E18" s="40" t="s">
        <v>51</v>
      </c>
      <c r="F18" s="40" t="s">
        <v>46</v>
      </c>
      <c r="L18" s="128"/>
      <c r="M18" s="128"/>
      <c r="N18" s="128"/>
      <c r="O18" s="128"/>
      <c r="P18" s="128"/>
      <c r="R18" s="17">
        <v>2</v>
      </c>
      <c r="S18" s="17">
        <v>1</v>
      </c>
      <c r="T18" s="128"/>
      <c r="U18" s="128"/>
      <c r="V18" s="63"/>
      <c r="W18" s="87"/>
      <c r="X18" s="87"/>
    </row>
    <row r="19" spans="1:24" ht="14.25" customHeight="1" x14ac:dyDescent="0.45">
      <c r="A19" s="4">
        <f>'Finals 3'!C$2</f>
        <v>45077</v>
      </c>
      <c r="B19" s="16">
        <f>'Finals 3'!M$5</f>
        <v>6</v>
      </c>
      <c r="C19" s="16">
        <f>'Finals 3'!N$5</f>
        <v>4</v>
      </c>
      <c r="D19" s="20">
        <f>'Finals 3'!P$5</f>
        <v>3</v>
      </c>
      <c r="E19" s="40" t="s">
        <v>51</v>
      </c>
      <c r="F19" s="40" t="s">
        <v>46</v>
      </c>
      <c r="L19" s="128"/>
      <c r="M19" s="128"/>
      <c r="N19" s="128"/>
      <c r="O19" s="128"/>
      <c r="P19" s="128"/>
      <c r="R19" s="17">
        <v>1</v>
      </c>
      <c r="S19" s="17">
        <v>2</v>
      </c>
      <c r="T19" s="128"/>
      <c r="U19" s="128"/>
      <c r="V19" s="63"/>
      <c r="W19" s="87"/>
      <c r="X19" s="87"/>
    </row>
    <row r="20" spans="1:24" ht="14.25" customHeight="1" x14ac:dyDescent="0.45">
      <c r="A20" s="4">
        <f>'Finals 4'!C$2</f>
        <v>45078</v>
      </c>
      <c r="B20" s="16">
        <f>'Finals 4'!M$5</f>
        <v>2</v>
      </c>
      <c r="C20" s="16">
        <f>'Finals 4'!N$5</f>
        <v>4</v>
      </c>
      <c r="D20" s="20">
        <f>'Finals 4'!P$5</f>
        <v>1</v>
      </c>
      <c r="E20" s="40" t="s">
        <v>240</v>
      </c>
      <c r="F20" s="40" t="s">
        <v>44</v>
      </c>
      <c r="L20" s="128"/>
      <c r="M20" s="128"/>
      <c r="N20" s="128"/>
      <c r="O20" s="128"/>
      <c r="P20" s="128"/>
      <c r="R20" s="17"/>
      <c r="S20" s="17"/>
      <c r="T20" s="128"/>
      <c r="U20" s="128"/>
      <c r="V20" s="63"/>
      <c r="W20" s="87"/>
      <c r="X20" s="87"/>
    </row>
    <row r="21" spans="1:24" ht="14.2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R21" s="17"/>
      <c r="S21" s="17"/>
      <c r="T21" s="128"/>
      <c r="U21" s="128"/>
      <c r="V21" s="63"/>
      <c r="W21" s="87"/>
      <c r="X21" s="87"/>
    </row>
    <row r="22" spans="1:24" ht="14.25" customHeight="1" x14ac:dyDescent="0.45">
      <c r="L22" s="128"/>
      <c r="M22" s="128"/>
      <c r="N22" s="128"/>
      <c r="O22" s="128"/>
      <c r="P22" s="128"/>
      <c r="R22" s="17"/>
      <c r="S22" s="17"/>
      <c r="T22" s="128"/>
      <c r="U22" s="128"/>
      <c r="V22" s="63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28"/>
      <c r="M23" s="128"/>
      <c r="N23" s="128"/>
      <c r="O23" s="128"/>
      <c r="P23" s="128"/>
      <c r="R23" s="17"/>
      <c r="S23" s="17"/>
      <c r="T23" s="128"/>
      <c r="U23" s="128"/>
      <c r="V23" s="63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28"/>
      <c r="M24" s="128"/>
      <c r="N24" s="128"/>
      <c r="O24" s="128"/>
      <c r="P24" s="128"/>
      <c r="R24" s="17"/>
      <c r="S24" s="17"/>
      <c r="T24" s="128"/>
      <c r="U24" s="128"/>
      <c r="V24" s="63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28"/>
      <c r="M25" s="128"/>
      <c r="N25" s="128"/>
      <c r="O25" s="128"/>
      <c r="P25" s="128"/>
      <c r="R25" s="17"/>
      <c r="S25" s="17"/>
      <c r="T25" s="128"/>
      <c r="U25" s="128"/>
      <c r="V25" s="63"/>
      <c r="W25" s="87"/>
      <c r="X25" s="87"/>
    </row>
    <row r="26" spans="1:24" ht="14.25" customHeight="1" x14ac:dyDescent="0.45">
      <c r="L26" s="128"/>
      <c r="M26" s="128"/>
      <c r="N26" s="128"/>
      <c r="O26" s="128"/>
      <c r="P26" s="128"/>
      <c r="R26" s="17"/>
      <c r="S26" s="17"/>
      <c r="T26" s="128"/>
      <c r="U26" s="128"/>
      <c r="V26" s="63"/>
      <c r="W26" s="87"/>
      <c r="X26" s="87"/>
    </row>
    <row r="27" spans="1:24" ht="14.25" customHeight="1" x14ac:dyDescent="0.45">
      <c r="L27" s="128"/>
      <c r="M27" s="128"/>
      <c r="N27" s="128"/>
      <c r="O27" s="128"/>
      <c r="P27" s="128"/>
      <c r="R27" s="17"/>
      <c r="S27" s="17"/>
      <c r="T27" s="128"/>
      <c r="U27" s="128"/>
      <c r="V27" s="63"/>
      <c r="W27" s="87"/>
      <c r="X27" s="87"/>
    </row>
    <row r="28" spans="1:24" ht="14.25" customHeight="1" x14ac:dyDescent="0.45">
      <c r="L28" s="128"/>
      <c r="M28" s="128"/>
      <c r="N28" s="128"/>
      <c r="O28" s="128"/>
      <c r="P28" s="128"/>
      <c r="R28" s="17"/>
      <c r="S28" s="17"/>
      <c r="T28" s="128"/>
      <c r="U28" s="128"/>
      <c r="V28" s="63"/>
      <c r="W28" s="87"/>
      <c r="X28" s="87"/>
    </row>
    <row r="29" spans="1:24" ht="14.25" customHeight="1" x14ac:dyDescent="0.45">
      <c r="L29" s="128"/>
      <c r="M29" s="128"/>
      <c r="N29" s="128"/>
      <c r="O29" s="128"/>
      <c r="P29" s="128"/>
      <c r="R29" s="17"/>
      <c r="S29" s="17"/>
      <c r="T29" s="128"/>
      <c r="U29" s="128"/>
      <c r="V29" s="63"/>
      <c r="W29" s="87"/>
      <c r="X29" s="87"/>
    </row>
    <row r="30" spans="1:24" ht="14.25" customHeight="1" x14ac:dyDescent="0.45">
      <c r="L30" s="128"/>
      <c r="M30" s="128"/>
      <c r="N30" s="128"/>
      <c r="O30" s="128"/>
      <c r="P30" s="128"/>
      <c r="Q30" s="40" t="s">
        <v>118</v>
      </c>
      <c r="R30" s="17">
        <f t="shared" ref="R30:S30" si="1">SUM(R4:R29)</f>
        <v>40</v>
      </c>
      <c r="S30" s="17">
        <f t="shared" si="1"/>
        <v>48</v>
      </c>
      <c r="T30" s="128"/>
      <c r="U30" s="128"/>
      <c r="V30" s="63"/>
      <c r="W30" s="87"/>
      <c r="X30" s="87"/>
    </row>
    <row r="31" spans="1:24" ht="14.25" customHeight="1" x14ac:dyDescent="0.45">
      <c r="K31" s="24"/>
      <c r="R31" s="22">
        <f>R30/(S30+R30)</f>
        <v>0.45454545454545453</v>
      </c>
      <c r="V31" s="63"/>
      <c r="W31" s="63"/>
      <c r="X31" s="63"/>
    </row>
    <row r="32" spans="1:24" ht="14.25" customHeight="1" x14ac:dyDescent="0.45">
      <c r="K32" s="24"/>
      <c r="L32" s="103" t="str">
        <f>R32&amp;H4&amp;","&amp;I4&amp;"],"</f>
        <v>"PartA":[89,95],</v>
      </c>
      <c r="M32" s="24"/>
      <c r="N32" s="24"/>
      <c r="O32" s="24"/>
      <c r="P32" s="24"/>
      <c r="Q32" s="24"/>
      <c r="R32" s="40" t="s">
        <v>193</v>
      </c>
      <c r="T32" s="40" t="s">
        <v>197</v>
      </c>
      <c r="V32" s="64">
        <f>ROUND(SUM('Stats Global'!Q9,'Stats Global'!Q11:Q13,'Stats Global'!Q21)/COUNT(B4:B40),1)</f>
        <v>6.3</v>
      </c>
      <c r="W32" s="63"/>
      <c r="X32" s="63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"PartB":[45,"Rudy Hoschke",42,"Rudy Hoschke",13,"Michael Iffland",1,"Michael Iffland"],</v>
      </c>
      <c r="R33" s="40" t="s">
        <v>194</v>
      </c>
      <c r="T33" s="42">
        <f>MAX('Stats Global'!Q9,'Stats Global'!Q11:Q13,'Stats Global'!Q21)</f>
        <v>45</v>
      </c>
      <c r="U33" s="40" t="s">
        <v>44</v>
      </c>
      <c r="V33" s="64">
        <f>ROUND(SUM('Stats Global'!S9,'Stats Global'!S11:S13,'Stats Global'!S21)/COUNT(B4:B40),1)</f>
        <v>4.0999999999999996</v>
      </c>
    </row>
    <row r="34" spans="12:22" ht="14.25" customHeight="1" x14ac:dyDescent="0.45">
      <c r="L34" s="40" t="str">
        <f>R34&amp;V32&amp;","&amp;V33&amp;","&amp;V34&amp;","&amp;V35&amp;","&amp;V36&amp;","&amp;V37&amp;"],"</f>
        <v>"PartC":[6.3,4.1,1.5,0.35,5.2,5.6],</v>
      </c>
      <c r="R34" s="40" t="s">
        <v>195</v>
      </c>
      <c r="T34" s="42">
        <f>MAX('Stats Global'!S9,'Stats Global'!S11:S13,'Stats Global'!S21)</f>
        <v>42</v>
      </c>
      <c r="U34" s="40" t="s">
        <v>44</v>
      </c>
      <c r="V34" s="64">
        <f>ROUND(SUM('Stats Global'!U9,'Stats Global'!U11:U13,'Stats Global'!U21)/COUNT(B4:B40),1)</f>
        <v>1.5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"PartD":[44,45,49.4,40,48,45.5],</v>
      </c>
      <c r="R35" s="40" t="s">
        <v>196</v>
      </c>
      <c r="T35" s="42">
        <f>MAX('Stats Global'!U9,'Stats Global'!U11:U13,'Stats Global'!U21)</f>
        <v>13</v>
      </c>
      <c r="U35" s="40" t="s">
        <v>46</v>
      </c>
      <c r="V35" s="64">
        <f>ROUND(SUM('Stats Global'!W9,'Stats Global'!W11:W13,'Stats Global'!W21)/COUNT(B4:B40),2)</f>
        <v>0.35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5.2</v>
      </c>
    </row>
    <row r="37" spans="12:22" ht="14.25" customHeight="1" x14ac:dyDescent="0.45">
      <c r="V37" s="40">
        <f>ROUND(I4/COUNT(B4:B40),1)</f>
        <v>5.6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workbookViewId="0">
      <selection activeCell="A3" sqref="A3:F20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K2" s="126"/>
      <c r="L2" s="126"/>
      <c r="M2" s="127" t="s">
        <v>99</v>
      </c>
      <c r="N2" s="126"/>
      <c r="O2" s="126"/>
      <c r="Q2" s="62"/>
      <c r="R2" s="63"/>
      <c r="S2" s="63"/>
      <c r="T2" s="63"/>
      <c r="U2" s="63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201</v>
      </c>
      <c r="F3" s="40" t="s">
        <v>202</v>
      </c>
      <c r="G3" s="24" t="s">
        <v>104</v>
      </c>
      <c r="H3" s="24" t="s">
        <v>105</v>
      </c>
      <c r="I3" s="24" t="s">
        <v>106</v>
      </c>
      <c r="K3" s="127" t="s">
        <v>153</v>
      </c>
      <c r="L3" s="127" t="s">
        <v>62</v>
      </c>
      <c r="M3" s="127" t="s">
        <v>185</v>
      </c>
      <c r="N3" s="127" t="s">
        <v>55</v>
      </c>
      <c r="O3" s="127" t="s">
        <v>81</v>
      </c>
      <c r="Q3" s="62"/>
      <c r="R3" s="62"/>
      <c r="S3" s="62"/>
      <c r="T3" s="62"/>
      <c r="U3" s="63"/>
      <c r="V3" s="62"/>
      <c r="W3" s="62"/>
      <c r="X3" s="62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7" t="s">
        <v>38</v>
      </c>
      <c r="F4" s="40" t="s">
        <v>60</v>
      </c>
      <c r="G4" s="24">
        <f>SUM(B4:B30)</f>
        <v>97</v>
      </c>
      <c r="H4" s="24">
        <f>SUM(C4:C30)</f>
        <v>90</v>
      </c>
      <c r="I4" s="24">
        <f>SUM(D4:D30)</f>
        <v>35</v>
      </c>
      <c r="K4" s="128">
        <v>1</v>
      </c>
      <c r="L4" s="129">
        <v>1</v>
      </c>
      <c r="M4" s="129">
        <v>2</v>
      </c>
      <c r="N4" s="128"/>
      <c r="O4" s="128"/>
      <c r="Q4" s="87"/>
      <c r="R4" s="87"/>
      <c r="S4" s="87"/>
      <c r="T4" s="87"/>
      <c r="U4" s="63"/>
      <c r="V4" s="87"/>
      <c r="W4" s="87"/>
      <c r="X4" s="8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4" t="s">
        <v>66</v>
      </c>
      <c r="F5" s="40" t="s">
        <v>209</v>
      </c>
      <c r="K5" s="128"/>
      <c r="L5" s="129"/>
      <c r="M5" s="129">
        <v>1</v>
      </c>
      <c r="N5" s="128">
        <v>1</v>
      </c>
      <c r="O5" s="128"/>
      <c r="Q5" s="87"/>
      <c r="R5" s="87"/>
      <c r="S5" s="87"/>
      <c r="T5" s="87"/>
      <c r="U5" s="63"/>
      <c r="V5" s="87"/>
      <c r="W5" s="87"/>
      <c r="X5" s="8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7" t="s">
        <v>208</v>
      </c>
      <c r="F6" s="40" t="s">
        <v>60</v>
      </c>
      <c r="H6" s="24" t="s">
        <v>110</v>
      </c>
      <c r="I6" s="18">
        <f>SUM(B4:B6)/SUM(B4:C6)</f>
        <v>0.59375</v>
      </c>
      <c r="K6" s="128"/>
      <c r="L6" s="129"/>
      <c r="M6" s="129"/>
      <c r="N6" s="128"/>
      <c r="O6" s="128"/>
      <c r="Q6" s="87"/>
      <c r="R6" s="87"/>
      <c r="S6" s="87"/>
      <c r="T6" s="87"/>
      <c r="U6" s="63"/>
      <c r="V6" s="87"/>
      <c r="W6" s="87"/>
      <c r="X6" s="8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7" t="s">
        <v>38</v>
      </c>
      <c r="F7" s="40" t="s">
        <v>210</v>
      </c>
      <c r="H7" s="24" t="s">
        <v>111</v>
      </c>
      <c r="I7" s="18"/>
      <c r="K7" s="128">
        <v>2</v>
      </c>
      <c r="L7" s="128">
        <v>1</v>
      </c>
      <c r="M7" s="128">
        <v>1</v>
      </c>
      <c r="N7" s="128"/>
      <c r="O7" s="128">
        <v>1</v>
      </c>
      <c r="Q7" s="87"/>
      <c r="R7" s="87"/>
      <c r="S7" s="87"/>
      <c r="T7" s="87"/>
      <c r="U7" s="63"/>
      <c r="V7" s="87"/>
      <c r="W7" s="87"/>
      <c r="X7" s="87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7" t="s">
        <v>38</v>
      </c>
      <c r="F8" s="40" t="s">
        <v>60</v>
      </c>
      <c r="H8" s="24" t="s">
        <v>112</v>
      </c>
      <c r="I8" s="18"/>
      <c r="K8" s="128">
        <v>2</v>
      </c>
      <c r="L8" s="128">
        <v>1</v>
      </c>
      <c r="M8" s="128"/>
      <c r="N8" s="128">
        <v>1</v>
      </c>
      <c r="O8" s="128">
        <v>1</v>
      </c>
      <c r="Q8" s="87"/>
      <c r="R8" s="87"/>
      <c r="S8" s="87"/>
      <c r="T8" s="87"/>
      <c r="U8" s="63"/>
      <c r="V8" s="87"/>
      <c r="W8" s="87"/>
      <c r="X8" s="87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7" t="s">
        <v>60</v>
      </c>
      <c r="F9" s="40" t="s">
        <v>60</v>
      </c>
      <c r="H9" s="24" t="s">
        <v>113</v>
      </c>
      <c r="I9" s="18"/>
      <c r="K9" s="128">
        <v>1</v>
      </c>
      <c r="L9" s="128"/>
      <c r="M9" s="128"/>
      <c r="N9" s="128">
        <v>1</v>
      </c>
      <c r="O9" s="128">
        <v>1</v>
      </c>
      <c r="Q9" s="87"/>
      <c r="R9" s="87"/>
      <c r="S9" s="87"/>
      <c r="T9" s="87"/>
      <c r="U9" s="63"/>
      <c r="V9" s="87"/>
      <c r="W9" s="87"/>
      <c r="X9" s="87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7" t="s">
        <v>33</v>
      </c>
      <c r="F10" s="40" t="s">
        <v>60</v>
      </c>
      <c r="H10" s="24" t="s">
        <v>114</v>
      </c>
      <c r="I10" s="18"/>
      <c r="K10" s="126">
        <v>1</v>
      </c>
      <c r="L10" s="126"/>
      <c r="M10" s="126"/>
      <c r="N10" s="126">
        <v>1</v>
      </c>
      <c r="O10" s="126"/>
      <c r="Q10" s="87"/>
      <c r="R10" s="87"/>
      <c r="S10" s="87"/>
      <c r="T10" s="87"/>
      <c r="U10" s="63"/>
      <c r="V10" s="87"/>
      <c r="W10" s="87"/>
      <c r="X10" s="87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3" t="s">
        <v>203</v>
      </c>
      <c r="F11" s="40" t="s">
        <v>60</v>
      </c>
      <c r="H11" s="24" t="s">
        <v>115</v>
      </c>
      <c r="I11" s="18"/>
      <c r="K11" s="128"/>
      <c r="L11" s="128"/>
      <c r="M11" s="128"/>
      <c r="N11" s="128"/>
      <c r="O11" s="128"/>
      <c r="Q11" s="87"/>
      <c r="R11" s="87"/>
      <c r="S11" s="87"/>
      <c r="T11" s="87"/>
      <c r="U11" s="63"/>
      <c r="V11" s="87"/>
      <c r="W11" s="87"/>
      <c r="X11" s="87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3" t="s">
        <v>38</v>
      </c>
      <c r="F12" s="40" t="s">
        <v>60</v>
      </c>
      <c r="H12" s="24" t="s">
        <v>116</v>
      </c>
      <c r="I12" s="18"/>
      <c r="K12" s="128"/>
      <c r="L12" s="128"/>
      <c r="M12" s="128"/>
      <c r="N12" s="128"/>
      <c r="O12" s="128"/>
      <c r="Q12" s="87"/>
      <c r="R12" s="87"/>
      <c r="S12" s="87"/>
      <c r="T12" s="87"/>
      <c r="U12" s="63"/>
      <c r="V12" s="87"/>
      <c r="W12" s="87"/>
      <c r="X12" s="87"/>
    </row>
    <row r="13" spans="1:24" ht="14.25" customHeight="1" x14ac:dyDescent="0.45">
      <c r="A13" s="4">
        <f>'1705'!C$2</f>
        <v>45063</v>
      </c>
      <c r="B13" s="16">
        <f>'1705'!L$4</f>
        <v>5</v>
      </c>
      <c r="C13" s="16">
        <f>'1705'!M$4</f>
        <v>4</v>
      </c>
      <c r="D13" s="16">
        <f>'1705'!O$4</f>
        <v>2</v>
      </c>
      <c r="E13" s="113" t="s">
        <v>220</v>
      </c>
      <c r="F13" s="40" t="s">
        <v>209</v>
      </c>
      <c r="H13" s="24" t="s">
        <v>117</v>
      </c>
      <c r="I13" s="18" cm="1">
        <f t="array" ref="I13">SUM(B4:B7/SUM(B4:C7))</f>
        <v>0.63265306122448983</v>
      </c>
      <c r="K13" s="128"/>
      <c r="L13" s="128"/>
      <c r="M13" s="128"/>
      <c r="N13" s="128"/>
      <c r="O13" s="128"/>
      <c r="Q13" s="87"/>
      <c r="R13" s="87"/>
      <c r="S13" s="87"/>
      <c r="T13" s="87"/>
      <c r="U13" s="63"/>
      <c r="V13" s="87"/>
      <c r="W13" s="87"/>
      <c r="X13" s="87"/>
    </row>
    <row r="14" spans="1:24" ht="14.25" customHeight="1" x14ac:dyDescent="0.45">
      <c r="A14" s="4">
        <f>'2205'!C$2</f>
        <v>45068</v>
      </c>
      <c r="B14" s="16">
        <f>'2205'!L$4</f>
        <v>12</v>
      </c>
      <c r="C14" s="16">
        <f>'2205'!M$4</f>
        <v>1</v>
      </c>
      <c r="D14" s="16">
        <f>'2205'!O$4</f>
        <v>3</v>
      </c>
      <c r="E14" s="113" t="s">
        <v>224</v>
      </c>
      <c r="F14" s="40" t="s">
        <v>60</v>
      </c>
      <c r="K14" s="128"/>
      <c r="L14" s="128"/>
      <c r="M14" s="128"/>
      <c r="N14" s="128"/>
      <c r="O14" s="128"/>
      <c r="Q14" s="87"/>
      <c r="R14" s="87"/>
      <c r="S14" s="87"/>
      <c r="T14" s="87"/>
      <c r="U14" s="63"/>
      <c r="V14" s="87"/>
      <c r="W14" s="87"/>
      <c r="X14" s="87"/>
    </row>
    <row r="15" spans="1:24" ht="14.25" customHeight="1" x14ac:dyDescent="0.45">
      <c r="A15" s="4">
        <f>'2305'!C$2</f>
        <v>45069</v>
      </c>
      <c r="B15" s="16">
        <f>'2305'!L$4</f>
        <v>1</v>
      </c>
      <c r="C15" s="16">
        <f>'2305'!M$4</f>
        <v>8</v>
      </c>
      <c r="D15" s="16">
        <f>'2305'!O$4</f>
        <v>1</v>
      </c>
      <c r="E15" s="113" t="s">
        <v>203</v>
      </c>
      <c r="F15" s="40" t="s">
        <v>38</v>
      </c>
      <c r="K15" s="128"/>
      <c r="L15" s="128"/>
      <c r="M15" s="128"/>
      <c r="N15" s="128"/>
      <c r="O15" s="128"/>
      <c r="Q15" s="87"/>
      <c r="R15" s="87"/>
      <c r="S15" s="87"/>
      <c r="T15" s="87"/>
      <c r="U15" s="63"/>
      <c r="V15" s="87"/>
      <c r="W15" s="87"/>
      <c r="X15" s="87"/>
    </row>
    <row r="16" spans="1:24" ht="14.25" customHeight="1" x14ac:dyDescent="0.45">
      <c r="A16" s="4">
        <f>'2405'!C$2</f>
        <v>45070</v>
      </c>
      <c r="B16" s="16">
        <f>'2405'!L$4</f>
        <v>4</v>
      </c>
      <c r="C16" s="16">
        <f>'2405'!M$4</f>
        <v>2</v>
      </c>
      <c r="D16" s="16">
        <f>'2405'!O$4</f>
        <v>2</v>
      </c>
      <c r="E16" s="113" t="s">
        <v>38</v>
      </c>
      <c r="F16" s="40" t="s">
        <v>228</v>
      </c>
      <c r="K16" s="128"/>
      <c r="L16" s="128"/>
      <c r="M16" s="128"/>
      <c r="N16" s="128"/>
      <c r="O16" s="128"/>
      <c r="Q16" s="87"/>
      <c r="R16" s="87"/>
      <c r="S16" s="87"/>
      <c r="T16" s="87"/>
      <c r="U16" s="63"/>
      <c r="V16" s="87"/>
      <c r="W16" s="87"/>
      <c r="X16" s="87"/>
    </row>
    <row r="17" spans="1:24" ht="14.25" customHeight="1" x14ac:dyDescent="0.45">
      <c r="A17" s="4">
        <f>'Finals 1'!C$2</f>
        <v>45075</v>
      </c>
      <c r="B17" s="16">
        <f>'Finals 1'!M$4</f>
        <v>1</v>
      </c>
      <c r="C17" s="16">
        <f>'Finals 1'!N$4</f>
        <v>2</v>
      </c>
      <c r="D17" s="20">
        <f>'Finals 1'!Q$4</f>
        <v>0</v>
      </c>
      <c r="E17" s="146" t="s">
        <v>210</v>
      </c>
      <c r="F17" s="40" t="s">
        <v>203</v>
      </c>
      <c r="K17" s="128"/>
      <c r="L17" s="128"/>
      <c r="M17" s="128"/>
      <c r="N17" s="128"/>
      <c r="O17" s="128"/>
      <c r="Q17" s="87"/>
      <c r="R17" s="87"/>
      <c r="S17" s="87"/>
      <c r="T17" s="87"/>
      <c r="U17" s="63"/>
      <c r="V17" s="87"/>
      <c r="W17" s="87"/>
      <c r="X17" s="87"/>
    </row>
    <row r="18" spans="1:24" ht="14.25" customHeight="1" x14ac:dyDescent="0.45">
      <c r="A18" s="4">
        <f>'Finals 2'!C$2</f>
        <v>45076</v>
      </c>
      <c r="B18" s="16">
        <f>'Finals 2'!M$4</f>
        <v>4</v>
      </c>
      <c r="C18" s="16">
        <f>'Finals 2'!N$4</f>
        <v>3</v>
      </c>
      <c r="D18" s="20">
        <f>'Finals 2'!P$4</f>
        <v>2</v>
      </c>
      <c r="E18" s="146" t="s">
        <v>38</v>
      </c>
      <c r="F18" s="40" t="s">
        <v>66</v>
      </c>
      <c r="K18" s="128"/>
      <c r="L18" s="128"/>
      <c r="M18" s="128"/>
      <c r="N18" s="128"/>
      <c r="O18" s="128"/>
      <c r="Q18" s="87"/>
      <c r="R18" s="87"/>
      <c r="S18" s="87"/>
      <c r="T18" s="87"/>
      <c r="U18" s="63"/>
      <c r="V18" s="87"/>
      <c r="W18" s="87"/>
      <c r="X18" s="87"/>
    </row>
    <row r="19" spans="1:24" ht="14.25" customHeight="1" x14ac:dyDescent="0.45">
      <c r="A19" s="4">
        <f>'Finals 3'!C$2</f>
        <v>45077</v>
      </c>
      <c r="B19" s="16">
        <f>'Finals 3'!M$4</f>
        <v>4</v>
      </c>
      <c r="C19" s="16">
        <f>'Finals 3'!N$4</f>
        <v>5</v>
      </c>
      <c r="D19" s="20">
        <f>'Finals 3'!P$4</f>
        <v>2</v>
      </c>
      <c r="E19" s="146" t="s">
        <v>38</v>
      </c>
      <c r="F19" s="40" t="s">
        <v>38</v>
      </c>
      <c r="K19" s="128"/>
      <c r="L19" s="128"/>
      <c r="M19" s="128"/>
      <c r="N19" s="128"/>
      <c r="O19" s="128"/>
      <c r="Q19" s="87"/>
      <c r="R19" s="87"/>
      <c r="S19" s="87"/>
      <c r="T19" s="87"/>
      <c r="U19" s="63"/>
      <c r="V19" s="87"/>
      <c r="W19" s="87"/>
      <c r="X19" s="87"/>
    </row>
    <row r="20" spans="1:24" ht="14.25" customHeight="1" x14ac:dyDescent="0.45">
      <c r="A20" s="4">
        <f>'Finals 4'!C$2</f>
        <v>45078</v>
      </c>
      <c r="B20" s="16">
        <f>'Finals 4'!M$4</f>
        <v>4</v>
      </c>
      <c r="C20" s="16">
        <f>'Finals 4'!N$4</f>
        <v>3</v>
      </c>
      <c r="D20" s="20">
        <f>'Finals 4'!P$4</f>
        <v>2</v>
      </c>
      <c r="E20" s="146" t="s">
        <v>38</v>
      </c>
      <c r="F20" s="40" t="s">
        <v>60</v>
      </c>
      <c r="K20" s="128"/>
      <c r="L20" s="128"/>
      <c r="M20" s="128"/>
      <c r="N20" s="128"/>
      <c r="O20" s="128"/>
      <c r="Q20" s="87"/>
      <c r="R20" s="87"/>
      <c r="S20" s="87"/>
      <c r="T20" s="87"/>
      <c r="U20" s="63"/>
      <c r="V20" s="87"/>
      <c r="W20" s="87"/>
      <c r="X20" s="87"/>
    </row>
    <row r="21" spans="1:24" ht="14.25" customHeight="1" x14ac:dyDescent="0.45">
      <c r="A21" s="4"/>
      <c r="B21" s="16"/>
      <c r="C21" s="16"/>
      <c r="D21" s="16"/>
      <c r="K21" s="128"/>
      <c r="L21" s="128"/>
      <c r="M21" s="128"/>
      <c r="N21" s="128"/>
      <c r="O21" s="128"/>
      <c r="Q21" s="87"/>
      <c r="R21" s="87"/>
      <c r="S21" s="87"/>
      <c r="T21" s="87"/>
      <c r="U21" s="63"/>
      <c r="V21" s="87"/>
      <c r="W21" s="87"/>
      <c r="X21" s="87"/>
    </row>
    <row r="22" spans="1:24" ht="14.25" customHeight="1" x14ac:dyDescent="0.45">
      <c r="K22" s="128"/>
      <c r="L22" s="128"/>
      <c r="M22" s="128"/>
      <c r="N22" s="128"/>
      <c r="O22" s="128"/>
      <c r="Q22" s="87"/>
      <c r="R22" s="87"/>
      <c r="S22" s="87"/>
      <c r="T22" s="87"/>
      <c r="U22" s="63"/>
      <c r="V22" s="87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28"/>
      <c r="L23" s="128"/>
      <c r="M23" s="128"/>
      <c r="N23" s="128"/>
      <c r="O23" s="128"/>
      <c r="Q23" s="87"/>
      <c r="R23" s="87"/>
      <c r="S23" s="87"/>
      <c r="T23" s="87"/>
      <c r="U23" s="63"/>
      <c r="V23" s="87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28"/>
      <c r="L24" s="128"/>
      <c r="M24" s="128"/>
      <c r="N24" s="128"/>
      <c r="O24" s="128"/>
      <c r="Q24" s="87"/>
      <c r="R24" s="87"/>
      <c r="S24" s="87"/>
      <c r="T24" s="87"/>
      <c r="U24" s="63"/>
      <c r="V24" s="87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28"/>
      <c r="L25" s="128"/>
      <c r="M25" s="128"/>
      <c r="N25" s="128"/>
      <c r="O25" s="128"/>
      <c r="Q25" s="87"/>
      <c r="R25" s="87"/>
      <c r="S25" s="87"/>
      <c r="T25" s="87"/>
      <c r="U25" s="63"/>
      <c r="V25" s="87"/>
      <c r="W25" s="87"/>
      <c r="X25" s="87"/>
    </row>
    <row r="26" spans="1:24" ht="14.25" customHeight="1" x14ac:dyDescent="0.45">
      <c r="K26" s="128"/>
      <c r="L26" s="128"/>
      <c r="M26" s="128"/>
      <c r="N26" s="128"/>
      <c r="O26" s="128"/>
      <c r="Q26" s="87"/>
      <c r="R26" s="87"/>
      <c r="S26" s="87"/>
      <c r="T26" s="87"/>
      <c r="U26" s="63"/>
      <c r="V26" s="87"/>
      <c r="W26" s="87"/>
      <c r="X26" s="87"/>
    </row>
    <row r="27" spans="1:24" ht="14.25" customHeight="1" x14ac:dyDescent="0.45">
      <c r="K27" s="128"/>
      <c r="L27" s="128"/>
      <c r="M27" s="128"/>
      <c r="N27" s="128"/>
      <c r="O27" s="128"/>
      <c r="Q27" s="87"/>
      <c r="R27" s="87"/>
      <c r="S27" s="87"/>
      <c r="T27" s="87"/>
      <c r="U27" s="63"/>
      <c r="V27" s="87"/>
      <c r="W27" s="87"/>
      <c r="X27" s="87"/>
    </row>
    <row r="28" spans="1:24" ht="14.25" customHeight="1" x14ac:dyDescent="0.45">
      <c r="K28" s="128"/>
      <c r="L28" s="128"/>
      <c r="M28" s="128"/>
      <c r="N28" s="128"/>
      <c r="O28" s="128"/>
      <c r="Q28" s="87"/>
      <c r="R28" s="87"/>
      <c r="S28" s="87"/>
      <c r="T28" s="87"/>
      <c r="U28" s="63"/>
      <c r="V28" s="87"/>
      <c r="W28" s="87"/>
      <c r="X28" s="87"/>
    </row>
    <row r="29" spans="1:24" ht="14.25" customHeight="1" x14ac:dyDescent="0.45">
      <c r="K29" s="128"/>
      <c r="L29" s="128"/>
      <c r="M29" s="128"/>
      <c r="N29" s="128"/>
      <c r="O29" s="128"/>
      <c r="Q29" s="87"/>
      <c r="R29" s="87"/>
      <c r="S29" s="87"/>
      <c r="T29" s="87"/>
      <c r="U29" s="63"/>
      <c r="V29" s="112"/>
      <c r="W29" s="87"/>
      <c r="X29" s="87"/>
    </row>
    <row r="30" spans="1:24" ht="14.25" customHeight="1" x14ac:dyDescent="0.45">
      <c r="K30" s="128"/>
      <c r="L30" s="128"/>
      <c r="M30" s="128"/>
      <c r="N30" s="128"/>
      <c r="O30" s="128"/>
      <c r="P30" s="24"/>
      <c r="Q30" s="87"/>
      <c r="R30" s="87"/>
      <c r="S30" s="87"/>
      <c r="T30" s="87"/>
      <c r="U30" s="63"/>
      <c r="V30" s="87"/>
      <c r="W30" s="87"/>
      <c r="X30" s="87"/>
    </row>
    <row r="31" spans="1:24" ht="14.25" customHeight="1" x14ac:dyDescent="0.45">
      <c r="J31" s="24"/>
      <c r="Q31" s="22"/>
      <c r="U31" s="63"/>
      <c r="V31" s="63"/>
      <c r="W31" s="63"/>
      <c r="X31" s="63"/>
    </row>
    <row r="32" spans="1:24" ht="14.25" customHeight="1" x14ac:dyDescent="0.45">
      <c r="J32" s="24"/>
      <c r="K32" s="103" t="str">
        <f>Q32&amp;G4&amp;","&amp;H4&amp;"],"</f>
        <v>"PartA":[97,90],</v>
      </c>
      <c r="L32" s="24"/>
      <c r="M32" s="24"/>
      <c r="N32" s="24"/>
      <c r="O32" s="24"/>
      <c r="P32" s="24"/>
      <c r="Q32" s="40" t="s">
        <v>193</v>
      </c>
      <c r="S32" s="40" t="s">
        <v>197</v>
      </c>
      <c r="U32" s="64">
        <f>ROUND(SUM('Stats Global'!Q8,'Stats Global'!Q10,'Stats Global'!Q16:Q18,1)/COUNT(B4:B40),1)</f>
        <v>7.1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"PartB":[44,"Samuel McConaghy",43,"Alexander Galt",25,"Samuel McConaghy",3,"N/A"],</v>
      </c>
      <c r="Q33" s="40" t="s">
        <v>194</v>
      </c>
      <c r="S33" s="42">
        <f>MAX('Stats Global'!Q8,'Stats Global'!Q10,'Stats Global'!Q16:Q18)</f>
        <v>44</v>
      </c>
      <c r="T33" s="40" t="s">
        <v>60</v>
      </c>
      <c r="U33" s="64">
        <f>ROUND(SUM('Stats Global'!S8,'Stats Global'!S10,'Stats Global'!S16:S18)/COUNT(B4:B40),1)</f>
        <v>3.6</v>
      </c>
    </row>
    <row r="34" spans="11:21" ht="14.25" customHeight="1" x14ac:dyDescent="0.45">
      <c r="K34" s="40" t="str">
        <f>Q34&amp;U32&amp;","&amp;U33&amp;","&amp;U34&amp;","&amp;U35&amp;","&amp;U36&amp;","&amp;U37&amp;"],"</f>
        <v>"PartC":[7.1,3.6,2.5,0.4,5.7,5.3],</v>
      </c>
      <c r="Q34" s="40" t="s">
        <v>195</v>
      </c>
      <c r="S34" s="42">
        <f>MAX('Stats Global'!S8,'Stats Global'!S10,'Stats Global'!S16:S18)</f>
        <v>43</v>
      </c>
      <c r="T34" s="40" t="s">
        <v>38</v>
      </c>
      <c r="U34" s="64">
        <f>ROUND(SUM('Stats Global'!U8,'Stats Global'!U10,'Stats Global'!U16:U18)/COUNT(B4:B40),1)</f>
        <v>2.5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"PartD":[45,45,50,48,40,54.5],</v>
      </c>
      <c r="Q35" s="40" t="s">
        <v>196</v>
      </c>
      <c r="S35" s="42">
        <f>MAX('Stats Global'!U8,'Stats Global'!U10,'Stats Global'!U16:U18)</f>
        <v>25</v>
      </c>
      <c r="T35" s="40" t="s">
        <v>60</v>
      </c>
      <c r="U35" s="64">
        <f>ROUND(SUM('Stats Global'!W8,'Stats Global'!W10,'Stats Global'!W16:W18)/COUNT(B4:B40),1)</f>
        <v>0.4</v>
      </c>
    </row>
    <row r="36" spans="11:21" ht="14.25" customHeight="1" x14ac:dyDescent="0.45">
      <c r="S36" s="42">
        <f>MAX('Stats Global'!W8,'Stats Global'!W10,'Stats Global'!W16:W18)</f>
        <v>3</v>
      </c>
      <c r="T36" s="40" t="s">
        <v>203</v>
      </c>
      <c r="U36" s="40">
        <f>ROUND(G4/COUNT(B4:B40),1)</f>
        <v>5.7</v>
      </c>
    </row>
    <row r="37" spans="11:21" ht="14.25" customHeight="1" x14ac:dyDescent="0.45">
      <c r="U37" s="40">
        <f>ROUND(H4/COUNT(B4:B40),1)</f>
        <v>5.3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4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4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4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4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4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4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4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69" t="s">
        <v>159</v>
      </c>
      <c r="R41" s="169"/>
      <c r="S41" s="169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69"/>
      <c r="R42" s="169"/>
      <c r="S42" s="169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72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57</v>
      </c>
      <c r="E6" s="53" t="s">
        <v>38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39</v>
      </c>
      <c r="E7" s="53" t="s">
        <v>60</v>
      </c>
      <c r="F7" s="53" t="s">
        <v>123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38</v>
      </c>
      <c r="F8" s="53" t="s">
        <v>154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66</v>
      </c>
      <c r="F12" s="53" t="s">
        <v>154</v>
      </c>
      <c r="G12" s="53">
        <v>2</v>
      </c>
      <c r="H12" s="53">
        <v>2</v>
      </c>
      <c r="I12" s="53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66</v>
      </c>
      <c r="F13" s="53" t="s">
        <v>154</v>
      </c>
      <c r="G13" s="53">
        <v>3</v>
      </c>
      <c r="H13" s="53">
        <v>2</v>
      </c>
      <c r="I13" s="53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72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1"/>
      <c r="F20" s="51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69" t="s">
        <v>159</v>
      </c>
      <c r="R41" s="169"/>
      <c r="S41" s="169"/>
      <c r="T41" s="19"/>
      <c r="U41" s="19"/>
    </row>
    <row r="42" spans="17:21" ht="14.25" customHeight="1" x14ac:dyDescent="0.45">
      <c r="Q42" s="169"/>
      <c r="R42" s="169"/>
      <c r="S42" s="169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171</v>
      </c>
      <c r="F6" s="53" t="s">
        <v>123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33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72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57</v>
      </c>
      <c r="E10" s="53" t="s">
        <v>44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66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79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148</v>
      </c>
      <c r="F13" s="53" t="s">
        <v>154</v>
      </c>
      <c r="G13" s="53">
        <v>2</v>
      </c>
      <c r="H13" s="53">
        <v>2</v>
      </c>
      <c r="I13" s="53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69" t="s">
        <v>159</v>
      </c>
      <c r="R41" s="169"/>
      <c r="S41" s="169"/>
      <c r="T41" s="19"/>
      <c r="U41" s="19"/>
    </row>
    <row r="42" spans="17:21" ht="14.25" customHeight="1" x14ac:dyDescent="0.45">
      <c r="Q42" s="169"/>
      <c r="R42" s="169"/>
      <c r="S42" s="169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34</v>
      </c>
      <c r="E5" s="53" t="s">
        <v>72</v>
      </c>
      <c r="F5" s="53" t="s">
        <v>172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39</v>
      </c>
      <c r="E6" s="53" t="s">
        <v>69</v>
      </c>
      <c r="F6" s="53" t="s">
        <v>154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2</v>
      </c>
      <c r="H8" s="53">
        <v>3</v>
      </c>
      <c r="I8" s="53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53</v>
      </c>
      <c r="F9" s="53" t="s">
        <v>172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2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46</v>
      </c>
      <c r="F12" s="53" t="s">
        <v>123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72</v>
      </c>
      <c r="F13" s="53" t="s">
        <v>154</v>
      </c>
      <c r="G13" s="53">
        <v>1</v>
      </c>
      <c r="H13" s="53">
        <v>1</v>
      </c>
      <c r="I13" s="53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2</v>
      </c>
      <c r="H14" s="53">
        <v>2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39</v>
      </c>
      <c r="E15" s="53" t="s">
        <v>72</v>
      </c>
      <c r="F15" s="53" t="s">
        <v>154</v>
      </c>
      <c r="G15" s="53">
        <v>3</v>
      </c>
      <c r="H15" s="53">
        <v>2</v>
      </c>
      <c r="I15" s="53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57</v>
      </c>
      <c r="E16" s="53" t="s">
        <v>63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34</v>
      </c>
      <c r="D17" s="53" t="s">
        <v>39</v>
      </c>
      <c r="E17" s="53" t="s">
        <v>60</v>
      </c>
      <c r="F17" s="53" t="s">
        <v>154</v>
      </c>
      <c r="G17" s="53">
        <v>2</v>
      </c>
      <c r="H17" s="53">
        <v>3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34</v>
      </c>
      <c r="E18" s="53" t="s">
        <v>53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57</v>
      </c>
      <c r="E19" s="53" t="s">
        <v>44</v>
      </c>
      <c r="F19" s="53" t="s">
        <v>154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34</v>
      </c>
      <c r="E20" s="53" t="s">
        <v>51</v>
      </c>
      <c r="F20" s="53" t="s">
        <v>123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57</v>
      </c>
      <c r="E21" s="53" t="s">
        <v>44</v>
      </c>
      <c r="F21" s="53" t="s">
        <v>154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34</v>
      </c>
      <c r="D22" s="53" t="s">
        <v>39</v>
      </c>
      <c r="E22" s="53" t="s">
        <v>60</v>
      </c>
      <c r="F22" s="53" t="s">
        <v>123</v>
      </c>
      <c r="G22" s="53">
        <v>1</v>
      </c>
      <c r="H22" s="53">
        <v>1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3">
        <v>20</v>
      </c>
      <c r="C23" s="53" t="s">
        <v>34</v>
      </c>
      <c r="D23" s="53" t="s">
        <v>57</v>
      </c>
      <c r="E23" s="53" t="s">
        <v>60</v>
      </c>
      <c r="F23" s="53" t="s">
        <v>123</v>
      </c>
      <c r="G23" s="53">
        <v>2</v>
      </c>
      <c r="H23" s="53">
        <v>3</v>
      </c>
      <c r="I23" s="53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3">
        <v>21</v>
      </c>
      <c r="C24" s="53" t="s">
        <v>39</v>
      </c>
      <c r="D24" s="53" t="s">
        <v>34</v>
      </c>
      <c r="E24" s="53" t="s">
        <v>46</v>
      </c>
      <c r="F24" s="53" t="s">
        <v>123</v>
      </c>
      <c r="G24" s="53">
        <v>1</v>
      </c>
      <c r="H24" s="53">
        <v>1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69" t="s">
        <v>159</v>
      </c>
      <c r="R41" s="169"/>
      <c r="S41" s="169"/>
      <c r="T41" s="19"/>
      <c r="U41" s="19"/>
    </row>
    <row r="42" spans="17:21" ht="14.25" customHeight="1" x14ac:dyDescent="0.45">
      <c r="Q42" s="169"/>
      <c r="R42" s="169"/>
      <c r="S42" s="169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7">
        <v>1</v>
      </c>
      <c r="C4" s="67" t="s">
        <v>57</v>
      </c>
      <c r="D4" s="67" t="s">
        <v>39</v>
      </c>
      <c r="E4" s="67" t="s">
        <v>53</v>
      </c>
      <c r="F4" s="67" t="s">
        <v>172</v>
      </c>
      <c r="G4" s="67">
        <v>1</v>
      </c>
      <c r="H4" s="67">
        <v>1</v>
      </c>
      <c r="I4" s="67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67">
        <v>2</v>
      </c>
      <c r="C5" s="67" t="s">
        <v>34</v>
      </c>
      <c r="D5" s="67" t="s">
        <v>57</v>
      </c>
      <c r="E5" s="67" t="s">
        <v>38</v>
      </c>
      <c r="F5" s="67" t="s">
        <v>154</v>
      </c>
      <c r="G5" s="67">
        <v>1</v>
      </c>
      <c r="H5" s="67">
        <v>1</v>
      </c>
      <c r="I5" s="67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7">
        <v>3</v>
      </c>
      <c r="C6" s="67" t="s">
        <v>34</v>
      </c>
      <c r="D6" s="67" t="s">
        <v>39</v>
      </c>
      <c r="E6" s="67" t="s">
        <v>66</v>
      </c>
      <c r="F6" s="67" t="s">
        <v>154</v>
      </c>
      <c r="G6" s="67">
        <v>2</v>
      </c>
      <c r="H6" s="67">
        <v>2</v>
      </c>
      <c r="I6" s="67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7">
        <v>4</v>
      </c>
      <c r="C7" s="67" t="s">
        <v>34</v>
      </c>
      <c r="D7" s="67" t="s">
        <v>57</v>
      </c>
      <c r="E7" s="67" t="s">
        <v>38</v>
      </c>
      <c r="F7" s="67" t="s">
        <v>154</v>
      </c>
      <c r="G7" s="67">
        <v>3</v>
      </c>
      <c r="H7" s="67">
        <v>2</v>
      </c>
      <c r="I7" s="67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7">
        <v>5</v>
      </c>
      <c r="C8" s="67" t="s">
        <v>39</v>
      </c>
      <c r="D8" s="67" t="s">
        <v>34</v>
      </c>
      <c r="E8" s="67" t="s">
        <v>36</v>
      </c>
      <c r="F8" s="67" t="s">
        <v>154</v>
      </c>
      <c r="G8" s="67">
        <v>1</v>
      </c>
      <c r="H8" s="67">
        <v>1</v>
      </c>
      <c r="I8" s="67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7">
        <v>6</v>
      </c>
      <c r="C9" s="67" t="s">
        <v>57</v>
      </c>
      <c r="D9" s="67" t="s">
        <v>39</v>
      </c>
      <c r="E9" s="67" t="s">
        <v>56</v>
      </c>
      <c r="F9" s="67" t="s">
        <v>123</v>
      </c>
      <c r="G9" s="67">
        <v>1</v>
      </c>
      <c r="H9" s="67">
        <v>1</v>
      </c>
      <c r="I9" s="67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7">
        <v>7</v>
      </c>
      <c r="C10" s="67" t="s">
        <v>34</v>
      </c>
      <c r="D10" s="67" t="s">
        <v>57</v>
      </c>
      <c r="E10" s="67" t="s">
        <v>38</v>
      </c>
      <c r="F10" s="67" t="s">
        <v>154</v>
      </c>
      <c r="G10" s="67">
        <v>1</v>
      </c>
      <c r="H10" s="67">
        <v>1</v>
      </c>
      <c r="I10" s="67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7">
        <v>8</v>
      </c>
      <c r="C11" s="67" t="s">
        <v>34</v>
      </c>
      <c r="D11" s="67" t="s">
        <v>39</v>
      </c>
      <c r="E11" s="67" t="s">
        <v>63</v>
      </c>
      <c r="F11" s="67" t="s">
        <v>123</v>
      </c>
      <c r="G11" s="67">
        <v>2</v>
      </c>
      <c r="H11" s="67">
        <v>2</v>
      </c>
      <c r="I11" s="67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7">
        <v>9</v>
      </c>
      <c r="C12" s="67" t="s">
        <v>34</v>
      </c>
      <c r="D12" s="67" t="s">
        <v>57</v>
      </c>
      <c r="E12" s="67" t="s">
        <v>60</v>
      </c>
      <c r="F12" s="67" t="s">
        <v>123</v>
      </c>
      <c r="G12" s="67">
        <v>3</v>
      </c>
      <c r="H12" s="67">
        <v>2</v>
      </c>
      <c r="I12" s="67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7">
        <v>10</v>
      </c>
      <c r="C13" s="67" t="s">
        <v>34</v>
      </c>
      <c r="D13" s="67" t="s">
        <v>39</v>
      </c>
      <c r="E13" s="67" t="s">
        <v>60</v>
      </c>
      <c r="F13" s="67" t="s">
        <v>154</v>
      </c>
      <c r="G13" s="67">
        <v>4</v>
      </c>
      <c r="H13" s="67">
        <v>3</v>
      </c>
      <c r="I13" s="67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7">
        <v>11</v>
      </c>
      <c r="C14" s="67" t="s">
        <v>34</v>
      </c>
      <c r="D14" s="67" t="s">
        <v>57</v>
      </c>
      <c r="E14" s="67" t="s">
        <v>38</v>
      </c>
      <c r="F14" s="67" t="s">
        <v>154</v>
      </c>
      <c r="G14" s="67">
        <v>5</v>
      </c>
      <c r="H14" s="67">
        <v>3</v>
      </c>
      <c r="I14" s="67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7">
        <v>12</v>
      </c>
      <c r="C15" s="67" t="s">
        <v>34</v>
      </c>
      <c r="D15" s="67" t="s">
        <v>39</v>
      </c>
      <c r="E15" s="67" t="s">
        <v>38</v>
      </c>
      <c r="F15" s="67" t="s">
        <v>154</v>
      </c>
      <c r="G15" s="67">
        <v>6</v>
      </c>
      <c r="H15" s="67">
        <v>4</v>
      </c>
      <c r="I15" s="67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7">
        <v>13</v>
      </c>
      <c r="C16" s="67" t="s">
        <v>57</v>
      </c>
      <c r="D16" s="67" t="s">
        <v>34</v>
      </c>
      <c r="E16" s="67" t="s">
        <v>69</v>
      </c>
      <c r="F16" s="67" t="s">
        <v>154</v>
      </c>
      <c r="G16" s="67">
        <v>1</v>
      </c>
      <c r="H16" s="67">
        <v>1</v>
      </c>
      <c r="I16" s="67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7">
        <v>14</v>
      </c>
      <c r="C17" s="67" t="s">
        <v>57</v>
      </c>
      <c r="D17" s="67" t="s">
        <v>39</v>
      </c>
      <c r="E17" s="67" t="s">
        <v>148</v>
      </c>
      <c r="F17" s="67" t="s">
        <v>154</v>
      </c>
      <c r="G17" s="67">
        <v>2</v>
      </c>
      <c r="H17" s="67">
        <v>5</v>
      </c>
      <c r="I17" s="67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7">
        <v>15</v>
      </c>
      <c r="C18" s="67" t="s">
        <v>57</v>
      </c>
      <c r="D18" s="67" t="s">
        <v>34</v>
      </c>
      <c r="E18" s="67" t="s">
        <v>56</v>
      </c>
      <c r="F18" s="67" t="s">
        <v>123</v>
      </c>
      <c r="G18" s="67">
        <v>3</v>
      </c>
      <c r="H18" s="67">
        <v>2</v>
      </c>
      <c r="I18" s="67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7">
        <v>16</v>
      </c>
      <c r="C19" s="67" t="s">
        <v>39</v>
      </c>
      <c r="D19" s="67" t="s">
        <v>57</v>
      </c>
      <c r="E19" s="67" t="s">
        <v>44</v>
      </c>
      <c r="F19" s="67" t="s">
        <v>154</v>
      </c>
      <c r="G19" s="67">
        <v>1</v>
      </c>
      <c r="H19" s="67">
        <v>1</v>
      </c>
      <c r="I19" s="67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7">
        <v>17</v>
      </c>
      <c r="C20" s="67" t="s">
        <v>39</v>
      </c>
      <c r="D20" s="67" t="s">
        <v>34</v>
      </c>
      <c r="E20" s="67" t="s">
        <v>44</v>
      </c>
      <c r="F20" s="67" t="s">
        <v>154</v>
      </c>
      <c r="G20" s="67">
        <v>2</v>
      </c>
      <c r="H20" s="67">
        <v>3</v>
      </c>
      <c r="I20" s="67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7">
        <v>18</v>
      </c>
      <c r="C21" s="67" t="s">
        <v>39</v>
      </c>
      <c r="D21" s="67" t="s">
        <v>57</v>
      </c>
      <c r="E21" s="67" t="s">
        <v>46</v>
      </c>
      <c r="F21" s="67" t="s">
        <v>123</v>
      </c>
      <c r="G21" s="67">
        <v>3</v>
      </c>
      <c r="H21" s="67">
        <v>2</v>
      </c>
      <c r="I21" s="67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7">
        <v>19</v>
      </c>
      <c r="C22" s="67" t="s">
        <v>34</v>
      </c>
      <c r="D22" s="67" t="s">
        <v>39</v>
      </c>
      <c r="E22" s="67" t="s">
        <v>38</v>
      </c>
      <c r="F22" s="67" t="s">
        <v>154</v>
      </c>
      <c r="G22" s="67">
        <v>1</v>
      </c>
      <c r="H22" s="67">
        <v>1</v>
      </c>
      <c r="I22" s="67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7">
        <v>20</v>
      </c>
      <c r="C23" s="67" t="s">
        <v>34</v>
      </c>
      <c r="D23" s="67" t="s">
        <v>57</v>
      </c>
      <c r="E23" s="67" t="s">
        <v>63</v>
      </c>
      <c r="F23" s="67" t="s">
        <v>123</v>
      </c>
      <c r="G23" s="67">
        <v>2</v>
      </c>
      <c r="H23" s="67">
        <v>3</v>
      </c>
      <c r="I23" s="67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7">
        <v>21</v>
      </c>
      <c r="C24" s="67" t="s">
        <v>34</v>
      </c>
      <c r="D24" s="67" t="s">
        <v>39</v>
      </c>
      <c r="E24" s="67" t="s">
        <v>66</v>
      </c>
      <c r="F24" s="67" t="s">
        <v>154</v>
      </c>
      <c r="G24" s="67">
        <v>3</v>
      </c>
      <c r="H24" s="67">
        <v>2</v>
      </c>
      <c r="I24" s="67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7">
        <v>22</v>
      </c>
      <c r="C25" s="67" t="s">
        <v>57</v>
      </c>
      <c r="D25" s="67" t="s">
        <v>34</v>
      </c>
      <c r="E25" s="67" t="s">
        <v>56</v>
      </c>
      <c r="F25" s="67" t="s">
        <v>154</v>
      </c>
      <c r="G25" s="67">
        <v>1</v>
      </c>
      <c r="H25" s="67">
        <v>1</v>
      </c>
      <c r="I25" s="67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>
        <v>23</v>
      </c>
      <c r="C26" s="67" t="s">
        <v>57</v>
      </c>
      <c r="D26" s="67" t="s">
        <v>39</v>
      </c>
      <c r="E26" s="67" t="s">
        <v>148</v>
      </c>
      <c r="F26" s="67" t="s">
        <v>154</v>
      </c>
      <c r="G26" s="67">
        <v>2</v>
      </c>
      <c r="H26" s="67">
        <v>3</v>
      </c>
      <c r="I26" s="67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69" t="s">
        <v>159</v>
      </c>
      <c r="R41" s="169"/>
      <c r="S41" s="169"/>
      <c r="T41" s="19"/>
      <c r="U41" s="19"/>
    </row>
    <row r="42" spans="17:21" ht="14.25" customHeight="1" x14ac:dyDescent="0.45">
      <c r="Q42" s="169"/>
      <c r="R42" s="169"/>
      <c r="S42" s="169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33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123</v>
      </c>
      <c r="G6" s="53">
        <v>3</v>
      </c>
      <c r="H6" s="53">
        <v>2</v>
      </c>
      <c r="I6" s="53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4</v>
      </c>
      <c r="H7" s="53">
        <v>2</v>
      </c>
      <c r="I7" s="53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72</v>
      </c>
      <c r="F9" s="53" t="s">
        <v>172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63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34</v>
      </c>
      <c r="E11" s="53" t="s">
        <v>46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2</v>
      </c>
      <c r="H12" s="53">
        <v>2</v>
      </c>
      <c r="I12" s="53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123</v>
      </c>
      <c r="G13" s="53">
        <v>3</v>
      </c>
      <c r="H13" s="53">
        <v>2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36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39</v>
      </c>
      <c r="E15" s="53" t="s">
        <v>60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3">
        <v>13</v>
      </c>
      <c r="C16" s="53" t="s">
        <v>57</v>
      </c>
      <c r="D16" s="53" t="s">
        <v>34</v>
      </c>
      <c r="E16" s="53" t="s">
        <v>56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39</v>
      </c>
      <c r="E17" s="53" t="s">
        <v>72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34</v>
      </c>
      <c r="D18" s="53" t="s">
        <v>57</v>
      </c>
      <c r="E18" s="53" t="s">
        <v>38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46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57</v>
      </c>
      <c r="D20" s="53" t="s">
        <v>39</v>
      </c>
      <c r="E20" s="53" t="s">
        <v>72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7"/>
      <c r="C21" s="67"/>
      <c r="D21" s="67"/>
      <c r="E21" s="67"/>
      <c r="F21" s="67"/>
      <c r="G21" s="67"/>
      <c r="H21" s="67"/>
      <c r="I21" s="67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7"/>
      <c r="C22" s="67"/>
      <c r="D22" s="67"/>
      <c r="E22" s="67"/>
      <c r="F22" s="67"/>
      <c r="G22" s="67"/>
      <c r="H22" s="67"/>
      <c r="I22" s="67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7"/>
      <c r="C23" s="67"/>
      <c r="D23" s="67"/>
      <c r="E23" s="67"/>
      <c r="F23" s="67"/>
      <c r="G23" s="67"/>
      <c r="H23" s="67"/>
      <c r="I23" s="67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7"/>
      <c r="C24" s="67"/>
      <c r="D24" s="67"/>
      <c r="E24" s="67"/>
      <c r="F24" s="67"/>
      <c r="G24" s="67"/>
      <c r="H24" s="67"/>
      <c r="I24" s="67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7"/>
      <c r="C25" s="67"/>
      <c r="D25" s="67"/>
      <c r="E25" s="67"/>
      <c r="F25" s="67"/>
      <c r="G25" s="67"/>
      <c r="H25" s="67"/>
      <c r="I25" s="67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/>
      <c r="C26" s="67"/>
      <c r="D26" s="67"/>
      <c r="E26" s="67"/>
      <c r="F26" s="67"/>
      <c r="G26" s="67"/>
      <c r="H26" s="67"/>
      <c r="I26" s="67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69" t="s">
        <v>159</v>
      </c>
      <c r="R41" s="169"/>
      <c r="S41" s="169"/>
      <c r="T41" s="19"/>
      <c r="U41" s="19"/>
    </row>
    <row r="42" spans="17:21" ht="14.25" customHeight="1" x14ac:dyDescent="0.45">
      <c r="Q42" s="169"/>
      <c r="R42" s="169"/>
      <c r="S42" s="169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69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44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39</v>
      </c>
      <c r="D7" s="53" t="s">
        <v>57</v>
      </c>
      <c r="E7" s="53" t="s">
        <v>44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44</v>
      </c>
      <c r="F9" s="53" t="s">
        <v>154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34</v>
      </c>
      <c r="E10" s="53" t="s">
        <v>36</v>
      </c>
      <c r="F10" s="53" t="s">
        <v>154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57</v>
      </c>
      <c r="E11" s="53" t="s">
        <v>46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44</v>
      </c>
      <c r="F12" s="53" t="s">
        <v>154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57</v>
      </c>
      <c r="E13" s="53" t="s">
        <v>36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69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46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39</v>
      </c>
      <c r="D17" s="53" t="s">
        <v>34</v>
      </c>
      <c r="E17" s="53" t="s">
        <v>44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56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79</v>
      </c>
      <c r="F19" s="53" t="s">
        <v>154</v>
      </c>
      <c r="G19" s="53">
        <v>2</v>
      </c>
      <c r="H19" s="53">
        <v>3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44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76</v>
      </c>
      <c r="F21" s="53" t="s">
        <v>154</v>
      </c>
      <c r="G21" s="53">
        <v>2</v>
      </c>
      <c r="H21" s="53">
        <v>4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3</v>
      </c>
      <c r="H22" s="53">
        <v>2</v>
      </c>
      <c r="I22" s="53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44</v>
      </c>
      <c r="F23" s="53" t="s">
        <v>154</v>
      </c>
      <c r="G23" s="53">
        <v>4</v>
      </c>
      <c r="H23" s="53">
        <v>5</v>
      </c>
      <c r="I23" s="53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3">
        <v>21</v>
      </c>
      <c r="C24" s="53" t="s">
        <v>39</v>
      </c>
      <c r="D24" s="53" t="s">
        <v>57</v>
      </c>
      <c r="E24" s="53" t="s">
        <v>46</v>
      </c>
      <c r="F24" s="53" t="s">
        <v>123</v>
      </c>
      <c r="G24" s="53">
        <v>5</v>
      </c>
      <c r="H24" s="53">
        <v>3</v>
      </c>
      <c r="I24" s="53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3">
        <v>22</v>
      </c>
      <c r="C25" s="53" t="s">
        <v>34</v>
      </c>
      <c r="D25" s="53" t="s">
        <v>39</v>
      </c>
      <c r="E25" s="53" t="s">
        <v>60</v>
      </c>
      <c r="F25" s="53" t="s">
        <v>123</v>
      </c>
      <c r="G25" s="53">
        <v>1</v>
      </c>
      <c r="H25" s="53">
        <v>1</v>
      </c>
      <c r="I25" s="5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3">
        <v>23</v>
      </c>
      <c r="C26" s="53" t="s">
        <v>34</v>
      </c>
      <c r="D26" s="53" t="s">
        <v>57</v>
      </c>
      <c r="E26" s="53" t="s">
        <v>60</v>
      </c>
      <c r="F26" s="53" t="s">
        <v>123</v>
      </c>
      <c r="G26" s="53">
        <v>2</v>
      </c>
      <c r="H26" s="53">
        <v>4</v>
      </c>
      <c r="I26" s="53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3">
        <v>24</v>
      </c>
      <c r="C27" s="53" t="s">
        <v>34</v>
      </c>
      <c r="D27" s="53" t="s">
        <v>39</v>
      </c>
      <c r="E27" s="53" t="s">
        <v>33</v>
      </c>
      <c r="F27" s="53" t="s">
        <v>123</v>
      </c>
      <c r="G27" s="53">
        <v>3</v>
      </c>
      <c r="H27" s="53">
        <v>2</v>
      </c>
      <c r="I27" s="53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3">
        <v>25</v>
      </c>
      <c r="C28" s="53" t="s">
        <v>57</v>
      </c>
      <c r="D28" s="53" t="s">
        <v>34</v>
      </c>
      <c r="E28" s="53" t="s">
        <v>56</v>
      </c>
      <c r="F28" s="53" t="s">
        <v>123</v>
      </c>
      <c r="G28" s="53">
        <v>1</v>
      </c>
      <c r="H28" s="53">
        <v>1</v>
      </c>
      <c r="I28" s="5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3">
        <v>26</v>
      </c>
      <c r="C29" s="53" t="s">
        <v>39</v>
      </c>
      <c r="D29" s="53" t="s">
        <v>57</v>
      </c>
      <c r="E29" s="53" t="s">
        <v>44</v>
      </c>
      <c r="F29" s="53" t="s">
        <v>154</v>
      </c>
      <c r="G29" s="53">
        <v>1</v>
      </c>
      <c r="H29" s="53">
        <v>1</v>
      </c>
      <c r="I29" s="53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3">
        <v>40</v>
      </c>
      <c r="C30" s="53" t="s">
        <v>34</v>
      </c>
      <c r="D30" s="53" t="s">
        <v>39</v>
      </c>
      <c r="E30" s="53" t="s">
        <v>60</v>
      </c>
      <c r="F30" s="53" t="s">
        <v>123</v>
      </c>
      <c r="G30" s="53">
        <v>1</v>
      </c>
      <c r="H30" s="53">
        <v>1</v>
      </c>
      <c r="I30" s="53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3">
        <v>28</v>
      </c>
      <c r="C31" s="53" t="s">
        <v>34</v>
      </c>
      <c r="D31" s="53" t="s">
        <v>57</v>
      </c>
      <c r="E31" s="53" t="s">
        <v>33</v>
      </c>
      <c r="F31" s="53" t="s">
        <v>154</v>
      </c>
      <c r="G31" s="53">
        <v>2</v>
      </c>
      <c r="H31" s="53">
        <v>2</v>
      </c>
      <c r="I31" s="53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3">
        <v>29</v>
      </c>
      <c r="C32" s="53" t="s">
        <v>39</v>
      </c>
      <c r="D32" s="53" t="s">
        <v>34</v>
      </c>
      <c r="E32" s="53" t="s">
        <v>44</v>
      </c>
      <c r="F32" s="53" t="s">
        <v>154</v>
      </c>
      <c r="G32" s="53">
        <v>1</v>
      </c>
      <c r="H32" s="53">
        <v>1</v>
      </c>
      <c r="I32" s="53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3">
        <v>30</v>
      </c>
      <c r="C33" s="53" t="s">
        <v>39</v>
      </c>
      <c r="D33" s="53" t="s">
        <v>57</v>
      </c>
      <c r="E33" s="53" t="s">
        <v>44</v>
      </c>
      <c r="F33" s="53" t="s">
        <v>154</v>
      </c>
      <c r="G33" s="53">
        <v>2</v>
      </c>
      <c r="H33" s="53">
        <v>3</v>
      </c>
      <c r="I33" s="53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3">
        <v>31</v>
      </c>
      <c r="C34" s="53" t="s">
        <v>34</v>
      </c>
      <c r="D34" s="53" t="s">
        <v>39</v>
      </c>
      <c r="E34" s="53" t="s">
        <v>63</v>
      </c>
      <c r="F34" s="53" t="s">
        <v>123</v>
      </c>
      <c r="G34" s="53">
        <v>1</v>
      </c>
      <c r="H34" s="53">
        <v>1</v>
      </c>
      <c r="I34" s="53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69" t="s">
        <v>159</v>
      </c>
      <c r="R41" s="169"/>
      <c r="S41" s="169"/>
      <c r="T41" s="19"/>
      <c r="U41" s="19"/>
    </row>
    <row r="42" spans="2:26" ht="14.25" customHeight="1" x14ac:dyDescent="0.45">
      <c r="Q42" s="169"/>
      <c r="R42" s="169"/>
      <c r="S42" s="169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0">
        <v>1</v>
      </c>
      <c r="C4" s="100" t="s">
        <v>39</v>
      </c>
      <c r="D4" s="100" t="s">
        <v>57</v>
      </c>
      <c r="E4" s="100" t="s">
        <v>46</v>
      </c>
      <c r="F4" s="100" t="s">
        <v>123</v>
      </c>
      <c r="G4" s="100">
        <v>1</v>
      </c>
      <c r="H4" s="100">
        <v>1</v>
      </c>
      <c r="I4" s="100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100">
        <v>2</v>
      </c>
      <c r="C5" s="100" t="s">
        <v>39</v>
      </c>
      <c r="D5" s="100" t="s">
        <v>34</v>
      </c>
      <c r="E5" s="100" t="s">
        <v>36</v>
      </c>
      <c r="F5" s="100" t="s">
        <v>154</v>
      </c>
      <c r="G5" s="100">
        <v>2</v>
      </c>
      <c r="H5" s="100">
        <v>1</v>
      </c>
      <c r="I5" s="100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0">
        <v>3</v>
      </c>
      <c r="C6" s="100" t="s">
        <v>57</v>
      </c>
      <c r="D6" s="100" t="s">
        <v>39</v>
      </c>
      <c r="E6" s="100" t="s">
        <v>53</v>
      </c>
      <c r="F6" s="100" t="s">
        <v>172</v>
      </c>
      <c r="G6" s="100">
        <v>1</v>
      </c>
      <c r="H6" s="100">
        <v>1</v>
      </c>
      <c r="I6" s="10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0">
        <v>4</v>
      </c>
      <c r="C7" s="100" t="s">
        <v>57</v>
      </c>
      <c r="D7" s="100" t="s">
        <v>34</v>
      </c>
      <c r="E7" s="100" t="s">
        <v>69</v>
      </c>
      <c r="F7" s="100" t="s">
        <v>123</v>
      </c>
      <c r="G7" s="100">
        <v>2</v>
      </c>
      <c r="H7" s="100">
        <v>2</v>
      </c>
      <c r="I7" s="10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0">
        <v>5</v>
      </c>
      <c r="C8" s="100" t="s">
        <v>57</v>
      </c>
      <c r="D8" s="100" t="s">
        <v>39</v>
      </c>
      <c r="E8" s="100" t="s">
        <v>56</v>
      </c>
      <c r="F8" s="100" t="s">
        <v>154</v>
      </c>
      <c r="G8" s="100">
        <v>3</v>
      </c>
      <c r="H8" s="100">
        <v>2</v>
      </c>
      <c r="I8" s="10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0">
        <v>6</v>
      </c>
      <c r="C9" s="100" t="s">
        <v>57</v>
      </c>
      <c r="D9" s="100" t="s">
        <v>34</v>
      </c>
      <c r="E9" s="100" t="s">
        <v>53</v>
      </c>
      <c r="F9" s="100" t="s">
        <v>154</v>
      </c>
      <c r="G9" s="100">
        <v>4</v>
      </c>
      <c r="H9" s="100">
        <v>3</v>
      </c>
      <c r="I9" s="10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0">
        <v>7</v>
      </c>
      <c r="C10" s="100" t="s">
        <v>39</v>
      </c>
      <c r="D10" s="100" t="s">
        <v>57</v>
      </c>
      <c r="E10" s="100" t="s">
        <v>44</v>
      </c>
      <c r="F10" s="100" t="s">
        <v>154</v>
      </c>
      <c r="G10" s="100">
        <v>1</v>
      </c>
      <c r="H10" s="100">
        <v>1</v>
      </c>
      <c r="I10" s="100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0">
        <v>8</v>
      </c>
      <c r="C11" s="100" t="s">
        <v>39</v>
      </c>
      <c r="D11" s="100" t="s">
        <v>34</v>
      </c>
      <c r="E11" s="100" t="s">
        <v>46</v>
      </c>
      <c r="F11" s="100" t="s">
        <v>123</v>
      </c>
      <c r="G11" s="100">
        <v>2</v>
      </c>
      <c r="H11" s="100">
        <v>4</v>
      </c>
      <c r="I11" s="100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0">
        <v>9</v>
      </c>
      <c r="C12" s="100" t="s">
        <v>39</v>
      </c>
      <c r="D12" s="100" t="s">
        <v>57</v>
      </c>
      <c r="E12" s="100" t="s">
        <v>44</v>
      </c>
      <c r="F12" s="100" t="s">
        <v>154</v>
      </c>
      <c r="G12" s="100">
        <v>3</v>
      </c>
      <c r="H12" s="100">
        <v>2</v>
      </c>
      <c r="I12" s="100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0">
        <v>10</v>
      </c>
      <c r="C13" s="100" t="s">
        <v>34</v>
      </c>
      <c r="D13" s="100" t="s">
        <v>39</v>
      </c>
      <c r="E13" s="100" t="s">
        <v>60</v>
      </c>
      <c r="F13" s="100" t="s">
        <v>123</v>
      </c>
      <c r="G13" s="100">
        <v>1</v>
      </c>
      <c r="H13" s="100">
        <v>1</v>
      </c>
      <c r="I13" s="100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0">
        <v>11</v>
      </c>
      <c r="C14" s="100" t="s">
        <v>57</v>
      </c>
      <c r="D14" s="100" t="s">
        <v>34</v>
      </c>
      <c r="E14" s="100" t="s">
        <v>56</v>
      </c>
      <c r="F14" s="100" t="s">
        <v>154</v>
      </c>
      <c r="G14" s="100">
        <v>1</v>
      </c>
      <c r="H14" s="100">
        <v>1</v>
      </c>
      <c r="I14" s="100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0">
        <v>12</v>
      </c>
      <c r="C15" s="100" t="s">
        <v>57</v>
      </c>
      <c r="D15" s="100" t="s">
        <v>39</v>
      </c>
      <c r="E15" s="100" t="s">
        <v>56</v>
      </c>
      <c r="F15" s="100" t="s">
        <v>123</v>
      </c>
      <c r="G15" s="100">
        <v>2</v>
      </c>
      <c r="H15" s="100">
        <v>2</v>
      </c>
      <c r="I15" s="100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0">
        <v>13</v>
      </c>
      <c r="C16" s="100" t="s">
        <v>57</v>
      </c>
      <c r="D16" s="100" t="s">
        <v>34</v>
      </c>
      <c r="E16" s="100" t="s">
        <v>79</v>
      </c>
      <c r="F16" s="100" t="s">
        <v>123</v>
      </c>
      <c r="G16" s="100">
        <v>3</v>
      </c>
      <c r="H16" s="100">
        <v>2</v>
      </c>
      <c r="I16" s="100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0">
        <v>14</v>
      </c>
      <c r="C17" s="100" t="s">
        <v>39</v>
      </c>
      <c r="D17" s="100" t="s">
        <v>57</v>
      </c>
      <c r="E17" s="100" t="s">
        <v>44</v>
      </c>
      <c r="F17" s="100" t="s">
        <v>123</v>
      </c>
      <c r="G17" s="100">
        <v>1</v>
      </c>
      <c r="H17" s="100">
        <v>1</v>
      </c>
      <c r="I17" s="100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0">
        <v>15</v>
      </c>
      <c r="C18" s="100" t="s">
        <v>39</v>
      </c>
      <c r="D18" s="100" t="s">
        <v>34</v>
      </c>
      <c r="E18" s="100" t="s">
        <v>46</v>
      </c>
      <c r="F18" s="100" t="s">
        <v>123</v>
      </c>
      <c r="G18" s="100">
        <v>2</v>
      </c>
      <c r="H18" s="100">
        <v>3</v>
      </c>
      <c r="I18" s="100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0">
        <v>16</v>
      </c>
      <c r="C19" s="100" t="s">
        <v>57</v>
      </c>
      <c r="D19" s="100" t="s">
        <v>39</v>
      </c>
      <c r="E19" s="100" t="s">
        <v>56</v>
      </c>
      <c r="F19" s="100" t="s">
        <v>154</v>
      </c>
      <c r="G19" s="100">
        <v>1</v>
      </c>
      <c r="H19" s="100">
        <v>1</v>
      </c>
      <c r="I19" s="100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0">
        <v>17</v>
      </c>
      <c r="C20" s="100" t="s">
        <v>57</v>
      </c>
      <c r="D20" s="100" t="s">
        <v>34</v>
      </c>
      <c r="E20" s="100" t="s">
        <v>56</v>
      </c>
      <c r="F20" s="100" t="s">
        <v>123</v>
      </c>
      <c r="G20" s="100">
        <v>2</v>
      </c>
      <c r="H20" s="100">
        <v>4</v>
      </c>
      <c r="I20" s="100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0">
        <v>18</v>
      </c>
      <c r="C21" s="100" t="s">
        <v>39</v>
      </c>
      <c r="D21" s="100" t="s">
        <v>57</v>
      </c>
      <c r="E21" s="100" t="s">
        <v>44</v>
      </c>
      <c r="F21" s="100" t="s">
        <v>154</v>
      </c>
      <c r="G21" s="100">
        <v>1</v>
      </c>
      <c r="H21" s="100">
        <v>1</v>
      </c>
      <c r="I21" s="100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0">
        <v>19</v>
      </c>
      <c r="C22" s="100" t="s">
        <v>34</v>
      </c>
      <c r="D22" s="100" t="s">
        <v>39</v>
      </c>
      <c r="E22" s="100" t="s">
        <v>60</v>
      </c>
      <c r="F22" s="100" t="s">
        <v>123</v>
      </c>
      <c r="G22" s="100">
        <v>1</v>
      </c>
      <c r="H22" s="100">
        <v>1</v>
      </c>
      <c r="I22" s="100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0">
        <v>20</v>
      </c>
      <c r="C23" s="100" t="s">
        <v>57</v>
      </c>
      <c r="D23" s="100" t="s">
        <v>34</v>
      </c>
      <c r="E23" s="100" t="s">
        <v>56</v>
      </c>
      <c r="F23" s="100" t="s">
        <v>123</v>
      </c>
      <c r="G23" s="100">
        <v>1</v>
      </c>
      <c r="H23" s="100">
        <v>1</v>
      </c>
      <c r="I23" s="10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0">
        <v>21</v>
      </c>
      <c r="C24" s="100" t="s">
        <v>57</v>
      </c>
      <c r="D24" s="100" t="s">
        <v>39</v>
      </c>
      <c r="E24" s="100" t="s">
        <v>79</v>
      </c>
      <c r="F24" s="100" t="s">
        <v>154</v>
      </c>
      <c r="G24" s="100">
        <v>2</v>
      </c>
      <c r="H24" s="100">
        <v>2</v>
      </c>
      <c r="I24" s="10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>
        <v>22</v>
      </c>
      <c r="C25" s="100" t="s">
        <v>57</v>
      </c>
      <c r="D25" s="100" t="s">
        <v>34</v>
      </c>
      <c r="E25" s="100" t="s">
        <v>53</v>
      </c>
      <c r="F25" s="100" t="s">
        <v>154</v>
      </c>
      <c r="G25" s="100">
        <v>3</v>
      </c>
      <c r="H25" s="100">
        <v>2</v>
      </c>
      <c r="I25" s="10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>
        <v>23</v>
      </c>
      <c r="C26" s="100" t="s">
        <v>57</v>
      </c>
      <c r="D26" s="100" t="s">
        <v>39</v>
      </c>
      <c r="E26" s="100" t="s">
        <v>56</v>
      </c>
      <c r="F26" s="100" t="s">
        <v>123</v>
      </c>
      <c r="G26" s="100">
        <v>4</v>
      </c>
      <c r="H26" s="100">
        <v>3</v>
      </c>
      <c r="I26" s="10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>
        <v>24</v>
      </c>
      <c r="C27" s="100" t="s">
        <v>34</v>
      </c>
      <c r="D27" s="100" t="s">
        <v>57</v>
      </c>
      <c r="E27" s="100" t="s">
        <v>33</v>
      </c>
      <c r="F27" s="100" t="s">
        <v>154</v>
      </c>
      <c r="G27" s="100">
        <v>1</v>
      </c>
      <c r="H27" s="100">
        <v>1</v>
      </c>
      <c r="I27" s="10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0">
        <v>25</v>
      </c>
      <c r="C28" s="100" t="s">
        <v>39</v>
      </c>
      <c r="D28" s="100" t="s">
        <v>34</v>
      </c>
      <c r="E28" s="100" t="s">
        <v>44</v>
      </c>
      <c r="F28" s="100" t="s">
        <v>154</v>
      </c>
      <c r="G28" s="100">
        <v>1</v>
      </c>
      <c r="H28" s="100">
        <v>1</v>
      </c>
      <c r="I28" s="10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0">
        <v>26</v>
      </c>
      <c r="C29" s="100" t="s">
        <v>39</v>
      </c>
      <c r="D29" s="100" t="s">
        <v>57</v>
      </c>
      <c r="E29" s="100" t="s">
        <v>44</v>
      </c>
      <c r="F29" s="100" t="s">
        <v>154</v>
      </c>
      <c r="G29" s="100">
        <v>2</v>
      </c>
      <c r="H29" s="100">
        <v>2</v>
      </c>
      <c r="I29" s="10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69" t="s">
        <v>159</v>
      </c>
      <c r="R41" s="169"/>
      <c r="S41" s="169"/>
      <c r="T41" s="19"/>
      <c r="U41" s="19"/>
    </row>
    <row r="42" spans="2:26" ht="14.25" customHeight="1" x14ac:dyDescent="0.45">
      <c r="Q42" s="169"/>
      <c r="R42" s="169"/>
      <c r="S42" s="169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79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51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34</v>
      </c>
      <c r="E7" s="53" t="s">
        <v>53</v>
      </c>
      <c r="F7" s="53" t="s">
        <v>172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57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36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79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148</v>
      </c>
      <c r="F11" s="53" t="s">
        <v>123</v>
      </c>
      <c r="G11" s="53">
        <v>2</v>
      </c>
      <c r="H11" s="53">
        <v>3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36</v>
      </c>
      <c r="F13" s="53" t="s">
        <v>123</v>
      </c>
      <c r="G13" s="53">
        <v>2</v>
      </c>
      <c r="H13" s="53">
        <v>4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76</v>
      </c>
      <c r="F14" s="53" t="s">
        <v>154</v>
      </c>
      <c r="G14" s="53">
        <v>3</v>
      </c>
      <c r="H14" s="53">
        <v>2</v>
      </c>
      <c r="I14" s="5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44</v>
      </c>
      <c r="F15" s="53" t="s">
        <v>154</v>
      </c>
      <c r="G15" s="53">
        <v>4</v>
      </c>
      <c r="H15" s="53">
        <v>5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69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53</v>
      </c>
      <c r="F17" s="53" t="s">
        <v>154</v>
      </c>
      <c r="G17" s="53">
        <v>2</v>
      </c>
      <c r="H17" s="53">
        <v>6</v>
      </c>
      <c r="I17" s="53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44</v>
      </c>
      <c r="F19" s="53" t="s">
        <v>154</v>
      </c>
      <c r="G19" s="53">
        <v>2</v>
      </c>
      <c r="H19" s="53">
        <v>7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51</v>
      </c>
      <c r="F20" s="53" t="s">
        <v>123</v>
      </c>
      <c r="G20" s="53">
        <v>3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44</v>
      </c>
      <c r="F21" s="53" t="s">
        <v>154</v>
      </c>
      <c r="G21" s="53">
        <v>4</v>
      </c>
      <c r="H21" s="53">
        <v>8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5</v>
      </c>
      <c r="H22" s="53">
        <v>3</v>
      </c>
      <c r="I22" s="53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46</v>
      </c>
      <c r="F23" s="53" t="s">
        <v>172</v>
      </c>
      <c r="G23" s="53">
        <v>6</v>
      </c>
      <c r="H23" s="53">
        <v>9</v>
      </c>
      <c r="I23" s="53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0"/>
      <c r="C24" s="100"/>
      <c r="D24" s="100"/>
      <c r="E24" s="100"/>
      <c r="F24" s="100"/>
      <c r="G24" s="100"/>
      <c r="H24" s="100"/>
      <c r="I24" s="100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/>
      <c r="C25" s="100"/>
      <c r="D25" s="100"/>
      <c r="E25" s="100"/>
      <c r="F25" s="100"/>
      <c r="G25" s="100"/>
      <c r="H25" s="100"/>
      <c r="I25" s="100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/>
      <c r="C26" s="100"/>
      <c r="D26" s="100"/>
      <c r="E26" s="100"/>
      <c r="F26" s="100"/>
      <c r="G26" s="100"/>
      <c r="H26" s="100"/>
      <c r="I26" s="100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/>
      <c r="C27" s="100"/>
      <c r="D27" s="100"/>
      <c r="E27" s="100"/>
      <c r="F27" s="100"/>
      <c r="G27" s="100"/>
      <c r="H27" s="100"/>
      <c r="I27" s="100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0"/>
      <c r="C28" s="100"/>
      <c r="D28" s="100"/>
      <c r="E28" s="100"/>
      <c r="F28" s="100"/>
      <c r="G28" s="100"/>
      <c r="H28" s="100"/>
      <c r="I28" s="100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69" t="s">
        <v>159</v>
      </c>
      <c r="R41" s="169"/>
      <c r="S41" s="169"/>
      <c r="T41" s="19"/>
      <c r="U41" s="19"/>
    </row>
    <row r="42" spans="2:26" ht="14.25" customHeight="1" x14ac:dyDescent="0.45">
      <c r="Q42" s="169"/>
      <c r="R42" s="169"/>
      <c r="S42" s="169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2</v>
      </c>
      <c r="H5" s="53">
        <v>1</v>
      </c>
      <c r="I5" s="53">
        <v>2</v>
      </c>
      <c r="K5" s="24" t="s">
        <v>133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46</v>
      </c>
      <c r="F6" s="53" t="s">
        <v>172</v>
      </c>
      <c r="G6" s="53">
        <v>3</v>
      </c>
      <c r="H6" s="53">
        <v>2</v>
      </c>
      <c r="I6" s="53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53</v>
      </c>
      <c r="F7" s="53" t="s">
        <v>172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60</v>
      </c>
      <c r="F8" s="53" t="s">
        <v>123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39</v>
      </c>
      <c r="E9" s="53" t="s">
        <v>63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3</v>
      </c>
      <c r="H10" s="53">
        <v>2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60</v>
      </c>
      <c r="F11" s="53" t="s">
        <v>123</v>
      </c>
      <c r="G11" s="53">
        <v>4</v>
      </c>
      <c r="H11" s="53">
        <v>3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57</v>
      </c>
      <c r="E12" s="53" t="s">
        <v>38</v>
      </c>
      <c r="F12" s="53" t="s">
        <v>154</v>
      </c>
      <c r="G12" s="53">
        <v>5</v>
      </c>
      <c r="H12" s="53">
        <v>3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39</v>
      </c>
      <c r="E13" s="53" t="s">
        <v>33</v>
      </c>
      <c r="F13" s="53" t="s">
        <v>123</v>
      </c>
      <c r="G13" s="53">
        <v>6</v>
      </c>
      <c r="H13" s="53">
        <v>4</v>
      </c>
      <c r="I13" s="53">
        <v>1</v>
      </c>
      <c r="Q13" s="3" t="s">
        <v>66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57</v>
      </c>
      <c r="E15" s="53" t="s">
        <v>44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154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44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34</v>
      </c>
      <c r="D19" s="53" t="s">
        <v>39</v>
      </c>
      <c r="E19" s="53" t="s">
        <v>63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3">
        <v>17</v>
      </c>
      <c r="C20" s="53" t="s">
        <v>34</v>
      </c>
      <c r="D20" s="53" t="s">
        <v>57</v>
      </c>
      <c r="E20" s="53" t="s">
        <v>38</v>
      </c>
      <c r="F20" s="53" t="s">
        <v>154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3">
        <v>18</v>
      </c>
      <c r="C21" s="53" t="s">
        <v>34</v>
      </c>
      <c r="D21" s="53" t="s">
        <v>39</v>
      </c>
      <c r="E21" s="53" t="s">
        <v>60</v>
      </c>
      <c r="F21" s="53" t="s">
        <v>123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3">
        <v>19</v>
      </c>
      <c r="C22" s="53" t="s">
        <v>34</v>
      </c>
      <c r="D22" s="53" t="s">
        <v>57</v>
      </c>
      <c r="E22" s="53" t="s">
        <v>38</v>
      </c>
      <c r="F22" s="53" t="s">
        <v>154</v>
      </c>
      <c r="G22" s="53">
        <v>4</v>
      </c>
      <c r="H22" s="53">
        <v>3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3">
        <v>20</v>
      </c>
      <c r="C23" s="53" t="s">
        <v>34</v>
      </c>
      <c r="D23" s="53" t="s">
        <v>39</v>
      </c>
      <c r="E23" s="53" t="s">
        <v>66</v>
      </c>
      <c r="F23" s="53" t="s">
        <v>172</v>
      </c>
      <c r="G23" s="53">
        <v>5</v>
      </c>
      <c r="H23" s="53">
        <v>3</v>
      </c>
      <c r="I23" s="5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3">
        <v>21</v>
      </c>
      <c r="C24" s="53" t="s">
        <v>34</v>
      </c>
      <c r="D24" s="53" t="s">
        <v>57</v>
      </c>
      <c r="E24" s="53" t="s">
        <v>60</v>
      </c>
      <c r="F24" s="53" t="s">
        <v>123</v>
      </c>
      <c r="G24" s="53">
        <v>6</v>
      </c>
      <c r="H24" s="53">
        <v>4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3">
        <v>22</v>
      </c>
      <c r="C25" s="53" t="s">
        <v>39</v>
      </c>
      <c r="D25" s="53" t="s">
        <v>34</v>
      </c>
      <c r="E25" s="53" t="s">
        <v>44</v>
      </c>
      <c r="F25" s="53" t="s">
        <v>154</v>
      </c>
      <c r="G25" s="53">
        <v>1</v>
      </c>
      <c r="H25" s="53">
        <v>1</v>
      </c>
      <c r="I25" s="53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3">
        <v>23</v>
      </c>
      <c r="C26" s="53" t="s">
        <v>57</v>
      </c>
      <c r="D26" s="53" t="s">
        <v>39</v>
      </c>
      <c r="E26" s="53" t="s">
        <v>69</v>
      </c>
      <c r="F26" s="53" t="s">
        <v>154</v>
      </c>
      <c r="G26" s="53">
        <v>1</v>
      </c>
      <c r="H26" s="53">
        <v>1</v>
      </c>
      <c r="I26" s="53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>
        <v>24</v>
      </c>
      <c r="C27" s="53" t="s">
        <v>57</v>
      </c>
      <c r="D27" s="53" t="s">
        <v>34</v>
      </c>
      <c r="E27" s="53" t="s">
        <v>69</v>
      </c>
      <c r="F27" s="53" t="s">
        <v>123</v>
      </c>
      <c r="G27" s="53">
        <v>2</v>
      </c>
      <c r="H27" s="53">
        <v>2</v>
      </c>
      <c r="I27" s="53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>
        <v>25</v>
      </c>
      <c r="C28" s="53" t="s">
        <v>39</v>
      </c>
      <c r="D28" s="53" t="s">
        <v>57</v>
      </c>
      <c r="E28" s="53" t="s">
        <v>46</v>
      </c>
      <c r="F28" s="53" t="s">
        <v>172</v>
      </c>
      <c r="G28" s="53">
        <v>1</v>
      </c>
      <c r="H28" s="53">
        <v>1</v>
      </c>
      <c r="I28" s="53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69" t="s">
        <v>159</v>
      </c>
      <c r="R41" s="169"/>
      <c r="S41" s="169"/>
      <c r="T41" s="19"/>
      <c r="U41" s="19"/>
    </row>
    <row r="42" spans="2:26" ht="14.25" customHeight="1" x14ac:dyDescent="0.45">
      <c r="Q42" s="169"/>
      <c r="R42" s="169"/>
      <c r="S42" s="169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59-8733-4DDD-AA2E-94A63CF84B8F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45063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4</v>
      </c>
      <c r="N3" s="23">
        <f>L3/(L3+M3)</f>
        <v>0.6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60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5</v>
      </c>
      <c r="M4" s="24">
        <f>COUNTIF(D3:D40, "5 Musketeers")</f>
        <v>4</v>
      </c>
      <c r="N4" s="23">
        <f t="shared" ref="N4:N5" si="4">L4/(L4+M4)</f>
        <v>0.55555555555555558</v>
      </c>
      <c r="O4" s="24">
        <f>IF(AND(N4&gt;N3, N4&gt;N5), 3, IF(OR(N4&gt;N3, N4&gt;N5), 2, 1))</f>
        <v>2</v>
      </c>
      <c r="Q4" s="3" t="s">
        <v>36</v>
      </c>
      <c r="R4" s="19">
        <f t="shared" si="0"/>
        <v>1</v>
      </c>
      <c r="S4" s="20">
        <f t="shared" si="1"/>
        <v>0</v>
      </c>
      <c r="T4" s="20">
        <f t="shared" si="2"/>
        <v>1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2</v>
      </c>
      <c r="M5" s="24">
        <f>COUNTIF(D3:D40, "Wet Willies")</f>
        <v>5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56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1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69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56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56</v>
      </c>
      <c r="F9" s="53" t="s">
        <v>123</v>
      </c>
      <c r="G9" s="53">
        <v>4</v>
      </c>
      <c r="H9" s="53">
        <v>3</v>
      </c>
      <c r="I9" s="53">
        <v>2</v>
      </c>
      <c r="Q9" s="3" t="s">
        <v>53</v>
      </c>
      <c r="R9" s="19">
        <f t="shared" si="0"/>
        <v>1</v>
      </c>
      <c r="S9" s="20">
        <f t="shared" si="1"/>
        <v>1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1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66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33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1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72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53</v>
      </c>
      <c r="F13" s="53" t="s">
        <v>154</v>
      </c>
      <c r="G13" s="53">
        <v>2</v>
      </c>
      <c r="H13" s="53">
        <v>5</v>
      </c>
      <c r="I13" s="53">
        <v>1</v>
      </c>
      <c r="Q13" s="3" t="s">
        <v>66</v>
      </c>
      <c r="R13" s="19">
        <f t="shared" si="0"/>
        <v>2</v>
      </c>
      <c r="S13" s="20">
        <f t="shared" si="1"/>
        <v>1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1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57</v>
      </c>
      <c r="E14" s="53" t="s">
        <v>38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36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1</v>
      </c>
      <c r="S15" s="20">
        <f t="shared" si="1"/>
        <v>1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123</v>
      </c>
      <c r="G16" s="53">
        <v>2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1,</v>
      </c>
      <c r="S24" s="40" t="str">
        <f t="shared" si="12"/>
        <v>0,</v>
      </c>
      <c r="T24" s="40" t="str">
        <f t="shared" si="12"/>
        <v>1,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1,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69" t="s">
        <v>159</v>
      </c>
      <c r="R41" s="169"/>
      <c r="S41" s="169"/>
      <c r="T41" s="19"/>
      <c r="U41" s="19"/>
    </row>
    <row r="42" spans="2:26" ht="14.25" customHeight="1" x14ac:dyDescent="0.45">
      <c r="Q42" s="169"/>
      <c r="R42" s="169"/>
      <c r="S42" s="169"/>
    </row>
    <row r="43" spans="2:26" ht="14.25" customHeight="1" x14ac:dyDescent="0.45">
      <c r="Q43" s="40" t="str">
        <f>CHAR(34)&amp;"Date"&amp;CHAR(34)&amp;":["&amp;CHAR(34)&amp;"17-May"&amp;CHAR(34)&amp;"],"</f>
        <v>"Date":["17-May"],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"Points":[1,1,1,1,0,0,1,3,1,0,2,1,1,0,0,0],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"Finishes":[0,0,1,0,0,0,1,1,1,0,1,1,1,0,0,0],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"Midrange":[1,1,0,1,0,0,0,2,0,0,1,0,0,0,0,0],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AF9-32E8-4597-B74C-F55DFD0BAE26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2</v>
      </c>
      <c r="M3" s="24">
        <f>COUNTIF(D3:D40, "Loose Gooses")</f>
        <v>7</v>
      </c>
      <c r="N3" s="23">
        <f>L3/(L3+M3)</f>
        <v>0.22222222222222221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39</v>
      </c>
      <c r="E4" s="53" t="s">
        <v>69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12</v>
      </c>
      <c r="M4" s="24">
        <f>COUNTIF(D3:D40, "5 Musketeers")</f>
        <v>1</v>
      </c>
      <c r="N4" s="23">
        <f t="shared" ref="N4:N5" si="4">L4/(L4+M4)</f>
        <v>0.92307692307692313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LG/WW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38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</v>
      </c>
      <c r="M5" s="24">
        <f>COUNTIF(D3:D40, "Wet Willies")</f>
        <v>7</v>
      </c>
      <c r="N5" s="23">
        <f t="shared" si="4"/>
        <v>0.125</v>
      </c>
      <c r="O5" s="24">
        <f>IF(AND(N5&gt;N4, N5&gt;N3), 3, IF(OR(N5&gt;N4, N5&gt;N3), 2, 1))</f>
        <v>1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38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1</v>
      </c>
      <c r="S7" s="20">
        <f t="shared" si="1"/>
        <v>1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57</v>
      </c>
      <c r="E9" s="53" t="s">
        <v>60</v>
      </c>
      <c r="F9" s="53" t="s">
        <v>123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5M/LG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66</v>
      </c>
      <c r="F10" s="53" t="s">
        <v>123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60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1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63</v>
      </c>
      <c r="F12" s="53" t="s">
        <v>123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60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1</v>
      </c>
      <c r="S13" s="20">
        <f t="shared" si="1"/>
        <v>0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10</v>
      </c>
      <c r="H14" s="53">
        <v>6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57</v>
      </c>
      <c r="E15" s="53" t="s">
        <v>38</v>
      </c>
      <c r="F15" s="53" t="s">
        <v>154</v>
      </c>
      <c r="G15" s="53">
        <v>11</v>
      </c>
      <c r="H15" s="53">
        <v>6</v>
      </c>
      <c r="I15" s="53">
        <v>1</v>
      </c>
      <c r="Q15" s="3" t="s">
        <v>72</v>
      </c>
      <c r="R15" s="19">
        <f t="shared" si="0"/>
        <v>2</v>
      </c>
      <c r="S15" s="20">
        <f t="shared" si="1"/>
        <v>0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5M/LG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123</v>
      </c>
      <c r="G16" s="53">
        <v>12</v>
      </c>
      <c r="H16" s="53">
        <v>7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172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1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1,</v>
      </c>
      <c r="S33" s="40" t="str">
        <f t="shared" si="12"/>
        <v>0,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1,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 t="str">
        <f>IF($V18, CHAR(34)&amp;"Did not Play"&amp;CHAR(34), R18)</f>
        <v>"Did not Play"</v>
      </c>
      <c r="S38" s="40" t="str">
        <f>IF($V18, CHAR(34)&amp;"Did not Play"&amp;CHAR(34), S18)</f>
        <v>"Did not Play"</v>
      </c>
      <c r="T38" s="40" t="str">
        <f>IF($V18, CHAR(34)&amp;"Did not Play"&amp;CHAR(34), T18)</f>
        <v>"Did not Play"</v>
      </c>
      <c r="U38" s="40" t="str">
        <f>IF($V18, CHAR(34)&amp;"Did not Play"&amp;CHAR(34), U18)</f>
        <v>"Did not Play"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69" t="s">
        <v>159</v>
      </c>
      <c r="R41" s="169"/>
      <c r="S41" s="169"/>
      <c r="T41" s="19"/>
      <c r="U41" s="19"/>
    </row>
    <row r="42" spans="2:26" ht="14.25" customHeight="1" x14ac:dyDescent="0.45">
      <c r="Q42" s="169"/>
      <c r="R42" s="169"/>
      <c r="S42" s="169"/>
    </row>
    <row r="43" spans="2:26" ht="14.25" customHeight="1" x14ac:dyDescent="0.45">
      <c r="Q43" s="40" t="str">
        <f>CHAR(34)&amp;"Date"&amp;CHAR(34)&amp;":["&amp;CHAR(34)&amp;"22-May"&amp;CHAR(34)&amp;"],"</f>
        <v>"Date":["22-May"],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"Points":[0,0,4,0,1,0,0,0,5,2,1,1,2,0,0,"Did not Play"],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"Finishes":[0,0,4,0,1,0,0,0,1,0,0,1,0,0,0,"Did not Play"],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"Midrange":[0,0,0,0,0,0,0,0,4,2,1,0,0,0,0,"Did not Play"],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"ThreePointers":[0,0,0,0,0,0,0,0,0,0,0,0,1,0,0,"Did not Play"]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2CFB-9D1A-4802-BEE3-B496A9385383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11</v>
      </c>
      <c r="M3" s="24">
        <f>COUNTIF(D3:D40, "Loose Gooses")</f>
        <v>2</v>
      </c>
      <c r="N3" s="23">
        <f>L3/(L3+M3)</f>
        <v>0.84615384615384615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8</v>
      </c>
      <c r="N4" s="23">
        <f t="shared" ref="N4:N5" si="4">L4/(L4+M4)</f>
        <v>0.1111111111111111</v>
      </c>
      <c r="O4" s="24">
        <f>IF(AND(N4&gt;N3, N4&gt;N5), 3, IF(OR(N4&gt;N3, N4&gt;N5), 2, 1))</f>
        <v>1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1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56</v>
      </c>
      <c r="F5" s="53" t="s">
        <v>123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4</v>
      </c>
      <c r="M5" s="24">
        <f>COUNTIF(D3:D40, "Wet Willies")</f>
        <v>6</v>
      </c>
      <c r="N5" s="23">
        <f t="shared" si="4"/>
        <v>0.4</v>
      </c>
      <c r="O5" s="24">
        <f>IF(AND(N5&gt;N4, N5&gt;N3), 3, IF(OR(N5&gt;N4, N5&gt;N3), 2, 1))</f>
        <v>2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69</v>
      </c>
      <c r="F6" s="53" t="s">
        <v>123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3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72</v>
      </c>
      <c r="F8" s="53" t="s">
        <v>154</v>
      </c>
      <c r="G8" s="53">
        <v>4</v>
      </c>
      <c r="H8" s="53">
        <v>3</v>
      </c>
      <c r="I8" s="53">
        <v>2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1</v>
      </c>
      <c r="S9" s="20">
        <f t="shared" si="1"/>
        <v>0</v>
      </c>
      <c r="T9" s="20">
        <f t="shared" si="2"/>
        <v>1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1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69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44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1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154</v>
      </c>
      <c r="G13" s="53">
        <v>2</v>
      </c>
      <c r="H13" s="53">
        <v>2</v>
      </c>
      <c r="I13" s="53">
        <v>2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39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3</v>
      </c>
      <c r="S14" s="20">
        <f t="shared" si="1"/>
        <v>1</v>
      </c>
      <c r="T14" s="20">
        <f t="shared" si="2"/>
        <v>2</v>
      </c>
      <c r="U14" s="20">
        <f t="shared" si="3"/>
        <v>0</v>
      </c>
      <c r="V14" s="54" t="b">
        <v>0</v>
      </c>
      <c r="X14" s="24" t="str">
        <f t="shared" si="5"/>
        <v>LG/WW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56</v>
      </c>
      <c r="F15" s="53" t="s">
        <v>123</v>
      </c>
      <c r="G15" s="53">
        <v>2</v>
      </c>
      <c r="H15" s="53">
        <v>3</v>
      </c>
      <c r="I15" s="53">
        <v>1</v>
      </c>
      <c r="Q15" s="3" t="s">
        <v>72</v>
      </c>
      <c r="R15" s="19">
        <f t="shared" si="0"/>
        <v>4</v>
      </c>
      <c r="S15" s="20">
        <f t="shared" si="1"/>
        <v>3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1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79</v>
      </c>
      <c r="F16" s="53" t="s">
        <v>154</v>
      </c>
      <c r="G16" s="53">
        <v>3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69</v>
      </c>
      <c r="F17" s="53" t="s">
        <v>154</v>
      </c>
      <c r="G17" s="53">
        <v>4</v>
      </c>
      <c r="H17" s="53">
        <v>4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53</v>
      </c>
      <c r="F18" s="53" t="s">
        <v>123</v>
      </c>
      <c r="G18" s="53">
        <v>5</v>
      </c>
      <c r="H18" s="53">
        <v>3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72</v>
      </c>
      <c r="F19" s="53" t="s">
        <v>154</v>
      </c>
      <c r="G19" s="53">
        <v>6</v>
      </c>
      <c r="H19" s="53">
        <v>5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"Did not Play",</v>
      </c>
      <c r="S32" s="40" t="str">
        <f t="shared" si="12"/>
        <v>"Did not Play",</v>
      </c>
      <c r="T32" s="40" t="str">
        <f t="shared" si="12"/>
        <v>"Did not Play",</v>
      </c>
      <c r="U32" s="40" t="str">
        <f t="shared" si="12"/>
        <v>"Did not Play",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3,</v>
      </c>
      <c r="S34" s="40" t="str">
        <f t="shared" si="12"/>
        <v>1,</v>
      </c>
      <c r="T34" s="40" t="str">
        <f t="shared" si="12"/>
        <v>2,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4,</v>
      </c>
      <c r="S35" s="40" t="str">
        <f t="shared" si="12"/>
        <v>3,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69" t="s">
        <v>159</v>
      </c>
      <c r="R41" s="169"/>
      <c r="S41" s="169"/>
      <c r="T41" s="19"/>
      <c r="U41" s="19"/>
    </row>
    <row r="42" spans="2:26" ht="14.25" customHeight="1" x14ac:dyDescent="0.45">
      <c r="Q42" s="169"/>
      <c r="R42" s="169"/>
      <c r="S42" s="169"/>
    </row>
    <row r="43" spans="2:26" ht="14.25" customHeight="1" x14ac:dyDescent="0.45">
      <c r="Q43" s="40" t="str">
        <f>CHAR(34)&amp;"Date"&amp;CHAR(34)&amp;":["&amp;CHAR(34)&amp;"23-May"&amp;CHAR(34)&amp;"],"</f>
        <v>"Date":["23-May"],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"Points":[0,"Did not Play",1,2,0,2,1,2,0,"Did not Play",0,3,4,0,1,0],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Play",1,2,0,1,0,0,0,"Did not Play",0,1,3,0,1,0],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"Midrange":[0,"Did not Play",0,0,0,1,1,2,0,"Did not Play",0,2,1,0,0,0],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Play",0,0,0,0,0,0,0,"Did not Play",0,0,0,0,0,0]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1B85-27B3-4680-91B3-A42281947CCB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45070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4</v>
      </c>
      <c r="M3" s="24">
        <f>COUNTIF(D3:D40, "Loose Gooses")</f>
        <v>2</v>
      </c>
      <c r="N3" s="23">
        <f>L3/(L3+M3)</f>
        <v>0.66666666666666663</v>
      </c>
      <c r="O3" s="24"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4</v>
      </c>
      <c r="M4" s="24">
        <f>COUNTIF(D3:D40, "5 Musketeers")</f>
        <v>2</v>
      </c>
      <c r="N4" s="23">
        <f t="shared" ref="N4:N5" si="4">L4/(L4+M4)</f>
        <v>0.66666666666666663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0</v>
      </c>
      <c r="M5" s="24">
        <f>COUNTIF(D3:D40, "Wet Willies")</f>
        <v>4</v>
      </c>
      <c r="N5" s="23">
        <f t="shared" si="4"/>
        <v>0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72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2</v>
      </c>
      <c r="H7" s="53">
        <v>2</v>
      </c>
      <c r="I7" s="53">
        <v>2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53</v>
      </c>
      <c r="F8" s="53" t="s">
        <v>172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69</v>
      </c>
      <c r="F9" s="53" t="s">
        <v>123</v>
      </c>
      <c r="G9" s="53">
        <v>4</v>
      </c>
      <c r="H9" s="53">
        <v>3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0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/>
      <c r="C12" s="53"/>
      <c r="D12" s="53"/>
      <c r="E12" s="53"/>
      <c r="F12" s="53"/>
      <c r="G12" s="53"/>
      <c r="H12" s="53"/>
      <c r="I12" s="53"/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/>
      <c r="C13" s="53"/>
      <c r="D13" s="53"/>
      <c r="E13" s="53"/>
      <c r="F13" s="53"/>
      <c r="G13" s="53"/>
      <c r="H13" s="53"/>
      <c r="I13" s="53"/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0"/>
        <v>2</v>
      </c>
      <c r="S15" s="20">
        <f t="shared" si="1"/>
        <v>1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0,</v>
      </c>
      <c r="T31" s="40" t="str">
        <f t="shared" si="12"/>
        <v>1,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1,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69" t="s">
        <v>159</v>
      </c>
      <c r="R41" s="169"/>
      <c r="S41" s="169"/>
      <c r="T41" s="19"/>
      <c r="U41" s="19"/>
    </row>
    <row r="42" spans="2:26" ht="14.25" customHeight="1" x14ac:dyDescent="0.45">
      <c r="Q42" s="169"/>
      <c r="R42" s="169"/>
      <c r="S42" s="169"/>
    </row>
    <row r="43" spans="2:26" ht="14.25" customHeight="1" x14ac:dyDescent="0.45">
      <c r="Q43" s="40" t="str">
        <f>CHAR(34)&amp;"Date"&amp;CHAR(34)&amp;":["&amp;CHAR(34)&amp;"24-May"&amp;CHAR(34)&amp;"],"</f>
        <v>"Date":["24-May"],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"Points":[0,0,2,0,0,0,2,0,1,1,0,1,2,0,0,0],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"Finishes":[0,0,2,0,0,0,0,0,0,0,0,0,1,0,0,0],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"Midrange":[0,0,0,0,0,0,0,0,1,1,0,1,1,0,0,0],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5F18-5A26-46C5-853C-292D4DFBFEFD}">
  <dimension ref="B1:AF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121</v>
      </c>
      <c r="C2" s="4">
        <v>45075</v>
      </c>
      <c r="L2" s="5" t="s">
        <v>122</v>
      </c>
      <c r="M2" s="5" t="s">
        <v>102</v>
      </c>
      <c r="N2" s="5" t="s">
        <v>103</v>
      </c>
      <c r="O2" s="5" t="s">
        <v>96</v>
      </c>
      <c r="P2" s="5" t="s">
        <v>8</v>
      </c>
      <c r="R2" s="5" t="s">
        <v>97</v>
      </c>
      <c r="S2" s="24" t="s">
        <v>8</v>
      </c>
      <c r="T2" s="3" t="s">
        <v>9</v>
      </c>
      <c r="U2" s="3" t="s">
        <v>123</v>
      </c>
      <c r="V2" s="3" t="s">
        <v>124</v>
      </c>
      <c r="W2" s="40" t="s">
        <v>161</v>
      </c>
      <c r="AC2" s="40" t="s">
        <v>179</v>
      </c>
      <c r="AD2" s="3" t="s">
        <v>9</v>
      </c>
      <c r="AE2" s="3" t="s">
        <v>123</v>
      </c>
      <c r="AF2" s="3" t="s">
        <v>124</v>
      </c>
    </row>
    <row r="3" spans="2:32" ht="14.25" customHeight="1" x14ac:dyDescent="0.45">
      <c r="B3" s="53" t="s">
        <v>125</v>
      </c>
      <c r="C3" s="53" t="s">
        <v>126</v>
      </c>
      <c r="D3" s="53" t="s">
        <v>127</v>
      </c>
      <c r="E3" s="53" t="s">
        <v>232</v>
      </c>
      <c r="F3" s="53" t="s">
        <v>128</v>
      </c>
      <c r="G3" s="53" t="s">
        <v>129</v>
      </c>
      <c r="H3" s="53" t="s">
        <v>130</v>
      </c>
      <c r="I3" s="53" t="s">
        <v>131</v>
      </c>
      <c r="J3" s="53" t="s">
        <v>137</v>
      </c>
      <c r="L3" s="24" t="s">
        <v>132</v>
      </c>
      <c r="M3" s="24">
        <v>4</v>
      </c>
      <c r="N3" s="24">
        <v>1</v>
      </c>
      <c r="O3" s="23">
        <f>M3/(M3+N3)</f>
        <v>0.8</v>
      </c>
      <c r="P3" s="24">
        <v>2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132</v>
      </c>
      <c r="Z3" s="5" t="s">
        <v>133</v>
      </c>
      <c r="AA3" s="5" t="s">
        <v>134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57</v>
      </c>
      <c r="D4" s="53" t="s">
        <v>39</v>
      </c>
      <c r="E4" s="53" t="s">
        <v>233</v>
      </c>
      <c r="F4" s="53" t="s">
        <v>72</v>
      </c>
      <c r="G4" s="53" t="s">
        <v>154</v>
      </c>
      <c r="H4" s="53" t="s">
        <v>234</v>
      </c>
      <c r="I4" s="53" t="s">
        <v>234</v>
      </c>
      <c r="J4" s="53">
        <v>1</v>
      </c>
      <c r="L4" s="24" t="s">
        <v>134</v>
      </c>
      <c r="M4" s="24">
        <v>1</v>
      </c>
      <c r="N4" s="24">
        <v>2</v>
      </c>
      <c r="O4" s="23">
        <f t="shared" ref="O4:O5" si="7">M4/(M4+N4)</f>
        <v>0.33333333333333331</v>
      </c>
      <c r="P4" s="24">
        <v>0</v>
      </c>
      <c r="R4" s="3" t="s">
        <v>36</v>
      </c>
      <c r="S4" s="19">
        <f t="shared" si="0"/>
        <v>1</v>
      </c>
      <c r="T4" s="20">
        <f t="shared" si="1"/>
        <v>1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LG/WW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1</v>
      </c>
      <c r="AE4" s="40">
        <f t="shared" si="5"/>
        <v>0</v>
      </c>
      <c r="AF4" s="40">
        <f t="shared" si="6"/>
        <v>0</v>
      </c>
    </row>
    <row r="5" spans="2:32" ht="14.25" customHeight="1" x14ac:dyDescent="0.45">
      <c r="B5" s="53">
        <v>1</v>
      </c>
      <c r="C5" s="53" t="s">
        <v>57</v>
      </c>
      <c r="D5" s="53" t="s">
        <v>39</v>
      </c>
      <c r="E5" s="53" t="s">
        <v>235</v>
      </c>
      <c r="F5" s="53" t="s">
        <v>72</v>
      </c>
      <c r="G5" s="53" t="s">
        <v>123</v>
      </c>
      <c r="H5" s="53">
        <v>1</v>
      </c>
      <c r="I5" s="53">
        <v>1</v>
      </c>
      <c r="J5" s="53">
        <v>2</v>
      </c>
      <c r="L5" s="24" t="s">
        <v>133</v>
      </c>
      <c r="M5" s="24">
        <v>1</v>
      </c>
      <c r="N5" s="24">
        <v>3</v>
      </c>
      <c r="O5" s="23">
        <f t="shared" si="7"/>
        <v>0.25</v>
      </c>
      <c r="P5" s="24">
        <v>0</v>
      </c>
      <c r="R5" s="3" t="s">
        <v>38</v>
      </c>
      <c r="S5" s="19">
        <f t="shared" si="0"/>
        <v>1</v>
      </c>
      <c r="T5" s="20">
        <f t="shared" si="1"/>
        <v>1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LG/WW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1</v>
      </c>
      <c r="AE5" s="40">
        <f t="shared" si="5"/>
        <v>0</v>
      </c>
      <c r="AF5" s="40">
        <f t="shared" si="6"/>
        <v>0</v>
      </c>
    </row>
    <row r="6" spans="2:32" ht="14.25" customHeight="1" x14ac:dyDescent="0.45">
      <c r="B6" s="53">
        <v>2</v>
      </c>
      <c r="C6" s="53" t="s">
        <v>34</v>
      </c>
      <c r="D6" s="53" t="s">
        <v>57</v>
      </c>
      <c r="E6" s="53" t="s">
        <v>233</v>
      </c>
      <c r="F6" s="53" t="s">
        <v>38</v>
      </c>
      <c r="G6" s="53" t="s">
        <v>154</v>
      </c>
      <c r="H6" s="53" t="s">
        <v>234</v>
      </c>
      <c r="I6" s="53" t="s">
        <v>234</v>
      </c>
      <c r="J6" s="53">
        <v>1</v>
      </c>
      <c r="R6" s="3" t="s">
        <v>44</v>
      </c>
      <c r="S6" s="19">
        <f t="shared" si="0"/>
        <v>0</v>
      </c>
      <c r="T6" s="20">
        <f t="shared" si="1"/>
        <v>0</v>
      </c>
      <c r="U6" s="20">
        <f t="shared" si="2"/>
        <v>0</v>
      </c>
      <c r="V6" s="20">
        <f t="shared" si="3"/>
        <v>0</v>
      </c>
      <c r="W6" s="54" t="b">
        <v>1</v>
      </c>
      <c r="Y6" s="24" t="str">
        <f t="shared" si="8"/>
        <v/>
      </c>
      <c r="Z6" s="24" t="str">
        <f t="shared" si="9"/>
        <v/>
      </c>
      <c r="AA6" s="24" t="str">
        <f t="shared" si="10"/>
        <v>5M/LG</v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45">
      <c r="B7" s="53">
        <v>2</v>
      </c>
      <c r="C7" s="53" t="s">
        <v>34</v>
      </c>
      <c r="D7" s="53" t="s">
        <v>57</v>
      </c>
      <c r="E7" s="53" t="s">
        <v>236</v>
      </c>
      <c r="F7" s="53" t="s">
        <v>66</v>
      </c>
      <c r="G7" s="53" t="s">
        <v>172</v>
      </c>
      <c r="H7" s="53">
        <v>1</v>
      </c>
      <c r="I7" s="53">
        <v>1</v>
      </c>
      <c r="J7" s="53">
        <v>1</v>
      </c>
      <c r="R7" s="3" t="s">
        <v>46</v>
      </c>
      <c r="S7" s="19">
        <f t="shared" si="0"/>
        <v>1</v>
      </c>
      <c r="T7" s="20">
        <f t="shared" si="1"/>
        <v>1</v>
      </c>
      <c r="U7" s="20">
        <f t="shared" si="2"/>
        <v>0</v>
      </c>
      <c r="V7" s="20">
        <f t="shared" si="3"/>
        <v>0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0</v>
      </c>
    </row>
    <row r="8" spans="2:32" ht="14.25" customHeight="1" x14ac:dyDescent="0.45">
      <c r="B8" s="53">
        <v>3</v>
      </c>
      <c r="C8" s="53" t="s">
        <v>39</v>
      </c>
      <c r="D8" s="53" t="s">
        <v>34</v>
      </c>
      <c r="E8" s="53" t="s">
        <v>233</v>
      </c>
      <c r="F8" s="53" t="s">
        <v>46</v>
      </c>
      <c r="G8" s="53" t="s">
        <v>154</v>
      </c>
      <c r="H8" s="53" t="s">
        <v>234</v>
      </c>
      <c r="I8" s="53" t="s">
        <v>234</v>
      </c>
      <c r="J8" s="53">
        <v>1</v>
      </c>
      <c r="R8" s="3" t="s">
        <v>51</v>
      </c>
      <c r="S8" s="19">
        <f t="shared" si="0"/>
        <v>1</v>
      </c>
      <c r="T8" s="20">
        <f t="shared" si="1"/>
        <v>0</v>
      </c>
      <c r="U8" s="20">
        <f t="shared" si="2"/>
        <v>1</v>
      </c>
      <c r="V8" s="20">
        <f t="shared" si="3"/>
        <v>0</v>
      </c>
      <c r="W8" s="54" t="b">
        <v>0</v>
      </c>
      <c r="Y8" s="24" t="str">
        <f t="shared" si="8"/>
        <v/>
      </c>
      <c r="Z8" s="24" t="str">
        <f t="shared" si="9"/>
        <v>WW/5M</v>
      </c>
      <c r="AA8" s="24" t="str">
        <f t="shared" si="10"/>
        <v/>
      </c>
      <c r="AC8" s="3" t="s">
        <v>51</v>
      </c>
      <c r="AD8" s="40">
        <f t="shared" si="4"/>
        <v>0</v>
      </c>
      <c r="AE8" s="40">
        <f t="shared" si="5"/>
        <v>0</v>
      </c>
      <c r="AF8" s="40">
        <f t="shared" si="6"/>
        <v>0</v>
      </c>
    </row>
    <row r="9" spans="2:32" ht="14.25" customHeight="1" x14ac:dyDescent="0.45">
      <c r="B9" s="53">
        <v>3</v>
      </c>
      <c r="C9" s="53" t="s">
        <v>39</v>
      </c>
      <c r="D9" s="53" t="s">
        <v>34</v>
      </c>
      <c r="E9" s="53" t="s">
        <v>235</v>
      </c>
      <c r="F9" s="53" t="s">
        <v>51</v>
      </c>
      <c r="G9" s="53" t="s">
        <v>123</v>
      </c>
      <c r="H9" s="53">
        <v>1</v>
      </c>
      <c r="I9" s="53">
        <v>1</v>
      </c>
      <c r="J9" s="53">
        <v>1</v>
      </c>
      <c r="R9" s="3" t="s">
        <v>53</v>
      </c>
      <c r="S9" s="19">
        <f t="shared" si="0"/>
        <v>3</v>
      </c>
      <c r="T9" s="20">
        <f t="shared" si="1"/>
        <v>1</v>
      </c>
      <c r="U9" s="20">
        <f t="shared" si="2"/>
        <v>0</v>
      </c>
      <c r="V9" s="20">
        <f t="shared" si="3"/>
        <v>1</v>
      </c>
      <c r="W9" s="54" t="b">
        <v>0</v>
      </c>
      <c r="Y9" s="24" t="str">
        <f t="shared" si="8"/>
        <v/>
      </c>
      <c r="Z9" s="24" t="str">
        <f t="shared" si="9"/>
        <v>WW/5M</v>
      </c>
      <c r="AA9" s="24" t="str">
        <f t="shared" si="10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1</v>
      </c>
    </row>
    <row r="10" spans="2:32" ht="14.25" customHeight="1" x14ac:dyDescent="0.45">
      <c r="B10" s="53">
        <v>4</v>
      </c>
      <c r="C10" s="53" t="s">
        <v>57</v>
      </c>
      <c r="D10" s="53" t="s">
        <v>39</v>
      </c>
      <c r="E10" s="53" t="s">
        <v>235</v>
      </c>
      <c r="F10" s="53" t="s">
        <v>53</v>
      </c>
      <c r="G10" s="53" t="s">
        <v>172</v>
      </c>
      <c r="H10" s="53">
        <v>1</v>
      </c>
      <c r="I10" s="53">
        <v>1</v>
      </c>
      <c r="J10" s="53">
        <v>1</v>
      </c>
      <c r="R10" s="3" t="s">
        <v>56</v>
      </c>
      <c r="S10" s="19">
        <f t="shared" si="0"/>
        <v>2</v>
      </c>
      <c r="T10" s="20">
        <f t="shared" si="1"/>
        <v>0</v>
      </c>
      <c r="U10" s="20">
        <f t="shared" si="2"/>
        <v>2</v>
      </c>
      <c r="V10" s="20">
        <f t="shared" si="3"/>
        <v>0</v>
      </c>
      <c r="W10" s="54" t="b">
        <v>0</v>
      </c>
      <c r="Y10" s="24" t="str">
        <f t="shared" si="8"/>
        <v>LG/WW</v>
      </c>
      <c r="Z10" s="24" t="str">
        <f t="shared" si="9"/>
        <v/>
      </c>
      <c r="AA10" s="24" t="str">
        <f t="shared" si="10"/>
        <v/>
      </c>
      <c r="AC10" s="3" t="s">
        <v>56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2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5</v>
      </c>
      <c r="C11" s="53" t="s">
        <v>57</v>
      </c>
      <c r="D11" s="53" t="s">
        <v>34</v>
      </c>
      <c r="E11" s="53" t="s">
        <v>233</v>
      </c>
      <c r="F11" s="53" t="s">
        <v>72</v>
      </c>
      <c r="G11" s="53" t="s">
        <v>154</v>
      </c>
      <c r="H11" s="53" t="s">
        <v>234</v>
      </c>
      <c r="I11" s="53" t="s">
        <v>234</v>
      </c>
      <c r="J11" s="53">
        <v>1</v>
      </c>
      <c r="R11" s="3" t="s">
        <v>60</v>
      </c>
      <c r="S11" s="19">
        <f t="shared" si="0"/>
        <v>0</v>
      </c>
      <c r="T11" s="20">
        <f t="shared" si="1"/>
        <v>0</v>
      </c>
      <c r="U11" s="20">
        <f t="shared" si="2"/>
        <v>0</v>
      </c>
      <c r="V11" s="20">
        <f t="shared" si="3"/>
        <v>0</v>
      </c>
      <c r="W11" s="54" t="b">
        <v>1</v>
      </c>
      <c r="Y11" s="24" t="str">
        <f t="shared" si="8"/>
        <v>LG/5M</v>
      </c>
      <c r="Z11" s="24" t="str">
        <f t="shared" si="9"/>
        <v/>
      </c>
      <c r="AA11" s="24" t="str">
        <f t="shared" si="10"/>
        <v/>
      </c>
      <c r="AC11" s="3" t="s">
        <v>60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0</v>
      </c>
      <c r="AF11" s="40">
        <f>COUNTIFS($F$4:$F$33, $AC11, $G$4:$G$33, "Three Pointer", $D$4:$D$33, "Loose Gooses")</f>
        <v>0</v>
      </c>
    </row>
    <row r="12" spans="2:32" ht="14.25" customHeight="1" x14ac:dyDescent="0.45">
      <c r="B12" s="53">
        <v>5</v>
      </c>
      <c r="C12" s="53" t="s">
        <v>57</v>
      </c>
      <c r="D12" s="53" t="s">
        <v>34</v>
      </c>
      <c r="E12" s="53" t="s">
        <v>235</v>
      </c>
      <c r="F12" s="53" t="s">
        <v>53</v>
      </c>
      <c r="G12" s="53" t="s">
        <v>154</v>
      </c>
      <c r="H12" s="53">
        <v>2</v>
      </c>
      <c r="I12" s="53">
        <v>2</v>
      </c>
      <c r="J12" s="53">
        <v>1</v>
      </c>
      <c r="R12" s="3" t="s">
        <v>63</v>
      </c>
      <c r="S12" s="19">
        <f t="shared" si="0"/>
        <v>0</v>
      </c>
      <c r="T12" s="20">
        <f t="shared" si="1"/>
        <v>0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>LG/5M</v>
      </c>
      <c r="Z12" s="24" t="str">
        <f t="shared" si="9"/>
        <v/>
      </c>
      <c r="AA12" s="24" t="str">
        <f t="shared" si="10"/>
        <v/>
      </c>
      <c r="AC12" s="3" t="s">
        <v>63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45">
      <c r="B13" s="53">
        <v>6</v>
      </c>
      <c r="C13" s="53" t="s">
        <v>39</v>
      </c>
      <c r="D13" s="53" t="s">
        <v>57</v>
      </c>
      <c r="E13" s="53" t="s">
        <v>233</v>
      </c>
      <c r="F13" s="53" t="s">
        <v>36</v>
      </c>
      <c r="G13" s="53" t="s">
        <v>154</v>
      </c>
      <c r="H13" s="53" t="s">
        <v>234</v>
      </c>
      <c r="I13" s="53" t="s">
        <v>234</v>
      </c>
      <c r="J13" s="53">
        <v>1</v>
      </c>
      <c r="R13" s="3" t="s">
        <v>66</v>
      </c>
      <c r="S13" s="19">
        <f t="shared" si="0"/>
        <v>2</v>
      </c>
      <c r="T13" s="20">
        <f t="shared" si="1"/>
        <v>0</v>
      </c>
      <c r="U13" s="20">
        <f t="shared" si="2"/>
        <v>0</v>
      </c>
      <c r="V13" s="20">
        <f t="shared" si="3"/>
        <v>1</v>
      </c>
      <c r="W13" s="54" t="b">
        <v>0</v>
      </c>
      <c r="Y13" s="24" t="str">
        <f t="shared" si="8"/>
        <v/>
      </c>
      <c r="Z13" s="24" t="str">
        <f t="shared" si="9"/>
        <v>WW/LG</v>
      </c>
      <c r="AA13" s="24" t="str">
        <f t="shared" si="10"/>
        <v/>
      </c>
      <c r="AC13" s="3" t="s">
        <v>66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1</v>
      </c>
    </row>
    <row r="14" spans="2:32" ht="14.25" customHeight="1" x14ac:dyDescent="0.45">
      <c r="B14" s="53">
        <v>6</v>
      </c>
      <c r="C14" s="53" t="s">
        <v>57</v>
      </c>
      <c r="D14" s="53" t="s">
        <v>39</v>
      </c>
      <c r="E14" s="53" t="s">
        <v>237</v>
      </c>
      <c r="F14" s="53" t="s">
        <v>56</v>
      </c>
      <c r="G14" s="53" t="s">
        <v>123</v>
      </c>
      <c r="H14" s="53" t="s">
        <v>234</v>
      </c>
      <c r="I14" s="53" t="s">
        <v>234</v>
      </c>
      <c r="J14" s="53">
        <v>1</v>
      </c>
      <c r="R14" s="3" t="s">
        <v>69</v>
      </c>
      <c r="S14" s="19">
        <f t="shared" si="0"/>
        <v>0</v>
      </c>
      <c r="T14" s="20">
        <f t="shared" si="1"/>
        <v>0</v>
      </c>
      <c r="U14" s="20">
        <f t="shared" si="2"/>
        <v>0</v>
      </c>
      <c r="V14" s="20">
        <f t="shared" si="3"/>
        <v>0</v>
      </c>
      <c r="W14" s="54" t="b">
        <v>0</v>
      </c>
      <c r="Y14" s="24" t="str">
        <f t="shared" si="8"/>
        <v>LG/WW</v>
      </c>
      <c r="Z14" s="24" t="str">
        <f t="shared" si="9"/>
        <v/>
      </c>
      <c r="AA14" s="24" t="str">
        <f t="shared" si="10"/>
        <v/>
      </c>
      <c r="AC14" s="3" t="s">
        <v>69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0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57</v>
      </c>
      <c r="D15" s="53" t="s">
        <v>39</v>
      </c>
      <c r="E15" s="53" t="s">
        <v>238</v>
      </c>
      <c r="F15" s="53" t="s">
        <v>56</v>
      </c>
      <c r="G15" s="53" t="s">
        <v>123</v>
      </c>
      <c r="H15" s="53">
        <v>3</v>
      </c>
      <c r="I15" s="53">
        <v>2</v>
      </c>
      <c r="J15" s="53">
        <v>2</v>
      </c>
      <c r="R15" s="3" t="s">
        <v>72</v>
      </c>
      <c r="S15" s="19">
        <f t="shared" si="0"/>
        <v>3</v>
      </c>
      <c r="T15" s="20">
        <f t="shared" si="1"/>
        <v>2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>LG/WW</v>
      </c>
      <c r="Z15" s="24" t="str">
        <f t="shared" si="9"/>
        <v/>
      </c>
      <c r="AA15" s="24" t="str">
        <f t="shared" si="10"/>
        <v/>
      </c>
      <c r="AC15" s="3" t="s">
        <v>72</v>
      </c>
      <c r="AD15" s="40">
        <f>COUNTIFS($F$4:$F$33, $AC15, $G$4:$G$33, "Finish", $D$4:$D$33, "Wet Willies")</f>
        <v>1</v>
      </c>
      <c r="AE15" s="40">
        <f>COUNTIFS($F$4:$F$33, $AC15, $G$4:$G$33, "Midrange", $D$4:$D$33, "Wet Willies")</f>
        <v>1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/>
      <c r="C16" s="53"/>
      <c r="D16" s="53"/>
      <c r="F16" s="53"/>
      <c r="G16" s="53"/>
      <c r="H16" s="53"/>
      <c r="I16" s="53"/>
      <c r="J16" s="53"/>
      <c r="R16" s="3" t="s">
        <v>76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/>
      </c>
      <c r="AA16" s="24" t="str">
        <f t="shared" si="10"/>
        <v/>
      </c>
      <c r="AC16" s="3" t="s">
        <v>76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/>
      <c r="C17" s="53"/>
      <c r="D17" s="53"/>
      <c r="F17" s="53"/>
      <c r="G17" s="53"/>
      <c r="H17" s="53"/>
      <c r="I17" s="53"/>
      <c r="J17" s="53"/>
      <c r="R17" s="3" t="s">
        <v>79</v>
      </c>
      <c r="S17" s="19">
        <f t="shared" si="0"/>
        <v>0</v>
      </c>
      <c r="T17" s="20">
        <f t="shared" si="1"/>
        <v>0</v>
      </c>
      <c r="U17" s="20">
        <f t="shared" si="2"/>
        <v>0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/>
      </c>
      <c r="AA17" s="24" t="str">
        <f t="shared" si="10"/>
        <v/>
      </c>
      <c r="AC17" s="3" t="s">
        <v>79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/>
      <c r="C18" s="53"/>
      <c r="D18" s="53"/>
      <c r="F18" s="53"/>
      <c r="G18" s="53"/>
      <c r="H18" s="53"/>
      <c r="I18" s="53"/>
      <c r="J18" s="53"/>
      <c r="R18" s="40" t="s">
        <v>148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/>
      </c>
      <c r="AA18" s="24" t="str">
        <f t="shared" si="10"/>
        <v/>
      </c>
      <c r="AC18" s="40" t="s">
        <v>148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/>
      <c r="C19" s="53"/>
      <c r="D19" s="53"/>
      <c r="F19" s="53"/>
      <c r="G19" s="53"/>
      <c r="H19" s="53"/>
      <c r="I19" s="53"/>
      <c r="J19" s="53"/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/>
      </c>
    </row>
    <row r="20" spans="2:32" ht="14.25" customHeight="1" x14ac:dyDescent="0.45">
      <c r="B20" s="53"/>
      <c r="C20" s="53"/>
      <c r="D20" s="53"/>
      <c r="F20" s="53"/>
      <c r="G20" s="53"/>
      <c r="H20" s="53"/>
      <c r="I20" s="53"/>
      <c r="J20" s="53"/>
      <c r="Y20" s="24" t="str">
        <f t="shared" si="8"/>
        <v/>
      </c>
      <c r="Z20" s="24" t="str">
        <f t="shared" si="9"/>
        <v/>
      </c>
      <c r="AA20" s="24" t="str">
        <f t="shared" si="10"/>
        <v/>
      </c>
    </row>
    <row r="21" spans="2:32" ht="14.25" customHeight="1" x14ac:dyDescent="0.45">
      <c r="B21" s="53"/>
      <c r="C21" s="53"/>
      <c r="D21" s="53"/>
      <c r="F21" s="53"/>
      <c r="G21" s="53"/>
      <c r="H21" s="53"/>
      <c r="I21" s="53"/>
      <c r="J21" s="53"/>
      <c r="Y21" s="24" t="str">
        <f t="shared" si="8"/>
        <v/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/>
      <c r="C22" s="53"/>
      <c r="D22" s="53"/>
      <c r="F22" s="53"/>
      <c r="G22" s="53"/>
      <c r="H22" s="53"/>
      <c r="I22" s="53"/>
      <c r="J22" s="53"/>
      <c r="Y22" s="24" t="str">
        <f t="shared" si="8"/>
        <v/>
      </c>
      <c r="Z22" s="24" t="str">
        <f t="shared" si="9"/>
        <v/>
      </c>
      <c r="AA22" s="24" t="str">
        <f t="shared" si="10"/>
        <v/>
      </c>
    </row>
    <row r="23" spans="2:32" ht="14.25" customHeight="1" x14ac:dyDescent="0.45">
      <c r="B23" s="53"/>
      <c r="C23" s="53"/>
      <c r="D23" s="53"/>
      <c r="F23" s="53"/>
      <c r="G23" s="53"/>
      <c r="H23" s="53"/>
      <c r="I23" s="53"/>
      <c r="J23" s="53"/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/>
      </c>
    </row>
    <row r="24" spans="2:32" ht="14.25" customHeight="1" x14ac:dyDescent="0.45">
      <c r="B24" s="53"/>
      <c r="C24" s="53"/>
      <c r="D24" s="53"/>
      <c r="F24" s="53"/>
      <c r="G24" s="53"/>
      <c r="H24" s="53"/>
      <c r="I24" s="53"/>
      <c r="J24" s="53"/>
      <c r="S24" s="40" t="str">
        <f t="shared" si="11"/>
        <v>1,</v>
      </c>
      <c r="T24" s="40" t="str">
        <f t="shared" si="11"/>
        <v>1,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F25" s="53"/>
      <c r="G25" s="53"/>
      <c r="H25" s="53"/>
      <c r="I25" s="53"/>
      <c r="J25" s="53"/>
      <c r="R25" s="9"/>
      <c r="S25" s="40" t="str">
        <f t="shared" si="11"/>
        <v>1,</v>
      </c>
      <c r="T25" s="40" t="str">
        <f t="shared" si="11"/>
        <v>1,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F26" s="53"/>
      <c r="G26" s="53"/>
      <c r="H26" s="53"/>
      <c r="I26" s="53"/>
      <c r="J26" s="53"/>
      <c r="R26" s="26"/>
      <c r="S26" s="40" t="str">
        <f t="shared" si="11"/>
        <v>"Did not Play",</v>
      </c>
      <c r="T26" s="40" t="str">
        <f t="shared" si="11"/>
        <v>"Did not Play",</v>
      </c>
      <c r="U26" s="40" t="str">
        <f t="shared" si="11"/>
        <v>"Did not Play",</v>
      </c>
      <c r="V26" s="40" t="str">
        <f t="shared" si="11"/>
        <v>"Did not Play",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F27" s="53"/>
      <c r="G27" s="53"/>
      <c r="H27" s="53"/>
      <c r="I27" s="53"/>
      <c r="J27" s="53"/>
      <c r="S27" s="40" t="str">
        <f t="shared" si="11"/>
        <v>1,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0,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F28" s="53"/>
      <c r="G28" s="53"/>
      <c r="H28" s="53"/>
      <c r="I28" s="53"/>
      <c r="J28" s="53"/>
      <c r="S28" s="40" t="str">
        <f t="shared" si="11"/>
        <v>1,</v>
      </c>
      <c r="T28" s="40" t="str">
        <f t="shared" si="11"/>
        <v>0,</v>
      </c>
      <c r="U28" s="40" t="str">
        <f t="shared" si="11"/>
        <v>1,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5">
      <c r="B29" s="100"/>
      <c r="C29" s="100"/>
      <c r="D29" s="100"/>
      <c r="F29" s="100"/>
      <c r="G29" s="100"/>
      <c r="H29" s="100"/>
      <c r="I29" s="100"/>
      <c r="J29" s="100"/>
      <c r="S29" s="40" t="str">
        <f t="shared" si="11"/>
        <v>3,</v>
      </c>
      <c r="T29" s="40" t="str">
        <f t="shared" si="11"/>
        <v>1,</v>
      </c>
      <c r="U29" s="40" t="str">
        <f t="shared" si="11"/>
        <v>0,</v>
      </c>
      <c r="V29" s="40" t="str">
        <f t="shared" si="11"/>
        <v>1,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F30" s="53"/>
      <c r="G30" s="53"/>
      <c r="H30" s="53"/>
      <c r="I30" s="53"/>
      <c r="J30" s="53"/>
      <c r="S30" s="40" t="str">
        <f t="shared" si="11"/>
        <v>2,</v>
      </c>
      <c r="T30" s="40" t="str">
        <f t="shared" si="11"/>
        <v>0,</v>
      </c>
      <c r="U30" s="40" t="str">
        <f t="shared" si="11"/>
        <v>2,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F31" s="53"/>
      <c r="G31" s="53"/>
      <c r="H31" s="53"/>
      <c r="I31" s="53"/>
      <c r="J31" s="53"/>
      <c r="S31" s="40" t="str">
        <f t="shared" si="11"/>
        <v>"Did not Play",</v>
      </c>
      <c r="T31" s="40" t="str">
        <f t="shared" si="11"/>
        <v>"Did not Play",</v>
      </c>
      <c r="U31" s="40" t="str">
        <f t="shared" si="11"/>
        <v>"Did not Play",</v>
      </c>
      <c r="V31" s="40" t="str">
        <f t="shared" si="11"/>
        <v>"Did not Play",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0,</v>
      </c>
      <c r="T32" s="40" t="str">
        <f t="shared" si="11"/>
        <v>0,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2,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1,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0,</v>
      </c>
      <c r="T34" s="40" t="str">
        <f t="shared" si="11"/>
        <v>0,</v>
      </c>
      <c r="U34" s="40" t="str">
        <f t="shared" si="11"/>
        <v>0,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3,</v>
      </c>
      <c r="T35" s="40" t="str">
        <f t="shared" si="11"/>
        <v>2,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0,</v>
      </c>
      <c r="T37" s="40" t="str">
        <f t="shared" si="11"/>
        <v>0,</v>
      </c>
      <c r="U37" s="40" t="str">
        <f t="shared" si="11"/>
        <v>0,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42" t="s">
        <v>159</v>
      </c>
      <c r="S41" s="142"/>
      <c r="T41" s="142"/>
      <c r="U41" s="19"/>
      <c r="V41" s="19"/>
    </row>
    <row r="42" spans="2:27" ht="14.25" customHeight="1" x14ac:dyDescent="0.9">
      <c r="R42" s="142"/>
      <c r="S42" s="142"/>
      <c r="T42" s="142"/>
    </row>
    <row r="43" spans="2:27" ht="14.25" customHeight="1" x14ac:dyDescent="0.45">
      <c r="R43" s="40" t="str">
        <f>CHAR(34)&amp;"Date"&amp;CHAR(34)&amp;":["&amp;CHAR(34)&amp;"29-May"&amp;CHAR(34)&amp;"],"</f>
        <v>"Date":["29-May"],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"Points":[0,1,1,"Did not Play",1,1,3,2,"Did not Play",0,2,0,3,0,0,0],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"Finishes":[0,1,1,"Did not Play",1,0,1,0,"Did not Play",0,0,0,2,0,0,0],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"Midrange":[0,0,0,"Did not Play",0,1,0,2,"Did not Play",0,0,0,1,0,0,0],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"ThreePointers":[0,0,0,"Did not Play",0,0,1,0,"Did not Play",0,1,0,0,0,0,0]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9830-B8C9-4595-B85E-3E7B10C1E6ED}">
  <dimension ref="B1:AF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121</v>
      </c>
      <c r="C2" s="4">
        <v>45076</v>
      </c>
      <c r="L2" s="5" t="s">
        <v>122</v>
      </c>
      <c r="M2" s="5" t="s">
        <v>102</v>
      </c>
      <c r="N2" s="5" t="s">
        <v>103</v>
      </c>
      <c r="O2" s="5" t="s">
        <v>96</v>
      </c>
      <c r="P2" s="5" t="s">
        <v>8</v>
      </c>
      <c r="R2" s="5" t="s">
        <v>97</v>
      </c>
      <c r="S2" s="24" t="s">
        <v>8</v>
      </c>
      <c r="T2" s="3" t="s">
        <v>9</v>
      </c>
      <c r="U2" s="3" t="s">
        <v>123</v>
      </c>
      <c r="V2" s="3" t="s">
        <v>124</v>
      </c>
      <c r="W2" s="40" t="s">
        <v>161</v>
      </c>
      <c r="AC2" s="40" t="s">
        <v>179</v>
      </c>
      <c r="AD2" s="3" t="s">
        <v>9</v>
      </c>
      <c r="AE2" s="3" t="s">
        <v>123</v>
      </c>
      <c r="AF2" s="3" t="s">
        <v>124</v>
      </c>
    </row>
    <row r="3" spans="2:32" ht="14.25" customHeight="1" x14ac:dyDescent="0.45">
      <c r="B3" s="53" t="s">
        <v>125</v>
      </c>
      <c r="C3" s="53" t="s">
        <v>126</v>
      </c>
      <c r="D3" s="53" t="s">
        <v>127</v>
      </c>
      <c r="E3" s="53" t="s">
        <v>232</v>
      </c>
      <c r="F3" s="53" t="s">
        <v>128</v>
      </c>
      <c r="G3" s="53" t="s">
        <v>129</v>
      </c>
      <c r="H3" s="53" t="s">
        <v>130</v>
      </c>
      <c r="I3" s="53" t="s">
        <v>131</v>
      </c>
      <c r="J3" s="53" t="s">
        <v>137</v>
      </c>
      <c r="L3" s="24" t="s">
        <v>132</v>
      </c>
      <c r="M3" s="24">
        <v>3</v>
      </c>
      <c r="N3" s="24">
        <v>4</v>
      </c>
      <c r="O3" s="23">
        <f>M3/(M3+N3)</f>
        <v>0.42857142857142855</v>
      </c>
      <c r="P3" s="24">
        <v>1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132</v>
      </c>
      <c r="Z3" s="5" t="s">
        <v>133</v>
      </c>
      <c r="AA3" s="5" t="s">
        <v>134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5">
      <c r="B4" s="147">
        <v>1</v>
      </c>
      <c r="C4" s="147" t="s">
        <v>57</v>
      </c>
      <c r="D4" s="147" t="s">
        <v>34</v>
      </c>
      <c r="E4" s="147" t="s">
        <v>233</v>
      </c>
      <c r="F4" s="147" t="s">
        <v>72</v>
      </c>
      <c r="G4" s="147" t="s">
        <v>123</v>
      </c>
      <c r="H4" s="147" t="s">
        <v>234</v>
      </c>
      <c r="I4" s="147" t="s">
        <v>234</v>
      </c>
      <c r="J4" s="147">
        <v>1</v>
      </c>
      <c r="L4" s="24" t="s">
        <v>134</v>
      </c>
      <c r="M4" s="24">
        <v>4</v>
      </c>
      <c r="N4" s="24">
        <v>3</v>
      </c>
      <c r="O4" s="23">
        <f t="shared" ref="O4:O5" si="7">M4/(M4+N4)</f>
        <v>0.5714285714285714</v>
      </c>
      <c r="P4" s="24">
        <v>2</v>
      </c>
      <c r="R4" s="3" t="s">
        <v>36</v>
      </c>
      <c r="S4" s="19">
        <f t="shared" si="0"/>
        <v>0</v>
      </c>
      <c r="T4" s="20">
        <f t="shared" si="1"/>
        <v>0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LG/5M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5">
      <c r="B5" s="147">
        <v>1</v>
      </c>
      <c r="C5" s="147" t="s">
        <v>57</v>
      </c>
      <c r="D5" s="147" t="s">
        <v>34</v>
      </c>
      <c r="E5" s="147" t="s">
        <v>235</v>
      </c>
      <c r="F5" s="147" t="s">
        <v>56</v>
      </c>
      <c r="G5" s="147" t="s">
        <v>123</v>
      </c>
      <c r="H5" s="147">
        <v>1</v>
      </c>
      <c r="I5" s="147">
        <v>1</v>
      </c>
      <c r="J5" s="147">
        <v>1</v>
      </c>
      <c r="L5" s="24" t="s">
        <v>133</v>
      </c>
      <c r="M5" s="24">
        <v>3</v>
      </c>
      <c r="N5" s="24">
        <v>3</v>
      </c>
      <c r="O5" s="23">
        <f t="shared" si="7"/>
        <v>0.5</v>
      </c>
      <c r="P5" s="24">
        <v>1</v>
      </c>
      <c r="R5" s="3" t="s">
        <v>38</v>
      </c>
      <c r="S5" s="19">
        <f t="shared" si="0"/>
        <v>6</v>
      </c>
      <c r="T5" s="20">
        <f t="shared" si="1"/>
        <v>6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LG/5M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5</v>
      </c>
      <c r="AE5" s="40">
        <f t="shared" si="5"/>
        <v>0</v>
      </c>
      <c r="AF5" s="40">
        <f t="shared" si="6"/>
        <v>0</v>
      </c>
    </row>
    <row r="6" spans="2:32" ht="14.25" customHeight="1" x14ac:dyDescent="0.5">
      <c r="B6" s="147">
        <v>2</v>
      </c>
      <c r="C6" s="147" t="s">
        <v>57</v>
      </c>
      <c r="D6" s="147" t="s">
        <v>39</v>
      </c>
      <c r="E6" s="147" t="s">
        <v>235</v>
      </c>
      <c r="F6" s="147" t="s">
        <v>53</v>
      </c>
      <c r="G6" s="147" t="s">
        <v>172</v>
      </c>
      <c r="H6" s="147">
        <v>2</v>
      </c>
      <c r="I6" s="147">
        <v>1</v>
      </c>
      <c r="J6" s="147">
        <v>1</v>
      </c>
      <c r="R6" s="3" t="s">
        <v>44</v>
      </c>
      <c r="S6" s="19">
        <f t="shared" si="0"/>
        <v>1</v>
      </c>
      <c r="T6" s="20">
        <f t="shared" si="1"/>
        <v>1</v>
      </c>
      <c r="U6" s="20">
        <f t="shared" si="2"/>
        <v>0</v>
      </c>
      <c r="V6" s="20">
        <f t="shared" si="3"/>
        <v>0</v>
      </c>
      <c r="W6" s="54" t="b">
        <v>0</v>
      </c>
      <c r="Y6" s="24" t="str">
        <f t="shared" si="8"/>
        <v>LG/WW</v>
      </c>
      <c r="Z6" s="24" t="str">
        <f t="shared" si="9"/>
        <v/>
      </c>
      <c r="AA6" s="24" t="str">
        <f t="shared" si="10"/>
        <v/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5">
      <c r="B7" s="147">
        <v>3</v>
      </c>
      <c r="C7" s="147" t="s">
        <v>34</v>
      </c>
      <c r="D7" s="147" t="s">
        <v>57</v>
      </c>
      <c r="E7" s="147" t="s">
        <v>233</v>
      </c>
      <c r="F7" s="147" t="s">
        <v>38</v>
      </c>
      <c r="G7" s="147" t="s">
        <v>154</v>
      </c>
      <c r="H7" s="147" t="s">
        <v>234</v>
      </c>
      <c r="I7" s="147" t="s">
        <v>234</v>
      </c>
      <c r="J7" s="147">
        <v>1</v>
      </c>
      <c r="R7" s="3" t="s">
        <v>46</v>
      </c>
      <c r="S7" s="19">
        <f t="shared" si="0"/>
        <v>3</v>
      </c>
      <c r="T7" s="20">
        <f t="shared" si="1"/>
        <v>1</v>
      </c>
      <c r="U7" s="20">
        <f t="shared" si="2"/>
        <v>0</v>
      </c>
      <c r="V7" s="20">
        <f t="shared" si="3"/>
        <v>1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0</v>
      </c>
    </row>
    <row r="8" spans="2:32" ht="14.25" customHeight="1" x14ac:dyDescent="0.5">
      <c r="B8" s="147">
        <v>3</v>
      </c>
      <c r="C8" s="147" t="s">
        <v>57</v>
      </c>
      <c r="D8" s="147" t="s">
        <v>34</v>
      </c>
      <c r="E8" s="147" t="s">
        <v>237</v>
      </c>
      <c r="F8" s="147" t="s">
        <v>56</v>
      </c>
      <c r="G8" s="147" t="s">
        <v>123</v>
      </c>
      <c r="H8" s="147" t="s">
        <v>234</v>
      </c>
      <c r="I8" s="147" t="s">
        <v>234</v>
      </c>
      <c r="J8" s="147">
        <v>1</v>
      </c>
      <c r="R8" s="3" t="s">
        <v>51</v>
      </c>
      <c r="S8" s="19">
        <f t="shared" si="0"/>
        <v>2</v>
      </c>
      <c r="T8" s="20">
        <f t="shared" si="1"/>
        <v>0</v>
      </c>
      <c r="U8" s="20">
        <f t="shared" si="2"/>
        <v>2</v>
      </c>
      <c r="V8" s="20">
        <f t="shared" si="3"/>
        <v>0</v>
      </c>
      <c r="W8" s="54" t="b">
        <v>0</v>
      </c>
      <c r="Y8" s="24" t="str">
        <f t="shared" si="8"/>
        <v>LG/5M</v>
      </c>
      <c r="Z8" s="24" t="str">
        <f t="shared" si="9"/>
        <v/>
      </c>
      <c r="AA8" s="24" t="str">
        <f t="shared" si="10"/>
        <v/>
      </c>
      <c r="AC8" s="3" t="s">
        <v>51</v>
      </c>
      <c r="AD8" s="40">
        <f t="shared" si="4"/>
        <v>0</v>
      </c>
      <c r="AE8" s="40">
        <f t="shared" si="5"/>
        <v>2</v>
      </c>
      <c r="AF8" s="40">
        <f t="shared" si="6"/>
        <v>0</v>
      </c>
    </row>
    <row r="9" spans="2:32" ht="14.25" customHeight="1" x14ac:dyDescent="0.5">
      <c r="B9" s="147">
        <v>3</v>
      </c>
      <c r="C9" s="147" t="s">
        <v>34</v>
      </c>
      <c r="D9" s="147" t="s">
        <v>57</v>
      </c>
      <c r="E9" s="147" t="s">
        <v>238</v>
      </c>
      <c r="F9" s="147" t="s">
        <v>38</v>
      </c>
      <c r="G9" s="147" t="s">
        <v>154</v>
      </c>
      <c r="H9" s="147">
        <v>1</v>
      </c>
      <c r="I9" s="147">
        <v>1</v>
      </c>
      <c r="J9" s="147">
        <v>1</v>
      </c>
      <c r="R9" s="3" t="s">
        <v>53</v>
      </c>
      <c r="S9" s="19">
        <f t="shared" si="0"/>
        <v>4</v>
      </c>
      <c r="T9" s="20">
        <f t="shared" si="1"/>
        <v>0</v>
      </c>
      <c r="U9" s="20">
        <f t="shared" si="2"/>
        <v>0</v>
      </c>
      <c r="V9" s="20">
        <f t="shared" si="3"/>
        <v>2</v>
      </c>
      <c r="W9" s="54" t="b">
        <v>0</v>
      </c>
      <c r="Y9" s="24" t="str">
        <f t="shared" si="8"/>
        <v/>
      </c>
      <c r="Z9" s="24" t="str">
        <f t="shared" si="9"/>
        <v/>
      </c>
      <c r="AA9" s="24" t="str">
        <f t="shared" si="10"/>
        <v>5M/LG</v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2</v>
      </c>
    </row>
    <row r="10" spans="2:32" ht="14.25" customHeight="1" x14ac:dyDescent="0.5">
      <c r="B10" s="147">
        <v>4</v>
      </c>
      <c r="C10" s="147" t="s">
        <v>34</v>
      </c>
      <c r="D10" s="147" t="s">
        <v>39</v>
      </c>
      <c r="E10" s="147" t="s">
        <v>235</v>
      </c>
      <c r="F10" s="147" t="s">
        <v>66</v>
      </c>
      <c r="G10" s="147" t="s">
        <v>172</v>
      </c>
      <c r="H10" s="147">
        <v>2</v>
      </c>
      <c r="I10" s="147">
        <v>2</v>
      </c>
      <c r="J10" s="147">
        <v>1</v>
      </c>
      <c r="R10" s="3" t="s">
        <v>56</v>
      </c>
      <c r="S10" s="19">
        <f t="shared" si="0"/>
        <v>3</v>
      </c>
      <c r="T10" s="20">
        <f t="shared" si="1"/>
        <v>0</v>
      </c>
      <c r="U10" s="20">
        <f t="shared" si="2"/>
        <v>3</v>
      </c>
      <c r="V10" s="20">
        <f t="shared" si="3"/>
        <v>0</v>
      </c>
      <c r="W10" s="54" t="b">
        <v>0</v>
      </c>
      <c r="Y10" s="24" t="str">
        <f t="shared" si="8"/>
        <v/>
      </c>
      <c r="Z10" s="24" t="str">
        <f t="shared" si="9"/>
        <v/>
      </c>
      <c r="AA10" s="24" t="str">
        <f t="shared" si="10"/>
        <v>5M/WW</v>
      </c>
      <c r="AC10" s="3" t="s">
        <v>56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0</v>
      </c>
      <c r="AF10" s="40">
        <f>COUNTIFS($F$4:$F$33, $AC10, $G$4:$G$33, "Three Pointer", $D$4:$D$33, "Wet Willies")</f>
        <v>0</v>
      </c>
    </row>
    <row r="11" spans="2:32" ht="14.25" customHeight="1" x14ac:dyDescent="0.5">
      <c r="B11" s="147">
        <v>5</v>
      </c>
      <c r="C11" s="147" t="s">
        <v>34</v>
      </c>
      <c r="D11" s="147" t="s">
        <v>57</v>
      </c>
      <c r="E11" s="147" t="s">
        <v>233</v>
      </c>
      <c r="F11" s="147" t="s">
        <v>38</v>
      </c>
      <c r="G11" s="147" t="s">
        <v>154</v>
      </c>
      <c r="H11" s="147" t="s">
        <v>234</v>
      </c>
      <c r="I11" s="147" t="s">
        <v>234</v>
      </c>
      <c r="J11" s="147">
        <v>1</v>
      </c>
      <c r="R11" s="3" t="s">
        <v>60</v>
      </c>
      <c r="S11" s="19">
        <f t="shared" si="0"/>
        <v>1</v>
      </c>
      <c r="T11" s="20">
        <f t="shared" si="1"/>
        <v>0</v>
      </c>
      <c r="U11" s="20">
        <f t="shared" si="2"/>
        <v>1</v>
      </c>
      <c r="V11" s="20">
        <f t="shared" si="3"/>
        <v>0</v>
      </c>
      <c r="W11" s="54" t="b">
        <v>0</v>
      </c>
      <c r="Y11" s="24" t="str">
        <f t="shared" si="8"/>
        <v/>
      </c>
      <c r="Z11" s="24" t="str">
        <f t="shared" si="9"/>
        <v/>
      </c>
      <c r="AA11" s="24" t="str">
        <f t="shared" si="10"/>
        <v>5M/LG</v>
      </c>
      <c r="AC11" s="3" t="s">
        <v>60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1</v>
      </c>
      <c r="AF11" s="40">
        <f>COUNTIFS($F$4:$F$33, $AC11, $G$4:$G$33, "Three Pointer", $D$4:$D$33, "Loose Gooses")</f>
        <v>0</v>
      </c>
    </row>
    <row r="12" spans="2:32" ht="14.25" customHeight="1" x14ac:dyDescent="0.5">
      <c r="B12" s="147">
        <v>5</v>
      </c>
      <c r="C12" s="147" t="s">
        <v>57</v>
      </c>
      <c r="D12" s="147" t="s">
        <v>34</v>
      </c>
      <c r="E12" s="147" t="s">
        <v>237</v>
      </c>
      <c r="F12" s="147" t="s">
        <v>56</v>
      </c>
      <c r="G12" s="147" t="s">
        <v>123</v>
      </c>
      <c r="H12" s="147" t="s">
        <v>234</v>
      </c>
      <c r="I12" s="147" t="s">
        <v>234</v>
      </c>
      <c r="J12" s="147">
        <v>1</v>
      </c>
      <c r="R12" s="3" t="s">
        <v>63</v>
      </c>
      <c r="S12" s="19">
        <f t="shared" si="0"/>
        <v>1</v>
      </c>
      <c r="T12" s="20">
        <f t="shared" si="1"/>
        <v>1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>LG/5M</v>
      </c>
      <c r="Z12" s="24" t="str">
        <f t="shared" si="9"/>
        <v/>
      </c>
      <c r="AA12" s="24" t="str">
        <f t="shared" si="10"/>
        <v/>
      </c>
      <c r="AC12" s="3" t="s">
        <v>63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5">
      <c r="B13" s="147">
        <v>5</v>
      </c>
      <c r="C13" s="147" t="s">
        <v>34</v>
      </c>
      <c r="D13" s="147" t="s">
        <v>57</v>
      </c>
      <c r="E13" s="147" t="s">
        <v>238</v>
      </c>
      <c r="F13" s="147" t="s">
        <v>38</v>
      </c>
      <c r="G13" s="147" t="s">
        <v>154</v>
      </c>
      <c r="H13" s="147">
        <v>3</v>
      </c>
      <c r="I13" s="147">
        <v>2</v>
      </c>
      <c r="J13" s="147">
        <v>1</v>
      </c>
      <c r="R13" s="3" t="s">
        <v>66</v>
      </c>
      <c r="S13" s="19">
        <f t="shared" si="0"/>
        <v>2</v>
      </c>
      <c r="T13" s="20">
        <f t="shared" si="1"/>
        <v>0</v>
      </c>
      <c r="U13" s="20">
        <f t="shared" si="2"/>
        <v>0</v>
      </c>
      <c r="V13" s="20">
        <f t="shared" si="3"/>
        <v>1</v>
      </c>
      <c r="W13" s="54" t="b">
        <v>0</v>
      </c>
      <c r="Y13" s="24" t="str">
        <f t="shared" si="8"/>
        <v/>
      </c>
      <c r="Z13" s="24" t="str">
        <f t="shared" si="9"/>
        <v/>
      </c>
      <c r="AA13" s="24" t="str">
        <f t="shared" si="10"/>
        <v>5M/LG</v>
      </c>
      <c r="AC13" s="3" t="s">
        <v>66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45">
      <c r="B14" s="53">
        <v>6</v>
      </c>
      <c r="C14" s="53" t="s">
        <v>34</v>
      </c>
      <c r="D14" s="53" t="s">
        <v>39</v>
      </c>
      <c r="E14" s="53" t="s">
        <v>233</v>
      </c>
      <c r="F14" s="53" t="s">
        <v>63</v>
      </c>
      <c r="G14" s="53" t="s">
        <v>154</v>
      </c>
      <c r="H14" s="53" t="s">
        <v>234</v>
      </c>
      <c r="I14" s="53" t="s">
        <v>234</v>
      </c>
      <c r="J14" s="53">
        <v>1</v>
      </c>
      <c r="R14" s="3" t="s">
        <v>69</v>
      </c>
      <c r="S14" s="19">
        <f t="shared" si="0"/>
        <v>0</v>
      </c>
      <c r="T14" s="20">
        <f t="shared" si="1"/>
        <v>0</v>
      </c>
      <c r="U14" s="20">
        <f t="shared" si="2"/>
        <v>0</v>
      </c>
      <c r="V14" s="20">
        <f t="shared" si="3"/>
        <v>0</v>
      </c>
      <c r="W14" s="54" t="b">
        <v>0</v>
      </c>
      <c r="Y14" s="24" t="str">
        <f t="shared" si="8"/>
        <v/>
      </c>
      <c r="Z14" s="24" t="str">
        <f t="shared" si="9"/>
        <v/>
      </c>
      <c r="AA14" s="24" t="str">
        <f t="shared" si="10"/>
        <v>5M/WW</v>
      </c>
      <c r="AC14" s="3" t="s">
        <v>69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0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39</v>
      </c>
      <c r="D15" s="53" t="s">
        <v>34</v>
      </c>
      <c r="E15" s="53" t="s">
        <v>238</v>
      </c>
      <c r="F15" s="53" t="s">
        <v>46</v>
      </c>
      <c r="G15" s="53" t="s">
        <v>172</v>
      </c>
      <c r="H15" s="53">
        <v>1</v>
      </c>
      <c r="I15" s="53">
        <v>1</v>
      </c>
      <c r="J15" s="53">
        <v>1</v>
      </c>
      <c r="R15" s="3" t="s">
        <v>72</v>
      </c>
      <c r="S15" s="19">
        <f t="shared" si="0"/>
        <v>1</v>
      </c>
      <c r="T15" s="20">
        <f t="shared" si="1"/>
        <v>0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/>
      </c>
      <c r="Z15" s="24" t="str">
        <f t="shared" si="9"/>
        <v>WW/5M</v>
      </c>
      <c r="AA15" s="24" t="str">
        <f t="shared" si="10"/>
        <v/>
      </c>
      <c r="AC15" s="3" t="s">
        <v>72</v>
      </c>
      <c r="AD15" s="40">
        <f>COUNTIFS($F$4:$F$33, $AC15, $G$4:$G$33, "Finish", $D$4:$D$33, "Wet Willies")</f>
        <v>0</v>
      </c>
      <c r="AE15" s="40">
        <f>COUNTIFS($F$4:$F$33, $AC15, $G$4:$G$33, "Midrange", $D$4:$D$33, "Wet Willies")</f>
        <v>0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>
        <v>7</v>
      </c>
      <c r="C16" s="53" t="s">
        <v>39</v>
      </c>
      <c r="D16" s="53" t="s">
        <v>57</v>
      </c>
      <c r="E16" s="53" t="s">
        <v>233</v>
      </c>
      <c r="F16" s="53" t="s">
        <v>51</v>
      </c>
      <c r="G16" s="53" t="s">
        <v>123</v>
      </c>
      <c r="H16" s="53" t="s">
        <v>234</v>
      </c>
      <c r="I16" s="53" t="s">
        <v>234</v>
      </c>
      <c r="J16" s="53">
        <v>1</v>
      </c>
      <c r="R16" s="3" t="s">
        <v>76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>WW/LG</v>
      </c>
      <c r="AA16" s="24" t="str">
        <f t="shared" si="10"/>
        <v/>
      </c>
      <c r="AC16" s="3" t="s">
        <v>76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>
        <v>7</v>
      </c>
      <c r="C17" s="53" t="s">
        <v>39</v>
      </c>
      <c r="D17" s="53" t="s">
        <v>57</v>
      </c>
      <c r="E17" s="53" t="s">
        <v>235</v>
      </c>
      <c r="F17" s="53" t="s">
        <v>51</v>
      </c>
      <c r="G17" s="53" t="s">
        <v>123</v>
      </c>
      <c r="H17" s="53">
        <v>2</v>
      </c>
      <c r="I17" s="53">
        <v>1</v>
      </c>
      <c r="J17" s="53">
        <v>2</v>
      </c>
      <c r="R17" s="3" t="s">
        <v>79</v>
      </c>
      <c r="S17" s="19">
        <f t="shared" si="0"/>
        <v>0</v>
      </c>
      <c r="T17" s="20">
        <f t="shared" si="1"/>
        <v>0</v>
      </c>
      <c r="U17" s="20">
        <f t="shared" si="2"/>
        <v>0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>WW/LG</v>
      </c>
      <c r="AA17" s="24" t="str">
        <f t="shared" si="10"/>
        <v/>
      </c>
      <c r="AC17" s="3" t="s">
        <v>79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>
        <v>8</v>
      </c>
      <c r="C18" s="53" t="s">
        <v>39</v>
      </c>
      <c r="D18" s="53" t="s">
        <v>34</v>
      </c>
      <c r="E18" s="53" t="s">
        <v>233</v>
      </c>
      <c r="F18" s="53" t="s">
        <v>44</v>
      </c>
      <c r="G18" s="53" t="s">
        <v>154</v>
      </c>
      <c r="H18" s="53" t="s">
        <v>234</v>
      </c>
      <c r="I18" s="53" t="s">
        <v>234</v>
      </c>
      <c r="J18" s="53">
        <v>1</v>
      </c>
      <c r="R18" s="40" t="s">
        <v>148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>WW/5M</v>
      </c>
      <c r="AA18" s="24" t="str">
        <f t="shared" si="10"/>
        <v/>
      </c>
      <c r="AC18" s="40" t="s">
        <v>148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>
        <v>8</v>
      </c>
      <c r="C19" s="53" t="s">
        <v>34</v>
      </c>
      <c r="D19" s="53" t="s">
        <v>39</v>
      </c>
      <c r="E19" s="53" t="s">
        <v>237</v>
      </c>
      <c r="F19" s="53" t="s">
        <v>38</v>
      </c>
      <c r="G19" s="53" t="s">
        <v>154</v>
      </c>
      <c r="H19" s="53" t="s">
        <v>234</v>
      </c>
      <c r="I19" s="53" t="s">
        <v>234</v>
      </c>
      <c r="J19" s="53">
        <v>1</v>
      </c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>5M/WW</v>
      </c>
    </row>
    <row r="20" spans="2:32" ht="14.25" customHeight="1" x14ac:dyDescent="0.45">
      <c r="B20" s="53">
        <v>8</v>
      </c>
      <c r="C20" s="53" t="s">
        <v>39</v>
      </c>
      <c r="D20" s="53" t="s">
        <v>34</v>
      </c>
      <c r="E20" s="53" t="s">
        <v>238</v>
      </c>
      <c r="F20" s="53" t="s">
        <v>46</v>
      </c>
      <c r="G20" s="53" t="s">
        <v>154</v>
      </c>
      <c r="H20" s="53">
        <v>3</v>
      </c>
      <c r="I20" s="53">
        <v>2</v>
      </c>
      <c r="J20" s="53">
        <v>1</v>
      </c>
      <c r="Y20" s="24" t="str">
        <f t="shared" si="8"/>
        <v/>
      </c>
      <c r="Z20" s="24" t="str">
        <f t="shared" si="9"/>
        <v>WW/5M</v>
      </c>
      <c r="AA20" s="24" t="str">
        <f t="shared" si="10"/>
        <v/>
      </c>
    </row>
    <row r="21" spans="2:32" ht="14.25" customHeight="1" x14ac:dyDescent="0.45">
      <c r="B21" s="53">
        <v>9</v>
      </c>
      <c r="C21" s="53" t="s">
        <v>57</v>
      </c>
      <c r="D21" s="53" t="s">
        <v>39</v>
      </c>
      <c r="E21" s="53" t="s">
        <v>235</v>
      </c>
      <c r="F21" s="53" t="s">
        <v>53</v>
      </c>
      <c r="G21" s="53" t="s">
        <v>172</v>
      </c>
      <c r="H21" s="53">
        <v>1</v>
      </c>
      <c r="I21" s="53">
        <v>1</v>
      </c>
      <c r="J21" s="53">
        <v>1</v>
      </c>
      <c r="Y21" s="24" t="str">
        <f t="shared" si="8"/>
        <v>LG/WW</v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>
        <v>10</v>
      </c>
      <c r="C22" s="53" t="s">
        <v>34</v>
      </c>
      <c r="D22" s="53" t="s">
        <v>57</v>
      </c>
      <c r="E22" s="53" t="s">
        <v>233</v>
      </c>
      <c r="F22" s="53" t="s">
        <v>38</v>
      </c>
      <c r="G22" s="53" t="s">
        <v>154</v>
      </c>
      <c r="H22" s="53" t="s">
        <v>234</v>
      </c>
      <c r="I22" s="53" t="s">
        <v>234</v>
      </c>
      <c r="J22" s="53">
        <v>1</v>
      </c>
      <c r="Y22" s="24" t="str">
        <f t="shared" si="8"/>
        <v/>
      </c>
      <c r="Z22" s="24" t="str">
        <f t="shared" si="9"/>
        <v/>
      </c>
      <c r="AA22" s="24" t="str">
        <f t="shared" si="10"/>
        <v>5M/LG</v>
      </c>
    </row>
    <row r="23" spans="2:32" ht="14.25" customHeight="1" x14ac:dyDescent="0.45">
      <c r="B23" s="53">
        <v>10</v>
      </c>
      <c r="C23" s="53" t="s">
        <v>34</v>
      </c>
      <c r="D23" s="53" t="s">
        <v>57</v>
      </c>
      <c r="E23" s="40" t="s">
        <v>235</v>
      </c>
      <c r="F23" s="40" t="s">
        <v>60</v>
      </c>
      <c r="G23" s="40" t="s">
        <v>123</v>
      </c>
      <c r="H23" s="53">
        <v>1</v>
      </c>
      <c r="I23" s="53">
        <v>1</v>
      </c>
      <c r="J23" s="53">
        <v>1</v>
      </c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>5M/LG</v>
      </c>
    </row>
    <row r="24" spans="2:32" ht="14.25" customHeight="1" x14ac:dyDescent="0.45">
      <c r="B24" s="53"/>
      <c r="C24" s="53"/>
      <c r="D24" s="53"/>
      <c r="F24" s="53"/>
      <c r="G24" s="53"/>
      <c r="H24" s="53"/>
      <c r="I24" s="53"/>
      <c r="J24" s="53"/>
      <c r="S24" s="40" t="str">
        <f t="shared" si="11"/>
        <v>0,</v>
      </c>
      <c r="T24" s="40" t="str">
        <f t="shared" si="11"/>
        <v>0,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F25" s="53"/>
      <c r="G25" s="53"/>
      <c r="H25" s="53"/>
      <c r="I25" s="53"/>
      <c r="J25" s="53"/>
      <c r="R25" s="9"/>
      <c r="S25" s="40" t="str">
        <f t="shared" si="11"/>
        <v>6,</v>
      </c>
      <c r="T25" s="40" t="str">
        <f t="shared" si="11"/>
        <v>6,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F26" s="53"/>
      <c r="G26" s="53"/>
      <c r="H26" s="53"/>
      <c r="I26" s="53"/>
      <c r="J26" s="53"/>
      <c r="R26" s="26"/>
      <c r="S26" s="40" t="str">
        <f t="shared" si="11"/>
        <v>1,</v>
      </c>
      <c r="T26" s="40" t="str">
        <f t="shared" si="11"/>
        <v>1,</v>
      </c>
      <c r="U26" s="40" t="str">
        <f t="shared" si="11"/>
        <v>0,</v>
      </c>
      <c r="V26" s="40" t="str">
        <f t="shared" si="11"/>
        <v>0,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F27" s="53"/>
      <c r="G27" s="53"/>
      <c r="H27" s="53"/>
      <c r="I27" s="53"/>
      <c r="J27" s="53"/>
      <c r="S27" s="40" t="str">
        <f t="shared" si="11"/>
        <v>3,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1,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F28" s="53"/>
      <c r="G28" s="53"/>
      <c r="H28" s="53"/>
      <c r="I28" s="53"/>
      <c r="J28" s="53"/>
      <c r="S28" s="40" t="str">
        <f t="shared" si="11"/>
        <v>2,</v>
      </c>
      <c r="T28" s="40" t="str">
        <f t="shared" si="11"/>
        <v>0,</v>
      </c>
      <c r="U28" s="40" t="str">
        <f t="shared" si="11"/>
        <v>2,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5">
      <c r="B29" s="100"/>
      <c r="C29" s="100"/>
      <c r="D29" s="100"/>
      <c r="F29" s="100"/>
      <c r="G29" s="100"/>
      <c r="H29" s="100"/>
      <c r="I29" s="100"/>
      <c r="J29" s="100"/>
      <c r="S29" s="40" t="str">
        <f t="shared" si="11"/>
        <v>4,</v>
      </c>
      <c r="T29" s="40" t="str">
        <f t="shared" si="11"/>
        <v>0,</v>
      </c>
      <c r="U29" s="40" t="str">
        <f t="shared" si="11"/>
        <v>0,</v>
      </c>
      <c r="V29" s="40" t="str">
        <f t="shared" si="11"/>
        <v>2,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F30" s="53"/>
      <c r="G30" s="53"/>
      <c r="H30" s="53"/>
      <c r="I30" s="53"/>
      <c r="J30" s="53"/>
      <c r="S30" s="40" t="str">
        <f t="shared" si="11"/>
        <v>3,</v>
      </c>
      <c r="T30" s="40" t="str">
        <f t="shared" si="11"/>
        <v>0,</v>
      </c>
      <c r="U30" s="40" t="str">
        <f t="shared" si="11"/>
        <v>3,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F31" s="53"/>
      <c r="G31" s="53"/>
      <c r="H31" s="53"/>
      <c r="I31" s="53"/>
      <c r="J31" s="53"/>
      <c r="S31" s="40" t="str">
        <f t="shared" si="11"/>
        <v>1,</v>
      </c>
      <c r="T31" s="40" t="str">
        <f t="shared" si="11"/>
        <v>0,</v>
      </c>
      <c r="U31" s="40" t="str">
        <f t="shared" si="11"/>
        <v>1,</v>
      </c>
      <c r="V31" s="40" t="str">
        <f t="shared" si="11"/>
        <v>0,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1,</v>
      </c>
      <c r="T32" s="40" t="str">
        <f t="shared" si="11"/>
        <v>1,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2,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1,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0,</v>
      </c>
      <c r="T34" s="40" t="str">
        <f t="shared" si="11"/>
        <v>0,</v>
      </c>
      <c r="U34" s="40" t="str">
        <f t="shared" si="11"/>
        <v>0,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1,</v>
      </c>
      <c r="T35" s="40" t="str">
        <f t="shared" si="11"/>
        <v>0,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0,</v>
      </c>
      <c r="T37" s="40" t="str">
        <f t="shared" si="11"/>
        <v>0,</v>
      </c>
      <c r="U37" s="40" t="str">
        <f t="shared" si="11"/>
        <v>0,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43" t="s">
        <v>159</v>
      </c>
      <c r="S41" s="143"/>
      <c r="T41" s="143"/>
      <c r="U41" s="19"/>
      <c r="V41" s="19"/>
    </row>
    <row r="42" spans="2:27" ht="14.25" customHeight="1" x14ac:dyDescent="0.9">
      <c r="R42" s="143"/>
      <c r="S42" s="143"/>
      <c r="T42" s="143"/>
    </row>
    <row r="43" spans="2:27" ht="14.25" customHeight="1" x14ac:dyDescent="0.45">
      <c r="R43" s="40" t="str">
        <f>CHAR(34)&amp;"Date"&amp;CHAR(34)&amp;":["&amp;CHAR(34)&amp;"30-May"&amp;CHAR(34)&amp;"],"</f>
        <v>"Date":["30-May"],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"Points":[0,0,6,1,3,2,4,3,1,1,2,0,1,0,0,0],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"Finishes":[0,0,6,1,1,0,0,0,0,1,0,0,0,0,0,0],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"Midrange":[0,0,0,0,0,2,0,3,1,0,0,0,1,0,0,0],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"ThreePointers":[0,0,0,0,1,0,2,0,0,0,1,0,0,0,0,0]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A718-7CA5-40DA-92F5-3081A4504501}">
  <dimension ref="B1:AF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121</v>
      </c>
      <c r="C2" s="4">
        <v>45077</v>
      </c>
      <c r="L2" s="5" t="s">
        <v>122</v>
      </c>
      <c r="M2" s="5" t="s">
        <v>102</v>
      </c>
      <c r="N2" s="5" t="s">
        <v>103</v>
      </c>
      <c r="O2" s="5" t="s">
        <v>96</v>
      </c>
      <c r="P2" s="5" t="s">
        <v>8</v>
      </c>
      <c r="R2" s="5" t="s">
        <v>97</v>
      </c>
      <c r="S2" s="24" t="s">
        <v>8</v>
      </c>
      <c r="T2" s="3" t="s">
        <v>9</v>
      </c>
      <c r="U2" s="3" t="s">
        <v>123</v>
      </c>
      <c r="V2" s="3" t="s">
        <v>124</v>
      </c>
      <c r="W2" s="40" t="s">
        <v>161</v>
      </c>
      <c r="AC2" s="40" t="s">
        <v>179</v>
      </c>
      <c r="AD2" s="3" t="s">
        <v>9</v>
      </c>
      <c r="AE2" s="3" t="s">
        <v>123</v>
      </c>
      <c r="AF2" s="3" t="s">
        <v>124</v>
      </c>
    </row>
    <row r="3" spans="2:32" ht="14.25" customHeight="1" x14ac:dyDescent="0.45">
      <c r="B3" s="53" t="s">
        <v>125</v>
      </c>
      <c r="C3" s="53" t="s">
        <v>126</v>
      </c>
      <c r="D3" s="53" t="s">
        <v>127</v>
      </c>
      <c r="E3" s="53" t="s">
        <v>232</v>
      </c>
      <c r="F3" s="53" t="s">
        <v>128</v>
      </c>
      <c r="G3" s="53" t="s">
        <v>129</v>
      </c>
      <c r="H3" s="53" t="s">
        <v>130</v>
      </c>
      <c r="I3" s="53" t="s">
        <v>131</v>
      </c>
      <c r="J3" s="53" t="s">
        <v>137</v>
      </c>
      <c r="L3" s="24" t="s">
        <v>132</v>
      </c>
      <c r="M3" s="24">
        <v>4</v>
      </c>
      <c r="N3" s="24">
        <v>5</v>
      </c>
      <c r="O3" s="23">
        <f>M3/(M3+N3)</f>
        <v>0.44444444444444442</v>
      </c>
      <c r="P3" s="24">
        <v>2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132</v>
      </c>
      <c r="Z3" s="5" t="s">
        <v>133</v>
      </c>
      <c r="AA3" s="5" t="s">
        <v>134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34</v>
      </c>
      <c r="D4" s="53" t="s">
        <v>39</v>
      </c>
      <c r="E4" s="53" t="s">
        <v>233</v>
      </c>
      <c r="F4" s="53" t="s">
        <v>38</v>
      </c>
      <c r="G4" s="53" t="s">
        <v>154</v>
      </c>
      <c r="H4" s="53" t="s">
        <v>234</v>
      </c>
      <c r="I4" s="53" t="s">
        <v>234</v>
      </c>
      <c r="J4" s="53">
        <v>1</v>
      </c>
      <c r="L4" s="24" t="s">
        <v>134</v>
      </c>
      <c r="M4" s="24">
        <v>4</v>
      </c>
      <c r="N4" s="24">
        <v>5</v>
      </c>
      <c r="O4" s="23">
        <f t="shared" ref="O4:O5" si="7">M4/(M4+N4)</f>
        <v>0.44444444444444442</v>
      </c>
      <c r="P4" s="24">
        <v>2</v>
      </c>
      <c r="R4" s="3" t="s">
        <v>36</v>
      </c>
      <c r="S4" s="19">
        <f t="shared" si="0"/>
        <v>0</v>
      </c>
      <c r="T4" s="20">
        <f t="shared" si="1"/>
        <v>0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/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>5M/WW</v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45">
      <c r="B5" s="53">
        <v>1</v>
      </c>
      <c r="C5" s="53" t="s">
        <v>39</v>
      </c>
      <c r="D5" s="53" t="s">
        <v>34</v>
      </c>
      <c r="E5" s="53" t="s">
        <v>238</v>
      </c>
      <c r="F5" s="53" t="s">
        <v>46</v>
      </c>
      <c r="G5" s="53" t="s">
        <v>172</v>
      </c>
      <c r="H5" s="53">
        <v>1</v>
      </c>
      <c r="I5" s="53">
        <v>1</v>
      </c>
      <c r="J5" s="53">
        <v>1</v>
      </c>
      <c r="L5" s="24" t="s">
        <v>133</v>
      </c>
      <c r="M5" s="24">
        <v>6</v>
      </c>
      <c r="N5" s="24">
        <v>4</v>
      </c>
      <c r="O5" s="23">
        <f t="shared" si="7"/>
        <v>0.6</v>
      </c>
      <c r="P5" s="24">
        <v>3</v>
      </c>
      <c r="R5" s="3" t="s">
        <v>38</v>
      </c>
      <c r="S5" s="19">
        <f t="shared" si="0"/>
        <v>9</v>
      </c>
      <c r="T5" s="20">
        <f t="shared" si="1"/>
        <v>8</v>
      </c>
      <c r="U5" s="20">
        <f t="shared" si="2"/>
        <v>1</v>
      </c>
      <c r="V5" s="20">
        <f t="shared" si="3"/>
        <v>0</v>
      </c>
      <c r="W5" s="54" t="b">
        <v>0</v>
      </c>
      <c r="Y5" s="24" t="str">
        <f t="shared" si="8"/>
        <v/>
      </c>
      <c r="Z5" s="24" t="str">
        <f t="shared" si="9"/>
        <v>WW/5M</v>
      </c>
      <c r="AA5" s="24" t="str">
        <f t="shared" si="10"/>
        <v/>
      </c>
      <c r="AC5" s="3" t="s">
        <v>38</v>
      </c>
      <c r="AD5" s="40">
        <f t="shared" si="4"/>
        <v>4</v>
      </c>
      <c r="AE5" s="40">
        <f t="shared" si="5"/>
        <v>1</v>
      </c>
      <c r="AF5" s="40">
        <f t="shared" si="6"/>
        <v>0</v>
      </c>
    </row>
    <row r="6" spans="2:32" ht="14.25" customHeight="1" x14ac:dyDescent="0.45">
      <c r="B6" s="53">
        <v>2</v>
      </c>
      <c r="C6" s="53" t="s">
        <v>39</v>
      </c>
      <c r="D6" s="53" t="s">
        <v>57</v>
      </c>
      <c r="E6" s="53" t="s">
        <v>233</v>
      </c>
      <c r="F6" s="53" t="s">
        <v>44</v>
      </c>
      <c r="G6" s="53" t="s">
        <v>154</v>
      </c>
      <c r="H6" s="53" t="s">
        <v>234</v>
      </c>
      <c r="I6" s="53" t="s">
        <v>234</v>
      </c>
      <c r="J6" s="53">
        <v>1</v>
      </c>
      <c r="R6" s="3" t="s">
        <v>44</v>
      </c>
      <c r="S6" s="19">
        <f t="shared" si="0"/>
        <v>3</v>
      </c>
      <c r="T6" s="20">
        <f t="shared" si="1"/>
        <v>3</v>
      </c>
      <c r="U6" s="20">
        <f t="shared" si="2"/>
        <v>0</v>
      </c>
      <c r="V6" s="20">
        <f t="shared" si="3"/>
        <v>0</v>
      </c>
      <c r="W6" s="54" t="b">
        <v>0</v>
      </c>
      <c r="Y6" s="24" t="str">
        <f t="shared" si="8"/>
        <v/>
      </c>
      <c r="Z6" s="24" t="str">
        <f t="shared" si="9"/>
        <v>WW/LG</v>
      </c>
      <c r="AA6" s="24" t="str">
        <f t="shared" si="10"/>
        <v/>
      </c>
      <c r="AC6" s="3" t="s">
        <v>44</v>
      </c>
      <c r="AD6" s="40">
        <f t="shared" si="4"/>
        <v>1</v>
      </c>
      <c r="AE6" s="40">
        <f t="shared" si="5"/>
        <v>0</v>
      </c>
      <c r="AF6" s="40">
        <f t="shared" si="6"/>
        <v>0</v>
      </c>
    </row>
    <row r="7" spans="2:32" ht="14.25" customHeight="1" x14ac:dyDescent="0.45">
      <c r="B7" s="53">
        <v>2</v>
      </c>
      <c r="C7" s="53" t="s">
        <v>39</v>
      </c>
      <c r="D7" s="53" t="s">
        <v>57</v>
      </c>
      <c r="E7" s="53" t="s">
        <v>235</v>
      </c>
      <c r="F7" s="53" t="s">
        <v>51</v>
      </c>
      <c r="G7" s="53" t="s">
        <v>154</v>
      </c>
      <c r="H7" s="53">
        <v>2</v>
      </c>
      <c r="I7" s="53">
        <v>1</v>
      </c>
      <c r="J7" s="53">
        <v>1</v>
      </c>
      <c r="R7" s="3" t="s">
        <v>46</v>
      </c>
      <c r="S7" s="19">
        <f t="shared" si="0"/>
        <v>5</v>
      </c>
      <c r="T7" s="20">
        <f t="shared" si="1"/>
        <v>0</v>
      </c>
      <c r="U7" s="20">
        <f t="shared" si="2"/>
        <v>1</v>
      </c>
      <c r="V7" s="20">
        <f t="shared" si="3"/>
        <v>2</v>
      </c>
      <c r="W7" s="54" t="b">
        <v>0</v>
      </c>
      <c r="Y7" s="24" t="str">
        <f t="shared" si="8"/>
        <v/>
      </c>
      <c r="Z7" s="24" t="str">
        <f t="shared" si="9"/>
        <v>WW/LG</v>
      </c>
      <c r="AA7" s="24" t="str">
        <f t="shared" si="10"/>
        <v/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1</v>
      </c>
    </row>
    <row r="8" spans="2:32" ht="14.25" customHeight="1" x14ac:dyDescent="0.45">
      <c r="B8" s="53">
        <v>3</v>
      </c>
      <c r="C8" s="53" t="s">
        <v>39</v>
      </c>
      <c r="D8" s="53" t="s">
        <v>34</v>
      </c>
      <c r="E8" s="53" t="s">
        <v>233</v>
      </c>
      <c r="F8" s="53" t="s">
        <v>51</v>
      </c>
      <c r="G8" s="53" t="s">
        <v>154</v>
      </c>
      <c r="H8" s="53" t="s">
        <v>234</v>
      </c>
      <c r="I8" s="53" t="s">
        <v>234</v>
      </c>
      <c r="J8" s="53">
        <v>2</v>
      </c>
      <c r="R8" s="3" t="s">
        <v>51</v>
      </c>
      <c r="S8" s="19">
        <f t="shared" si="0"/>
        <v>5</v>
      </c>
      <c r="T8" s="20">
        <f t="shared" si="1"/>
        <v>5</v>
      </c>
      <c r="U8" s="20">
        <f t="shared" si="2"/>
        <v>0</v>
      </c>
      <c r="V8" s="20">
        <f t="shared" si="3"/>
        <v>0</v>
      </c>
      <c r="W8" s="54" t="b">
        <v>0</v>
      </c>
      <c r="Y8" s="24" t="str">
        <f t="shared" si="8"/>
        <v/>
      </c>
      <c r="Z8" s="24" t="str">
        <f t="shared" si="9"/>
        <v>WW/5M</v>
      </c>
      <c r="AA8" s="24" t="str">
        <f t="shared" si="10"/>
        <v/>
      </c>
      <c r="AC8" s="3" t="s">
        <v>51</v>
      </c>
      <c r="AD8" s="40">
        <f t="shared" si="4"/>
        <v>3</v>
      </c>
      <c r="AE8" s="40">
        <f t="shared" si="5"/>
        <v>0</v>
      </c>
      <c r="AF8" s="40">
        <f t="shared" si="6"/>
        <v>0</v>
      </c>
    </row>
    <row r="9" spans="2:32" ht="14.25" customHeight="1" x14ac:dyDescent="0.45">
      <c r="B9" s="53">
        <v>3</v>
      </c>
      <c r="C9" s="53" t="s">
        <v>39</v>
      </c>
      <c r="D9" s="53" t="s">
        <v>34</v>
      </c>
      <c r="E9" s="53" t="s">
        <v>235</v>
      </c>
      <c r="F9" s="53" t="s">
        <v>46</v>
      </c>
      <c r="G9" s="53" t="s">
        <v>123</v>
      </c>
      <c r="H9" s="53">
        <v>3</v>
      </c>
      <c r="I9" s="53">
        <v>2</v>
      </c>
      <c r="J9" s="53">
        <v>1</v>
      </c>
      <c r="R9" s="3" t="s">
        <v>53</v>
      </c>
      <c r="S9" s="19">
        <f t="shared" si="0"/>
        <v>2</v>
      </c>
      <c r="T9" s="20">
        <f t="shared" si="1"/>
        <v>0</v>
      </c>
      <c r="U9" s="20">
        <f t="shared" si="2"/>
        <v>0</v>
      </c>
      <c r="V9" s="20">
        <f t="shared" si="3"/>
        <v>1</v>
      </c>
      <c r="W9" s="54" t="b">
        <v>0</v>
      </c>
      <c r="Y9" s="24" t="str">
        <f t="shared" si="8"/>
        <v/>
      </c>
      <c r="Z9" s="24" t="str">
        <f t="shared" si="9"/>
        <v>WW/5M</v>
      </c>
      <c r="AA9" s="24" t="str">
        <f t="shared" si="10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1</v>
      </c>
    </row>
    <row r="10" spans="2:32" ht="14.25" customHeight="1" x14ac:dyDescent="0.45">
      <c r="B10" s="53">
        <v>4</v>
      </c>
      <c r="C10" s="53" t="s">
        <v>39</v>
      </c>
      <c r="D10" s="53" t="s">
        <v>57</v>
      </c>
      <c r="E10" s="53" t="s">
        <v>233</v>
      </c>
      <c r="F10" s="53" t="s">
        <v>51</v>
      </c>
      <c r="G10" s="53" t="s">
        <v>154</v>
      </c>
      <c r="H10" s="53" t="s">
        <v>234</v>
      </c>
      <c r="I10" s="53" t="s">
        <v>234</v>
      </c>
      <c r="J10" s="53">
        <v>1</v>
      </c>
      <c r="R10" s="3" t="s">
        <v>56</v>
      </c>
      <c r="S10" s="19">
        <f t="shared" si="0"/>
        <v>0</v>
      </c>
      <c r="T10" s="20">
        <f t="shared" si="1"/>
        <v>0</v>
      </c>
      <c r="U10" s="20">
        <f t="shared" si="2"/>
        <v>0</v>
      </c>
      <c r="V10" s="20">
        <f t="shared" si="3"/>
        <v>0</v>
      </c>
      <c r="W10" s="54" t="b">
        <v>0</v>
      </c>
      <c r="Y10" s="24" t="str">
        <f t="shared" si="8"/>
        <v/>
      </c>
      <c r="Z10" s="24" t="str">
        <f t="shared" si="9"/>
        <v>WW/LG</v>
      </c>
      <c r="AA10" s="24" t="str">
        <f t="shared" si="10"/>
        <v/>
      </c>
      <c r="AC10" s="3" t="s">
        <v>56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0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4</v>
      </c>
      <c r="C11" s="53" t="s">
        <v>39</v>
      </c>
      <c r="D11" s="53" t="s">
        <v>57</v>
      </c>
      <c r="E11" s="53" t="s">
        <v>235</v>
      </c>
      <c r="F11" s="53" t="s">
        <v>51</v>
      </c>
      <c r="G11" s="53" t="s">
        <v>154</v>
      </c>
      <c r="H11" s="53">
        <v>4</v>
      </c>
      <c r="I11" s="53">
        <v>2</v>
      </c>
      <c r="J11" s="53">
        <v>2</v>
      </c>
      <c r="R11" s="3" t="s">
        <v>60</v>
      </c>
      <c r="S11" s="19">
        <f t="shared" si="0"/>
        <v>3</v>
      </c>
      <c r="T11" s="20">
        <f t="shared" si="1"/>
        <v>0</v>
      </c>
      <c r="U11" s="20">
        <f t="shared" si="2"/>
        <v>1</v>
      </c>
      <c r="V11" s="20">
        <f t="shared" si="3"/>
        <v>1</v>
      </c>
      <c r="W11" s="54" t="b">
        <v>0</v>
      </c>
      <c r="Y11" s="24" t="str">
        <f t="shared" si="8"/>
        <v/>
      </c>
      <c r="Z11" s="24" t="str">
        <f t="shared" si="9"/>
        <v>WW/LG</v>
      </c>
      <c r="AA11" s="24" t="str">
        <f t="shared" si="10"/>
        <v/>
      </c>
      <c r="AC11" s="3" t="s">
        <v>60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0</v>
      </c>
      <c r="AF11" s="40">
        <f>COUNTIFS($F$4:$F$33, $AC11, $G$4:$G$33, "Three Pointer", $D$4:$D$33, "Loose Gooses")</f>
        <v>1</v>
      </c>
    </row>
    <row r="12" spans="2:32" ht="14.25" customHeight="1" x14ac:dyDescent="0.45">
      <c r="B12" s="53">
        <v>5</v>
      </c>
      <c r="C12" s="53" t="s">
        <v>39</v>
      </c>
      <c r="D12" s="53" t="s">
        <v>34</v>
      </c>
      <c r="E12" s="53" t="s">
        <v>233</v>
      </c>
      <c r="F12" s="53" t="s">
        <v>51</v>
      </c>
      <c r="G12" s="53" t="s">
        <v>154</v>
      </c>
      <c r="H12" s="53" t="s">
        <v>234</v>
      </c>
      <c r="I12" s="53" t="s">
        <v>234</v>
      </c>
      <c r="J12" s="53">
        <v>3</v>
      </c>
      <c r="R12" s="3" t="s">
        <v>63</v>
      </c>
      <c r="S12" s="19">
        <f t="shared" si="0"/>
        <v>0</v>
      </c>
      <c r="T12" s="20">
        <f t="shared" si="1"/>
        <v>0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/>
      </c>
      <c r="Z12" s="24" t="str">
        <f t="shared" si="9"/>
        <v>WW/5M</v>
      </c>
      <c r="AA12" s="24" t="str">
        <f t="shared" si="10"/>
        <v/>
      </c>
      <c r="AC12" s="3" t="s">
        <v>63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45">
      <c r="B13" s="53">
        <v>5</v>
      </c>
      <c r="C13" s="53" t="s">
        <v>39</v>
      </c>
      <c r="D13" s="53" t="s">
        <v>34</v>
      </c>
      <c r="E13" s="53" t="s">
        <v>235</v>
      </c>
      <c r="F13" s="53" t="s">
        <v>44</v>
      </c>
      <c r="G13" s="53" t="s">
        <v>154</v>
      </c>
      <c r="H13" s="53">
        <v>5</v>
      </c>
      <c r="I13" s="53">
        <v>3</v>
      </c>
      <c r="J13" s="53">
        <v>1</v>
      </c>
      <c r="R13" s="3" t="s">
        <v>66</v>
      </c>
      <c r="S13" s="19">
        <f t="shared" si="0"/>
        <v>0</v>
      </c>
      <c r="T13" s="20">
        <f t="shared" si="1"/>
        <v>0</v>
      </c>
      <c r="U13" s="20">
        <f t="shared" si="2"/>
        <v>0</v>
      </c>
      <c r="V13" s="20">
        <f t="shared" si="3"/>
        <v>0</v>
      </c>
      <c r="W13" s="54" t="b">
        <v>0</v>
      </c>
      <c r="Y13" s="24" t="str">
        <f t="shared" si="8"/>
        <v/>
      </c>
      <c r="Z13" s="24" t="str">
        <f t="shared" si="9"/>
        <v>WW/5M</v>
      </c>
      <c r="AA13" s="24" t="str">
        <f t="shared" si="10"/>
        <v/>
      </c>
      <c r="AC13" s="3" t="s">
        <v>66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45">
      <c r="B14" s="53">
        <v>6</v>
      </c>
      <c r="C14" s="53" t="s">
        <v>57</v>
      </c>
      <c r="D14" s="53" t="s">
        <v>39</v>
      </c>
      <c r="E14" s="53" t="s">
        <v>233</v>
      </c>
      <c r="F14" s="53" t="s">
        <v>69</v>
      </c>
      <c r="G14" s="53" t="s">
        <v>123</v>
      </c>
      <c r="H14" s="53" t="s">
        <v>234</v>
      </c>
      <c r="I14" s="53" t="s">
        <v>234</v>
      </c>
      <c r="J14" s="53">
        <v>1</v>
      </c>
      <c r="R14" s="3" t="s">
        <v>69</v>
      </c>
      <c r="S14" s="19">
        <f t="shared" si="0"/>
        <v>2</v>
      </c>
      <c r="T14" s="20">
        <f t="shared" si="1"/>
        <v>0</v>
      </c>
      <c r="U14" s="20">
        <f t="shared" si="2"/>
        <v>2</v>
      </c>
      <c r="V14" s="20">
        <f t="shared" si="3"/>
        <v>0</v>
      </c>
      <c r="W14" s="54" t="b">
        <v>0</v>
      </c>
      <c r="Y14" s="24" t="str">
        <f t="shared" si="8"/>
        <v>LG/WW</v>
      </c>
      <c r="Z14" s="24" t="str">
        <f t="shared" si="9"/>
        <v/>
      </c>
      <c r="AA14" s="24" t="str">
        <f t="shared" si="10"/>
        <v/>
      </c>
      <c r="AC14" s="3" t="s">
        <v>69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1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57</v>
      </c>
      <c r="D15" s="53" t="s">
        <v>39</v>
      </c>
      <c r="E15" s="53" t="s">
        <v>235</v>
      </c>
      <c r="F15" s="53" t="s">
        <v>72</v>
      </c>
      <c r="G15" s="53" t="s">
        <v>123</v>
      </c>
      <c r="H15" s="53">
        <v>1</v>
      </c>
      <c r="I15" s="53">
        <v>1</v>
      </c>
      <c r="J15" s="53">
        <v>1</v>
      </c>
      <c r="R15" s="3" t="s">
        <v>72</v>
      </c>
      <c r="S15" s="19">
        <f t="shared" si="0"/>
        <v>1</v>
      </c>
      <c r="T15" s="20">
        <f t="shared" si="1"/>
        <v>0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>LG/WW</v>
      </c>
      <c r="Z15" s="24" t="str">
        <f t="shared" si="9"/>
        <v/>
      </c>
      <c r="AA15" s="24" t="str">
        <f t="shared" si="10"/>
        <v/>
      </c>
      <c r="AC15" s="3" t="s">
        <v>72</v>
      </c>
      <c r="AD15" s="40">
        <f>COUNTIFS($F$4:$F$33, $AC15, $G$4:$G$33, "Finish", $D$4:$D$33, "Wet Willies")</f>
        <v>0</v>
      </c>
      <c r="AE15" s="40">
        <f>COUNTIFS($F$4:$F$33, $AC15, $G$4:$G$33, "Midrange", $D$4:$D$33, "Wet Willies")</f>
        <v>1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>
        <v>7</v>
      </c>
      <c r="C16" s="53" t="s">
        <v>34</v>
      </c>
      <c r="D16" s="53" t="s">
        <v>57</v>
      </c>
      <c r="E16" s="53" t="s">
        <v>233</v>
      </c>
      <c r="F16" s="53" t="s">
        <v>38</v>
      </c>
      <c r="G16" s="53" t="s">
        <v>154</v>
      </c>
      <c r="H16" s="53" t="s">
        <v>234</v>
      </c>
      <c r="I16" s="53" t="s">
        <v>234</v>
      </c>
      <c r="J16" s="53">
        <v>1</v>
      </c>
      <c r="R16" s="3" t="s">
        <v>76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/>
      </c>
      <c r="AA16" s="24" t="str">
        <f t="shared" si="10"/>
        <v>5M/LG</v>
      </c>
      <c r="AC16" s="3" t="s">
        <v>76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>
        <v>7</v>
      </c>
      <c r="C17" s="53" t="s">
        <v>57</v>
      </c>
      <c r="D17" s="53" t="s">
        <v>34</v>
      </c>
      <c r="E17" s="53" t="s">
        <v>238</v>
      </c>
      <c r="F17" s="53" t="s">
        <v>79</v>
      </c>
      <c r="G17" s="53" t="s">
        <v>172</v>
      </c>
      <c r="H17" s="53">
        <v>2</v>
      </c>
      <c r="I17" s="53">
        <v>4</v>
      </c>
      <c r="J17" s="53">
        <v>1</v>
      </c>
      <c r="R17" s="3" t="s">
        <v>79</v>
      </c>
      <c r="S17" s="19">
        <f t="shared" si="0"/>
        <v>3</v>
      </c>
      <c r="T17" s="20">
        <f t="shared" si="1"/>
        <v>0</v>
      </c>
      <c r="U17" s="20">
        <f t="shared" si="2"/>
        <v>1</v>
      </c>
      <c r="V17" s="20">
        <f t="shared" si="3"/>
        <v>1</v>
      </c>
      <c r="W17" s="54" t="b">
        <v>0</v>
      </c>
      <c r="Y17" s="24" t="str">
        <f t="shared" si="8"/>
        <v>LG/5M</v>
      </c>
      <c r="Z17" s="24" t="str">
        <f t="shared" si="9"/>
        <v/>
      </c>
      <c r="AA17" s="24" t="str">
        <f t="shared" si="10"/>
        <v/>
      </c>
      <c r="AC17" s="3" t="s">
        <v>79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>
        <v>8</v>
      </c>
      <c r="C18" s="53" t="s">
        <v>57</v>
      </c>
      <c r="D18" s="53" t="s">
        <v>39</v>
      </c>
      <c r="E18" s="53" t="s">
        <v>235</v>
      </c>
      <c r="F18" s="53" t="s">
        <v>53</v>
      </c>
      <c r="G18" s="53" t="s">
        <v>172</v>
      </c>
      <c r="H18" s="53">
        <v>3</v>
      </c>
      <c r="I18" s="53">
        <v>2</v>
      </c>
      <c r="J18" s="53">
        <v>1</v>
      </c>
      <c r="R18" s="40" t="s">
        <v>148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>LG/WW</v>
      </c>
      <c r="Z18" s="24" t="str">
        <f t="shared" si="9"/>
        <v/>
      </c>
      <c r="AA18" s="24" t="str">
        <f t="shared" si="10"/>
        <v/>
      </c>
      <c r="AC18" s="40" t="s">
        <v>148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>
        <v>9</v>
      </c>
      <c r="C19" s="53" t="s">
        <v>34</v>
      </c>
      <c r="D19" s="53" t="s">
        <v>57</v>
      </c>
      <c r="E19" s="53" t="s">
        <v>233</v>
      </c>
      <c r="F19" s="53" t="s">
        <v>38</v>
      </c>
      <c r="G19" s="53" t="s">
        <v>154</v>
      </c>
      <c r="H19" s="53" t="s">
        <v>234</v>
      </c>
      <c r="I19" s="53" t="s">
        <v>234</v>
      </c>
      <c r="J19" s="53">
        <v>1</v>
      </c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>5M/LG</v>
      </c>
    </row>
    <row r="20" spans="2:32" ht="14.25" customHeight="1" x14ac:dyDescent="0.45">
      <c r="B20" s="53">
        <v>9</v>
      </c>
      <c r="C20" s="53" t="s">
        <v>34</v>
      </c>
      <c r="D20" s="53" t="s">
        <v>57</v>
      </c>
      <c r="E20" s="53" t="s">
        <v>236</v>
      </c>
      <c r="F20" s="53" t="s">
        <v>60</v>
      </c>
      <c r="G20" s="53" t="s">
        <v>172</v>
      </c>
      <c r="H20" s="53">
        <v>1</v>
      </c>
      <c r="I20" s="53">
        <v>1</v>
      </c>
      <c r="J20" s="53">
        <v>1</v>
      </c>
      <c r="Y20" s="24" t="str">
        <f t="shared" si="8"/>
        <v/>
      </c>
      <c r="Z20" s="24" t="str">
        <f t="shared" si="9"/>
        <v/>
      </c>
      <c r="AA20" s="24" t="str">
        <f t="shared" si="10"/>
        <v>5M/LG</v>
      </c>
    </row>
    <row r="21" spans="2:32" ht="14.25" customHeight="1" x14ac:dyDescent="0.45">
      <c r="B21" s="53">
        <v>10</v>
      </c>
      <c r="C21" s="53" t="s">
        <v>34</v>
      </c>
      <c r="D21" s="53" t="s">
        <v>39</v>
      </c>
      <c r="E21" s="53" t="s">
        <v>233</v>
      </c>
      <c r="F21" s="53" t="s">
        <v>60</v>
      </c>
      <c r="G21" s="53" t="s">
        <v>123</v>
      </c>
      <c r="H21" s="53" t="s">
        <v>234</v>
      </c>
      <c r="I21" s="53" t="s">
        <v>234</v>
      </c>
      <c r="J21" s="53">
        <v>2</v>
      </c>
      <c r="Y21" s="24" t="str">
        <f t="shared" si="8"/>
        <v/>
      </c>
      <c r="Z21" s="24" t="str">
        <f t="shared" si="9"/>
        <v/>
      </c>
      <c r="AA21" s="24" t="str">
        <f t="shared" si="10"/>
        <v>5M/WW</v>
      </c>
    </row>
    <row r="22" spans="2:32" ht="14.25" customHeight="1" x14ac:dyDescent="0.45">
      <c r="B22" s="53">
        <v>10</v>
      </c>
      <c r="C22" s="53" t="s">
        <v>34</v>
      </c>
      <c r="D22" s="53" t="s">
        <v>39</v>
      </c>
      <c r="E22" s="53" t="s">
        <v>235</v>
      </c>
      <c r="F22" s="53" t="s">
        <v>38</v>
      </c>
      <c r="G22" s="53" t="s">
        <v>154</v>
      </c>
      <c r="H22" s="53">
        <v>2</v>
      </c>
      <c r="I22" s="53">
        <v>3</v>
      </c>
      <c r="J22" s="53">
        <v>1</v>
      </c>
      <c r="Y22" s="24" t="str">
        <f t="shared" si="8"/>
        <v/>
      </c>
      <c r="Z22" s="24" t="str">
        <f t="shared" si="9"/>
        <v/>
      </c>
      <c r="AA22" s="24" t="str">
        <f t="shared" si="10"/>
        <v>5M/WW</v>
      </c>
    </row>
    <row r="23" spans="2:32" ht="14.25" customHeight="1" x14ac:dyDescent="0.45">
      <c r="B23" s="53">
        <v>11</v>
      </c>
      <c r="C23" s="53" t="s">
        <v>34</v>
      </c>
      <c r="D23" s="53" t="s">
        <v>57</v>
      </c>
      <c r="E23" s="53" t="s">
        <v>233</v>
      </c>
      <c r="F23" s="53" t="s">
        <v>38</v>
      </c>
      <c r="G23" s="53" t="s">
        <v>154</v>
      </c>
      <c r="H23" s="53" t="s">
        <v>234</v>
      </c>
      <c r="I23" s="53" t="s">
        <v>234</v>
      </c>
      <c r="J23" s="53">
        <v>2</v>
      </c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>5M/LG</v>
      </c>
    </row>
    <row r="24" spans="2:32" ht="14.25" customHeight="1" x14ac:dyDescent="0.45">
      <c r="B24" s="53">
        <v>11</v>
      </c>
      <c r="C24" s="53" t="s">
        <v>34</v>
      </c>
      <c r="D24" s="53" t="s">
        <v>57</v>
      </c>
      <c r="E24" s="53" t="s">
        <v>235</v>
      </c>
      <c r="F24" s="53" t="s">
        <v>38</v>
      </c>
      <c r="G24" s="53" t="s">
        <v>154</v>
      </c>
      <c r="H24" s="53">
        <v>3</v>
      </c>
      <c r="I24" s="53">
        <v>2</v>
      </c>
      <c r="J24" s="53">
        <v>3</v>
      </c>
      <c r="S24" s="40" t="str">
        <f t="shared" si="11"/>
        <v>0,</v>
      </c>
      <c r="T24" s="40" t="str">
        <f t="shared" si="11"/>
        <v>0,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>5M/LG</v>
      </c>
    </row>
    <row r="25" spans="2:32" ht="14.25" customHeight="1" x14ac:dyDescent="0.45">
      <c r="B25" s="53">
        <v>12</v>
      </c>
      <c r="C25" s="53" t="s">
        <v>39</v>
      </c>
      <c r="D25" s="53" t="s">
        <v>34</v>
      </c>
      <c r="E25" s="53" t="s">
        <v>233</v>
      </c>
      <c r="F25" s="53" t="s">
        <v>44</v>
      </c>
      <c r="G25" s="53" t="s">
        <v>154</v>
      </c>
      <c r="H25" s="53" t="s">
        <v>234</v>
      </c>
      <c r="I25" s="53" t="s">
        <v>234</v>
      </c>
      <c r="J25" s="53">
        <v>1</v>
      </c>
      <c r="R25" s="9"/>
      <c r="S25" s="40" t="str">
        <f t="shared" si="11"/>
        <v>9,</v>
      </c>
      <c r="T25" s="40" t="str">
        <f t="shared" si="11"/>
        <v>8,</v>
      </c>
      <c r="U25" s="40" t="str">
        <f t="shared" si="11"/>
        <v>1,</v>
      </c>
      <c r="V25" s="40" t="str">
        <f t="shared" si="11"/>
        <v>0,</v>
      </c>
      <c r="Y25" s="24" t="str">
        <f t="shared" si="8"/>
        <v/>
      </c>
      <c r="Z25" s="24" t="str">
        <f t="shared" si="9"/>
        <v>WW/5M</v>
      </c>
      <c r="AA25" s="24" t="str">
        <f t="shared" si="10"/>
        <v/>
      </c>
    </row>
    <row r="26" spans="2:32" ht="14.25" customHeight="1" x14ac:dyDescent="0.45">
      <c r="B26" s="53">
        <v>12</v>
      </c>
      <c r="C26" s="53" t="s">
        <v>34</v>
      </c>
      <c r="D26" s="53" t="s">
        <v>39</v>
      </c>
      <c r="E26" s="53" t="s">
        <v>237</v>
      </c>
      <c r="F26" s="53" t="s">
        <v>38</v>
      </c>
      <c r="G26" s="53" t="s">
        <v>154</v>
      </c>
      <c r="H26" s="53" t="s">
        <v>234</v>
      </c>
      <c r="I26" s="53" t="s">
        <v>234</v>
      </c>
      <c r="J26" s="53">
        <v>1</v>
      </c>
      <c r="R26" s="26"/>
      <c r="S26" s="40" t="str">
        <f t="shared" si="11"/>
        <v>3,</v>
      </c>
      <c r="T26" s="40" t="str">
        <f t="shared" si="11"/>
        <v>3,</v>
      </c>
      <c r="U26" s="40" t="str">
        <f t="shared" si="11"/>
        <v>0,</v>
      </c>
      <c r="V26" s="40" t="str">
        <f t="shared" si="11"/>
        <v>0,</v>
      </c>
      <c r="Y26" s="24" t="str">
        <f t="shared" si="8"/>
        <v/>
      </c>
      <c r="Z26" s="24" t="str">
        <f t="shared" si="9"/>
        <v/>
      </c>
      <c r="AA26" s="24" t="str">
        <f t="shared" si="10"/>
        <v>5M/WW</v>
      </c>
    </row>
    <row r="27" spans="2:32" ht="14.25" customHeight="1" x14ac:dyDescent="0.45">
      <c r="B27" s="53">
        <v>12</v>
      </c>
      <c r="C27" s="53" t="s">
        <v>34</v>
      </c>
      <c r="D27" s="53" t="s">
        <v>39</v>
      </c>
      <c r="E27" s="53" t="s">
        <v>238</v>
      </c>
      <c r="F27" s="53" t="s">
        <v>38</v>
      </c>
      <c r="G27" s="53" t="s">
        <v>154</v>
      </c>
      <c r="H27" s="53">
        <v>4</v>
      </c>
      <c r="I27" s="53">
        <v>4</v>
      </c>
      <c r="J27" s="53">
        <v>2</v>
      </c>
      <c r="S27" s="40" t="str">
        <f t="shared" si="11"/>
        <v>5,</v>
      </c>
      <c r="T27" s="40" t="str">
        <f t="shared" si="11"/>
        <v>0,</v>
      </c>
      <c r="U27" s="40" t="str">
        <f t="shared" si="11"/>
        <v>1,</v>
      </c>
      <c r="V27" s="40" t="str">
        <f t="shared" si="11"/>
        <v>2,</v>
      </c>
      <c r="Y27" s="24" t="str">
        <f t="shared" si="8"/>
        <v/>
      </c>
      <c r="Z27" s="24" t="str">
        <f t="shared" si="9"/>
        <v/>
      </c>
      <c r="AA27" s="24" t="str">
        <f t="shared" si="10"/>
        <v>5M/WW</v>
      </c>
    </row>
    <row r="28" spans="2:32" ht="14.25" customHeight="1" x14ac:dyDescent="0.45">
      <c r="B28" s="53">
        <v>13</v>
      </c>
      <c r="C28" s="53" t="s">
        <v>57</v>
      </c>
      <c r="D28" s="53" t="s">
        <v>34</v>
      </c>
      <c r="E28" s="53" t="s">
        <v>233</v>
      </c>
      <c r="F28" s="53" t="s">
        <v>79</v>
      </c>
      <c r="G28" s="53" t="s">
        <v>123</v>
      </c>
      <c r="H28" s="53" t="s">
        <v>234</v>
      </c>
      <c r="I28" s="53" t="s">
        <v>234</v>
      </c>
      <c r="J28" s="53">
        <v>1</v>
      </c>
      <c r="S28" s="40" t="str">
        <f t="shared" si="11"/>
        <v>5,</v>
      </c>
      <c r="T28" s="40" t="str">
        <f t="shared" si="11"/>
        <v>5,</v>
      </c>
      <c r="U28" s="40" t="str">
        <f t="shared" si="11"/>
        <v>0,</v>
      </c>
      <c r="V28" s="40" t="str">
        <f t="shared" si="11"/>
        <v>0,</v>
      </c>
      <c r="Y28" s="24" t="str">
        <f t="shared" si="8"/>
        <v>LG/5M</v>
      </c>
      <c r="Z28" s="24" t="str">
        <f t="shared" si="9"/>
        <v/>
      </c>
      <c r="AA28" s="24" t="str">
        <f t="shared" si="10"/>
        <v/>
      </c>
    </row>
    <row r="29" spans="2:32" ht="14.25" customHeight="1" x14ac:dyDescent="0.45">
      <c r="B29" s="53">
        <v>13</v>
      </c>
      <c r="C29" s="53" t="s">
        <v>34</v>
      </c>
      <c r="D29" s="53" t="s">
        <v>57</v>
      </c>
      <c r="E29" s="53" t="s">
        <v>237</v>
      </c>
      <c r="F29" s="53" t="s">
        <v>38</v>
      </c>
      <c r="G29" s="53" t="s">
        <v>123</v>
      </c>
      <c r="H29" s="53" t="s">
        <v>234</v>
      </c>
      <c r="I29" s="53" t="s">
        <v>234</v>
      </c>
      <c r="J29" s="53">
        <v>1</v>
      </c>
      <c r="S29" s="40" t="str">
        <f t="shared" si="11"/>
        <v>2,</v>
      </c>
      <c r="T29" s="40" t="str">
        <f t="shared" si="11"/>
        <v>0,</v>
      </c>
      <c r="U29" s="40" t="str">
        <f t="shared" si="11"/>
        <v>0,</v>
      </c>
      <c r="V29" s="40" t="str">
        <f t="shared" si="11"/>
        <v>1,</v>
      </c>
      <c r="Y29" s="24" t="str">
        <f t="shared" si="8"/>
        <v/>
      </c>
      <c r="Z29" s="24" t="str">
        <f t="shared" si="9"/>
        <v/>
      </c>
      <c r="AA29" s="24" t="str">
        <f t="shared" si="10"/>
        <v>5M/LG</v>
      </c>
    </row>
    <row r="30" spans="2:32" ht="14.25" customHeight="1" x14ac:dyDescent="0.45">
      <c r="B30" s="53">
        <v>13</v>
      </c>
      <c r="C30" s="53" t="s">
        <v>57</v>
      </c>
      <c r="D30" s="53" t="s">
        <v>34</v>
      </c>
      <c r="E30" s="53" t="s">
        <v>238</v>
      </c>
      <c r="F30" s="53" t="s">
        <v>69</v>
      </c>
      <c r="G30" s="53" t="s">
        <v>123</v>
      </c>
      <c r="H30" s="53">
        <v>1</v>
      </c>
      <c r="I30" s="53">
        <v>1</v>
      </c>
      <c r="J30" s="53">
        <v>1</v>
      </c>
      <c r="S30" s="40" t="str">
        <f t="shared" si="11"/>
        <v>0,</v>
      </c>
      <c r="T30" s="40" t="str">
        <f t="shared" si="11"/>
        <v>0,</v>
      </c>
      <c r="U30" s="40" t="str">
        <f t="shared" si="11"/>
        <v>0,</v>
      </c>
      <c r="V30" s="40" t="str">
        <f t="shared" si="11"/>
        <v>0,</v>
      </c>
      <c r="Y30" s="24" t="str">
        <f t="shared" si="8"/>
        <v>LG/5M</v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>
        <v>14</v>
      </c>
      <c r="C31" s="53" t="s">
        <v>39</v>
      </c>
      <c r="D31" s="53" t="s">
        <v>57</v>
      </c>
      <c r="E31" s="53" t="s">
        <v>235</v>
      </c>
      <c r="F31" s="53" t="s">
        <v>46</v>
      </c>
      <c r="G31" s="53" t="s">
        <v>172</v>
      </c>
      <c r="H31" s="53">
        <v>1</v>
      </c>
      <c r="I31" s="53">
        <v>1</v>
      </c>
      <c r="J31" s="53">
        <v>1</v>
      </c>
      <c r="S31" s="40" t="str">
        <f t="shared" si="11"/>
        <v>3,</v>
      </c>
      <c r="T31" s="40" t="str">
        <f t="shared" si="11"/>
        <v>0,</v>
      </c>
      <c r="U31" s="40" t="str">
        <f t="shared" si="11"/>
        <v>1,</v>
      </c>
      <c r="V31" s="40" t="str">
        <f t="shared" si="11"/>
        <v>1,</v>
      </c>
      <c r="Y31" s="24" t="str">
        <f t="shared" si="8"/>
        <v/>
      </c>
      <c r="Z31" s="24" t="str">
        <f t="shared" si="9"/>
        <v>WW/LG</v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0,</v>
      </c>
      <c r="T32" s="40" t="str">
        <f t="shared" si="11"/>
        <v>0,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0,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0,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2,</v>
      </c>
      <c r="T34" s="40" t="str">
        <f t="shared" si="11"/>
        <v>0,</v>
      </c>
      <c r="U34" s="40" t="str">
        <f t="shared" si="11"/>
        <v>2,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1,</v>
      </c>
      <c r="T35" s="40" t="str">
        <f t="shared" si="11"/>
        <v>0,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3,</v>
      </c>
      <c r="T37" s="40" t="str">
        <f t="shared" si="11"/>
        <v>0,</v>
      </c>
      <c r="U37" s="40" t="str">
        <f t="shared" si="11"/>
        <v>1,</v>
      </c>
      <c r="V37" s="40" t="str">
        <f t="shared" si="11"/>
        <v>1,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56" t="s">
        <v>159</v>
      </c>
      <c r="S41" s="156"/>
      <c r="T41" s="156"/>
      <c r="U41" s="19"/>
      <c r="V41" s="19"/>
    </row>
    <row r="42" spans="2:27" ht="14.25" customHeight="1" x14ac:dyDescent="0.9">
      <c r="R42" s="156"/>
      <c r="S42" s="156"/>
      <c r="T42" s="156"/>
    </row>
    <row r="43" spans="2:27" ht="14.25" customHeight="1" x14ac:dyDescent="0.45">
      <c r="R43" s="40" t="str">
        <f>CHAR(34)&amp;"Date"&amp;CHAR(34)&amp;":["&amp;CHAR(34)&amp;"31-May"&amp;CHAR(34)&amp;"],"</f>
        <v>"Date":["31-May"],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"Points":[0,0,9,3,5,5,2,0,3,0,0,2,1,0,3,0],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"Finishes":[0,0,8,3,0,5,0,0,0,0,0,0,0,0,0,0],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"Midrange":[0,0,1,0,1,0,0,0,1,0,0,2,1,0,1,0],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"ThreePointers":[0,0,0,0,2,0,1,0,1,0,0,0,0,0,1,0]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4FBF-9058-4291-82E2-BDCF7CED0A60}">
  <dimension ref="B1:AF1000"/>
  <sheetViews>
    <sheetView topLeftCell="J22" workbookViewId="0">
      <selection activeCell="R43" sqref="R43:R47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121</v>
      </c>
      <c r="C2" s="4">
        <v>45078</v>
      </c>
      <c r="L2" s="5" t="s">
        <v>122</v>
      </c>
      <c r="M2" s="5" t="s">
        <v>102</v>
      </c>
      <c r="N2" s="5" t="s">
        <v>103</v>
      </c>
      <c r="O2" s="5" t="s">
        <v>96</v>
      </c>
      <c r="P2" s="5" t="s">
        <v>8</v>
      </c>
      <c r="R2" s="5" t="s">
        <v>97</v>
      </c>
      <c r="S2" s="24" t="s">
        <v>8</v>
      </c>
      <c r="T2" s="3" t="s">
        <v>9</v>
      </c>
      <c r="U2" s="3" t="s">
        <v>123</v>
      </c>
      <c r="V2" s="3" t="s">
        <v>124</v>
      </c>
      <c r="W2" s="40" t="s">
        <v>161</v>
      </c>
      <c r="AC2" s="40" t="s">
        <v>179</v>
      </c>
      <c r="AD2" s="3" t="s">
        <v>9</v>
      </c>
      <c r="AE2" s="3" t="s">
        <v>123</v>
      </c>
      <c r="AF2" s="3" t="s">
        <v>124</v>
      </c>
    </row>
    <row r="3" spans="2:32" ht="14.25" customHeight="1" x14ac:dyDescent="0.45">
      <c r="B3" s="53" t="s">
        <v>125</v>
      </c>
      <c r="C3" s="53" t="s">
        <v>126</v>
      </c>
      <c r="D3" s="53" t="s">
        <v>127</v>
      </c>
      <c r="E3" s="53" t="s">
        <v>232</v>
      </c>
      <c r="F3" s="53" t="s">
        <v>128</v>
      </c>
      <c r="G3" s="53" t="s">
        <v>129</v>
      </c>
      <c r="H3" s="53" t="s">
        <v>130</v>
      </c>
      <c r="I3" s="53" t="s">
        <v>131</v>
      </c>
      <c r="J3" s="53" t="s">
        <v>137</v>
      </c>
      <c r="L3" s="24" t="s">
        <v>132</v>
      </c>
      <c r="M3" s="24">
        <v>4</v>
      </c>
      <c r="N3" s="24">
        <v>3</v>
      </c>
      <c r="O3" s="23">
        <f>M3/(M3+N3)</f>
        <v>0.5714285714285714</v>
      </c>
      <c r="P3" s="24">
        <v>2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132</v>
      </c>
      <c r="Z3" s="5" t="s">
        <v>133</v>
      </c>
      <c r="AA3" s="5" t="s">
        <v>134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57</v>
      </c>
      <c r="D4" s="53" t="s">
        <v>39</v>
      </c>
      <c r="E4" s="53" t="s">
        <v>233</v>
      </c>
      <c r="F4" s="53" t="s">
        <v>72</v>
      </c>
      <c r="G4" s="53" t="s">
        <v>123</v>
      </c>
      <c r="H4" s="53" t="s">
        <v>234</v>
      </c>
      <c r="I4" s="53" t="s">
        <v>234</v>
      </c>
      <c r="J4" s="53">
        <v>1</v>
      </c>
      <c r="L4" s="24" t="s">
        <v>134</v>
      </c>
      <c r="M4" s="24">
        <v>4</v>
      </c>
      <c r="N4" s="24">
        <v>3</v>
      </c>
      <c r="O4" s="23">
        <f t="shared" ref="O4:O5" si="7">M4/(M4+N4)</f>
        <v>0.5714285714285714</v>
      </c>
      <c r="P4" s="24">
        <v>2</v>
      </c>
      <c r="R4" s="3" t="s">
        <v>36</v>
      </c>
      <c r="S4" s="19">
        <f t="shared" si="0"/>
        <v>0</v>
      </c>
      <c r="T4" s="20">
        <f t="shared" si="1"/>
        <v>0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LG/WW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45">
      <c r="B5" s="53">
        <v>1</v>
      </c>
      <c r="C5" s="53" t="s">
        <v>57</v>
      </c>
      <c r="D5" s="53" t="s">
        <v>39</v>
      </c>
      <c r="E5" s="53" t="s">
        <v>235</v>
      </c>
      <c r="F5" s="53" t="s">
        <v>69</v>
      </c>
      <c r="G5" s="53" t="s">
        <v>123</v>
      </c>
      <c r="H5" s="53">
        <v>1</v>
      </c>
      <c r="I5" s="53">
        <v>1</v>
      </c>
      <c r="J5" s="53">
        <v>1</v>
      </c>
      <c r="L5" s="24" t="s">
        <v>133</v>
      </c>
      <c r="M5" s="24">
        <v>2</v>
      </c>
      <c r="N5" s="24">
        <v>4</v>
      </c>
      <c r="O5" s="23">
        <f t="shared" si="7"/>
        <v>0.33333333333333331</v>
      </c>
      <c r="P5" s="24">
        <v>1</v>
      </c>
      <c r="R5" s="3" t="s">
        <v>38</v>
      </c>
      <c r="S5" s="19">
        <f t="shared" si="0"/>
        <v>3</v>
      </c>
      <c r="T5" s="20">
        <f t="shared" si="1"/>
        <v>3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LG/WW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2</v>
      </c>
      <c r="AE5" s="40">
        <f t="shared" si="5"/>
        <v>0</v>
      </c>
      <c r="AF5" s="40">
        <f t="shared" si="6"/>
        <v>0</v>
      </c>
    </row>
    <row r="6" spans="2:32" ht="14.25" customHeight="1" x14ac:dyDescent="0.45">
      <c r="B6" s="53">
        <v>2</v>
      </c>
      <c r="C6" s="53" t="s">
        <v>34</v>
      </c>
      <c r="D6" s="53" t="s">
        <v>57</v>
      </c>
      <c r="E6" s="53" t="s">
        <v>233</v>
      </c>
      <c r="F6" s="53" t="s">
        <v>38</v>
      </c>
      <c r="G6" s="53" t="s">
        <v>154</v>
      </c>
      <c r="H6" s="53" t="s">
        <v>234</v>
      </c>
      <c r="I6" s="53" t="s">
        <v>234</v>
      </c>
      <c r="J6" s="53">
        <v>1</v>
      </c>
      <c r="R6" s="3" t="s">
        <v>44</v>
      </c>
      <c r="S6" s="19">
        <f t="shared" si="0"/>
        <v>3</v>
      </c>
      <c r="T6" s="20">
        <f t="shared" si="1"/>
        <v>3</v>
      </c>
      <c r="U6" s="20">
        <f t="shared" si="2"/>
        <v>0</v>
      </c>
      <c r="V6" s="20">
        <f t="shared" si="3"/>
        <v>0</v>
      </c>
      <c r="W6" s="54" t="b">
        <v>0</v>
      </c>
      <c r="Y6" s="24" t="str">
        <f t="shared" si="8"/>
        <v/>
      </c>
      <c r="Z6" s="24" t="str">
        <f t="shared" si="9"/>
        <v/>
      </c>
      <c r="AA6" s="24" t="str">
        <f t="shared" si="10"/>
        <v>5M/LG</v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45">
      <c r="B7" s="53">
        <v>2</v>
      </c>
      <c r="C7" s="53" t="s">
        <v>34</v>
      </c>
      <c r="D7" s="53" t="s">
        <v>57</v>
      </c>
      <c r="E7" s="53" t="s">
        <v>235</v>
      </c>
      <c r="F7" s="53" t="s">
        <v>60</v>
      </c>
      <c r="G7" s="53" t="s">
        <v>123</v>
      </c>
      <c r="H7" s="53">
        <v>1</v>
      </c>
      <c r="I7" s="53">
        <v>1</v>
      </c>
      <c r="J7" s="53">
        <v>1</v>
      </c>
      <c r="R7" s="3" t="s">
        <v>46</v>
      </c>
      <c r="S7" s="19">
        <f t="shared" si="0"/>
        <v>1</v>
      </c>
      <c r="T7" s="20">
        <f t="shared" si="1"/>
        <v>1</v>
      </c>
      <c r="U7" s="20">
        <f t="shared" si="2"/>
        <v>0</v>
      </c>
      <c r="V7" s="20">
        <f t="shared" si="3"/>
        <v>0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1</v>
      </c>
      <c r="AE7" s="40">
        <f t="shared" si="5"/>
        <v>0</v>
      </c>
      <c r="AF7" s="40">
        <f t="shared" si="6"/>
        <v>0</v>
      </c>
    </row>
    <row r="8" spans="2:32" ht="14.25" customHeight="1" x14ac:dyDescent="0.45">
      <c r="B8" s="53">
        <v>3</v>
      </c>
      <c r="C8" s="53" t="s">
        <v>34</v>
      </c>
      <c r="D8" s="53" t="s">
        <v>39</v>
      </c>
      <c r="E8" s="53" t="s">
        <v>235</v>
      </c>
      <c r="F8" s="53" t="s">
        <v>60</v>
      </c>
      <c r="G8" s="53" t="s">
        <v>172</v>
      </c>
      <c r="H8" s="53">
        <v>2</v>
      </c>
      <c r="I8" s="53">
        <v>2</v>
      </c>
      <c r="J8" s="53">
        <v>2</v>
      </c>
      <c r="R8" s="3" t="s">
        <v>51</v>
      </c>
      <c r="S8" s="19">
        <f t="shared" si="0"/>
        <v>1</v>
      </c>
      <c r="T8" s="20">
        <f t="shared" si="1"/>
        <v>0</v>
      </c>
      <c r="U8" s="20">
        <f t="shared" si="2"/>
        <v>1</v>
      </c>
      <c r="V8" s="20">
        <f t="shared" si="3"/>
        <v>0</v>
      </c>
      <c r="W8" s="54" t="b">
        <v>0</v>
      </c>
      <c r="Y8" s="24" t="str">
        <f t="shared" si="8"/>
        <v/>
      </c>
      <c r="Z8" s="24" t="str">
        <f t="shared" si="9"/>
        <v/>
      </c>
      <c r="AA8" s="24" t="str">
        <f t="shared" si="10"/>
        <v>5M/WW</v>
      </c>
      <c r="AC8" s="3" t="s">
        <v>51</v>
      </c>
      <c r="AD8" s="40">
        <f t="shared" si="4"/>
        <v>0</v>
      </c>
      <c r="AE8" s="40">
        <f t="shared" si="5"/>
        <v>1</v>
      </c>
      <c r="AF8" s="40">
        <f t="shared" si="6"/>
        <v>0</v>
      </c>
    </row>
    <row r="9" spans="2:32" ht="14.25" customHeight="1" x14ac:dyDescent="0.45">
      <c r="B9" s="53">
        <v>4</v>
      </c>
      <c r="C9" s="53" t="s">
        <v>57</v>
      </c>
      <c r="D9" s="53" t="s">
        <v>34</v>
      </c>
      <c r="E9" s="53" t="s">
        <v>233</v>
      </c>
      <c r="F9" s="53" t="s">
        <v>72</v>
      </c>
      <c r="G9" s="53" t="s">
        <v>123</v>
      </c>
      <c r="H9" s="53" t="s">
        <v>234</v>
      </c>
      <c r="I9" s="53" t="s">
        <v>234</v>
      </c>
      <c r="J9" s="53">
        <v>1</v>
      </c>
      <c r="R9" s="3" t="s">
        <v>53</v>
      </c>
      <c r="S9" s="19">
        <f t="shared" si="0"/>
        <v>0</v>
      </c>
      <c r="T9" s="20">
        <f t="shared" si="1"/>
        <v>0</v>
      </c>
      <c r="U9" s="20">
        <f t="shared" si="2"/>
        <v>0</v>
      </c>
      <c r="V9" s="20">
        <f t="shared" si="3"/>
        <v>0</v>
      </c>
      <c r="W9" s="54" t="b">
        <v>0</v>
      </c>
      <c r="Y9" s="24" t="str">
        <f t="shared" si="8"/>
        <v>LG/5M</v>
      </c>
      <c r="Z9" s="24" t="str">
        <f t="shared" si="9"/>
        <v/>
      </c>
      <c r="AA9" s="24" t="str">
        <f t="shared" si="10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0</v>
      </c>
    </row>
    <row r="10" spans="2:32" ht="14.25" customHeight="1" x14ac:dyDescent="0.45">
      <c r="B10" s="53">
        <v>4</v>
      </c>
      <c r="C10" s="53" t="s">
        <v>34</v>
      </c>
      <c r="D10" s="53" t="s">
        <v>57</v>
      </c>
      <c r="E10" s="53" t="s">
        <v>238</v>
      </c>
      <c r="F10" s="53" t="s">
        <v>63</v>
      </c>
      <c r="G10" s="53" t="s">
        <v>172</v>
      </c>
      <c r="H10" s="53">
        <v>3</v>
      </c>
      <c r="I10" s="53">
        <v>2</v>
      </c>
      <c r="J10" s="53">
        <v>1</v>
      </c>
      <c r="R10" s="3" t="s">
        <v>56</v>
      </c>
      <c r="S10" s="19">
        <f t="shared" si="0"/>
        <v>1</v>
      </c>
      <c r="T10" s="20">
        <f t="shared" si="1"/>
        <v>1</v>
      </c>
      <c r="U10" s="20">
        <f t="shared" si="2"/>
        <v>0</v>
      </c>
      <c r="V10" s="20">
        <f t="shared" si="3"/>
        <v>0</v>
      </c>
      <c r="W10" s="54" t="b">
        <v>0</v>
      </c>
      <c r="Y10" s="24" t="str">
        <f t="shared" si="8"/>
        <v/>
      </c>
      <c r="Z10" s="24" t="str">
        <f t="shared" si="9"/>
        <v/>
      </c>
      <c r="AA10" s="24" t="str">
        <f t="shared" si="10"/>
        <v>5M/LG</v>
      </c>
      <c r="AC10" s="3" t="s">
        <v>56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0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5</v>
      </c>
      <c r="C11" s="53" t="s">
        <v>39</v>
      </c>
      <c r="D11" s="53" t="s">
        <v>34</v>
      </c>
      <c r="E11" s="53" t="s">
        <v>233</v>
      </c>
      <c r="F11" s="53" t="s">
        <v>44</v>
      </c>
      <c r="G11" s="53" t="s">
        <v>154</v>
      </c>
      <c r="H11" s="53" t="s">
        <v>234</v>
      </c>
      <c r="I11" s="53" t="s">
        <v>234</v>
      </c>
      <c r="J11" s="53">
        <v>1</v>
      </c>
      <c r="R11" s="3" t="s">
        <v>60</v>
      </c>
      <c r="S11" s="19">
        <f t="shared" si="0"/>
        <v>5</v>
      </c>
      <c r="T11" s="20">
        <f t="shared" si="1"/>
        <v>0</v>
      </c>
      <c r="U11" s="20">
        <f t="shared" si="2"/>
        <v>1</v>
      </c>
      <c r="V11" s="20">
        <f t="shared" si="3"/>
        <v>2</v>
      </c>
      <c r="W11" s="54" t="b">
        <v>0</v>
      </c>
      <c r="Y11" s="24" t="str">
        <f t="shared" si="8"/>
        <v/>
      </c>
      <c r="Z11" s="24" t="str">
        <f t="shared" si="9"/>
        <v>WW/5M</v>
      </c>
      <c r="AA11" s="24" t="str">
        <f t="shared" si="10"/>
        <v/>
      </c>
      <c r="AC11" s="3" t="s">
        <v>60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1</v>
      </c>
      <c r="AF11" s="40">
        <f>COUNTIFS($F$4:$F$33, $AC11, $G$4:$G$33, "Three Pointer", $D$4:$D$33, "Loose Gooses")</f>
        <v>0</v>
      </c>
    </row>
    <row r="12" spans="2:32" ht="14.25" customHeight="1" x14ac:dyDescent="0.45">
      <c r="B12" s="53">
        <v>5</v>
      </c>
      <c r="C12" s="53" t="s">
        <v>34</v>
      </c>
      <c r="D12" s="53" t="s">
        <v>39</v>
      </c>
      <c r="E12" s="53" t="s">
        <v>238</v>
      </c>
      <c r="F12" s="53" t="s">
        <v>60</v>
      </c>
      <c r="G12" s="53" t="s">
        <v>172</v>
      </c>
      <c r="H12" s="53">
        <v>4</v>
      </c>
      <c r="I12" s="53">
        <v>3</v>
      </c>
      <c r="J12" s="53">
        <v>1</v>
      </c>
      <c r="R12" s="3" t="s">
        <v>63</v>
      </c>
      <c r="S12" s="19">
        <f t="shared" si="0"/>
        <v>2</v>
      </c>
      <c r="T12" s="20">
        <f t="shared" si="1"/>
        <v>0</v>
      </c>
      <c r="U12" s="20">
        <f t="shared" si="2"/>
        <v>0</v>
      </c>
      <c r="V12" s="20">
        <f t="shared" si="3"/>
        <v>1</v>
      </c>
      <c r="W12" s="54" t="b">
        <v>0</v>
      </c>
      <c r="Y12" s="24" t="str">
        <f t="shared" si="8"/>
        <v/>
      </c>
      <c r="Z12" s="24" t="str">
        <f t="shared" si="9"/>
        <v/>
      </c>
      <c r="AA12" s="24" t="str">
        <f t="shared" si="10"/>
        <v>5M/WW</v>
      </c>
      <c r="AC12" s="3" t="s">
        <v>63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1</v>
      </c>
    </row>
    <row r="13" spans="2:32" ht="14.25" customHeight="1" x14ac:dyDescent="0.45">
      <c r="B13" s="53">
        <v>6</v>
      </c>
      <c r="C13" s="53" t="s">
        <v>57</v>
      </c>
      <c r="D13" s="53" t="s">
        <v>34</v>
      </c>
      <c r="E13" s="53" t="s">
        <v>233</v>
      </c>
      <c r="F13" s="53" t="s">
        <v>56</v>
      </c>
      <c r="G13" s="53" t="s">
        <v>154</v>
      </c>
      <c r="H13" s="53" t="s">
        <v>234</v>
      </c>
      <c r="I13" s="53" t="s">
        <v>234</v>
      </c>
      <c r="J13" s="53">
        <v>1</v>
      </c>
      <c r="R13" s="3" t="s">
        <v>66</v>
      </c>
      <c r="S13" s="19">
        <f t="shared" si="0"/>
        <v>0</v>
      </c>
      <c r="T13" s="20">
        <f t="shared" si="1"/>
        <v>0</v>
      </c>
      <c r="U13" s="20">
        <f t="shared" si="2"/>
        <v>0</v>
      </c>
      <c r="V13" s="20">
        <f t="shared" si="3"/>
        <v>0</v>
      </c>
      <c r="W13" s="54" t="b">
        <v>1</v>
      </c>
      <c r="Y13" s="24" t="str">
        <f t="shared" si="8"/>
        <v>LG/5M</v>
      </c>
      <c r="Z13" s="24" t="str">
        <f t="shared" si="9"/>
        <v/>
      </c>
      <c r="AA13" s="24" t="str">
        <f t="shared" si="10"/>
        <v/>
      </c>
      <c r="AC13" s="3" t="s">
        <v>66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45">
      <c r="B14" s="53">
        <v>6</v>
      </c>
      <c r="C14" s="53" t="s">
        <v>57</v>
      </c>
      <c r="D14" s="53" t="s">
        <v>34</v>
      </c>
      <c r="E14" s="53" t="s">
        <v>235</v>
      </c>
      <c r="F14" s="53" t="s">
        <v>148</v>
      </c>
      <c r="G14" s="53" t="s">
        <v>123</v>
      </c>
      <c r="H14" s="53">
        <v>1</v>
      </c>
      <c r="I14" s="53">
        <v>1</v>
      </c>
      <c r="J14" s="53">
        <v>1</v>
      </c>
      <c r="R14" s="3" t="s">
        <v>69</v>
      </c>
      <c r="S14" s="19">
        <f t="shared" si="0"/>
        <v>2</v>
      </c>
      <c r="T14" s="20">
        <f t="shared" si="1"/>
        <v>0</v>
      </c>
      <c r="U14" s="20">
        <f t="shared" si="2"/>
        <v>2</v>
      </c>
      <c r="V14" s="20">
        <f t="shared" si="3"/>
        <v>0</v>
      </c>
      <c r="W14" s="54" t="b">
        <v>0</v>
      </c>
      <c r="Y14" s="24" t="str">
        <f t="shared" si="8"/>
        <v>LG/5M</v>
      </c>
      <c r="Z14" s="24" t="str">
        <f t="shared" si="9"/>
        <v/>
      </c>
      <c r="AA14" s="24" t="str">
        <f t="shared" si="10"/>
        <v/>
      </c>
      <c r="AC14" s="3" t="s">
        <v>69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2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7</v>
      </c>
      <c r="C15" s="53" t="s">
        <v>39</v>
      </c>
      <c r="D15" s="53" t="s">
        <v>57</v>
      </c>
      <c r="E15" s="53" t="s">
        <v>233</v>
      </c>
      <c r="F15" s="53" t="s">
        <v>46</v>
      </c>
      <c r="G15" s="53" t="s">
        <v>154</v>
      </c>
      <c r="H15" s="53" t="s">
        <v>234</v>
      </c>
      <c r="I15" s="53" t="s">
        <v>234</v>
      </c>
      <c r="J15" s="53">
        <v>1</v>
      </c>
      <c r="R15" s="3" t="s">
        <v>72</v>
      </c>
      <c r="S15" s="19">
        <f t="shared" si="0"/>
        <v>4</v>
      </c>
      <c r="T15" s="20">
        <f t="shared" si="1"/>
        <v>1</v>
      </c>
      <c r="U15" s="20">
        <f t="shared" si="2"/>
        <v>3</v>
      </c>
      <c r="V15" s="20">
        <f t="shared" si="3"/>
        <v>0</v>
      </c>
      <c r="W15" s="54" t="b">
        <v>0</v>
      </c>
      <c r="Y15" s="24" t="str">
        <f t="shared" si="8"/>
        <v/>
      </c>
      <c r="Z15" s="24" t="str">
        <f t="shared" si="9"/>
        <v>WW/LG</v>
      </c>
      <c r="AA15" s="24" t="str">
        <f t="shared" si="10"/>
        <v/>
      </c>
      <c r="AC15" s="3" t="s">
        <v>72</v>
      </c>
      <c r="AD15" s="40">
        <f>COUNTIFS($F$4:$F$33, $AC15, $G$4:$G$33, "Finish", $D$4:$D$33, "Wet Willies")</f>
        <v>0</v>
      </c>
      <c r="AE15" s="40">
        <f>COUNTIFS($F$4:$F$33, $AC15, $G$4:$G$33, "Midrange", $D$4:$D$33, "Wet Willies")</f>
        <v>2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>
        <v>7</v>
      </c>
      <c r="C16" s="53" t="s">
        <v>39</v>
      </c>
      <c r="D16" s="53" t="s">
        <v>57</v>
      </c>
      <c r="E16" s="53" t="s">
        <v>235</v>
      </c>
      <c r="F16" s="53" t="s">
        <v>51</v>
      </c>
      <c r="G16" s="53" t="s">
        <v>123</v>
      </c>
      <c r="H16" s="53">
        <v>1</v>
      </c>
      <c r="I16" s="53">
        <v>1</v>
      </c>
      <c r="J16" s="53">
        <v>1</v>
      </c>
      <c r="R16" s="3" t="s">
        <v>76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>WW/LG</v>
      </c>
      <c r="AA16" s="24" t="str">
        <f t="shared" si="10"/>
        <v/>
      </c>
      <c r="AC16" s="3" t="s">
        <v>76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>
        <v>8</v>
      </c>
      <c r="C17" s="53" t="s">
        <v>39</v>
      </c>
      <c r="D17" s="53" t="s">
        <v>34</v>
      </c>
      <c r="E17" s="53" t="s">
        <v>233</v>
      </c>
      <c r="F17" s="53" t="s">
        <v>44</v>
      </c>
      <c r="G17" s="53" t="s">
        <v>154</v>
      </c>
      <c r="H17" s="53" t="s">
        <v>234</v>
      </c>
      <c r="I17" s="53" t="s">
        <v>234</v>
      </c>
      <c r="J17" s="53">
        <v>1</v>
      </c>
      <c r="R17" s="3" t="s">
        <v>79</v>
      </c>
      <c r="S17" s="19">
        <f t="shared" si="0"/>
        <v>1</v>
      </c>
      <c r="T17" s="20">
        <f t="shared" si="1"/>
        <v>0</v>
      </c>
      <c r="U17" s="20">
        <f t="shared" si="2"/>
        <v>1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>WW/5M</v>
      </c>
      <c r="AA17" s="24" t="str">
        <f t="shared" si="10"/>
        <v/>
      </c>
      <c r="AC17" s="3" t="s">
        <v>79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>
        <v>8</v>
      </c>
      <c r="C18" s="53" t="s">
        <v>34</v>
      </c>
      <c r="D18" s="53" t="s">
        <v>39</v>
      </c>
      <c r="E18" s="53" t="s">
        <v>237</v>
      </c>
      <c r="F18" s="53" t="s">
        <v>38</v>
      </c>
      <c r="G18" s="53" t="s">
        <v>154</v>
      </c>
      <c r="H18" s="53" t="s">
        <v>234</v>
      </c>
      <c r="I18" s="53" t="s">
        <v>234</v>
      </c>
      <c r="J18" s="53">
        <v>1</v>
      </c>
      <c r="R18" s="40" t="s">
        <v>148</v>
      </c>
      <c r="S18" s="42">
        <f t="shared" si="0"/>
        <v>1</v>
      </c>
      <c r="T18" s="20">
        <f t="shared" si="1"/>
        <v>0</v>
      </c>
      <c r="U18" s="20">
        <f t="shared" si="2"/>
        <v>1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/>
      </c>
      <c r="AA18" s="24" t="str">
        <f t="shared" si="10"/>
        <v>5M/WW</v>
      </c>
      <c r="AC18" s="40" t="s">
        <v>148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>
        <v>8</v>
      </c>
      <c r="C19" s="53" t="s">
        <v>39</v>
      </c>
      <c r="D19" s="53" t="s">
        <v>34</v>
      </c>
      <c r="E19" s="53" t="s">
        <v>238</v>
      </c>
      <c r="F19" s="53" t="s">
        <v>44</v>
      </c>
      <c r="G19" s="53" t="s">
        <v>154</v>
      </c>
      <c r="H19" s="53">
        <v>2</v>
      </c>
      <c r="I19" s="53">
        <v>2</v>
      </c>
      <c r="J19" s="53">
        <v>1</v>
      </c>
      <c r="T19" s="20"/>
      <c r="U19" s="20"/>
      <c r="V19" s="20"/>
      <c r="Y19" s="24" t="str">
        <f t="shared" si="8"/>
        <v/>
      </c>
      <c r="Z19" s="24" t="str">
        <f t="shared" si="9"/>
        <v>WW/5M</v>
      </c>
      <c r="AA19" s="24" t="str">
        <f t="shared" si="10"/>
        <v/>
      </c>
    </row>
    <row r="20" spans="2:32" ht="14.25" customHeight="1" x14ac:dyDescent="0.45">
      <c r="B20" s="53">
        <v>9</v>
      </c>
      <c r="C20" s="53" t="s">
        <v>57</v>
      </c>
      <c r="D20" s="53" t="s">
        <v>39</v>
      </c>
      <c r="E20" s="53" t="s">
        <v>233</v>
      </c>
      <c r="F20" s="53" t="s">
        <v>72</v>
      </c>
      <c r="G20" s="53" t="s">
        <v>123</v>
      </c>
      <c r="H20" s="53" t="s">
        <v>234</v>
      </c>
      <c r="I20" s="53" t="s">
        <v>234</v>
      </c>
      <c r="J20" s="53">
        <v>1</v>
      </c>
      <c r="Y20" s="24" t="str">
        <f t="shared" si="8"/>
        <v>LG/WW</v>
      </c>
      <c r="Z20" s="24" t="str">
        <f t="shared" si="9"/>
        <v/>
      </c>
      <c r="AA20" s="24" t="str">
        <f t="shared" si="10"/>
        <v/>
      </c>
    </row>
    <row r="21" spans="2:32" ht="14.25" customHeight="1" x14ac:dyDescent="0.45">
      <c r="B21" s="53">
        <v>9</v>
      </c>
      <c r="C21" s="53" t="s">
        <v>57</v>
      </c>
      <c r="D21" s="53" t="s">
        <v>39</v>
      </c>
      <c r="E21" s="53" t="s">
        <v>235</v>
      </c>
      <c r="F21" s="53" t="s">
        <v>69</v>
      </c>
      <c r="G21" s="53" t="s">
        <v>123</v>
      </c>
      <c r="H21" s="53">
        <v>1</v>
      </c>
      <c r="I21" s="53">
        <v>1</v>
      </c>
      <c r="J21" s="53">
        <v>1</v>
      </c>
      <c r="Y21" s="24" t="str">
        <f t="shared" si="8"/>
        <v>LG/WW</v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>
        <v>10</v>
      </c>
      <c r="C22" s="53" t="s">
        <v>34</v>
      </c>
      <c r="D22" s="53" t="s">
        <v>57</v>
      </c>
      <c r="E22" s="53" t="s">
        <v>233</v>
      </c>
      <c r="F22" s="53" t="s">
        <v>38</v>
      </c>
      <c r="G22" s="53" t="s">
        <v>154</v>
      </c>
      <c r="H22" s="53" t="s">
        <v>234</v>
      </c>
      <c r="I22" s="53" t="s">
        <v>234</v>
      </c>
      <c r="J22" s="53">
        <v>1</v>
      </c>
      <c r="Y22" s="24" t="str">
        <f t="shared" si="8"/>
        <v/>
      </c>
      <c r="Z22" s="24" t="str">
        <f t="shared" si="9"/>
        <v/>
      </c>
      <c r="AA22" s="24" t="str">
        <f t="shared" si="10"/>
        <v>5M/LG</v>
      </c>
    </row>
    <row r="23" spans="2:32" ht="14.25" customHeight="1" x14ac:dyDescent="0.45">
      <c r="B23" s="53">
        <v>10</v>
      </c>
      <c r="C23" s="53" t="s">
        <v>57</v>
      </c>
      <c r="D23" s="53" t="s">
        <v>34</v>
      </c>
      <c r="E23" s="53" t="s">
        <v>237</v>
      </c>
      <c r="F23" s="53" t="s">
        <v>79</v>
      </c>
      <c r="G23" s="53" t="s">
        <v>123</v>
      </c>
      <c r="H23" s="53" t="s">
        <v>234</v>
      </c>
      <c r="I23" s="53" t="s">
        <v>234</v>
      </c>
      <c r="J23" s="53">
        <v>1</v>
      </c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>LG/5M</v>
      </c>
      <c r="Z23" s="24" t="str">
        <f t="shared" si="9"/>
        <v/>
      </c>
      <c r="AA23" s="24" t="str">
        <f t="shared" si="10"/>
        <v/>
      </c>
    </row>
    <row r="24" spans="2:32" ht="14.25" customHeight="1" x14ac:dyDescent="0.45">
      <c r="B24" s="53">
        <v>10</v>
      </c>
      <c r="C24" s="53" t="s">
        <v>57</v>
      </c>
      <c r="D24" s="53" t="s">
        <v>34</v>
      </c>
      <c r="E24" s="53" t="s">
        <v>238</v>
      </c>
      <c r="F24" s="53" t="s">
        <v>72</v>
      </c>
      <c r="G24" s="53" t="s">
        <v>154</v>
      </c>
      <c r="H24" s="53">
        <v>2</v>
      </c>
      <c r="I24" s="53">
        <v>3</v>
      </c>
      <c r="J24" s="53">
        <v>1</v>
      </c>
      <c r="S24" s="40" t="str">
        <f t="shared" si="11"/>
        <v>0,</v>
      </c>
      <c r="T24" s="40" t="str">
        <f t="shared" si="11"/>
        <v>0,</v>
      </c>
      <c r="U24" s="40" t="str">
        <f t="shared" si="11"/>
        <v>0,</v>
      </c>
      <c r="V24" s="40" t="str">
        <f t="shared" si="11"/>
        <v>0,</v>
      </c>
      <c r="Y24" s="24" t="str">
        <f t="shared" si="8"/>
        <v>LG/5M</v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E25" s="53"/>
      <c r="F25" s="53"/>
      <c r="G25" s="53"/>
      <c r="H25" s="53"/>
      <c r="I25" s="53"/>
      <c r="J25" s="53"/>
      <c r="R25" s="9"/>
      <c r="S25" s="40" t="str">
        <f t="shared" si="11"/>
        <v>3,</v>
      </c>
      <c r="T25" s="40" t="str">
        <f t="shared" si="11"/>
        <v>3,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E26" s="53"/>
      <c r="F26" s="53"/>
      <c r="G26" s="53"/>
      <c r="H26" s="53"/>
      <c r="I26" s="53"/>
      <c r="J26" s="53"/>
      <c r="R26" s="26"/>
      <c r="S26" s="40" t="str">
        <f t="shared" si="11"/>
        <v>3,</v>
      </c>
      <c r="T26" s="40" t="str">
        <f t="shared" si="11"/>
        <v>3,</v>
      </c>
      <c r="U26" s="40" t="str">
        <f t="shared" si="11"/>
        <v>0,</v>
      </c>
      <c r="V26" s="40" t="str">
        <f t="shared" si="11"/>
        <v>0,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E27" s="53"/>
      <c r="F27" s="53"/>
      <c r="G27" s="53"/>
      <c r="H27" s="53"/>
      <c r="I27" s="53"/>
      <c r="J27" s="53"/>
      <c r="S27" s="40" t="str">
        <f t="shared" si="11"/>
        <v>1,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0,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E28" s="53"/>
      <c r="F28" s="53"/>
      <c r="G28" s="53"/>
      <c r="H28" s="53"/>
      <c r="I28" s="53"/>
      <c r="J28" s="53"/>
      <c r="S28" s="40" t="str">
        <f t="shared" si="11"/>
        <v>1,</v>
      </c>
      <c r="T28" s="40" t="str">
        <f t="shared" si="11"/>
        <v>0,</v>
      </c>
      <c r="U28" s="40" t="str">
        <f t="shared" si="11"/>
        <v>1,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45">
      <c r="B29" s="53"/>
      <c r="C29" s="53"/>
      <c r="D29" s="53"/>
      <c r="E29" s="53"/>
      <c r="F29" s="53"/>
      <c r="G29" s="53"/>
      <c r="H29" s="53"/>
      <c r="I29" s="53"/>
      <c r="J29" s="53"/>
      <c r="S29" s="40" t="str">
        <f t="shared" si="11"/>
        <v>0,</v>
      </c>
      <c r="T29" s="40" t="str">
        <f t="shared" si="11"/>
        <v>0,</v>
      </c>
      <c r="U29" s="40" t="str">
        <f t="shared" si="11"/>
        <v>0,</v>
      </c>
      <c r="V29" s="40" t="str">
        <f t="shared" si="11"/>
        <v>0,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E30" s="53"/>
      <c r="F30" s="53"/>
      <c r="G30" s="53"/>
      <c r="H30" s="53"/>
      <c r="I30" s="53"/>
      <c r="J30" s="53"/>
      <c r="S30" s="40" t="str">
        <f t="shared" si="11"/>
        <v>1,</v>
      </c>
      <c r="T30" s="40" t="str">
        <f t="shared" si="11"/>
        <v>1,</v>
      </c>
      <c r="U30" s="40" t="str">
        <f t="shared" si="11"/>
        <v>0,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E31" s="53"/>
      <c r="F31" s="53"/>
      <c r="G31" s="53"/>
      <c r="H31" s="53"/>
      <c r="I31" s="53"/>
      <c r="J31" s="53"/>
      <c r="S31" s="40" t="str">
        <f t="shared" si="11"/>
        <v>5,</v>
      </c>
      <c r="T31" s="40" t="str">
        <f t="shared" si="11"/>
        <v>0,</v>
      </c>
      <c r="U31" s="40" t="str">
        <f t="shared" si="11"/>
        <v>1,</v>
      </c>
      <c r="V31" s="40" t="str">
        <f t="shared" si="11"/>
        <v>2,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2,</v>
      </c>
      <c r="T32" s="40" t="str">
        <f t="shared" si="11"/>
        <v>0,</v>
      </c>
      <c r="U32" s="40" t="str">
        <f t="shared" si="11"/>
        <v>0,</v>
      </c>
      <c r="V32" s="40" t="str">
        <f t="shared" si="11"/>
        <v>1,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"Did not Play",</v>
      </c>
      <c r="T33" s="40" t="str">
        <f t="shared" si="11"/>
        <v>"Did not Play",</v>
      </c>
      <c r="U33" s="40" t="str">
        <f t="shared" si="11"/>
        <v>"Did not Play",</v>
      </c>
      <c r="V33" s="40" t="str">
        <f t="shared" si="11"/>
        <v>"Did not Play",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2,</v>
      </c>
      <c r="T34" s="40" t="str">
        <f t="shared" si="11"/>
        <v>0,</v>
      </c>
      <c r="U34" s="40" t="str">
        <f t="shared" si="11"/>
        <v>2,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4,</v>
      </c>
      <c r="T35" s="40" t="str">
        <f t="shared" si="11"/>
        <v>1,</v>
      </c>
      <c r="U35" s="40" t="str">
        <f t="shared" si="11"/>
        <v>3,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1,</v>
      </c>
      <c r="T37" s="40" t="str">
        <f t="shared" si="11"/>
        <v>0,</v>
      </c>
      <c r="U37" s="40" t="str">
        <f t="shared" si="11"/>
        <v>1,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1</v>
      </c>
      <c r="T38" s="40">
        <f>IF($W18, CHAR(34)&amp;"Did not Play"&amp;CHAR(34), T18)</f>
        <v>0</v>
      </c>
      <c r="U38" s="40">
        <f>IF($W18, CHAR(34)&amp;"Did not Play"&amp;CHAR(34), U18)</f>
        <v>1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67" t="s">
        <v>159</v>
      </c>
      <c r="S41" s="167"/>
      <c r="T41" s="167"/>
      <c r="U41" s="19"/>
      <c r="V41" s="19"/>
    </row>
    <row r="42" spans="2:27" ht="14.25" customHeight="1" x14ac:dyDescent="0.9">
      <c r="R42" s="167"/>
      <c r="S42" s="167"/>
      <c r="T42" s="167"/>
    </row>
    <row r="43" spans="2:27" ht="14.25" customHeight="1" x14ac:dyDescent="0.45">
      <c r="R43" s="40" t="str">
        <f>CHAR(34)&amp;"Date"&amp;CHAR(34)&amp;":["&amp;CHAR(34)&amp;"1-June"&amp;CHAR(34)&amp;"],"</f>
        <v>"Date":["1-June"],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"Points":[0,0,3,3,1,1,0,1,5,2,"Did not Play",2,4,0,1,1],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"Finishes":[0,0,3,3,1,0,0,1,0,0,"Did not Play",0,1,0,0,0],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"Midrange":[0,0,0,0,0,1,0,0,1,0,"Did not Play",2,3,0,1,1],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"ThreePointers":[0,0,0,0,0,0,0,0,2,1,"Did not Play",0,0,0,0,0]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  <vt:lpstr>1705</vt:lpstr>
      <vt:lpstr>2205</vt:lpstr>
      <vt:lpstr>2305</vt:lpstr>
      <vt:lpstr>2405</vt:lpstr>
      <vt:lpstr>Finals 1</vt:lpstr>
      <vt:lpstr>Finals 2</vt:lpstr>
      <vt:lpstr>Finals 3</vt:lpstr>
      <vt:lpstr>Finals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2023-06-02T03:35:07Z</dcterms:modified>
</cp:coreProperties>
</file>