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4899F6EB-FAA8-40DF-9B84-5B0DE148A7E6}" xr6:coauthVersionLast="47" xr6:coauthVersionMax="47" xr10:uidLastSave="{00000000-0000-0000-0000-000000000000}"/>
  <bookViews>
    <workbookView xWindow="-98" yWindow="-98" windowWidth="22695" windowHeight="14595" firstSheet="3" activeTab="3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8" i="17" l="1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J7" i="4" s="1"/>
  <c r="AD6" i="16"/>
  <c r="AC6" i="16"/>
  <c r="AE5" i="16"/>
  <c r="AD5" i="16"/>
  <c r="AC5" i="16"/>
  <c r="AE4" i="16"/>
  <c r="AD4" i="16"/>
  <c r="AC4" i="16"/>
  <c r="AF5" i="4" s="1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F17" i="4" s="1"/>
  <c r="AE15" i="14"/>
  <c r="AD15" i="14"/>
  <c r="AC15" i="14"/>
  <c r="AE14" i="14"/>
  <c r="AD14" i="14"/>
  <c r="AC14" i="14"/>
  <c r="AE13" i="14"/>
  <c r="AD13" i="14"/>
  <c r="AC13" i="14"/>
  <c r="AF14" i="4" s="1"/>
  <c r="AE12" i="14"/>
  <c r="AJ13" i="4" s="1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H14" i="4" s="1"/>
  <c r="AC13" i="11"/>
  <c r="AE12" i="11"/>
  <c r="AD12" i="11"/>
  <c r="AC12" i="11"/>
  <c r="AE11" i="11"/>
  <c r="AD11" i="11"/>
  <c r="AC11" i="11"/>
  <c r="AE10" i="11"/>
  <c r="AJ11" i="4" s="1"/>
  <c r="AD10" i="11"/>
  <c r="AC10" i="11"/>
  <c r="AE9" i="11"/>
  <c r="AD9" i="11"/>
  <c r="AC9" i="11"/>
  <c r="AE8" i="11"/>
  <c r="AD8" i="11"/>
  <c r="AC8" i="11"/>
  <c r="AF9" i="4" s="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H11" i="4" s="1"/>
  <c r="AC10" i="10"/>
  <c r="AE9" i="10"/>
  <c r="AD9" i="10"/>
  <c r="AC9" i="10"/>
  <c r="AE8" i="10"/>
  <c r="AJ9" i="4" s="1"/>
  <c r="AD8" i="10"/>
  <c r="AC8" i="10"/>
  <c r="AE7" i="10"/>
  <c r="AJ8" i="4" s="1"/>
  <c r="AD7" i="10"/>
  <c r="AC7" i="10"/>
  <c r="AF8" i="4" s="1"/>
  <c r="AE6" i="10"/>
  <c r="AD6" i="10"/>
  <c r="AC6" i="10"/>
  <c r="AE5" i="10"/>
  <c r="AD5" i="10"/>
  <c r="AC5" i="10"/>
  <c r="AF6" i="4" s="1"/>
  <c r="AE4" i="10"/>
  <c r="AD4" i="10"/>
  <c r="AH5" i="4" s="1"/>
  <c r="AC4" i="10"/>
  <c r="AE3" i="10"/>
  <c r="AD3" i="10"/>
  <c r="AC3" i="10"/>
  <c r="AE18" i="9"/>
  <c r="AD18" i="9"/>
  <c r="AC18" i="9"/>
  <c r="AE17" i="9"/>
  <c r="AD17" i="9"/>
  <c r="AC17" i="9"/>
  <c r="AE16" i="9"/>
  <c r="AD16" i="9"/>
  <c r="AH17" i="4" s="1"/>
  <c r="AC16" i="9"/>
  <c r="AE15" i="9"/>
  <c r="AD15" i="9"/>
  <c r="AC15" i="9"/>
  <c r="AE14" i="9"/>
  <c r="AD14" i="9"/>
  <c r="AC14" i="9"/>
  <c r="AE13" i="9"/>
  <c r="AJ14" i="4" s="1"/>
  <c r="AD13" i="9"/>
  <c r="AC13" i="9"/>
  <c r="AE12" i="9"/>
  <c r="AD12" i="9"/>
  <c r="AC12" i="9"/>
  <c r="AE11" i="9"/>
  <c r="AJ12" i="4" s="1"/>
  <c r="AD11" i="9"/>
  <c r="AC11" i="9"/>
  <c r="AF12" i="4" s="1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H19" i="4" s="1"/>
  <c r="AC18" i="8"/>
  <c r="AF19" i="4" s="1"/>
  <c r="AE17" i="8"/>
  <c r="AJ18" i="4" s="1"/>
  <c r="AD17" i="8"/>
  <c r="AH18" i="4" s="1"/>
  <c r="AC17" i="8"/>
  <c r="AF18" i="4" s="1"/>
  <c r="AE15" i="8"/>
  <c r="AJ16" i="4" s="1"/>
  <c r="AD15" i="8"/>
  <c r="AC15" i="8"/>
  <c r="AE14" i="8"/>
  <c r="AD14" i="8"/>
  <c r="AC14" i="8"/>
  <c r="AE10" i="8"/>
  <c r="AD10" i="8"/>
  <c r="AC10" i="8"/>
  <c r="AF11" i="4" s="1"/>
  <c r="AE9" i="8"/>
  <c r="AJ10" i="4" s="1"/>
  <c r="AD9" i="8"/>
  <c r="AC9" i="8"/>
  <c r="AJ5" i="4"/>
  <c r="AJ15" i="4"/>
  <c r="AH8" i="4"/>
  <c r="AH13" i="4"/>
  <c r="AH16" i="4"/>
  <c r="AF13" i="4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Q5" i="3"/>
  <c r="AH30" i="3"/>
  <c r="AH31" i="3"/>
  <c r="AH32" i="3"/>
  <c r="AI32" i="3" s="1"/>
  <c r="AH33" i="3"/>
  <c r="AH34" i="3"/>
  <c r="AH35" i="3"/>
  <c r="AH36" i="3"/>
  <c r="AH37" i="3"/>
  <c r="AI37" i="3" s="1"/>
  <c r="AH38" i="3"/>
  <c r="AH39" i="3"/>
  <c r="AH40" i="3"/>
  <c r="AI40" i="3" s="1"/>
  <c r="AH41" i="3"/>
  <c r="AH42" i="3"/>
  <c r="AH43" i="3"/>
  <c r="AH44" i="3"/>
  <c r="AH29" i="3"/>
  <c r="AF30" i="3"/>
  <c r="AF31" i="3"/>
  <c r="AF32" i="3"/>
  <c r="AF33" i="3"/>
  <c r="AF34" i="3"/>
  <c r="AF35" i="3"/>
  <c r="AG35" i="3" s="1"/>
  <c r="AF36" i="3"/>
  <c r="AF37" i="3"/>
  <c r="AG37" i="3" s="1"/>
  <c r="AF38" i="3"/>
  <c r="AF39" i="3"/>
  <c r="AF40" i="3"/>
  <c r="AG40" i="3" s="1"/>
  <c r="AF41" i="3"/>
  <c r="AF42" i="3"/>
  <c r="AF43" i="3"/>
  <c r="AF44" i="3"/>
  <c r="AG44" i="3" s="1"/>
  <c r="AF29" i="3"/>
  <c r="AD30" i="3"/>
  <c r="AD31" i="3"/>
  <c r="AD32" i="3"/>
  <c r="AD33" i="3"/>
  <c r="AD34" i="3"/>
  <c r="AE34" i="3" s="1"/>
  <c r="AD35" i="3"/>
  <c r="AE35" i="3" s="1"/>
  <c r="AD36" i="3"/>
  <c r="AE36" i="3" s="1"/>
  <c r="AD37" i="3"/>
  <c r="AE37" i="3" s="1"/>
  <c r="AD38" i="3"/>
  <c r="AD39" i="3"/>
  <c r="AD40" i="3"/>
  <c r="AD41" i="3"/>
  <c r="AD42" i="3"/>
  <c r="AD43" i="3"/>
  <c r="AE43" i="3" s="1"/>
  <c r="AD44" i="3"/>
  <c r="AD29" i="3"/>
  <c r="AB30" i="3"/>
  <c r="AC30" i="3" s="1"/>
  <c r="AB31" i="3"/>
  <c r="AC31" i="3" s="1"/>
  <c r="AB32" i="3"/>
  <c r="AB33" i="3"/>
  <c r="AB34" i="3"/>
  <c r="AB35" i="3"/>
  <c r="AC35" i="3" s="1"/>
  <c r="AB36" i="3"/>
  <c r="AB37" i="3"/>
  <c r="AB38" i="3"/>
  <c r="AC38" i="3" s="1"/>
  <c r="AB39" i="3"/>
  <c r="AC39" i="3" s="1"/>
  <c r="AB40" i="3"/>
  <c r="AB41" i="3"/>
  <c r="AB42" i="3"/>
  <c r="AB43" i="3"/>
  <c r="AC43" i="3" s="1"/>
  <c r="AB44" i="3"/>
  <c r="AB29" i="3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AE30" i="3"/>
  <c r="AG30" i="3"/>
  <c r="AI30" i="3"/>
  <c r="AE31" i="3"/>
  <c r="AG31" i="3"/>
  <c r="AI31" i="3"/>
  <c r="AC32" i="3"/>
  <c r="AE32" i="3"/>
  <c r="AG32" i="3"/>
  <c r="AC33" i="3"/>
  <c r="AE33" i="3"/>
  <c r="AG33" i="3"/>
  <c r="AI33" i="3"/>
  <c r="AC34" i="3"/>
  <c r="AG34" i="3"/>
  <c r="AI34" i="3"/>
  <c r="AI35" i="3"/>
  <c r="AC36" i="3"/>
  <c r="AG36" i="3"/>
  <c r="AI36" i="3"/>
  <c r="AC37" i="3"/>
  <c r="AE38" i="3"/>
  <c r="AG38" i="3"/>
  <c r="AI38" i="3"/>
  <c r="AE39" i="3"/>
  <c r="AG39" i="3"/>
  <c r="AI39" i="3"/>
  <c r="AC40" i="3"/>
  <c r="AE40" i="3"/>
  <c r="AC41" i="3"/>
  <c r="AE41" i="3"/>
  <c r="AG41" i="3"/>
  <c r="AI41" i="3"/>
  <c r="AC42" i="3"/>
  <c r="AE42" i="3"/>
  <c r="AG42" i="3"/>
  <c r="AI42" i="3"/>
  <c r="AG43" i="3"/>
  <c r="AI43" i="3"/>
  <c r="AC44" i="3"/>
  <c r="AE44" i="3"/>
  <c r="AI44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H9" i="4" l="1"/>
  <c r="AH10" i="4"/>
  <c r="AH6" i="4"/>
  <c r="AJ17" i="4"/>
  <c r="AH12" i="4"/>
  <c r="AJ19" i="4"/>
  <c r="AF4" i="4"/>
  <c r="AJ6" i="4"/>
  <c r="AF7" i="4"/>
  <c r="AJ4" i="4"/>
  <c r="AH7" i="4"/>
  <c r="AH4" i="4"/>
  <c r="AF16" i="4"/>
  <c r="AF15" i="4"/>
  <c r="AH15" i="4"/>
  <c r="AF10" i="4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4" i="17" l="1"/>
  <c r="Q47" i="17"/>
  <c r="W20" i="3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<sst xmlns="http://schemas.openxmlformats.org/spreadsheetml/2006/main" count="1990" uniqueCount="227">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</sst>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2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8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8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9" borderId="0" xfId="0" applyFont="1" applyFill="1" applyAlignmen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15" fillId="0" borderId="1" xfId="0" applyFont="1" applyBorder="1" applyAlignment="1">
      <alignment horizontal="center"/>
    </xf>
    <xf numFmtId="0" fontId="4" fillId="5" borderId="0" xfId="0" applyFont="1" applyFill="1" applyAlignment="1"/>
    <xf numFmtId="1" fontId="0" fillId="5" borderId="0" xfId="0" quotePrefix="1" applyNumberFormat="1" applyFont="1" applyFill="1" applyAlignment="1"/>
    <xf numFmtId="2" fontId="6" fillId="5" borderId="0" xfId="0" applyNumberFormat="1" applyFont="1" applyFill="1"/>
    <xf numFmtId="1" fontId="4" fillId="5" borderId="0" xfId="0" applyNumberFormat="1" applyFont="1" applyFill="1" applyAlignment="1"/>
    <xf numFmtId="2" fontId="4" fillId="5" borderId="0" xfId="0" applyNumberFormat="1" applyFont="1" applyFill="1"/>
    <xf numFmtId="0" fontId="4" fillId="5" borderId="0" xfId="0" applyFont="1" applyFill="1"/>
    <xf numFmtId="1" fontId="0" fillId="5" borderId="0" xfId="0" applyNumberFormat="1" applyFont="1" applyFill="1" applyAlignment="1"/>
    <xf numFmtId="2" fontId="0" fillId="5" borderId="0" xfId="0" applyNumberFormat="1" applyFont="1" applyFill="1" applyAlignment="1"/>
    <xf numFmtId="0" fontId="0" fillId="5" borderId="0" xfId="0" applyNumberFormat="1" applyFont="1" applyFill="1" applyAlignment="1"/>
    <xf numFmtId="9" fontId="0" fillId="5" borderId="0" xfId="2" applyFont="1" applyFill="1" applyAlignment="1"/>
    <xf numFmtId="0" fontId="0" fillId="5" borderId="0" xfId="0" applyFont="1" applyFill="1" applyAlignment="1"/>
    <xf numFmtId="2" fontId="6" fillId="5" borderId="0" xfId="0" applyNumberFormat="1" applyFont="1" applyFill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0.5161290322580645</c:v>
                </c:pt>
                <c:pt idx="1">
                  <c:v>0.30645161290322576</c:v>
                </c:pt>
                <c:pt idx="2">
                  <c:v>0.17741935483870966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2">
      <calculatedColumnFormula>'2404'!AC3+'2604'!AC3+'0205'!AC3+'0305'!AC3+'0805'!AC3+'0905'!AC3+'1005'!AC3+'1505'!AC3+'1605'!AC3</calculatedColumnFormula>
    </tableColumn>
    <tableColumn id="5" xr3:uid="{14C722B6-CCC7-4AA5-A077-4781282133B0}" name="Avg F" dataDxfId="6">
      <calculatedColumnFormula>Table2[[#This Row],[Finishes]]/($AE$2-Table2[[#This Row],[DNP]])</calculatedColumnFormula>
    </tableColumn>
    <tableColumn id="6" xr3:uid="{1E54054E-9F21-4987-99FC-EF35338EC708}" name="Midranges" dataDxfId="1">
      <calculatedColumnFormula>'2404'!AD3+'2604'!AD3+'0205'!AD3+'0305'!AD3+'0805'!AD3+'0905'!AD3+'1005'!AD3+'1505'!AD3+'1605'!AD3</calculatedColumnFormula>
    </tableColumn>
    <tableColumn id="7" xr3:uid="{3BC984C2-EE5E-43C7-8014-7F0DA5F9EB7A}" name="Avg M" dataDxfId="5">
      <calculatedColumnFormula>Table2[[#This Row],[Midranges]]/($AE$2-Table2[[#This Row],[DNP]])</calculatedColumnFormula>
    </tableColumn>
    <tableColumn id="8" xr3:uid="{9FAC1FFA-039C-4124-88C5-1A3BE26F7F04}" name="Threes" dataDxfId="0">
      <calculatedColumnFormula>'2404'!AE3+'2604'!AE3+'0205'!AE3+'0305'!AE3+'0805'!AE3+'0905'!AE3+'1005'!AE3+'1505'!AE3+'1605'!AE3</calculatedColumnFormula>
    </tableColumn>
    <tableColumn id="9" xr3:uid="{44E19C86-A8F7-4165-82A8-E143251937CE}" name="Avg 3" dataDxfId="4">
      <calculatedColumnFormula>Table2[[#This Row],[Threes]]/($AE$2-Table2[[#This Row],[DNP]])</calculatedColumnFormula>
    </tableColumn>
    <tableColumn id="10" xr3:uid="{DA5CCBEE-C42A-4EE7-8A28-4BA362276422}" name="DNP" dataDxfId="3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0.66666666666666663</v>
      </c>
      <c r="E3" s="1">
        <f>'Stats Global'!Q8</f>
        <v>6</v>
      </c>
      <c r="F3" s="14">
        <f>'Stats Global'!T8</f>
        <v>0.22222222222222221</v>
      </c>
      <c r="G3" s="24">
        <f>'Stats Global'!S8</f>
        <v>2</v>
      </c>
      <c r="H3" s="14">
        <f>'Stats Global'!V8</f>
        <v>0.44444444444444442</v>
      </c>
      <c r="I3" s="24">
        <f>'Stats Global'!U8</f>
        <v>4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0.875</v>
      </c>
      <c r="E4" s="24">
        <f>'Stats Global'!Q9</f>
        <v>7</v>
      </c>
      <c r="F4" s="14">
        <f>'Stats Global'!T9</f>
        <v>0.625</v>
      </c>
      <c r="G4" s="24">
        <f>'Stats Global'!S9</f>
        <v>5</v>
      </c>
      <c r="H4" s="14">
        <f>'Stats Global'!V9</f>
        <v>0.25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2.8333333333333335</v>
      </c>
      <c r="E5" s="24">
        <f>'Stats Global'!Q10</f>
        <v>17</v>
      </c>
      <c r="F5" s="14">
        <f>'Stats Global'!T10</f>
        <v>2.8333333333333335</v>
      </c>
      <c r="G5" s="24">
        <f>'Stats Global'!S10</f>
        <v>17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3.8888888888888888</v>
      </c>
      <c r="E6" s="24">
        <f>'Stats Global'!Q11</f>
        <v>35</v>
      </c>
      <c r="F6" s="14">
        <f>'Stats Global'!T11</f>
        <v>3.6666666666666665</v>
      </c>
      <c r="G6" s="24">
        <f>'Stats Global'!S11</f>
        <v>33</v>
      </c>
      <c r="H6" s="14">
        <f>'Stats Global'!V11</f>
        <v>0.22222222222222221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2.6666666666666665</v>
      </c>
      <c r="E7" s="24">
        <f>'Stats Global'!Q12</f>
        <v>24</v>
      </c>
      <c r="F7" s="14">
        <f>'Stats Global'!T12</f>
        <v>0.66666666666666663</v>
      </c>
      <c r="G7" s="24">
        <f>'Stats Global'!S12</f>
        <v>6</v>
      </c>
      <c r="H7" s="14">
        <f>'Stats Global'!V12</f>
        <v>1.3333333333333333</v>
      </c>
      <c r="I7" s="24">
        <f>'Stats Global'!U12</f>
        <v>12</v>
      </c>
      <c r="J7" s="14">
        <f>'Stats Global'!X12</f>
        <v>0.33333333333333331</v>
      </c>
      <c r="K7" s="24">
        <f>'Stats Global'!W12</f>
        <v>3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0.83333333333333337</v>
      </c>
      <c r="E8" s="24">
        <f>'Stats Global'!Q13</f>
        <v>5</v>
      </c>
      <c r="F8" s="14">
        <f>'Stats Global'!T13</f>
        <v>0.5</v>
      </c>
      <c r="G8" s="24">
        <f>'Stats Global'!S13</f>
        <v>3</v>
      </c>
      <c r="H8" s="14">
        <f>'Stats Global'!V13</f>
        <v>0.33333333333333331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1.5555555555555556</v>
      </c>
      <c r="E9" s="24">
        <f>'Stats Global'!Q14</f>
        <v>14</v>
      </c>
      <c r="F9" s="14">
        <f>'Stats Global'!T14</f>
        <v>0.33333333333333331</v>
      </c>
      <c r="G9" s="24">
        <f>'Stats Global'!S14</f>
        <v>3</v>
      </c>
      <c r="H9" s="14">
        <f>'Stats Global'!V14</f>
        <v>0.1111111111111111</v>
      </c>
      <c r="I9" s="24">
        <f>'Stats Global'!U14</f>
        <v>1</v>
      </c>
      <c r="J9" s="14">
        <f>'Stats Global'!X14</f>
        <v>0.55555555555555558</v>
      </c>
      <c r="K9" s="24">
        <f>'Stats Global'!W14</f>
        <v>5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1.4444444444444444</v>
      </c>
      <c r="E10" s="24">
        <f>'Stats Global'!Q15</f>
        <v>13</v>
      </c>
      <c r="F10" s="14">
        <f>'Stats Global'!T15</f>
        <v>0.55555555555555558</v>
      </c>
      <c r="G10" s="24">
        <f>'Stats Global'!S15</f>
        <v>5</v>
      </c>
      <c r="H10" s="14">
        <f>'Stats Global'!V15</f>
        <v>0.88888888888888884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2.75</v>
      </c>
      <c r="E11" s="24">
        <f>'Stats Global'!Q16</f>
        <v>22</v>
      </c>
      <c r="F11" s="14">
        <f>'Stats Global'!T16</f>
        <v>0.625</v>
      </c>
      <c r="G11" s="24">
        <f>'Stats Global'!S16</f>
        <v>5</v>
      </c>
      <c r="H11" s="14">
        <f>'Stats Global'!V16</f>
        <v>2.125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0.88888888888888884</v>
      </c>
      <c r="E12" s="24">
        <f>'Stats Global'!Q17</f>
        <v>8</v>
      </c>
      <c r="F12" s="14">
        <f>'Stats Global'!T17</f>
        <v>0.1111111111111111</v>
      </c>
      <c r="G12" s="24">
        <f>'Stats Global'!S17</f>
        <v>1</v>
      </c>
      <c r="H12" s="14">
        <f>'Stats Global'!V17</f>
        <v>0.77777777777777779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1.2857142857142858</v>
      </c>
      <c r="E13" s="24">
        <f>'Stats Global'!Q18</f>
        <v>9</v>
      </c>
      <c r="F13" s="14">
        <f>'Stats Global'!T18</f>
        <v>1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0.14285714285714285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0.88888888888888884</v>
      </c>
      <c r="E14" s="24">
        <f>'Stats Global'!Q19</f>
        <v>8</v>
      </c>
      <c r="F14" s="14">
        <f>'Stats Global'!T19</f>
        <v>0.44444444444444442</v>
      </c>
      <c r="G14" s="24">
        <f>'Stats Global'!S19</f>
        <v>4</v>
      </c>
      <c r="H14" s="14">
        <f>'Stats Global'!V19</f>
        <v>0.44444444444444442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2.6666666666666665</v>
      </c>
      <c r="E15" s="24">
        <f>'Stats Global'!Q20</f>
        <v>16</v>
      </c>
      <c r="F15" s="14">
        <f>'Stats Global'!T20</f>
        <v>2</v>
      </c>
      <c r="G15" s="24">
        <f>'Stats Global'!S20</f>
        <v>12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0.22222222222222221</v>
      </c>
      <c r="E16" s="24">
        <f>'Stats Global'!Q21</f>
        <v>2</v>
      </c>
      <c r="F16" s="14">
        <f>'Stats Global'!T21</f>
        <v>0.22222222222222221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0.66666666666666663</v>
      </c>
      <c r="E17" s="24">
        <f>'Stats Global'!Q22</f>
        <v>6</v>
      </c>
      <c r="F17" s="14">
        <f>'Stats Global'!T22</f>
        <v>0.33333333333333331</v>
      </c>
      <c r="G17" s="24">
        <f>'Stats Global'!S22</f>
        <v>3</v>
      </c>
      <c r="H17" s="14">
        <f>'Stats Global'!V22</f>
        <v>0.33333333333333331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0.44444444444444442</v>
      </c>
      <c r="E18" s="24">
        <f>'Stats Global'!Q23</f>
        <v>4</v>
      </c>
      <c r="F18" s="14">
        <f>'Stats Global'!T23</f>
        <v>0.33333333333333331</v>
      </c>
      <c r="G18" s="24">
        <f>'Stats Global'!S23</f>
        <v>3</v>
      </c>
      <c r="H18" s="14">
        <f>'Stats Global'!V23</f>
        <v>0.1111111111111111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9" t="s">
        <v>159</v>
      </c>
      <c r="M20" s="119"/>
      <c r="N20" s="11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9"/>
      <c r="M21" s="119"/>
      <c r="N21" s="119"/>
      <c r="X21" s="3" t="s">
        <v>85</v>
      </c>
    </row>
    <row r="22" spans="2:24" ht="14.25" customHeight="1" x14ac:dyDescent="0.45">
      <c r="B22" s="4"/>
      <c r="D22" s="41" t="str">
        <f>ROUND(D3,2)&amp;","</f>
        <v>0.67,</v>
      </c>
      <c r="E22" s="41" t="str">
        <f>E3&amp;","</f>
        <v>6,</v>
      </c>
      <c r="F22" s="41" t="str">
        <f t="shared" ref="F22:F37" si="2">ROUND(F3,2)&amp;","</f>
        <v>0.22,</v>
      </c>
      <c r="G22" s="41" t="str">
        <f t="shared" ref="G22:G36" si="3">G3&amp;","</f>
        <v>2,</v>
      </c>
      <c r="H22" s="41" t="str">
        <f t="shared" ref="H22:H37" si="4">ROUND(H3,2)&amp;","</f>
        <v>0.44,</v>
      </c>
      <c r="I22" s="41" t="str">
        <f t="shared" ref="I22:I36" si="5">I3&amp;","</f>
        <v>4,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"PPG":[0.67,0.88,2.83,3.89,2.67,0.83,1.56,1.44,2.75,0.89,1.29,0.89,2.67,0.22,0.67,0.44,],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0.88,</v>
      </c>
      <c r="E23" s="41" t="str">
        <f t="shared" ref="E23:E37" si="9">E4&amp;","</f>
        <v>7,</v>
      </c>
      <c r="F23" s="41" t="str">
        <f t="shared" si="2"/>
        <v>0.63,</v>
      </c>
      <c r="G23" s="41" t="str">
        <f t="shared" si="3"/>
        <v>5,</v>
      </c>
      <c r="H23" s="41" t="str">
        <f t="shared" si="4"/>
        <v>0.25,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"TP":[6,7,17,35,24,5,14,13,22,8,9,8,16,2,6,4,],</v>
      </c>
      <c r="X23" s="3" t="s">
        <v>87</v>
      </c>
    </row>
    <row r="24" spans="2:24" ht="14.25" customHeight="1" x14ac:dyDescent="0.45">
      <c r="D24" s="41" t="str">
        <f t="shared" si="8"/>
        <v>2.83,</v>
      </c>
      <c r="E24" s="41" t="str">
        <f t="shared" si="9"/>
        <v>17,</v>
      </c>
      <c r="F24" s="41" t="str">
        <f t="shared" si="2"/>
        <v>2.83,</v>
      </c>
      <c r="G24" s="41" t="str">
        <f t="shared" si="3"/>
        <v>17,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"FPG":[0.22,0.63,2.83,3.67,0.67,0.5,0.33,0.56,0.63,0.11,1,0.44,2,0.22,0.33,0.33,],</v>
      </c>
      <c r="X24" s="40" t="s">
        <v>107</v>
      </c>
    </row>
    <row r="25" spans="2:24" ht="14.25" customHeight="1" x14ac:dyDescent="0.45">
      <c r="D25" s="41" t="str">
        <f t="shared" si="8"/>
        <v>3.89,</v>
      </c>
      <c r="E25" s="41" t="str">
        <f t="shared" si="9"/>
        <v>35,</v>
      </c>
      <c r="F25" s="41" t="str">
        <f t="shared" si="2"/>
        <v>3.67,</v>
      </c>
      <c r="G25" s="41" t="str">
        <f t="shared" si="3"/>
        <v>33,</v>
      </c>
      <c r="H25" s="41" t="str">
        <f t="shared" si="4"/>
        <v>0.22,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"TF":[2,5,17,33,6,3,3,5,5,1,7,4,12,2,3,3],</v>
      </c>
    </row>
    <row r="26" spans="2:24" ht="14.25" customHeight="1" x14ac:dyDescent="0.45">
      <c r="D26" s="41" t="str">
        <f t="shared" si="8"/>
        <v>2.67,</v>
      </c>
      <c r="E26" s="41" t="str">
        <f t="shared" si="9"/>
        <v>24,</v>
      </c>
      <c r="F26" s="41" t="str">
        <f t="shared" si="2"/>
        <v>0.67,</v>
      </c>
      <c r="G26" s="41" t="str">
        <f t="shared" si="3"/>
        <v>6,</v>
      </c>
      <c r="H26" s="41" t="str">
        <f t="shared" si="4"/>
        <v>1.33,</v>
      </c>
      <c r="I26" s="41" t="str">
        <f t="shared" si="5"/>
        <v>12,</v>
      </c>
      <c r="J26" s="41" t="str">
        <f t="shared" si="6"/>
        <v>0.33,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"MPG":[0.44,0.25,0,0.22,1.33,0.33,0.11,0.89,2.13,0.78,0,0.44,0,0,0.33,0.11,],</v>
      </c>
    </row>
    <row r="27" spans="2:24" ht="14.25" customHeight="1" x14ac:dyDescent="0.45">
      <c r="D27" s="41" t="str">
        <f t="shared" si="8"/>
        <v>0.83,</v>
      </c>
      <c r="E27" s="41" t="str">
        <f t="shared" si="9"/>
        <v>5,</v>
      </c>
      <c r="F27" s="41" t="str">
        <f t="shared" si="2"/>
        <v>0.5,</v>
      </c>
      <c r="G27" s="41" t="str">
        <f t="shared" si="3"/>
        <v>3,</v>
      </c>
      <c r="H27" s="41" t="str">
        <f t="shared" si="4"/>
        <v>0.33,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"TM":[4,2,0,2,12,2,1,8,17,7,0,4,0,0,3,1],</v>
      </c>
    </row>
    <row r="28" spans="2:24" ht="14.25" customHeight="1" x14ac:dyDescent="0.45">
      <c r="D28" s="41" t="str">
        <f t="shared" si="8"/>
        <v>1.56,</v>
      </c>
      <c r="E28" s="41" t="str">
        <f t="shared" si="9"/>
        <v>14,</v>
      </c>
      <c r="F28" s="41" t="str">
        <f t="shared" si="2"/>
        <v>0.33,</v>
      </c>
      <c r="G28" s="41" t="str">
        <f t="shared" si="3"/>
        <v>3,</v>
      </c>
      <c r="H28" s="41" t="str">
        <f t="shared" si="4"/>
        <v>0.11,</v>
      </c>
      <c r="I28" s="41" t="str">
        <f t="shared" si="5"/>
        <v>1,</v>
      </c>
      <c r="J28" s="41" t="str">
        <f t="shared" si="6"/>
        <v>0.56,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"TPG":[0,0,0,0,0.33,0,0.56,0,0,0,0.14,0,0.33,0,0,0,],</v>
      </c>
    </row>
    <row r="29" spans="2:24" ht="14.25" customHeight="1" x14ac:dyDescent="0.45">
      <c r="D29" s="41" t="str">
        <f t="shared" si="8"/>
        <v>1.44,</v>
      </c>
      <c r="E29" s="41" t="str">
        <f t="shared" si="9"/>
        <v>13,</v>
      </c>
      <c r="F29" s="41" t="str">
        <f t="shared" si="2"/>
        <v>0.56,</v>
      </c>
      <c r="G29" s="41" t="str">
        <f t="shared" si="3"/>
        <v>5,</v>
      </c>
      <c r="H29" s="41" t="str">
        <f t="shared" si="4"/>
        <v>0.89,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2.75,</v>
      </c>
      <c r="E30" s="41" t="str">
        <f t="shared" si="9"/>
        <v>22,</v>
      </c>
      <c r="F30" s="41" t="str">
        <f t="shared" si="2"/>
        <v>0.63,</v>
      </c>
      <c r="G30" s="41" t="str">
        <f t="shared" si="3"/>
        <v>5,</v>
      </c>
      <c r="H30" s="41" t="str">
        <f t="shared" si="4"/>
        <v>2.13,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"NBAMODENUMBER":[11.6],</v>
      </c>
    </row>
    <row r="31" spans="2:24" ht="14.25" customHeight="1" x14ac:dyDescent="0.45">
      <c r="C31" s="41"/>
      <c r="D31" s="41" t="str">
        <f t="shared" si="8"/>
        <v>0.89,</v>
      </c>
      <c r="E31" s="41" t="str">
        <f t="shared" si="9"/>
        <v>8,</v>
      </c>
      <c r="F31" s="41" t="str">
        <f t="shared" si="2"/>
        <v>0.11,</v>
      </c>
      <c r="G31" s="41" t="str">
        <f t="shared" si="3"/>
        <v>1,</v>
      </c>
      <c r="H31" s="41" t="str">
        <f t="shared" si="4"/>
        <v>0.78,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11.596028093969483</v>
      </c>
    </row>
    <row r="32" spans="2:24" ht="14.25" customHeight="1" x14ac:dyDescent="0.45">
      <c r="C32" s="41"/>
      <c r="D32" s="41" t="str">
        <f t="shared" si="8"/>
        <v>1.29,</v>
      </c>
      <c r="E32" s="41" t="str">
        <f t="shared" si="9"/>
        <v>9,</v>
      </c>
      <c r="F32" s="41" t="str">
        <f t="shared" si="2"/>
        <v>1,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0.14,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0.89,</v>
      </c>
      <c r="E33" s="41" t="str">
        <f t="shared" si="9"/>
        <v>8,</v>
      </c>
      <c r="F33" s="41" t="str">
        <f t="shared" si="2"/>
        <v>0.44,</v>
      </c>
      <c r="G33" s="41" t="str">
        <f t="shared" si="3"/>
        <v>4,</v>
      </c>
      <c r="H33" s="41" t="str">
        <f t="shared" si="4"/>
        <v>0.44,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2.67,</v>
      </c>
      <c r="E34" s="41" t="str">
        <f t="shared" si="9"/>
        <v>16,</v>
      </c>
      <c r="F34" s="41" t="str">
        <f t="shared" si="2"/>
        <v>2,</v>
      </c>
      <c r="G34" s="41" t="str">
        <f t="shared" si="3"/>
        <v>12,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0.33,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0.22,</v>
      </c>
      <c r="E35" s="41" t="str">
        <f t="shared" si="9"/>
        <v>2,</v>
      </c>
      <c r="F35" s="41" t="str">
        <f t="shared" si="2"/>
        <v>0.22,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0.67,</v>
      </c>
      <c r="E36" s="41" t="str">
        <f t="shared" si="9"/>
        <v>6,</v>
      </c>
      <c r="F36" s="41" t="str">
        <f t="shared" si="2"/>
        <v>0.33,</v>
      </c>
      <c r="G36" s="41" t="str">
        <f t="shared" si="3"/>
        <v>3,</v>
      </c>
      <c r="H36" s="41" t="str">
        <f t="shared" si="4"/>
        <v>0.33,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0.44,</v>
      </c>
      <c r="E37" s="41" t="str">
        <f t="shared" si="9"/>
        <v>4,</v>
      </c>
      <c r="F37" s="41" t="str">
        <f t="shared" si="2"/>
        <v>0.33,</v>
      </c>
      <c r="G37" s="41">
        <f>G18</f>
        <v>3</v>
      </c>
      <c r="H37" s="41" t="str">
        <f t="shared" si="4"/>
        <v>0.11,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G35" sqref="G35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9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20.666666666666668</v>
      </c>
      <c r="J6" s="1">
        <f t="shared" si="1"/>
        <v>10.666666666666666</v>
      </c>
      <c r="K6" s="1">
        <f t="shared" si="1"/>
        <v>6.333333333333333</v>
      </c>
      <c r="L6" s="1">
        <f t="shared" si="1"/>
        <v>3.6666666666666665</v>
      </c>
      <c r="AA6" s="33" t="s">
        <v>218</v>
      </c>
      <c r="AB6" s="33"/>
      <c r="AE6" s="108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0.5161290322580645</v>
      </c>
      <c r="K7" s="8">
        <f t="shared" si="2"/>
        <v>0.30645161290322576</v>
      </c>
      <c r="L7" s="8">
        <f t="shared" si="2"/>
        <v>0.17741935483870966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6</v>
      </c>
      <c r="R8" s="71">
        <f>Table1[[#This Row],[Points]]/($Q$5-Table1[[#This Row],[Missed Games]])</f>
        <v>0.66666666666666663</v>
      </c>
      <c r="S8" s="72">
        <f t="shared" ref="S8:S23" si="4">S29+S48+S67+AD29</f>
        <v>2</v>
      </c>
      <c r="T8" s="73">
        <f>Table1[[#This Row],[Finishes]]/($Q$5-Table1[[#This Row],[Missed Games]])</f>
        <v>0.22222222222222221</v>
      </c>
      <c r="U8" s="72">
        <f t="shared" ref="U8:U23" si="5">U29+U48+U67+AF29</f>
        <v>4</v>
      </c>
      <c r="V8" s="73">
        <f>Table1[[#This Row],[Midranges]]/($Q$5-Table1[[#This Row],[Missed Games]])</f>
        <v>0.44444444444444442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12">
        <f>1.5564%*1.007842</f>
        <v>1.5686052887999999E-2</v>
      </c>
      <c r="AB8" s="112">
        <f>(Table1[[#This Row],[Averages]]+Table1[[#This Row],[Averages2]]+Table1[[#This Row],[Averages3]])/SUM(Table1[Averages],Table1[Averages2],Table1[Averages3])</f>
        <v>2.8720403453286612E-2</v>
      </c>
      <c r="AC8" s="113">
        <f t="shared" ref="AC8:AC23" si="8">AB8-AA8</f>
        <v>1.3034350565286613E-2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7</v>
      </c>
      <c r="R9" s="75">
        <f>Table1[[#This Row],[Points]]/($Q$5-Table1[[#This Row],[Missed Games]])</f>
        <v>0.875</v>
      </c>
      <c r="S9" s="76">
        <f t="shared" si="4"/>
        <v>5</v>
      </c>
      <c r="T9" s="77">
        <f>Table1[[#This Row],[Finishes]]/($Q$5-Table1[[#This Row],[Missed Games]])</f>
        <v>0.625</v>
      </c>
      <c r="U9" s="76">
        <f t="shared" si="5"/>
        <v>2</v>
      </c>
      <c r="V9" s="77">
        <f>Table1[[#This Row],[Midranges]]/($Q$5-Table1[[#This Row],[Missed Games]])</f>
        <v>0.25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14">
        <f>1.007842*2.7237%</f>
        <v>2.7450592553999998E-2</v>
      </c>
      <c r="AB9" s="114">
        <f>(Table1[[#This Row],[Averages]]+Table1[[#This Row],[Averages2]]+Table1[[#This Row],[Averages3]])/SUM(Table1[Averages],Table1[Averages2],Table1[Averages3])</f>
        <v>3.7695529532438682E-2</v>
      </c>
      <c r="AC9" s="113">
        <f t="shared" si="8"/>
        <v>1.0244936978438684E-2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17</v>
      </c>
      <c r="R10" s="71">
        <f>Table1[[#This Row],[Points]]/($Q$5-Table1[[#This Row],[Missed Games]])</f>
        <v>2.8333333333333335</v>
      </c>
      <c r="S10" s="72">
        <f t="shared" si="4"/>
        <v>17</v>
      </c>
      <c r="T10" s="73">
        <f>Table1[[#This Row],[Finishes]]/($Q$5-Table1[[#This Row],[Missed Games]])</f>
        <v>2.8333333333333335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3</v>
      </c>
      <c r="AA10" s="112">
        <f>1.007842*12.0623%</f>
        <v>0.12156892556599999</v>
      </c>
      <c r="AB10" s="112">
        <f>(Table1[[#This Row],[Averages]]+Table1[[#This Row],[Averages2]]+Table1[[#This Row],[Averages3]])/SUM(Table1[Averages],Table1[Averages2],Table1[Averages3])</f>
        <v>0.12206171467646811</v>
      </c>
      <c r="AC10" s="113">
        <f t="shared" si="8"/>
        <v>4.9278911046811424E-4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35</v>
      </c>
      <c r="R11" s="75">
        <f>Table1[[#This Row],[Points]]/($Q$5-Table1[[#This Row],[Missed Games]])</f>
        <v>3.8888888888888888</v>
      </c>
      <c r="S11" s="76">
        <f t="shared" si="4"/>
        <v>33</v>
      </c>
      <c r="T11" s="77">
        <f>Table1[[#This Row],[Finishes]]/($Q$5-Table1[[#This Row],[Missed Games]])</f>
        <v>3.6666666666666665</v>
      </c>
      <c r="U11" s="76">
        <f t="shared" si="5"/>
        <v>2</v>
      </c>
      <c r="V11" s="77">
        <f>Table1[[#This Row],[Midranges]]/($Q$5-Table1[[#This Row],[Missed Games]])</f>
        <v>0.22222222222222221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14">
        <f>1.007842*12.4514%</f>
        <v>0.12549043878799998</v>
      </c>
      <c r="AB11" s="114">
        <f>(Table1[[#This Row],[Averages]]+Table1[[#This Row],[Averages2]]+Table1[[#This Row],[Averages3]])/SUM(Table1[Averages],Table1[Averages2],Table1[Averages3])</f>
        <v>0.16753568681083858</v>
      </c>
      <c r="AC11" s="113">
        <f t="shared" si="8"/>
        <v>4.2045248022838599E-2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4" t="s">
        <v>68</v>
      </c>
      <c r="Q12" s="74">
        <f t="shared" si="3"/>
        <v>24</v>
      </c>
      <c r="R12" s="75">
        <f>Table1[[#This Row],[Points]]/($Q$5-Table1[[#This Row],[Missed Games]])</f>
        <v>2.6666666666666665</v>
      </c>
      <c r="S12" s="76">
        <f t="shared" si="4"/>
        <v>6</v>
      </c>
      <c r="T12" s="77">
        <f>Table1[[#This Row],[Finishes]]/($Q$5-Table1[[#This Row],[Missed Games]])</f>
        <v>0.66666666666666663</v>
      </c>
      <c r="U12" s="76">
        <f t="shared" si="5"/>
        <v>12</v>
      </c>
      <c r="V12" s="77">
        <f>Table1[[#This Row],[Midranges]]/($Q$5-Table1[[#This Row],[Missed Games]])</f>
        <v>1.3333333333333333</v>
      </c>
      <c r="W12" s="76">
        <f t="shared" si="6"/>
        <v>3</v>
      </c>
      <c r="X12" s="77">
        <f>Table1[[#This Row],[Threes]]/($Q$5-Table1[[#This Row],[Missed Games]])</f>
        <v>0.33333333333333331</v>
      </c>
      <c r="Y12" s="84" t="s">
        <v>39</v>
      </c>
      <c r="Z12" s="85">
        <f t="shared" si="7"/>
        <v>0</v>
      </c>
      <c r="AA12" s="114">
        <f>1.007842*5.4475%</f>
        <v>5.4902192949999991E-2</v>
      </c>
      <c r="AB12" s="114">
        <f>(Table1[[#This Row],[Averages]]+Table1[[#This Row],[Averages2]]+Table1[[#This Row],[Averages3]])/SUM(Table1[Averages],Table1[Averages2],Table1[Averages3])</f>
        <v>0.10052141208650316</v>
      </c>
      <c r="AC12" s="113">
        <f t="shared" si="8"/>
        <v>4.5619219136503165E-2</v>
      </c>
      <c r="AE12" s="66"/>
      <c r="AI12" s="68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4" t="s">
        <v>71</v>
      </c>
      <c r="Q13" s="74">
        <f t="shared" si="3"/>
        <v>5</v>
      </c>
      <c r="R13" s="75">
        <f>Table1[[#This Row],[Points]]/($Q$5-Table1[[#This Row],[Missed Games]])</f>
        <v>0.83333333333333337</v>
      </c>
      <c r="S13" s="76">
        <f t="shared" si="4"/>
        <v>3</v>
      </c>
      <c r="T13" s="77">
        <f>Table1[[#This Row],[Finishes]]/($Q$5-Table1[[#This Row],[Missed Games]])</f>
        <v>0.5</v>
      </c>
      <c r="U13" s="76">
        <f t="shared" si="5"/>
        <v>2</v>
      </c>
      <c r="V13" s="77">
        <f>Table1[[#This Row],[Midranges]]/($Q$5-Table1[[#This Row],[Missed Games]])</f>
        <v>0.33333333333333331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14">
        <f>1.007842*10.1167%</f>
        <v>0.10196035161399998</v>
      </c>
      <c r="AB13" s="114">
        <f>(Table1[[#This Row],[Averages]]+Table1[[#This Row],[Averages2]]+Table1[[#This Row],[Averages3]])/SUM(Table1[Averages],Table1[Averages2],Table1[Averages3])</f>
        <v>3.590050431660826E-2</v>
      </c>
      <c r="AC13" s="113">
        <f t="shared" si="8"/>
        <v>-6.6059847297391727E-2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14</v>
      </c>
      <c r="R14" s="79">
        <f>Table1[[#This Row],[Points]]/($Q$5-Table1[[#This Row],[Missed Games]])</f>
        <v>1.5555555555555556</v>
      </c>
      <c r="S14" s="80">
        <f t="shared" si="4"/>
        <v>3</v>
      </c>
      <c r="T14" s="81">
        <f>Table1[[#This Row],[Finishes]]/($Q$5-Table1[[#This Row],[Missed Games]])</f>
        <v>0.33333333333333331</v>
      </c>
      <c r="U14" s="80">
        <f t="shared" si="5"/>
        <v>1</v>
      </c>
      <c r="V14" s="81">
        <f>Table1[[#This Row],[Midranges]]/($Q$5-Table1[[#This Row],[Missed Games]])</f>
        <v>0.1111111111111111</v>
      </c>
      <c r="W14" s="80">
        <f t="shared" si="6"/>
        <v>5</v>
      </c>
      <c r="X14" s="81">
        <f>Table1[[#This Row],[Threes]]/($Q$5-Table1[[#This Row],[Missed Games]])</f>
        <v>0.55555555555555558</v>
      </c>
      <c r="Y14" s="86" t="s">
        <v>57</v>
      </c>
      <c r="Z14" s="87">
        <f t="shared" si="7"/>
        <v>0</v>
      </c>
      <c r="AA14" s="115">
        <f>1.007842*3.8911%</f>
        <v>3.9216140061999999E-2</v>
      </c>
      <c r="AB14" s="115">
        <f>(Table1[[#This Row],[Averages]]+Table1[[#This Row],[Averages2]]+Table1[[#This Row],[Averages3]])/SUM(Table1[Averages],Table1[Averages2],Table1[Averages3])</f>
        <v>4.3080605179929919E-2</v>
      </c>
      <c r="AC14" s="113">
        <f t="shared" si="8"/>
        <v>3.8644651179299203E-3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1.4444444444444444</v>
      </c>
      <c r="S15" s="80">
        <f t="shared" si="4"/>
        <v>5</v>
      </c>
      <c r="T15" s="81">
        <f>Table1[[#This Row],[Finishes]]/($Q$5-Table1[[#This Row],[Missed Games]])</f>
        <v>0.55555555555555558</v>
      </c>
      <c r="U15" s="80">
        <f t="shared" si="5"/>
        <v>8</v>
      </c>
      <c r="V15" s="81">
        <f>Table1[[#This Row],[Midranges]]/($Q$5-Table1[[#This Row],[Missed Games]])</f>
        <v>0.88888888888888884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15">
        <f>1.007842*12.4514%</f>
        <v>0.12549043878799998</v>
      </c>
      <c r="AB15" s="115">
        <f>(Table1[[#This Row],[Averages]]+Table1[[#This Row],[Averages2]]+Table1[[#This Row],[Averages3]])/SUM(Table1[Averages],Table1[Averages2],Table1[Averages3])</f>
        <v>6.2227540815454327E-2</v>
      </c>
      <c r="AC15" s="113">
        <f t="shared" si="8"/>
        <v>-6.3262897972545654E-2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22</v>
      </c>
      <c r="R16" s="71">
        <f>Table1[[#This Row],[Points]]/($Q$5-Table1[[#This Row],[Missed Games]])</f>
        <v>2.75</v>
      </c>
      <c r="S16" s="72">
        <f t="shared" si="4"/>
        <v>5</v>
      </c>
      <c r="T16" s="73">
        <f>Table1[[#This Row],[Finishes]]/($Q$5-Table1[[#This Row],[Missed Games]])</f>
        <v>0.625</v>
      </c>
      <c r="U16" s="72">
        <f t="shared" si="5"/>
        <v>17</v>
      </c>
      <c r="V16" s="73">
        <f>Table1[[#This Row],[Midranges]]/($Q$5-Table1[[#This Row],[Missed Games]])</f>
        <v>2.125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12">
        <f>1.007842*9.7276%</f>
        <v>9.8038838391999991E-2</v>
      </c>
      <c r="AB16" s="112">
        <f>(Table1[[#This Row],[Averages]]+Table1[[#This Row],[Averages2]]+Table1[[#This Row],[Averages3]])/SUM(Table1[Averages],Table1[Averages2],Table1[Averages3])</f>
        <v>0.11847166424480728</v>
      </c>
      <c r="AC16" s="113">
        <f t="shared" si="8"/>
        <v>2.0432825852807285E-2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8</v>
      </c>
      <c r="R17" s="71">
        <f>Table1[[#This Row],[Points]]/($Q$5-Table1[[#This Row],[Missed Games]])</f>
        <v>0.88888888888888884</v>
      </c>
      <c r="S17" s="72">
        <f t="shared" si="4"/>
        <v>1</v>
      </c>
      <c r="T17" s="73">
        <f>Table1[[#This Row],[Finishes]]/($Q$5-Table1[[#This Row],[Missed Games]])</f>
        <v>0.1111111111111111</v>
      </c>
      <c r="U17" s="72">
        <f t="shared" si="5"/>
        <v>7</v>
      </c>
      <c r="V17" s="73">
        <f>Table1[[#This Row],[Midranges]]/($Q$5-Table1[[#This Row],[Missed Games]])</f>
        <v>0.77777777777777779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12">
        <f>1.007842*1.9455%</f>
        <v>1.9607566109999999E-2</v>
      </c>
      <c r="AB17" s="112">
        <f>(Table1[[#This Row],[Averages]]+Table1[[#This Row],[Averages2]]+Table1[[#This Row],[Averages3]])/SUM(Table1[Averages],Table1[Averages2],Table1[Averages3])</f>
        <v>3.8293871271048815E-2</v>
      </c>
      <c r="AC17" s="113">
        <f t="shared" si="8"/>
        <v>1.8686305161048817E-2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9</v>
      </c>
      <c r="R18" s="71">
        <f>Table1[[#This Row],[Points]]/($Q$5-Table1[[#This Row],[Missed Games]])</f>
        <v>1.2857142857142858</v>
      </c>
      <c r="S18" s="72">
        <f t="shared" si="4"/>
        <v>7</v>
      </c>
      <c r="T18" s="73">
        <f>Table1[[#This Row],[Finishes]]/($Q$5-Table1[[#This Row],[Missed Games]])</f>
        <v>1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1</v>
      </c>
      <c r="X18" s="73">
        <f>Table1[[#This Row],[Threes]]/($Q$5-Table1[[#This Row],[Missed Games]])</f>
        <v>0.14285714285714285</v>
      </c>
      <c r="Y18" s="82" t="s">
        <v>34</v>
      </c>
      <c r="Z18" s="83">
        <f t="shared" si="7"/>
        <v>2</v>
      </c>
      <c r="AA18" s="112">
        <f>1.007842*3.8911%</f>
        <v>3.9216140061999999E-2</v>
      </c>
      <c r="AB18" s="112">
        <f>(Table1[[#This Row],[Averages]]+Table1[[#This Row],[Averages2]]+Table1[[#This Row],[Averages3]])/SUM(Table1[Averages],Table1[Averages2],Table1[Averages3])</f>
        <v>4.9234977348491332E-2</v>
      </c>
      <c r="AC18" s="113">
        <f t="shared" si="8"/>
        <v>1.0018837286491333E-2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8</v>
      </c>
      <c r="R19" s="79">
        <f>Table1[[#This Row],[Points]]/($Q$5-Table1[[#This Row],[Missed Games]])</f>
        <v>0.88888888888888884</v>
      </c>
      <c r="S19" s="80">
        <f t="shared" si="4"/>
        <v>4</v>
      </c>
      <c r="T19" s="81">
        <f>Table1[[#This Row],[Finishes]]/($Q$5-Table1[[#This Row],[Missed Games]])</f>
        <v>0.44444444444444442</v>
      </c>
      <c r="U19" s="80">
        <f t="shared" si="5"/>
        <v>4</v>
      </c>
      <c r="V19" s="81">
        <f>Table1[[#This Row],[Midranges]]/($Q$5-Table1[[#This Row],[Missed Games]])</f>
        <v>0.44444444444444442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15">
        <f>1.007842*3.8911%</f>
        <v>3.9216140061999999E-2</v>
      </c>
      <c r="AB19" s="115">
        <f>(Table1[[#This Row],[Averages]]+Table1[[#This Row],[Averages2]]+Table1[[#This Row],[Averages3]])/SUM(Table1[Averages],Table1[Averages2],Table1[Averages3])</f>
        <v>3.8293871271048815E-2</v>
      </c>
      <c r="AC19" s="113">
        <f t="shared" si="8"/>
        <v>-9.2226879095118341E-4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16</v>
      </c>
      <c r="R20" s="79">
        <f>Table1[[#This Row],[Points]]/($Q$5-Table1[[#This Row],[Missed Games]])</f>
        <v>2.6666666666666665</v>
      </c>
      <c r="S20" s="80">
        <f t="shared" si="4"/>
        <v>12</v>
      </c>
      <c r="T20" s="81">
        <f>Table1[[#This Row],[Finishes]]/($Q$5-Table1[[#This Row],[Missed Games]])</f>
        <v>2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0.33333333333333331</v>
      </c>
      <c r="Y20" s="86" t="s">
        <v>57</v>
      </c>
      <c r="Z20" s="87">
        <f t="shared" si="7"/>
        <v>3</v>
      </c>
      <c r="AA20" s="115">
        <f>1.007842*12.8405%</f>
        <v>0.12941195200999997</v>
      </c>
      <c r="AB20" s="115">
        <f>(Table1[[#This Row],[Averages]]+Table1[[#This Row],[Averages2]]+Table1[[#This Row],[Averages3]])/SUM(Table1[Averages],Table1[Averages2],Table1[Averages3])</f>
        <v>0.10052141208650316</v>
      </c>
      <c r="AC20" s="113">
        <f t="shared" si="8"/>
        <v>-2.8890539923496814E-2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2</v>
      </c>
      <c r="R21" s="75">
        <f>Table1[[#This Row],[Points]]/($Q$5-Table1[[#This Row],[Missed Games]])</f>
        <v>0.22222222222222221</v>
      </c>
      <c r="S21" s="76">
        <f t="shared" si="4"/>
        <v>2</v>
      </c>
      <c r="T21" s="77">
        <f>Table1[[#This Row],[Finishes]]/($Q$5-Table1[[#This Row],[Missed Games]])</f>
        <v>0.22222222222222221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14">
        <f>1.007842*2.7237%</f>
        <v>2.7450592553999998E-2</v>
      </c>
      <c r="AB21" s="114">
        <f>(Table1[[#This Row],[Averages]]+Table1[[#This Row],[Averages2]]+Table1[[#This Row],[Averages3]])/SUM(Table1[Averages],Table1[Averages2],Table1[Averages3])</f>
        <v>9.5734678177622039E-3</v>
      </c>
      <c r="AC21" s="113">
        <f t="shared" si="8"/>
        <v>-1.7877124736237794E-2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6</v>
      </c>
      <c r="R22" s="79">
        <f>Table1[[#This Row],[Points]]/($Q$5-Table1[[#This Row],[Missed Games]])</f>
        <v>0.66666666666666663</v>
      </c>
      <c r="S22" s="80">
        <f t="shared" si="4"/>
        <v>3</v>
      </c>
      <c r="T22" s="81">
        <f>Table1[[#This Row],[Finishes]]/($Q$5-Table1[[#This Row],[Missed Games]])</f>
        <v>0.33333333333333331</v>
      </c>
      <c r="U22" s="80">
        <f t="shared" si="5"/>
        <v>3</v>
      </c>
      <c r="V22" s="81">
        <f>Table1[[#This Row],[Midranges]]/($Q$5-Table1[[#This Row],[Missed Games]])</f>
        <v>0.33333333333333331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15">
        <f>1.007842*2.3346%</f>
        <v>2.3529079331999995E-2</v>
      </c>
      <c r="AB22" s="115">
        <f>(Table1[[#This Row],[Averages]]+Table1[[#This Row],[Averages2]]+Table1[[#This Row],[Averages3]])/SUM(Table1[Averages],Table1[Averages2],Table1[Averages3])</f>
        <v>2.8720403453286612E-2</v>
      </c>
      <c r="AC22" s="113">
        <f t="shared" si="8"/>
        <v>5.1913241212866168E-3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4</v>
      </c>
      <c r="R23" s="79">
        <f>Table1[[#This Row],[Points]]/($Q$5-Table1[[#This Row],[Missed Games]])</f>
        <v>0.44444444444444442</v>
      </c>
      <c r="S23" s="80">
        <f t="shared" si="4"/>
        <v>3</v>
      </c>
      <c r="T23" s="81">
        <f>Table1[[#This Row],[Finishes]]/($Q$5-Table1[[#This Row],[Missed Games]])</f>
        <v>0.33333333333333331</v>
      </c>
      <c r="U23" s="80">
        <f t="shared" si="5"/>
        <v>1</v>
      </c>
      <c r="V23" s="81">
        <f>Table1[[#This Row],[Midranges]]/($Q$5-Table1[[#This Row],[Missed Games]])</f>
        <v>0.1111111111111111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15">
        <f>1.007842*1.1673%</f>
        <v>1.1764539665999997E-2</v>
      </c>
      <c r="AB23" s="115">
        <f>(Table1[[#This Row],[Averages]]+Table1[[#This Row],[Averages2]]+Table1[[#This Row],[Averages3]])/SUM(Table1[Averages],Table1[Averages2],Table1[Averages3])</f>
        <v>1.9146935635524408E-2</v>
      </c>
      <c r="AC23" s="113">
        <f t="shared" si="8"/>
        <v>7.3823959695244103E-3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10"/>
      <c r="AC24" s="111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2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</f>
        <v>1</v>
      </c>
      <c r="AC29" s="29">
        <f>AB29/(AB$26-AJ29)</f>
        <v>0.5</v>
      </c>
      <c r="AD29" s="27">
        <f>'1505'!$S3+'1605'!$S3</f>
        <v>0</v>
      </c>
      <c r="AE29" s="28">
        <f>AD29/($Q$26-AJ29)</f>
        <v>0</v>
      </c>
      <c r="AF29" s="27">
        <f>'1505'!$T3+'1605'!$T3</f>
        <v>1</v>
      </c>
      <c r="AG29" s="28">
        <f>AF29/($Q$26-AJ29)</f>
        <v>0.5</v>
      </c>
      <c r="AH29" s="27">
        <f>'1505'!$U3+'1605'!$U3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2">Q30/(Q$26-Y30)</f>
        <v>0</v>
      </c>
      <c r="S30" s="27">
        <f>'2404'!S4+'2604'!S4</f>
        <v>0</v>
      </c>
      <c r="T30" s="28">
        <f t="shared" ref="T30:T44" si="13">S30/($Q$26-Y30)</f>
        <v>0</v>
      </c>
      <c r="U30" s="27">
        <f>'2404'!T4+'2604'!T4</f>
        <v>0</v>
      </c>
      <c r="V30" s="28">
        <f t="shared" ref="V30:V44" si="14">U30/($Q$26-Y30)</f>
        <v>0</v>
      </c>
      <c r="W30" s="27">
        <f>'2404'!U4+'2604'!U4</f>
        <v>0</v>
      </c>
      <c r="X30" s="28">
        <f t="shared" ref="X30:X44" si="15">W30/($Q$26-Y30)</f>
        <v>0</v>
      </c>
      <c r="Y30" s="40">
        <v>1</v>
      </c>
      <c r="AA30" s="30" t="s">
        <v>59</v>
      </c>
      <c r="AB30" s="44">
        <f>'1505'!$R4+'1605'!$R4</f>
        <v>2</v>
      </c>
      <c r="AC30" s="29">
        <f t="shared" ref="AC30:AC44" si="16">AB30/(AB$26-AJ30)</f>
        <v>1</v>
      </c>
      <c r="AD30" s="27">
        <f>'1505'!$S4+'1605'!$S4</f>
        <v>0</v>
      </c>
      <c r="AE30" s="28">
        <f t="shared" ref="AE30:AE44" si="17">AD30/($Q$26-AJ30)</f>
        <v>0</v>
      </c>
      <c r="AF30" s="27">
        <f>'1505'!$T4+'1605'!$T4</f>
        <v>2</v>
      </c>
      <c r="AG30" s="28">
        <f t="shared" ref="AG30:AG44" si="18">AF30/($Q$26-AJ30)</f>
        <v>1</v>
      </c>
      <c r="AH30" s="27">
        <f>'1505'!$U4+'1605'!$U4</f>
        <v>0</v>
      </c>
      <c r="AI30" s="28">
        <f t="shared" ref="AI30:AI44" si="19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2"/>
        <v>1.5</v>
      </c>
      <c r="S31" s="27">
        <f>'2404'!S5+'2604'!S5</f>
        <v>3</v>
      </c>
      <c r="T31" s="28">
        <f t="shared" si="13"/>
        <v>1.5</v>
      </c>
      <c r="U31" s="27">
        <f>'2404'!T5+'2604'!T5</f>
        <v>0</v>
      </c>
      <c r="V31" s="28">
        <f t="shared" si="14"/>
        <v>0</v>
      </c>
      <c r="W31" s="27">
        <f>'2404'!U5+'2604'!U5</f>
        <v>0</v>
      </c>
      <c r="X31" s="28">
        <f t="shared" si="15"/>
        <v>0</v>
      </c>
      <c r="Y31" s="40">
        <v>0</v>
      </c>
      <c r="AA31" s="30" t="s">
        <v>62</v>
      </c>
      <c r="AB31" s="44">
        <f>'1505'!$R5+'1605'!$R5</f>
        <v>4</v>
      </c>
      <c r="AC31" s="29">
        <f t="shared" si="16"/>
        <v>4</v>
      </c>
      <c r="AD31" s="27">
        <f>'1505'!$S5+'1605'!$S5</f>
        <v>4</v>
      </c>
      <c r="AE31" s="28">
        <f t="shared" si="17"/>
        <v>4</v>
      </c>
      <c r="AF31" s="27">
        <f>'1505'!$T5+'1605'!$T5</f>
        <v>0</v>
      </c>
      <c r="AG31" s="28">
        <f t="shared" si="18"/>
        <v>0</v>
      </c>
      <c r="AH31" s="27">
        <f>'1505'!$U5+'1605'!$U5</f>
        <v>0</v>
      </c>
      <c r="AI31" s="28">
        <f t="shared" si="19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2"/>
        <v>1.5</v>
      </c>
      <c r="S32" s="27">
        <f>'2404'!S6+'2604'!S6</f>
        <v>3</v>
      </c>
      <c r="T32" s="28">
        <f t="shared" si="13"/>
        <v>1.5</v>
      </c>
      <c r="U32" s="27">
        <f>'2404'!T6+'2604'!T6</f>
        <v>0</v>
      </c>
      <c r="V32" s="28">
        <f t="shared" si="14"/>
        <v>0</v>
      </c>
      <c r="W32" s="27">
        <f>'2404'!U6+'2604'!U6</f>
        <v>0</v>
      </c>
      <c r="X32" s="28">
        <f t="shared" si="15"/>
        <v>0</v>
      </c>
      <c r="Y32" s="40">
        <v>0</v>
      </c>
      <c r="AA32" s="30" t="s">
        <v>65</v>
      </c>
      <c r="AB32" s="44">
        <f>'1505'!$R6+'1605'!$R6</f>
        <v>9</v>
      </c>
      <c r="AC32" s="29">
        <f t="shared" si="16"/>
        <v>4.5</v>
      </c>
      <c r="AD32" s="27">
        <f>'1505'!$S6+'1605'!$S6</f>
        <v>9</v>
      </c>
      <c r="AE32" s="28">
        <f t="shared" si="17"/>
        <v>4.5</v>
      </c>
      <c r="AF32" s="27">
        <f>'1505'!$T6+'1605'!$T6</f>
        <v>0</v>
      </c>
      <c r="AG32" s="28">
        <f t="shared" si="18"/>
        <v>0</v>
      </c>
      <c r="AH32" s="27">
        <f>'1505'!$U6+'1605'!$U6</f>
        <v>0</v>
      </c>
      <c r="AI32" s="28">
        <f t="shared" si="19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2"/>
        <v>0.5</v>
      </c>
      <c r="S33" s="27">
        <f>'2404'!S7+'2604'!S7</f>
        <v>1</v>
      </c>
      <c r="T33" s="28">
        <f t="shared" si="13"/>
        <v>0.5</v>
      </c>
      <c r="U33" s="27">
        <f>'2404'!T7+'2604'!T7</f>
        <v>0</v>
      </c>
      <c r="V33" s="28">
        <f t="shared" si="14"/>
        <v>0</v>
      </c>
      <c r="W33" s="27">
        <f>'2404'!U7+'2604'!U7</f>
        <v>0</v>
      </c>
      <c r="X33" s="28">
        <f t="shared" si="15"/>
        <v>0</v>
      </c>
      <c r="Y33" s="40">
        <v>0</v>
      </c>
      <c r="AA33" s="30" t="s">
        <v>68</v>
      </c>
      <c r="AB33" s="44">
        <f>'1505'!$R7+'1605'!$R7</f>
        <v>9</v>
      </c>
      <c r="AC33" s="29">
        <f t="shared" si="16"/>
        <v>4.5</v>
      </c>
      <c r="AD33" s="27">
        <f>'1505'!$S7+'1605'!$S7</f>
        <v>3</v>
      </c>
      <c r="AE33" s="28">
        <f t="shared" si="17"/>
        <v>1.5</v>
      </c>
      <c r="AF33" s="27">
        <f>'1505'!$T7+'1605'!$T7</f>
        <v>0</v>
      </c>
      <c r="AG33" s="28">
        <f t="shared" si="18"/>
        <v>0</v>
      </c>
      <c r="AH33" s="27">
        <f>'1505'!$U7+'1605'!$U7</f>
        <v>3</v>
      </c>
      <c r="AI33" s="28">
        <f t="shared" si="19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2"/>
        <v>1</v>
      </c>
      <c r="S34" s="27">
        <f>'2404'!S8+'2604'!S8</f>
        <v>2</v>
      </c>
      <c r="T34" s="28">
        <f t="shared" si="13"/>
        <v>1</v>
      </c>
      <c r="U34" s="27">
        <f>'2404'!T8+'2604'!T8</f>
        <v>0</v>
      </c>
      <c r="V34" s="28">
        <f t="shared" si="14"/>
        <v>0</v>
      </c>
      <c r="W34" s="27">
        <f>'2404'!U8+'2604'!U8</f>
        <v>0</v>
      </c>
      <c r="X34" s="28">
        <f t="shared" si="15"/>
        <v>0</v>
      </c>
      <c r="Y34" s="40">
        <v>0</v>
      </c>
      <c r="AA34" s="30" t="s">
        <v>71</v>
      </c>
      <c r="AB34" s="44">
        <f>'1505'!$R8+'1605'!$R8</f>
        <v>2</v>
      </c>
      <c r="AC34" s="29">
        <f t="shared" si="16"/>
        <v>1</v>
      </c>
      <c r="AD34" s="27">
        <f>'1505'!$S8+'1605'!$S8</f>
        <v>1</v>
      </c>
      <c r="AE34" s="28">
        <f t="shared" si="17"/>
        <v>0.5</v>
      </c>
      <c r="AF34" s="27">
        <f>'1505'!$T8+'1605'!$T8</f>
        <v>1</v>
      </c>
      <c r="AG34" s="28">
        <f t="shared" si="18"/>
        <v>0.5</v>
      </c>
      <c r="AH34" s="27">
        <f>'1505'!$U8+'1605'!$U8</f>
        <v>0</v>
      </c>
      <c r="AI34" s="28">
        <f t="shared" si="19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2"/>
        <v>0</v>
      </c>
      <c r="S35" s="27">
        <f>'2404'!S9+'2604'!S9</f>
        <v>0</v>
      </c>
      <c r="T35" s="28">
        <f t="shared" si="13"/>
        <v>0</v>
      </c>
      <c r="U35" s="27">
        <f>'2404'!T9+'2604'!T9</f>
        <v>0</v>
      </c>
      <c r="V35" s="28">
        <f t="shared" si="14"/>
        <v>0</v>
      </c>
      <c r="W35" s="27">
        <f>'2404'!U9+'2604'!U9</f>
        <v>0</v>
      </c>
      <c r="X35" s="28">
        <f t="shared" si="15"/>
        <v>0</v>
      </c>
      <c r="Y35" s="40">
        <v>0</v>
      </c>
      <c r="AA35" s="30" t="s">
        <v>75</v>
      </c>
      <c r="AB35" s="44">
        <f>'1505'!$R9+'1605'!$R9</f>
        <v>5</v>
      </c>
      <c r="AC35" s="29">
        <f t="shared" si="16"/>
        <v>2.5</v>
      </c>
      <c r="AD35" s="27">
        <f>'1505'!$S9+'1605'!$S9</f>
        <v>1</v>
      </c>
      <c r="AE35" s="28">
        <f t="shared" si="17"/>
        <v>0.5</v>
      </c>
      <c r="AF35" s="27">
        <f>'1505'!$T9+'1605'!$T9</f>
        <v>0</v>
      </c>
      <c r="AG35" s="28">
        <f t="shared" si="18"/>
        <v>0</v>
      </c>
      <c r="AH35" s="27">
        <f>'1505'!$U9+'1605'!$U9</f>
        <v>2</v>
      </c>
      <c r="AI35" s="28">
        <f t="shared" si="19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2"/>
        <v>0</v>
      </c>
      <c r="S36" s="27">
        <f>'2404'!S10+'2604'!S10</f>
        <v>0</v>
      </c>
      <c r="T36" s="28">
        <f t="shared" si="13"/>
        <v>0</v>
      </c>
      <c r="U36" s="27">
        <f>'2404'!T10+'2604'!T10</f>
        <v>0</v>
      </c>
      <c r="V36" s="28">
        <f t="shared" si="14"/>
        <v>0</v>
      </c>
      <c r="W36" s="27">
        <f>'2404'!U10+'2604'!U10</f>
        <v>0</v>
      </c>
      <c r="X36" s="28">
        <f t="shared" si="15"/>
        <v>0</v>
      </c>
      <c r="Y36" s="40">
        <v>0</v>
      </c>
      <c r="AA36" s="30" t="s">
        <v>78</v>
      </c>
      <c r="AB36" s="44">
        <f>'1505'!$R10+'1605'!$R10</f>
        <v>0</v>
      </c>
      <c r="AC36" s="29">
        <f t="shared" si="16"/>
        <v>0</v>
      </c>
      <c r="AD36" s="27">
        <f>'1505'!$S10+'1605'!$S10</f>
        <v>0</v>
      </c>
      <c r="AE36" s="28">
        <f t="shared" si="17"/>
        <v>0</v>
      </c>
      <c r="AF36" s="27">
        <f>'1505'!$T10+'1605'!$T10</f>
        <v>0</v>
      </c>
      <c r="AG36" s="28">
        <f t="shared" si="18"/>
        <v>0</v>
      </c>
      <c r="AH36" s="27">
        <f>'1505'!$U10+'1605'!$U10</f>
        <v>0</v>
      </c>
      <c r="AI36" s="28">
        <f t="shared" si="19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2"/>
        <v>2</v>
      </c>
      <c r="S37" s="27">
        <f>'2404'!S11+'2604'!S11</f>
        <v>1</v>
      </c>
      <c r="T37" s="28">
        <f t="shared" si="13"/>
        <v>1</v>
      </c>
      <c r="U37" s="27">
        <f>'2404'!T11+'2604'!T11</f>
        <v>1</v>
      </c>
      <c r="V37" s="28">
        <f t="shared" si="14"/>
        <v>1</v>
      </c>
      <c r="W37" s="27">
        <f>'2404'!U11+'2604'!U11</f>
        <v>0</v>
      </c>
      <c r="X37" s="28">
        <f t="shared" si="15"/>
        <v>0</v>
      </c>
      <c r="Y37" s="40">
        <v>1</v>
      </c>
      <c r="AA37" s="30" t="s">
        <v>80</v>
      </c>
      <c r="AB37" s="44">
        <f>'1505'!$R11+'1605'!$R11</f>
        <v>6</v>
      </c>
      <c r="AC37" s="29">
        <f t="shared" si="16"/>
        <v>3</v>
      </c>
      <c r="AD37" s="27">
        <f>'1505'!$S11+'1605'!$S11</f>
        <v>2</v>
      </c>
      <c r="AE37" s="28">
        <f t="shared" si="17"/>
        <v>1</v>
      </c>
      <c r="AF37" s="27">
        <f>'1505'!$T11+'1605'!$T11</f>
        <v>4</v>
      </c>
      <c r="AG37" s="28">
        <f t="shared" si="18"/>
        <v>2</v>
      </c>
      <c r="AH37" s="27">
        <f>'1505'!$U11+'1605'!$U11</f>
        <v>0</v>
      </c>
      <c r="AI37" s="28">
        <f t="shared" si="19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2"/>
        <v>0</v>
      </c>
      <c r="S38" s="27">
        <f>'2404'!S12+'2604'!S12</f>
        <v>0</v>
      </c>
      <c r="T38" s="28">
        <f t="shared" si="13"/>
        <v>0</v>
      </c>
      <c r="U38" s="27">
        <f>'2404'!T12+'2604'!T12</f>
        <v>0</v>
      </c>
      <c r="V38" s="28">
        <f t="shared" si="14"/>
        <v>0</v>
      </c>
      <c r="W38" s="27">
        <f>'2404'!U12+'2604'!U12</f>
        <v>0</v>
      </c>
      <c r="X38" s="28">
        <f t="shared" si="15"/>
        <v>0</v>
      </c>
      <c r="Y38" s="40">
        <v>0</v>
      </c>
      <c r="AA38" s="30" t="s">
        <v>81</v>
      </c>
      <c r="AB38" s="44">
        <f>'1505'!$R12+'1605'!$R12</f>
        <v>2</v>
      </c>
      <c r="AC38" s="29">
        <f t="shared" si="16"/>
        <v>1</v>
      </c>
      <c r="AD38" s="27">
        <f>'1505'!$S12+'1605'!$S12</f>
        <v>0</v>
      </c>
      <c r="AE38" s="28">
        <f t="shared" si="17"/>
        <v>0</v>
      </c>
      <c r="AF38" s="27">
        <f>'1505'!$T12+'1605'!$T12</f>
        <v>2</v>
      </c>
      <c r="AG38" s="28">
        <f t="shared" si="18"/>
        <v>1</v>
      </c>
      <c r="AH38" s="27">
        <f>'1505'!$U12+'1605'!$U12</f>
        <v>0</v>
      </c>
      <c r="AI38" s="28">
        <f t="shared" si="19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2"/>
        <v>2</v>
      </c>
      <c r="S39" s="27">
        <f>'2404'!S13+'2604'!S13</f>
        <v>4</v>
      </c>
      <c r="T39" s="28">
        <f t="shared" si="13"/>
        <v>2</v>
      </c>
      <c r="U39" s="27">
        <f>'2404'!T13+'2604'!T13</f>
        <v>0</v>
      </c>
      <c r="V39" s="28">
        <f t="shared" si="14"/>
        <v>0</v>
      </c>
      <c r="W39" s="27">
        <f>'2404'!U13+'2604'!U13</f>
        <v>0</v>
      </c>
      <c r="X39" s="28">
        <f t="shared" si="15"/>
        <v>0</v>
      </c>
      <c r="Y39" s="40">
        <v>0</v>
      </c>
      <c r="Z39" s="12"/>
      <c r="AA39" s="30" t="s">
        <v>187</v>
      </c>
      <c r="AB39" s="44">
        <f>'1505'!$R13+'1605'!$R13</f>
        <v>2</v>
      </c>
      <c r="AC39" s="29">
        <f t="shared" si="16"/>
        <v>1</v>
      </c>
      <c r="AD39" s="27">
        <f>'1505'!$S13+'1605'!$S13</f>
        <v>0</v>
      </c>
      <c r="AE39" s="28">
        <f t="shared" si="17"/>
        <v>0</v>
      </c>
      <c r="AF39" s="27">
        <f>'1505'!$T13+'1605'!$T13</f>
        <v>0</v>
      </c>
      <c r="AG39" s="28">
        <f t="shared" si="18"/>
        <v>0</v>
      </c>
      <c r="AH39" s="27">
        <f>'1505'!$U13+'1605'!$U13</f>
        <v>1</v>
      </c>
      <c r="AI39" s="28">
        <f t="shared" si="19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2"/>
        <v>0</v>
      </c>
      <c r="S40" s="27">
        <f>'2404'!S14+'2604'!S14</f>
        <v>0</v>
      </c>
      <c r="T40" s="28">
        <f t="shared" si="13"/>
        <v>0</v>
      </c>
      <c r="U40" s="27">
        <f>'2404'!T14+'2604'!T14</f>
        <v>0</v>
      </c>
      <c r="V40" s="28">
        <f t="shared" si="14"/>
        <v>0</v>
      </c>
      <c r="W40" s="27">
        <f>'2404'!U14+'2604'!U14</f>
        <v>0</v>
      </c>
      <c r="X40" s="28">
        <f t="shared" si="15"/>
        <v>0</v>
      </c>
      <c r="Y40" s="40">
        <v>0</v>
      </c>
      <c r="AA40" s="30" t="s">
        <v>186</v>
      </c>
      <c r="AB40" s="44">
        <f>'1505'!$R14+'1605'!$R14</f>
        <v>3</v>
      </c>
      <c r="AC40" s="29">
        <f t="shared" si="16"/>
        <v>1.5</v>
      </c>
      <c r="AD40" s="27">
        <f>'1505'!$S14+'1605'!$S14</f>
        <v>1</v>
      </c>
      <c r="AE40" s="28">
        <f t="shared" si="17"/>
        <v>0.5</v>
      </c>
      <c r="AF40" s="27">
        <f>'1505'!$T14+'1605'!$T14</f>
        <v>2</v>
      </c>
      <c r="AG40" s="28">
        <f t="shared" si="18"/>
        <v>1</v>
      </c>
      <c r="AH40" s="27">
        <f>'1505'!$U14+'1605'!$U14</f>
        <v>0</v>
      </c>
      <c r="AI40" s="28">
        <f t="shared" si="19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17</v>
      </c>
      <c r="P41" s="30" t="s">
        <v>85</v>
      </c>
      <c r="Q41" s="44">
        <f>'2404'!R15+'2604'!R15</f>
        <v>4</v>
      </c>
      <c r="R41" s="29">
        <f t="shared" si="12"/>
        <v>2</v>
      </c>
      <c r="S41" s="27">
        <f>'2404'!S15+'2604'!S15</f>
        <v>4</v>
      </c>
      <c r="T41" s="28">
        <f t="shared" si="13"/>
        <v>2</v>
      </c>
      <c r="U41" s="27">
        <f>'2404'!T15+'2604'!T15</f>
        <v>0</v>
      </c>
      <c r="V41" s="28">
        <f t="shared" si="14"/>
        <v>0</v>
      </c>
      <c r="W41" s="27">
        <f>'2404'!U15+'2604'!U15</f>
        <v>0</v>
      </c>
      <c r="X41" s="28">
        <f t="shared" si="15"/>
        <v>0</v>
      </c>
      <c r="Y41" s="40">
        <v>0</v>
      </c>
      <c r="AA41" s="30" t="s">
        <v>85</v>
      </c>
      <c r="AB41" s="44">
        <f>'1505'!$R15+'1605'!$R15</f>
        <v>2</v>
      </c>
      <c r="AC41" s="29">
        <f t="shared" si="16"/>
        <v>1</v>
      </c>
      <c r="AD41" s="27">
        <f>'1505'!$S15+'1605'!$S15</f>
        <v>2</v>
      </c>
      <c r="AE41" s="28">
        <f t="shared" si="17"/>
        <v>1</v>
      </c>
      <c r="AF41" s="27">
        <f>'1505'!$T15+'1605'!$T15</f>
        <v>0</v>
      </c>
      <c r="AG41" s="28">
        <f t="shared" si="18"/>
        <v>0</v>
      </c>
      <c r="AH41" s="27">
        <f>'1505'!$U15+'1605'!$U15</f>
        <v>0</v>
      </c>
      <c r="AI41" s="28">
        <f t="shared" si="19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16</v>
      </c>
      <c r="P42" s="30" t="s">
        <v>86</v>
      </c>
      <c r="Q42" s="44">
        <f>'2404'!R16+'2604'!R16</f>
        <v>0</v>
      </c>
      <c r="R42" s="29">
        <f t="shared" si="12"/>
        <v>0</v>
      </c>
      <c r="S42" s="27">
        <f>'2404'!S16+'2604'!S16</f>
        <v>0</v>
      </c>
      <c r="T42" s="28">
        <f t="shared" si="13"/>
        <v>0</v>
      </c>
      <c r="U42" s="27">
        <f>'2404'!T16+'2604'!T16</f>
        <v>0</v>
      </c>
      <c r="V42" s="28">
        <f t="shared" si="14"/>
        <v>0</v>
      </c>
      <c r="W42" s="27">
        <f>'2404'!U16+'2604'!U16</f>
        <v>0</v>
      </c>
      <c r="X42" s="28">
        <f t="shared" si="15"/>
        <v>0</v>
      </c>
      <c r="Y42" s="40">
        <v>0</v>
      </c>
      <c r="AA42" s="30" t="s">
        <v>86</v>
      </c>
      <c r="AB42" s="44">
        <f>'1505'!$R16+'1605'!$R16</f>
        <v>1</v>
      </c>
      <c r="AC42" s="29">
        <f t="shared" si="16"/>
        <v>0.5</v>
      </c>
      <c r="AD42" s="27">
        <f>'1505'!$S16+'1605'!$S16</f>
        <v>1</v>
      </c>
      <c r="AE42" s="28">
        <f t="shared" si="17"/>
        <v>0.5</v>
      </c>
      <c r="AF42" s="27">
        <f>'1505'!$T16+'1605'!$T16</f>
        <v>0</v>
      </c>
      <c r="AG42" s="28">
        <f t="shared" si="18"/>
        <v>0</v>
      </c>
      <c r="AH42" s="27">
        <f>'1505'!$U16+'1605'!$U16</f>
        <v>0</v>
      </c>
      <c r="AI42" s="28">
        <f t="shared" si="19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21</v>
      </c>
      <c r="P43" s="30" t="s">
        <v>87</v>
      </c>
      <c r="Q43" s="44">
        <f>'2404'!R17+'2604'!R17</f>
        <v>1</v>
      </c>
      <c r="R43" s="29">
        <f t="shared" si="12"/>
        <v>0.5</v>
      </c>
      <c r="S43" s="27">
        <f>'2404'!S17+'2604'!S17</f>
        <v>1</v>
      </c>
      <c r="T43" s="28">
        <f t="shared" si="13"/>
        <v>0.5</v>
      </c>
      <c r="U43" s="27">
        <f>'2404'!T17+'2604'!T17</f>
        <v>0</v>
      </c>
      <c r="V43" s="28">
        <f t="shared" si="14"/>
        <v>0</v>
      </c>
      <c r="W43" s="27">
        <f>'2404'!U17+'2604'!U17</f>
        <v>0</v>
      </c>
      <c r="X43" s="28">
        <f t="shared" si="15"/>
        <v>0</v>
      </c>
      <c r="Y43" s="40">
        <v>0</v>
      </c>
      <c r="AA43" s="30" t="s">
        <v>87</v>
      </c>
      <c r="AB43" s="44">
        <f>'1505'!$R17+'1605'!$R17</f>
        <v>2</v>
      </c>
      <c r="AC43" s="29">
        <f t="shared" si="16"/>
        <v>1</v>
      </c>
      <c r="AD43" s="27">
        <f>'1505'!$S17+'1605'!$S17</f>
        <v>0</v>
      </c>
      <c r="AE43" s="28">
        <f t="shared" si="17"/>
        <v>0</v>
      </c>
      <c r="AF43" s="27">
        <f>'1505'!$T17+'1605'!$T17</f>
        <v>2</v>
      </c>
      <c r="AG43" s="28">
        <f t="shared" si="18"/>
        <v>1</v>
      </c>
      <c r="AH43" s="27">
        <f>'1505'!$U17+'1605'!$U17</f>
        <v>0</v>
      </c>
      <c r="AI43" s="28">
        <f t="shared" si="19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2"/>
        <v>0.5</v>
      </c>
      <c r="S44" s="27">
        <f>'2404'!S18+'2604'!S18</f>
        <v>1</v>
      </c>
      <c r="T44" s="28">
        <f t="shared" si="13"/>
        <v>0.5</v>
      </c>
      <c r="U44" s="27">
        <f>'2404'!T18+'2604'!T18</f>
        <v>0</v>
      </c>
      <c r="V44" s="28">
        <f t="shared" si="14"/>
        <v>0</v>
      </c>
      <c r="W44" s="27">
        <f>'2404'!U18+'2604'!U18</f>
        <v>0</v>
      </c>
      <c r="X44" s="28">
        <f t="shared" si="15"/>
        <v>0</v>
      </c>
      <c r="Y44" s="40">
        <v>0</v>
      </c>
      <c r="AA44" s="53" t="s">
        <v>107</v>
      </c>
      <c r="AB44" s="44">
        <f>'1505'!$R18+'1605'!$R18</f>
        <v>1</v>
      </c>
      <c r="AC44" s="29">
        <f t="shared" si="16"/>
        <v>0.5</v>
      </c>
      <c r="AD44" s="27">
        <f>'1505'!$S18+'1605'!$S18</f>
        <v>0</v>
      </c>
      <c r="AE44" s="28">
        <f t="shared" si="17"/>
        <v>0</v>
      </c>
      <c r="AF44" s="27">
        <f>'1505'!$T18+'1605'!$T18</f>
        <v>1</v>
      </c>
      <c r="AG44" s="28">
        <f t="shared" si="18"/>
        <v>0.5</v>
      </c>
      <c r="AH44" s="27">
        <f>'1505'!$U18+'1605'!$U18</f>
        <v>0</v>
      </c>
      <c r="AI44" s="28">
        <f t="shared" si="19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111</v>
      </c>
      <c r="K46" s="41">
        <f>J46/Q5</f>
        <v>12.333333333333334</v>
      </c>
      <c r="L46" s="57">
        <f>J46/SUM($J$46:$J$48)</f>
        <v>0.6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63</v>
      </c>
      <c r="K47" s="41">
        <f>J47/Q5</f>
        <v>7</v>
      </c>
      <c r="L47" s="57">
        <f t="shared" ref="L47:L48" si="20">J47/SUM($J$46:$J$48)</f>
        <v>0.34054054054054056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17">
        <v>47</v>
      </c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1.2222222222222223</v>
      </c>
      <c r="L48" s="57">
        <f t="shared" si="20"/>
        <v>5.9459459459459463E-2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1">Q49/(Q$46-Y49)</f>
        <v>0.5</v>
      </c>
      <c r="S49" s="27">
        <f>'0205'!S4+'0305'!S4</f>
        <v>1</v>
      </c>
      <c r="T49" s="28">
        <f t="shared" ref="T49:T63" si="22">S49/($Q$46-Y49)</f>
        <v>0.5</v>
      </c>
      <c r="U49" s="27">
        <f>'0205'!T4+'0305'!T4</f>
        <v>0</v>
      </c>
      <c r="V49" s="28">
        <f t="shared" ref="V49:V63" si="23">U49/($Q$46-Y49)</f>
        <v>0</v>
      </c>
      <c r="W49" s="27">
        <f>'0205'!U4+'0305'!U4</f>
        <v>0</v>
      </c>
      <c r="X49" s="28">
        <f t="shared" ref="X49:X63" si="24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1"/>
        <v>4</v>
      </c>
      <c r="S50" s="27">
        <f>'0205'!S5+'0305'!S5</f>
        <v>8</v>
      </c>
      <c r="T50" s="28">
        <f t="shared" si="22"/>
        <v>4</v>
      </c>
      <c r="U50" s="27">
        <f>'0205'!T5+'0305'!T5</f>
        <v>0</v>
      </c>
      <c r="V50" s="28">
        <f t="shared" si="23"/>
        <v>0</v>
      </c>
      <c r="W50" s="27">
        <f>'0205'!U5+'0305'!U5</f>
        <v>0</v>
      </c>
      <c r="X50" s="28">
        <f t="shared" si="24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1"/>
        <v>2</v>
      </c>
      <c r="S51" s="27">
        <f>'0205'!S6+'0305'!S6</f>
        <v>4</v>
      </c>
      <c r="T51" s="28">
        <f t="shared" si="22"/>
        <v>2</v>
      </c>
      <c r="U51" s="27">
        <f>'0205'!T6+'0305'!T6</f>
        <v>0</v>
      </c>
      <c r="V51" s="28">
        <f t="shared" si="23"/>
        <v>0</v>
      </c>
      <c r="W51" s="27">
        <f>'0205'!U6+'0305'!U6</f>
        <v>0</v>
      </c>
      <c r="X51" s="28">
        <f t="shared" si="24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1"/>
        <v>1.5</v>
      </c>
      <c r="S52" s="27">
        <f>'0205'!S7+'0305'!S7</f>
        <v>0</v>
      </c>
      <c r="T52" s="28">
        <f t="shared" si="22"/>
        <v>0</v>
      </c>
      <c r="U52" s="27">
        <f>'0205'!T7+'0305'!T7</f>
        <v>3</v>
      </c>
      <c r="V52" s="28">
        <f t="shared" si="23"/>
        <v>1.5</v>
      </c>
      <c r="W52" s="27">
        <f>'0205'!U7+'0305'!U7</f>
        <v>0</v>
      </c>
      <c r="X52" s="28">
        <f t="shared" si="24"/>
        <v>0</v>
      </c>
      <c r="Y52" s="40">
        <v>0</v>
      </c>
    </row>
    <row r="53" spans="8:25" ht="14.25" customHeight="1" x14ac:dyDescent="0.45">
      <c r="H53" s="33" t="s">
        <v>192</v>
      </c>
      <c r="I53" s="100" t="s">
        <v>191</v>
      </c>
      <c r="J53" s="68">
        <f>'Statistics LG'!S31</f>
        <v>0.40322580645161288</v>
      </c>
      <c r="K53" s="68">
        <f>'Statistics LG'!X31</f>
        <v>0.50877192982456143</v>
      </c>
      <c r="L53" s="68">
        <f>AVERAGE(J53:K53)</f>
        <v>0.45599886813808715</v>
      </c>
      <c r="P53" s="30" t="s">
        <v>71</v>
      </c>
      <c r="Q53" s="44">
        <f>'0205'!R8+'0305'!R8</f>
        <v>1</v>
      </c>
      <c r="R53" s="29">
        <f t="shared" si="21"/>
        <v>0.5</v>
      </c>
      <c r="S53" s="27">
        <f>'0205'!S8+'0305'!S8</f>
        <v>0</v>
      </c>
      <c r="T53" s="28">
        <f t="shared" si="22"/>
        <v>0</v>
      </c>
      <c r="U53" s="27">
        <f>'0205'!T8+'0305'!T8</f>
        <v>1</v>
      </c>
      <c r="V53" s="28">
        <f t="shared" si="23"/>
        <v>0.5</v>
      </c>
      <c r="W53" s="27">
        <f>'0205'!U8+'0305'!U8</f>
        <v>0</v>
      </c>
      <c r="X53" s="28">
        <f t="shared" si="24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0.59677419354838712</v>
      </c>
      <c r="J54" s="100" t="s">
        <v>191</v>
      </c>
      <c r="K54" s="68">
        <f>'Statistics WW'!R31</f>
        <v>0.52631578947368418</v>
      </c>
      <c r="L54" s="68">
        <f>AVERAGE(I54:K54)</f>
        <v>0.56154499151103565</v>
      </c>
      <c r="P54" s="30" t="s">
        <v>75</v>
      </c>
      <c r="Q54" s="44">
        <f>'0205'!R9+'0305'!R9</f>
        <v>5</v>
      </c>
      <c r="R54" s="29">
        <f t="shared" si="21"/>
        <v>2.5</v>
      </c>
      <c r="S54" s="27">
        <f>'0205'!S9+'0305'!S9</f>
        <v>0</v>
      </c>
      <c r="T54" s="28">
        <f t="shared" si="22"/>
        <v>0</v>
      </c>
      <c r="U54" s="27">
        <f>'0205'!T9+'0305'!T9</f>
        <v>1</v>
      </c>
      <c r="V54" s="28">
        <f t="shared" si="23"/>
        <v>0.5</v>
      </c>
      <c r="W54" s="27">
        <f>'0205'!U9+'0305'!U9</f>
        <v>2</v>
      </c>
      <c r="X54" s="28">
        <f t="shared" si="24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0.49122807017543857</v>
      </c>
      <c r="J55" s="68">
        <f>1-K54</f>
        <v>0.47368421052631582</v>
      </c>
      <c r="K55" s="100" t="s">
        <v>191</v>
      </c>
      <c r="L55" s="68">
        <f>AVERAGE(I55:K55)</f>
        <v>0.48245614035087719</v>
      </c>
      <c r="P55" s="30" t="s">
        <v>78</v>
      </c>
      <c r="Q55" s="44">
        <f>'0205'!R10+'0305'!R10</f>
        <v>3</v>
      </c>
      <c r="R55" s="29">
        <f t="shared" si="21"/>
        <v>1.5</v>
      </c>
      <c r="S55" s="27">
        <f>'0205'!S10+'0305'!S10</f>
        <v>1</v>
      </c>
      <c r="T55" s="28">
        <f t="shared" si="22"/>
        <v>0.5</v>
      </c>
      <c r="U55" s="27">
        <f>'0205'!T10+'0305'!T10</f>
        <v>2</v>
      </c>
      <c r="V55" s="28">
        <f t="shared" si="23"/>
        <v>1</v>
      </c>
      <c r="W55" s="27">
        <f>'0205'!U10+'0305'!U10</f>
        <v>0</v>
      </c>
      <c r="X55" s="28">
        <f t="shared" si="24"/>
        <v>0</v>
      </c>
      <c r="Y55" s="40">
        <v>0</v>
      </c>
    </row>
    <row r="56" spans="8:25" ht="14.25" customHeight="1" x14ac:dyDescent="0.45">
      <c r="L56" s="101"/>
      <c r="M56" s="101"/>
      <c r="P56" s="30" t="s">
        <v>80</v>
      </c>
      <c r="Q56" s="44">
        <f>'0205'!R11+'0305'!R11</f>
        <v>5</v>
      </c>
      <c r="R56" s="29">
        <f t="shared" si="21"/>
        <v>2.5</v>
      </c>
      <c r="S56" s="27">
        <f>'0205'!S11+'0305'!S11</f>
        <v>2</v>
      </c>
      <c r="T56" s="28">
        <f t="shared" si="22"/>
        <v>1</v>
      </c>
      <c r="U56" s="27">
        <f>'0205'!T11+'0305'!T11</f>
        <v>3</v>
      </c>
      <c r="V56" s="28">
        <f t="shared" si="23"/>
        <v>1.5</v>
      </c>
      <c r="W56" s="27">
        <f>'0205'!U11+'0305'!U11</f>
        <v>0</v>
      </c>
      <c r="X56" s="28">
        <f t="shared" si="24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1"/>
        <v>2</v>
      </c>
      <c r="S57" s="27">
        <f>'0205'!S12+'0305'!S12</f>
        <v>1</v>
      </c>
      <c r="T57" s="28">
        <f t="shared" si="22"/>
        <v>0.5</v>
      </c>
      <c r="U57" s="27">
        <f>'0205'!T12+'0305'!T12</f>
        <v>3</v>
      </c>
      <c r="V57" s="28">
        <f t="shared" si="23"/>
        <v>1.5</v>
      </c>
      <c r="W57" s="27">
        <f>'0205'!U12+'0305'!U12</f>
        <v>0</v>
      </c>
      <c r="X57" s="28">
        <f t="shared" si="24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1"/>
        <v>1.5</v>
      </c>
      <c r="S58" s="27">
        <f>'0205'!S13+'0305'!S13</f>
        <v>3</v>
      </c>
      <c r="T58" s="28">
        <f t="shared" si="22"/>
        <v>1.5</v>
      </c>
      <c r="U58" s="27">
        <f>'0205'!T13+'0305'!T13</f>
        <v>0</v>
      </c>
      <c r="V58" s="28">
        <f t="shared" si="23"/>
        <v>0</v>
      </c>
      <c r="W58" s="27">
        <f>'0205'!U13+'0305'!U13</f>
        <v>0</v>
      </c>
      <c r="X58" s="28">
        <f t="shared" si="24"/>
        <v>0</v>
      </c>
      <c r="Y58" s="40">
        <v>0</v>
      </c>
    </row>
    <row r="59" spans="8:25" ht="14.25" customHeight="1" x14ac:dyDescent="0.45">
      <c r="H59" s="109" t="s">
        <v>216</v>
      </c>
      <c r="P59" s="30" t="s">
        <v>186</v>
      </c>
      <c r="Q59" s="44">
        <f>'0205'!R14+'0305'!R14</f>
        <v>2</v>
      </c>
      <c r="R59" s="29">
        <f t="shared" si="21"/>
        <v>1</v>
      </c>
      <c r="S59" s="27">
        <f>'0205'!S14+'0305'!S14</f>
        <v>2</v>
      </c>
      <c r="T59" s="28">
        <f t="shared" si="22"/>
        <v>1</v>
      </c>
      <c r="U59" s="27">
        <f>'0205'!T14+'0305'!T14</f>
        <v>0</v>
      </c>
      <c r="V59" s="28">
        <f t="shared" si="23"/>
        <v>0</v>
      </c>
      <c r="W59" s="27">
        <f>'0205'!U14+'0305'!U14</f>
        <v>0</v>
      </c>
      <c r="X59" s="28">
        <f t="shared" si="24"/>
        <v>0</v>
      </c>
      <c r="Y59" s="40">
        <v>0</v>
      </c>
    </row>
    <row r="60" spans="8:25" ht="14.25" customHeight="1" x14ac:dyDescent="0.45">
      <c r="H60" s="109" t="s">
        <v>214</v>
      </c>
      <c r="P60" s="30" t="s">
        <v>85</v>
      </c>
      <c r="Q60" s="44">
        <f>'0205'!R15+'0305'!R15</f>
        <v>6</v>
      </c>
      <c r="R60" s="29">
        <f t="shared" si="21"/>
        <v>6</v>
      </c>
      <c r="S60" s="27">
        <f>'0205'!S15+'0305'!S15</f>
        <v>4</v>
      </c>
      <c r="T60" s="28">
        <f t="shared" si="22"/>
        <v>4</v>
      </c>
      <c r="U60" s="27">
        <f>'0205'!T15+'0305'!T15</f>
        <v>0</v>
      </c>
      <c r="V60" s="28">
        <f t="shared" si="23"/>
        <v>0</v>
      </c>
      <c r="W60" s="27">
        <f>'0205'!U15+'0305'!U15</f>
        <v>1</v>
      </c>
      <c r="X60" s="28">
        <f t="shared" si="24"/>
        <v>1</v>
      </c>
      <c r="Y60" s="40">
        <v>1</v>
      </c>
    </row>
    <row r="61" spans="8:25" ht="14.25" customHeight="1" x14ac:dyDescent="0.45">
      <c r="H61" s="109" t="s">
        <v>215</v>
      </c>
      <c r="P61" s="30" t="s">
        <v>86</v>
      </c>
      <c r="Q61" s="44">
        <f>'0205'!R16+'0305'!R16</f>
        <v>0</v>
      </c>
      <c r="R61" s="29">
        <f t="shared" si="21"/>
        <v>0</v>
      </c>
      <c r="S61" s="27">
        <f>'0205'!S16+'0305'!S16</f>
        <v>0</v>
      </c>
      <c r="T61" s="28">
        <f t="shared" si="22"/>
        <v>0</v>
      </c>
      <c r="U61" s="27">
        <f>'0205'!T16+'0305'!T16</f>
        <v>0</v>
      </c>
      <c r="V61" s="28">
        <f t="shared" si="23"/>
        <v>0</v>
      </c>
      <c r="W61" s="27">
        <f>'0205'!U16+'0305'!U16</f>
        <v>0</v>
      </c>
      <c r="X61" s="28">
        <f t="shared" si="24"/>
        <v>0</v>
      </c>
      <c r="Y61" s="40">
        <v>0</v>
      </c>
    </row>
    <row r="62" spans="8:25" ht="14.25" customHeight="1" x14ac:dyDescent="0.45">
      <c r="H62" s="116" t="s">
        <v>219</v>
      </c>
      <c r="P62" s="30" t="s">
        <v>87</v>
      </c>
      <c r="Q62" s="44">
        <f>'0205'!R17+'0305'!R17</f>
        <v>0</v>
      </c>
      <c r="R62" s="29">
        <f t="shared" si="21"/>
        <v>0</v>
      </c>
      <c r="S62" s="27">
        <f>'0205'!S17+'0305'!S17</f>
        <v>0</v>
      </c>
      <c r="T62" s="28">
        <f t="shared" si="22"/>
        <v>0</v>
      </c>
      <c r="U62" s="27">
        <f>'0205'!T17+'0305'!T17</f>
        <v>0</v>
      </c>
      <c r="V62" s="28">
        <f t="shared" si="23"/>
        <v>0</v>
      </c>
      <c r="W62" s="27">
        <f>'0205'!U17+'0305'!U17</f>
        <v>0</v>
      </c>
      <c r="X62" s="28">
        <f t="shared" si="24"/>
        <v>0</v>
      </c>
      <c r="Y62" s="40">
        <v>0</v>
      </c>
    </row>
    <row r="63" spans="8:25" ht="14.25" customHeight="1" x14ac:dyDescent="0.45">
      <c r="H63" s="116" t="s">
        <v>220</v>
      </c>
      <c r="P63" s="53" t="s">
        <v>107</v>
      </c>
      <c r="Q63" s="44">
        <f>'0205'!R18+'0305'!R18</f>
        <v>2</v>
      </c>
      <c r="R63" s="29">
        <f t="shared" si="21"/>
        <v>1</v>
      </c>
      <c r="S63" s="27">
        <f>'0205'!S18+'0305'!S18</f>
        <v>2</v>
      </c>
      <c r="T63" s="28">
        <f t="shared" si="22"/>
        <v>1</v>
      </c>
      <c r="U63" s="27">
        <f>'0205'!T18+'0305'!T18</f>
        <v>0</v>
      </c>
      <c r="V63" s="28">
        <f t="shared" si="23"/>
        <v>0</v>
      </c>
      <c r="W63" s="27">
        <f>'0205'!U18+'0305'!U18</f>
        <v>0</v>
      </c>
      <c r="X63" s="28">
        <f t="shared" si="24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5">Q67/(Q$65-Y67)</f>
        <v>1.3333333333333333</v>
      </c>
      <c r="S67" s="27">
        <f>'0805'!$S3+'0905'!$S3+'1005'!$S3</f>
        <v>2</v>
      </c>
      <c r="T67" s="28">
        <f t="shared" ref="T67:T82" si="26">S67/($Q$65-Y67)</f>
        <v>0.66666666666666663</v>
      </c>
      <c r="U67" s="27">
        <f>'0805'!$T3+'0905'!$T3+'1005'!$T3</f>
        <v>2</v>
      </c>
      <c r="V67" s="28">
        <f t="shared" ref="V67:V82" si="27">U67/($Q$65-Y67)</f>
        <v>0.66666666666666663</v>
      </c>
      <c r="W67" s="27">
        <f>'0805'!$U3+'0905'!$U3+'1005'!$U3</f>
        <v>0</v>
      </c>
      <c r="X67" s="28">
        <f t="shared" ref="X67:X82" si="28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5"/>
        <v>1.3333333333333333</v>
      </c>
      <c r="S68" s="27">
        <f>'0805'!$S4+'0905'!$S4+'1005'!$S4</f>
        <v>4</v>
      </c>
      <c r="T68" s="28">
        <f t="shared" si="26"/>
        <v>1.3333333333333333</v>
      </c>
      <c r="U68" s="27">
        <f>'0805'!$T4+'0905'!$T4+'1005'!$T4</f>
        <v>0</v>
      </c>
      <c r="V68" s="28">
        <f t="shared" si="27"/>
        <v>0</v>
      </c>
      <c r="W68" s="27">
        <f>'0805'!$U4+'0905'!$U4+'1005'!$U4</f>
        <v>0</v>
      </c>
      <c r="X68" s="28">
        <f t="shared" si="28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5"/>
        <v>2</v>
      </c>
      <c r="S69" s="27">
        <f>'0805'!$S5+'0905'!$S5+'1005'!$S5</f>
        <v>2</v>
      </c>
      <c r="T69" s="28">
        <f t="shared" si="26"/>
        <v>2</v>
      </c>
      <c r="U69" s="27">
        <f>'0805'!$T5+'0905'!$T5+'1005'!$T5</f>
        <v>0</v>
      </c>
      <c r="V69" s="28">
        <f t="shared" si="27"/>
        <v>0</v>
      </c>
      <c r="W69" s="27">
        <f>'0805'!$U5+'0905'!$U5+'1005'!$U5</f>
        <v>0</v>
      </c>
      <c r="X69" s="28">
        <f t="shared" si="28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5"/>
        <v>6.333333333333333</v>
      </c>
      <c r="S70" s="27">
        <f>'0805'!$S6+'0905'!$S6+'1005'!$S6</f>
        <v>17</v>
      </c>
      <c r="T70" s="28">
        <f t="shared" si="26"/>
        <v>5.666666666666667</v>
      </c>
      <c r="U70" s="27">
        <f>'0805'!$T6+'0905'!$T6+'1005'!$T6</f>
        <v>2</v>
      </c>
      <c r="V70" s="28">
        <f t="shared" si="27"/>
        <v>0.66666666666666663</v>
      </c>
      <c r="W70" s="27">
        <f>'0805'!$U6+'0905'!$U6+'1005'!$U6</f>
        <v>0</v>
      </c>
      <c r="X70" s="28">
        <f t="shared" si="28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5"/>
        <v>3.6666666666666665</v>
      </c>
      <c r="S71" s="27">
        <f>'0805'!$S7+'0905'!$S7+'1005'!$S7</f>
        <v>2</v>
      </c>
      <c r="T71" s="28">
        <f t="shared" si="26"/>
        <v>0.66666666666666663</v>
      </c>
      <c r="U71" s="27">
        <f>'0805'!$T7+'0905'!$T7+'1005'!$T7</f>
        <v>9</v>
      </c>
      <c r="V71" s="28">
        <f t="shared" si="27"/>
        <v>3</v>
      </c>
      <c r="W71" s="27">
        <f>'0805'!$U7+'0905'!$U7+'1005'!$U7</f>
        <v>0</v>
      </c>
      <c r="X71" s="28">
        <f t="shared" si="28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5"/>
        <v>#DIV/0!</v>
      </c>
      <c r="S72" s="27">
        <f>'0805'!$S8+'0905'!$S8+'1005'!$S8</f>
        <v>0</v>
      </c>
      <c r="T72" s="28" t="e">
        <f t="shared" si="26"/>
        <v>#DIV/0!</v>
      </c>
      <c r="U72" s="27">
        <f>'0805'!$T8+'0905'!$T8+'1005'!$T8</f>
        <v>0</v>
      </c>
      <c r="V72" s="28" t="e">
        <f t="shared" si="27"/>
        <v>#DIV/0!</v>
      </c>
      <c r="W72" s="27">
        <f>'0805'!$U8+'0905'!$U8+'1005'!$U8</f>
        <v>0</v>
      </c>
      <c r="X72" s="28" t="e">
        <f t="shared" si="28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5"/>
        <v>1.3333333333333333</v>
      </c>
      <c r="S73" s="27">
        <f>'0805'!$S9+'0905'!$S9+'1005'!$S9</f>
        <v>2</v>
      </c>
      <c r="T73" s="28">
        <f t="shared" si="26"/>
        <v>0.66666666666666663</v>
      </c>
      <c r="U73" s="27">
        <f>'0805'!$T9+'0905'!$T9+'1005'!$T9</f>
        <v>0</v>
      </c>
      <c r="V73" s="28">
        <f t="shared" si="27"/>
        <v>0</v>
      </c>
      <c r="W73" s="27">
        <f>'0805'!$U9+'0905'!$U9+'1005'!$U9</f>
        <v>1</v>
      </c>
      <c r="X73" s="28">
        <f t="shared" si="28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5"/>
        <v>3.3333333333333335</v>
      </c>
      <c r="S74" s="27">
        <f>'0805'!$S10+'0905'!$S10+'1005'!$S10</f>
        <v>4</v>
      </c>
      <c r="T74" s="28">
        <f t="shared" si="26"/>
        <v>1.3333333333333333</v>
      </c>
      <c r="U74" s="27">
        <f>'0805'!$T10+'0905'!$T10+'1005'!$T10</f>
        <v>6</v>
      </c>
      <c r="V74" s="28">
        <f t="shared" si="27"/>
        <v>2</v>
      </c>
      <c r="W74" s="27">
        <f>'0805'!$U10+'0905'!$U10+'1005'!$U10</f>
        <v>0</v>
      </c>
      <c r="X74" s="28">
        <f t="shared" si="28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5"/>
        <v>3</v>
      </c>
      <c r="S75" s="27">
        <f>'0805'!$S11+'0905'!$S11+'1005'!$S11</f>
        <v>0</v>
      </c>
      <c r="T75" s="28">
        <f t="shared" si="26"/>
        <v>0</v>
      </c>
      <c r="U75" s="27">
        <f>'0805'!$T11+'0905'!$T11+'1005'!$T11</f>
        <v>9</v>
      </c>
      <c r="V75" s="28">
        <f t="shared" si="27"/>
        <v>3</v>
      </c>
      <c r="W75" s="27">
        <f>'0805'!$U11+'0905'!$U11+'1005'!$U11</f>
        <v>0</v>
      </c>
      <c r="X75" s="28">
        <f t="shared" si="28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5"/>
        <v>0.66666666666666663</v>
      </c>
      <c r="S76" s="27">
        <f>'0805'!$S12+'0905'!$S12+'1005'!$S12</f>
        <v>0</v>
      </c>
      <c r="T76" s="28">
        <f t="shared" si="26"/>
        <v>0</v>
      </c>
      <c r="U76" s="27">
        <f>'0805'!$T12+'0905'!$T12+'1005'!$T12</f>
        <v>2</v>
      </c>
      <c r="V76" s="28">
        <f t="shared" si="27"/>
        <v>0.66666666666666663</v>
      </c>
      <c r="W76" s="27">
        <f>'0805'!$U12+'0905'!$U12+'1005'!$U12</f>
        <v>0</v>
      </c>
      <c r="X76" s="28">
        <f t="shared" si="28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5"/>
        <v>0</v>
      </c>
      <c r="S77" s="27">
        <f>'0805'!$S13+'0905'!$S13+'1005'!$S13</f>
        <v>0</v>
      </c>
      <c r="T77" s="28">
        <f t="shared" si="26"/>
        <v>0</v>
      </c>
      <c r="U77" s="27">
        <f>'0805'!$T13+'0905'!$T13+'1005'!$T13</f>
        <v>0</v>
      </c>
      <c r="V77" s="28">
        <f t="shared" si="27"/>
        <v>0</v>
      </c>
      <c r="W77" s="27">
        <f>'0805'!$U13+'0905'!$U13+'1005'!$U13</f>
        <v>0</v>
      </c>
      <c r="X77" s="28">
        <f t="shared" si="28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5"/>
        <v>1</v>
      </c>
      <c r="S78" s="27">
        <f>'0805'!$S14+'0905'!$S14+'1005'!$S14</f>
        <v>1</v>
      </c>
      <c r="T78" s="28">
        <f t="shared" si="26"/>
        <v>0.33333333333333331</v>
      </c>
      <c r="U78" s="27">
        <f>'0805'!$T14+'0905'!$T14+'1005'!$T14</f>
        <v>2</v>
      </c>
      <c r="V78" s="28">
        <f t="shared" si="27"/>
        <v>0.66666666666666663</v>
      </c>
      <c r="W78" s="27">
        <f>'0805'!$U14+'0905'!$U14+'1005'!$U14</f>
        <v>0</v>
      </c>
      <c r="X78" s="28">
        <f t="shared" si="28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5"/>
        <v>4</v>
      </c>
      <c r="S79" s="27">
        <f>'0805'!$S15+'0905'!$S15+'1005'!$S15</f>
        <v>2</v>
      </c>
      <c r="T79" s="28">
        <f t="shared" si="26"/>
        <v>2</v>
      </c>
      <c r="U79" s="27">
        <f>'0805'!$T15+'0905'!$T15+'1005'!$T15</f>
        <v>0</v>
      </c>
      <c r="V79" s="28">
        <f t="shared" si="27"/>
        <v>0</v>
      </c>
      <c r="W79" s="27">
        <f>'0805'!$U15+'0905'!$U15+'1005'!$U15</f>
        <v>1</v>
      </c>
      <c r="X79" s="28">
        <f t="shared" si="28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5"/>
        <v>0.33333333333333331</v>
      </c>
      <c r="S80" s="27">
        <f>'0805'!$S16+'0905'!$S16+'1005'!$S16</f>
        <v>1</v>
      </c>
      <c r="T80" s="28">
        <f t="shared" si="26"/>
        <v>0.33333333333333331</v>
      </c>
      <c r="U80" s="27">
        <f>'0805'!$T16+'0905'!$T16+'1005'!$T16</f>
        <v>0</v>
      </c>
      <c r="V80" s="28">
        <f t="shared" si="27"/>
        <v>0</v>
      </c>
      <c r="W80" s="27">
        <f>'0805'!$U16+'0905'!$U16+'1005'!$U16</f>
        <v>0</v>
      </c>
      <c r="X80" s="28">
        <f t="shared" si="28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5"/>
        <v>1</v>
      </c>
      <c r="S81" s="27">
        <f>'0805'!$S17+'0905'!$S17+'1005'!$S17</f>
        <v>2</v>
      </c>
      <c r="T81" s="28">
        <f t="shared" si="26"/>
        <v>0.66666666666666663</v>
      </c>
      <c r="U81" s="27">
        <f>'0805'!$T17+'0905'!$T17+'1005'!$T17</f>
        <v>1</v>
      </c>
      <c r="V81" s="28">
        <f t="shared" si="27"/>
        <v>0.33333333333333331</v>
      </c>
      <c r="W81" s="27">
        <f>'0805'!$U17+'0905'!$U17+'1005'!$U17</f>
        <v>0</v>
      </c>
      <c r="X81" s="28">
        <f t="shared" si="28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5"/>
        <v>0</v>
      </c>
      <c r="S82" s="27">
        <f>'0805'!$S18+'0905'!$S18+'1005'!$S18</f>
        <v>0</v>
      </c>
      <c r="T82" s="28">
        <f t="shared" si="26"/>
        <v>0</v>
      </c>
      <c r="U82" s="27">
        <f>'0805'!$T18+'0905'!$T18+'1005'!$T18</f>
        <v>0</v>
      </c>
      <c r="V82" s="28">
        <f t="shared" si="27"/>
        <v>0</v>
      </c>
      <c r="W82" s="27">
        <f>'0805'!$U18+'0905'!$U18+'1005'!$U18</f>
        <v>0</v>
      </c>
      <c r="X82" s="28">
        <f t="shared" si="28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abSelected="1" topLeftCell="V1" zoomScale="70" zoomScaleNormal="70" workbookViewId="0">
      <selection activeCell="AP25" sqref="AP25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9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54</v>
      </c>
      <c r="I4" s="1">
        <f>SUM(C4:C30)</f>
        <v>65</v>
      </c>
      <c r="J4" s="1">
        <f>SUM(D4:D30)</f>
        <v>17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0.22222222222222221</v>
      </c>
      <c r="AF4" s="63">
        <f>'2404'!AC3+'2604'!AC3+'0205'!AC3+'0305'!AC3+'0805'!AC3+'0905'!AC3+'1005'!AC3+'1505'!AC3+'1605'!AC3</f>
        <v>2</v>
      </c>
      <c r="AG4" s="104">
        <f>Table2[[#This Row],[Finishes]]/($AE$2-Table2[[#This Row],[DNP]])</f>
        <v>0.22222222222222221</v>
      </c>
      <c r="AH4" s="63">
        <f>'2404'!AD3+'2604'!AD3+'0205'!AD3+'0305'!AD3+'0805'!AD3+'0905'!AD3+'1005'!AD3+'1505'!AD3+'1605'!AD3</f>
        <v>0</v>
      </c>
      <c r="AI4" s="104">
        <f>Table2[[#This Row],[Midranges]]/($AE$2-Table2[[#This Row],[DNP]])</f>
        <v>0</v>
      </c>
      <c r="AJ4" s="63">
        <f>'2404'!AE3+'2604'!AE3+'0205'!AE3+'0305'!AE3+'0805'!AE3+'0905'!AE3+'1005'!AE3+'1505'!AE3+'1605'!AE3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0.44444444444444442</v>
      </c>
      <c r="AO4" s="57">
        <f>Table2[[#This Row],[Avg P]]/(Table2[[#This Row],[Avg P]]+AN4)</f>
        <v>0.33333333333333331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0.25</v>
      </c>
      <c r="AF5" s="63">
        <f>'2404'!AC4+'2604'!AC4+'0205'!AC4+'0305'!AC4+'0805'!AC4+'0905'!AC4+'1005'!AC4+'1505'!AC4+'1605'!AC4</f>
        <v>2</v>
      </c>
      <c r="AG5" s="104">
        <f>Table2[[#This Row],[Finishes]]/($AE$2-Table2[[#This Row],[DNP]])</f>
        <v>0.25</v>
      </c>
      <c r="AH5" s="63">
        <f>'2404'!AD4+'2604'!AD4+'0205'!AD4+'0305'!AD4+'0805'!AD4+'0905'!AD4+'1005'!AD4+'1505'!AD4+'1605'!AD4</f>
        <v>0</v>
      </c>
      <c r="AI5" s="104">
        <f>Table2[[#This Row],[Midranges]]/($AE$2-Table2[[#This Row],[DNP]])</f>
        <v>0</v>
      </c>
      <c r="AJ5" s="63">
        <f>'2404'!AE4+'2604'!AE4+'0205'!AE4+'0305'!AE4+'0805'!AE4+'0905'!AE4+'1005'!AE4+'1505'!AE4+'1605'!AE4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0.625</v>
      </c>
      <c r="AO5" s="57">
        <f>Table2[[#This Row],[Avg P]]/(Table2[[#This Row],[Avg P]]+AN5)</f>
        <v>0.2857142857142857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14</v>
      </c>
      <c r="AE6" s="62">
        <f>Table2[[#This Row],[Points]]/($AE$2-Table2[[#This Row],[DNP]])</f>
        <v>2.3333333333333335</v>
      </c>
      <c r="AF6" s="63">
        <f>'2404'!AC5+'2604'!AC5+'0205'!AC5+'0305'!AC5+'0805'!AC5+'0905'!AC5+'1005'!AC5+'1505'!AC5+'1605'!AC5</f>
        <v>14</v>
      </c>
      <c r="AG6" s="104">
        <f>Table2[[#This Row],[Finishes]]/($AE$2-Table2[[#This Row],[DNP]])</f>
        <v>2.3333333333333335</v>
      </c>
      <c r="AH6" s="63">
        <f>'2404'!AD5+'2604'!AD5+'0205'!AD5+'0305'!AD5+'0805'!AD5+'0905'!AD5+'1005'!AD5+'1505'!AD5+'1605'!AD5</f>
        <v>0</v>
      </c>
      <c r="AI6" s="104">
        <f>Table2[[#This Row],[Midranges]]/($AE$2-Table2[[#This Row],[DNP]])</f>
        <v>0</v>
      </c>
      <c r="AJ6" s="63">
        <f>'2404'!AE5+'2604'!AE5+'0205'!AE5+'0305'!AE5+'0805'!AE5+'0905'!AE5+'1005'!AE5+'1505'!AE5+'1605'!AE5</f>
        <v>0</v>
      </c>
      <c r="AK6" s="64">
        <f>Table2[[#This Row],[Threes]]/($AE$2-Table2[[#This Row],[DNP]])</f>
        <v>0</v>
      </c>
      <c r="AL6" s="91">
        <f>'Stats Global'!Z10</f>
        <v>3</v>
      </c>
      <c r="AN6" s="41">
        <f>'Stats Global'!R10-Table2[[#This Row],[Avg P]]</f>
        <v>0.5</v>
      </c>
      <c r="AO6" s="57">
        <f>Table2[[#This Row],[Avg P]]/(Table2[[#This Row],[Avg P]]+AN6)</f>
        <v>0.82352941176470584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21</v>
      </c>
      <c r="AE7" s="62">
        <f>Table2[[#This Row],[Points]]/($AE$2-Table2[[#This Row],[DNP]])</f>
        <v>2.3333333333333335</v>
      </c>
      <c r="AF7" s="63">
        <f>'2404'!AC6+'2604'!AC6+'0205'!AC6+'0305'!AC6+'0805'!AC6+'0905'!AC6+'1005'!AC6+'1505'!AC6+'1605'!AC6</f>
        <v>20</v>
      </c>
      <c r="AG7" s="104">
        <f>Table2[[#This Row],[Finishes]]/($AE$2-Table2[[#This Row],[DNP]])</f>
        <v>2.2222222222222223</v>
      </c>
      <c r="AH7" s="63">
        <f>'2404'!AD6+'2604'!AD6+'0205'!AD6+'0305'!AD6+'0805'!AD6+'0905'!AD6+'1005'!AD6+'1505'!AD6+'1605'!AD6</f>
        <v>1</v>
      </c>
      <c r="AI7" s="104">
        <f>Table2[[#This Row],[Midranges]]/($AE$2-Table2[[#This Row],[DNP]])</f>
        <v>0.1111111111111111</v>
      </c>
      <c r="AJ7" s="63">
        <f>'2404'!AE6+'2604'!AE6+'0205'!AE6+'0305'!AE6+'0805'!AE6+'0905'!AE6+'1005'!AE6+'1505'!AE6+'1605'!AE6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1.5555555555555554</v>
      </c>
      <c r="AO7" s="57">
        <f>Table2[[#This Row],[Avg P]]/(Table2[[#This Row],[Avg P]]+AN7)</f>
        <v>0.60000000000000009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12</v>
      </c>
      <c r="AE8" s="62">
        <f>Table2[[#This Row],[Points]]/($AE$2-Table2[[#This Row],[DNP]])</f>
        <v>1.3333333333333333</v>
      </c>
      <c r="AF8" s="63">
        <f>'2404'!AC7+'2604'!AC7+'0205'!AC7+'0305'!AC7+'0805'!AC7+'0905'!AC7+'1005'!AC7+'1505'!AC7+'1605'!AC7</f>
        <v>5</v>
      </c>
      <c r="AG8" s="104">
        <f>Table2[[#This Row],[Finishes]]/($AE$2-Table2[[#This Row],[DNP]])</f>
        <v>0.55555555555555558</v>
      </c>
      <c r="AH8" s="63">
        <f>'2404'!AD7+'2604'!AD7+'0205'!AD7+'0305'!AD7+'0805'!AD7+'0905'!AD7+'1005'!AD7+'1505'!AD7+'1605'!AD7</f>
        <v>5</v>
      </c>
      <c r="AI8" s="104">
        <f>Table2[[#This Row],[Midranges]]/($AE$2-Table2[[#This Row],[DNP]])</f>
        <v>0.55555555555555558</v>
      </c>
      <c r="AJ8" s="63">
        <f>'2404'!AE7+'2604'!AE7+'0205'!AE7+'0305'!AE7+'0805'!AE7+'0905'!AE7+'1005'!AE7+'1505'!AE7+'1605'!AE7</f>
        <v>1</v>
      </c>
      <c r="AK8" s="64">
        <f>Table2[[#This Row],[Threes]]/($AE$2-Table2[[#This Row],[DNP]])</f>
        <v>0.1111111111111111</v>
      </c>
      <c r="AL8" s="91">
        <f>'Stats Global'!Z12</f>
        <v>0</v>
      </c>
      <c r="AN8" s="41">
        <f>'Stats Global'!R12-Table2[[#This Row],[Avg P]]</f>
        <v>1.3333333333333333</v>
      </c>
      <c r="AO8" s="57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2</v>
      </c>
      <c r="AE9" s="62">
        <f>Table2[[#This Row],[Points]]/($AE$2-Table2[[#This Row],[DNP]])</f>
        <v>0.33333333333333331</v>
      </c>
      <c r="AF9" s="63">
        <f>'2404'!AC8+'2604'!AC8+'0205'!AC8+'0305'!AC8+'0805'!AC8+'0905'!AC8+'1005'!AC8+'1505'!AC8+'1605'!AC8</f>
        <v>1</v>
      </c>
      <c r="AG9" s="104">
        <f>Table2[[#This Row],[Finishes]]/($AE$2-Table2[[#This Row],[DNP]])</f>
        <v>0.16666666666666666</v>
      </c>
      <c r="AH9" s="63">
        <f>'2404'!AD8+'2604'!AD8+'0205'!AD8+'0305'!AD8+'0805'!AD8+'0905'!AD8+'1005'!AD8+'1505'!AD8+'1605'!AD8</f>
        <v>1</v>
      </c>
      <c r="AI9" s="104">
        <f>Table2[[#This Row],[Midranges]]/($AE$2-Table2[[#This Row],[DNP]])</f>
        <v>0.16666666666666666</v>
      </c>
      <c r="AJ9" s="63">
        <f>'2404'!AE8+'2604'!AE8+'0205'!AE8+'0305'!AE8+'0805'!AE8+'0905'!AE8+'1005'!AE8+'1505'!AE8+'1605'!AE8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0.5</v>
      </c>
      <c r="AO9" s="57">
        <f>Table2[[#This Row],[Avg P]]/(Table2[[#This Row],[Avg P]]+AN9)</f>
        <v>0.4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120" t="s">
        <v>53</v>
      </c>
      <c r="AD10" s="121">
        <f>Table2[[#This Row],[Finishes]]+Table2[[#This Row],[Midranges]]+Table2[[#This Row],[Threes]]+Table2[[#This Row],[Threes]]</f>
        <v>6</v>
      </c>
      <c r="AE10" s="122">
        <f>Table2[[#This Row],[Points]]/($AE$2-Table2[[#This Row],[DNP]])</f>
        <v>0.66666666666666663</v>
      </c>
      <c r="AF10" s="123">
        <f>'2404'!AC9+'2604'!AC9+'0205'!AC9+'0305'!AC9+'0805'!AC9+'0905'!AC9+'1005'!AC9+'1505'!AC9+'1605'!AC9</f>
        <v>0</v>
      </c>
      <c r="AG10" s="124">
        <f>Table2[[#This Row],[Finishes]]/($AE$2-Table2[[#This Row],[DNP]])</f>
        <v>0</v>
      </c>
      <c r="AH10" s="123">
        <f>'2404'!AD9+'2604'!AD9+'0205'!AD9+'0305'!AD9+'0805'!AD9+'0905'!AD9+'1005'!AD9+'1505'!AD9+'1605'!AD9</f>
        <v>0</v>
      </c>
      <c r="AI10" s="124">
        <f>Table2[[#This Row],[Midranges]]/($AE$2-Table2[[#This Row],[DNP]])</f>
        <v>0</v>
      </c>
      <c r="AJ10" s="123">
        <f>'2404'!AE9+'2604'!AE9+'0205'!AE9+'0305'!AE9+'0805'!AE9+'0905'!AE9+'1005'!AE9+'1505'!AE9+'1605'!AE9</f>
        <v>3</v>
      </c>
      <c r="AK10" s="125">
        <f>Table2[[#This Row],[Threes]]/($AE$2-Table2[[#This Row],[DNP]])</f>
        <v>0.33333333333333331</v>
      </c>
      <c r="AL10" s="126">
        <f>'Stats Global'!Z14</f>
        <v>0</v>
      </c>
      <c r="AN10" s="127">
        <f>'Stats Global'!R14-Table2[[#This Row],[Avg P]]</f>
        <v>0.88888888888888895</v>
      </c>
      <c r="AO10" s="129">
        <f>Table2[[#This Row],[Avg P]]/(Table2[[#This Row],[Avg P]]+AN10)</f>
        <v>0.42857142857142855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225</v>
      </c>
      <c r="F11" t="s">
        <v>53</v>
      </c>
      <c r="I11" s="1" t="s">
        <v>115</v>
      </c>
      <c r="J11" s="18"/>
      <c r="L11" s="17"/>
      <c r="M11" s="17"/>
      <c r="N11" s="17">
        <v>1</v>
      </c>
      <c r="O11" s="17">
        <v>1</v>
      </c>
      <c r="P11" s="17">
        <v>1</v>
      </c>
      <c r="Q11" s="17">
        <v>1</v>
      </c>
      <c r="S11" s="17">
        <f>COUNTIF('1505'!$X$4:$X$40,"LG/WW")</f>
        <v>2</v>
      </c>
      <c r="T11" s="17">
        <f>COUNTIF('1505'!$Y$4:$Y$40,"WW/LG")</f>
        <v>7</v>
      </c>
      <c r="U11" s="17"/>
      <c r="V11" s="17"/>
      <c r="X11" s="17">
        <f>COUNTIF('1505'!$X$4:$X$40,"LG/5M")</f>
        <v>4</v>
      </c>
      <c r="Y11" s="17">
        <f>COUNTIF('1505'!$Z$4:$Z$40,"5M/LG")</f>
        <v>0</v>
      </c>
      <c r="Z11" s="17"/>
      <c r="AA11" s="17"/>
      <c r="AC11" s="120" t="s">
        <v>56</v>
      </c>
      <c r="AD11" s="121">
        <f>Table2[[#This Row],[Finishes]]+Table2[[#This Row],[Midranges]]+Table2[[#This Row],[Threes]]+Table2[[#This Row],[Threes]]</f>
        <v>6</v>
      </c>
      <c r="AE11" s="122">
        <f>Table2[[#This Row],[Points]]/($AE$2-Table2[[#This Row],[DNP]])</f>
        <v>0.66666666666666663</v>
      </c>
      <c r="AF11" s="123">
        <f>'2404'!AC10+'2604'!AC10+'0205'!AC10+'0305'!AC10+'0805'!AC10+'0905'!AC10+'1005'!AC10+'1505'!AC10+'1605'!AC10</f>
        <v>2</v>
      </c>
      <c r="AG11" s="124">
        <f>Table2[[#This Row],[Finishes]]/($AE$2-Table2[[#This Row],[DNP]])</f>
        <v>0.22222222222222221</v>
      </c>
      <c r="AH11" s="123">
        <f>'2404'!AD10+'2604'!AD10+'0205'!AD10+'0305'!AD10+'0805'!AD10+'0905'!AD10+'1005'!AD10+'1505'!AD10+'1605'!AD10</f>
        <v>4</v>
      </c>
      <c r="AI11" s="124">
        <f>Table2[[#This Row],[Midranges]]/($AE$2-Table2[[#This Row],[DNP]])</f>
        <v>0.44444444444444442</v>
      </c>
      <c r="AJ11" s="123">
        <f>'2404'!AE10+'2604'!AE10+'0205'!AE10+'0305'!AE10+'0805'!AE10+'0905'!AE10+'1005'!AE10+'1505'!AE10+'1605'!AE10</f>
        <v>0</v>
      </c>
      <c r="AK11" s="125">
        <f>Table2[[#This Row],[Threes]]/($AE$2-Table2[[#This Row],[DNP]])</f>
        <v>0</v>
      </c>
      <c r="AL11" s="126">
        <f>'Stats Global'!Z15</f>
        <v>0</v>
      </c>
      <c r="AN11" s="127">
        <f>'Stats Global'!R15-Table2[[#This Row],[Avg P]]</f>
        <v>0.77777777777777779</v>
      </c>
      <c r="AO11" s="129">
        <f>Table2[[#This Row],[Avg P]]/(Table2[[#This Row],[Avg P]]+AN11)</f>
        <v>0.46153846153846151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226</v>
      </c>
      <c r="F12" t="s">
        <v>72</v>
      </c>
      <c r="I12" s="1" t="s">
        <v>116</v>
      </c>
      <c r="J12" s="18"/>
      <c r="L12" s="17"/>
      <c r="M12" s="17"/>
      <c r="N12" s="17"/>
      <c r="O12" s="17"/>
      <c r="P12" s="17"/>
      <c r="Q12" s="17"/>
      <c r="S12" s="17">
        <f>COUNTIF('1605'!$X$4:$X$40,"LG/WW")</f>
        <v>2</v>
      </c>
      <c r="T12" s="17">
        <f>COUNTIF('1605'!$Y$4:$Y$40,"WW/LG")</f>
        <v>4</v>
      </c>
      <c r="U12" s="17"/>
      <c r="V12" s="17"/>
      <c r="X12" s="17">
        <f>COUNTIF('1605'!$X$4:$X$40,"LG/5M")</f>
        <v>3</v>
      </c>
      <c r="Y12" s="17">
        <f>COUNTIF('1605'!$Z$4:$Z$40,"5M/LG")</f>
        <v>6</v>
      </c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6</v>
      </c>
      <c r="AE12" s="62">
        <f>Table2[[#This Row],[Points]]/($AE$2-Table2[[#This Row],[DNP]])</f>
        <v>0.75</v>
      </c>
      <c r="AF12" s="63">
        <f>'2404'!AC11+'2604'!AC11+'0205'!AC11+'0305'!AC11+'0805'!AC11+'0905'!AC11+'1005'!AC11+'1505'!AC11+'1605'!AC11</f>
        <v>0</v>
      </c>
      <c r="AG12" s="104">
        <f>Table2[[#This Row],[Finishes]]/($AE$2-Table2[[#This Row],[DNP]])</f>
        <v>0</v>
      </c>
      <c r="AH12" s="63">
        <f>'2404'!AD11+'2604'!AD11+'0205'!AD11+'0305'!AD11+'0805'!AD11+'0905'!AD11+'1005'!AD11+'1505'!AD11+'1605'!AD11</f>
        <v>6</v>
      </c>
      <c r="AI12" s="104">
        <f>Table2[[#This Row],[Midranges]]/($AE$2-Table2[[#This Row],[DNP]])</f>
        <v>0.75</v>
      </c>
      <c r="AJ12" s="63">
        <f>'2404'!AE11+'2604'!AE11+'0205'!AE11+'0305'!AE11+'0805'!AE11+'0905'!AE11+'1005'!AE11+'1505'!AE11+'1605'!AE11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0.27272727272727271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0.33333333333333331</v>
      </c>
      <c r="AF13" s="63">
        <f>'2404'!AC12+'2604'!AC12+'0205'!AC12+'0305'!AC12+'0805'!AC12+'0905'!AC12+'1005'!AC12+'1505'!AC12+'1605'!AC12</f>
        <v>1</v>
      </c>
      <c r="AG13" s="104">
        <f>Table2[[#This Row],[Finishes]]/($AE$2-Table2[[#This Row],[DNP]])</f>
        <v>0.1111111111111111</v>
      </c>
      <c r="AH13" s="63">
        <f>'2404'!AD12+'2604'!AD12+'0205'!AD12+'0305'!AD12+'0805'!AD12+'0905'!AD12+'1005'!AD12+'1505'!AD12+'1605'!AD12</f>
        <v>2</v>
      </c>
      <c r="AI13" s="104">
        <f>Table2[[#This Row],[Midranges]]/($AE$2-Table2[[#This Row],[DNP]])</f>
        <v>0.22222222222222221</v>
      </c>
      <c r="AJ13" s="63">
        <f>'2404'!AE12+'2604'!AE12+'0205'!AE12+'0305'!AE12+'0805'!AE12+'0905'!AE12+'1005'!AE12+'1505'!AE12+'1605'!AE12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0.55555555555555558</v>
      </c>
      <c r="AO13" s="57">
        <f>Table2[[#This Row],[Avg P]]/(Table2[[#This Row],[Avg P]]+AN13)</f>
        <v>0.375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0.42857142857142855</v>
      </c>
      <c r="AF14" s="91">
        <f>'2404'!AC13+'2604'!AC13+'0205'!AC13+'0305'!AC13+'0805'!AC13+'0905'!AC13+'1005'!AC13+'1505'!AC13+'1605'!AC13</f>
        <v>3</v>
      </c>
      <c r="AG14" s="105">
        <f>Table2[[#This Row],[Finishes]]/($AE$2-Table2[[#This Row],[DNP]])</f>
        <v>0.42857142857142855</v>
      </c>
      <c r="AH14" s="91">
        <f>'2404'!AD13+'2604'!AD13+'0205'!AD13+'0305'!AD13+'0805'!AD13+'0905'!AD13+'1005'!AD13+'1505'!AD13+'1605'!AD13</f>
        <v>0</v>
      </c>
      <c r="AI14" s="105">
        <f>Table2[[#This Row],[Midranges]]/($AE$2-Table2[[#This Row],[DNP]])</f>
        <v>0</v>
      </c>
      <c r="AJ14" s="91">
        <f>'2404'!AE13+'2604'!AE13+'0205'!AE13+'0305'!AE13+'0805'!AE13+'0905'!AE13+'1005'!AE13+'1505'!AE13+'1605'!AE13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0.85714285714285721</v>
      </c>
      <c r="AO14" s="57">
        <f>Table2[[#This Row],[Avg P]]/(Table2[[#This Row],[Avg P]]+AN14)</f>
        <v>0.33333333333333331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120" t="s">
        <v>69</v>
      </c>
      <c r="AD15" s="126">
        <f>Table2[[#This Row],[Finishes]]+Table2[[#This Row],[Midranges]]+Table2[[#This Row],[Threes]]+Table2[[#This Row],[Threes]]</f>
        <v>3</v>
      </c>
      <c r="AE15" s="122">
        <f>Table2[[#This Row],[Points]]/($AE$2-Table2[[#This Row],[DNP]])</f>
        <v>0.33333333333333331</v>
      </c>
      <c r="AF15" s="126">
        <f>'2404'!AC14+'2604'!AC14+'0205'!AC14+'0305'!AC14+'0805'!AC14+'0905'!AC14+'1005'!AC14+'1505'!AC14+'1605'!AC14</f>
        <v>2</v>
      </c>
      <c r="AG15" s="127">
        <f>Table2[[#This Row],[Finishes]]/($AE$2-Table2[[#This Row],[DNP]])</f>
        <v>0.22222222222222221</v>
      </c>
      <c r="AH15" s="126">
        <f>'2404'!AD14+'2604'!AD14+'0205'!AD14+'0305'!AD14+'0805'!AD14+'0905'!AD14+'1005'!AD14+'1505'!AD14+'1605'!AD14</f>
        <v>1</v>
      </c>
      <c r="AI15" s="127">
        <f>Table2[[#This Row],[Midranges]]/($AE$2-Table2[[#This Row],[DNP]])</f>
        <v>0.1111111111111111</v>
      </c>
      <c r="AJ15" s="126">
        <f>'2404'!AE14+'2604'!AE14+'0205'!AE14+'0305'!AE14+'0805'!AE14+'0905'!AE14+'1005'!AE14+'1505'!AE14+'1605'!AE14</f>
        <v>0</v>
      </c>
      <c r="AK15" s="128">
        <f>Table2[[#This Row],[Threes]]/($AE$2-Table2[[#This Row],[DNP]])</f>
        <v>0</v>
      </c>
      <c r="AL15" s="126">
        <f>'Stats Global'!Z19</f>
        <v>0</v>
      </c>
      <c r="AN15" s="127">
        <f>'Stats Global'!R19-Table2[[#This Row],[Avg P]]</f>
        <v>0.55555555555555558</v>
      </c>
      <c r="AO15" s="129">
        <f>Table2[[#This Row],[Avg P]]/(Table2[[#This Row],[Avg P]]+AN15)</f>
        <v>0.375</v>
      </c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120" t="s">
        <v>72</v>
      </c>
      <c r="AD16" s="126">
        <f>Table2[[#This Row],[Finishes]]+Table2[[#This Row],[Midranges]]+Table2[[#This Row],[Threes]]+Table2[[#This Row],[Threes]]</f>
        <v>9</v>
      </c>
      <c r="AE16" s="122">
        <f>Table2[[#This Row],[Points]]/($AE$2-Table2[[#This Row],[DNP]])</f>
        <v>1.5</v>
      </c>
      <c r="AF16" s="126">
        <f>'2404'!AC15+'2604'!AC15+'0205'!AC15+'0305'!AC15+'0805'!AC15+'0905'!AC15+'1005'!AC15+'1505'!AC15+'1605'!AC15</f>
        <v>7</v>
      </c>
      <c r="AG16" s="127">
        <f>Table2[[#This Row],[Finishes]]/($AE$2-Table2[[#This Row],[DNP]])</f>
        <v>1.1666666666666667</v>
      </c>
      <c r="AH16" s="126">
        <f>'2404'!AD15+'2604'!AD15+'0205'!AD15+'0305'!AD15+'0805'!AD15+'0905'!AD15+'1005'!AD15+'1505'!AD15+'1605'!AD15</f>
        <v>0</v>
      </c>
      <c r="AI16" s="127">
        <f>Table2[[#This Row],[Midranges]]/($AE$2-Table2[[#This Row],[DNP]])</f>
        <v>0</v>
      </c>
      <c r="AJ16" s="126">
        <f>'2404'!AE15+'2604'!AE15+'0205'!AE15+'0305'!AE15+'0805'!AE15+'0905'!AE15+'1005'!AE15+'1505'!AE15+'1605'!AE15</f>
        <v>1</v>
      </c>
      <c r="AK16" s="128">
        <f>Table2[[#This Row],[Threes]]/($AE$2-Table2[[#This Row],[DNP]])</f>
        <v>0.16666666666666666</v>
      </c>
      <c r="AL16" s="126">
        <f>'Stats Global'!Z20</f>
        <v>3</v>
      </c>
      <c r="AN16" s="127">
        <f>'Stats Global'!R20-Table2[[#This Row],[Avg P]]</f>
        <v>1.1666666666666665</v>
      </c>
      <c r="AO16" s="129">
        <f>Table2[[#This Row],[Avg P]]/(Table2[[#This Row],[Avg P]]+AN16)</f>
        <v>0.5625</v>
      </c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1</v>
      </c>
      <c r="AE17" s="62">
        <f>Table2[[#This Row],[Points]]/($AE$2-Table2[[#This Row],[DNP]])</f>
        <v>0.1111111111111111</v>
      </c>
      <c r="AF17" s="91">
        <f>'2404'!AC16+'2604'!AC16+'0205'!AC16+'0305'!AC16+'0805'!AC16+'0905'!AC16+'1005'!AC16+'1505'!AC16+'1605'!AC16</f>
        <v>1</v>
      </c>
      <c r="AG17" s="105">
        <f>Table2[[#This Row],[Finishes]]/($AE$2-Table2[[#This Row],[DNP]])</f>
        <v>0.1111111111111111</v>
      </c>
      <c r="AH17" s="91">
        <f>'2404'!AD16+'2604'!AD16+'0205'!AD16+'0305'!AD16+'0805'!AD16+'0905'!AD16+'1005'!AD16+'1505'!AD16+'1605'!AD16</f>
        <v>0</v>
      </c>
      <c r="AI17" s="105">
        <f>Table2[[#This Row],[Midranges]]/($AE$2-Table2[[#This Row],[DNP]])</f>
        <v>0</v>
      </c>
      <c r="AJ17" s="91">
        <f>'2404'!AE16+'2604'!AE16+'0205'!AE16+'0305'!AE16+'0805'!AE16+'0905'!AE16+'1005'!AE16+'1505'!AE16+'1605'!AE16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0.1111111111111111</v>
      </c>
      <c r="AO17" s="57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120" t="s">
        <v>79</v>
      </c>
      <c r="AD18" s="126">
        <f>Table2[[#This Row],[Finishes]]+Table2[[#This Row],[Midranges]]+Table2[[#This Row],[Threes]]+Table2[[#This Row],[Threes]]</f>
        <v>2</v>
      </c>
      <c r="AE18" s="122">
        <f>Table2[[#This Row],[Points]]/($AE$2-Table2[[#This Row],[DNP]])</f>
        <v>0.22222222222222221</v>
      </c>
      <c r="AF18" s="126">
        <f>'2404'!AC17+'2604'!AC17+'0205'!AC17+'0305'!AC17+'0805'!AC17+'0905'!AC17+'1005'!AC17+'1505'!AC17+'1605'!AC17</f>
        <v>1</v>
      </c>
      <c r="AG18" s="127">
        <f>Table2[[#This Row],[Finishes]]/($AE$2-Table2[[#This Row],[DNP]])</f>
        <v>0.1111111111111111</v>
      </c>
      <c r="AH18" s="126">
        <f>'2404'!AD17+'2604'!AD17+'0205'!AD17+'0305'!AD17+'0805'!AD17+'0905'!AD17+'1005'!AD17+'1505'!AD17+'1605'!AD17</f>
        <v>1</v>
      </c>
      <c r="AI18" s="127">
        <f>Table2[[#This Row],[Midranges]]/($AE$2-Table2[[#This Row],[DNP]])</f>
        <v>0.1111111111111111</v>
      </c>
      <c r="AJ18" s="126">
        <f>'2404'!AE17+'2604'!AE17+'0205'!AE17+'0305'!AE17+'0805'!AE17+'0905'!AE17+'1005'!AE17+'1505'!AE17+'1605'!AE17</f>
        <v>0</v>
      </c>
      <c r="AK18" s="128">
        <f>Table2[[#This Row],[Threes]]/($AE$2-Table2[[#This Row],[DNP]])</f>
        <v>0</v>
      </c>
      <c r="AL18" s="126">
        <f>'Stats Global'!Z22</f>
        <v>0</v>
      </c>
      <c r="AN18" s="127">
        <f>'Stats Global'!R22-Table2[[#This Row],[Avg P]]</f>
        <v>0.44444444444444442</v>
      </c>
      <c r="AO18" s="129">
        <f>Table2[[#This Row],[Avg P]]/(Table2[[#This Row],[Avg P]]+AN18)</f>
        <v>0.33333333333333331</v>
      </c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130" t="s">
        <v>148</v>
      </c>
      <c r="AD19" s="126">
        <f>Table2[[#This Row],[Finishes]]+Table2[[#This Row],[Midranges]]+Table2[[#This Row],[Threes]]+Table2[[#This Row],[Threes]]</f>
        <v>3</v>
      </c>
      <c r="AE19" s="131">
        <f>Table2[[#This Row],[Points]]/($AE$2-Table2[[#This Row],[DNP]])</f>
        <v>0.33333333333333331</v>
      </c>
      <c r="AF19" s="126">
        <f>'2404'!AC18+'2604'!AC18+'0205'!AC18+'0305'!AC18+'0805'!AC18+'0905'!AC18+'1005'!AC18+'1505'!AC18+'1605'!AC18</f>
        <v>3</v>
      </c>
      <c r="AG19" s="127">
        <f>Table2[[#This Row],[Finishes]]/($AE$2-Table2[[#This Row],[DNP]])</f>
        <v>0.33333333333333331</v>
      </c>
      <c r="AH19" s="126">
        <f>'2404'!AD18+'2604'!AD18+'0205'!AD18+'0305'!AD18+'0805'!AD18+'0905'!AD18+'1005'!AD18+'1505'!AD18+'1605'!AD18</f>
        <v>0</v>
      </c>
      <c r="AI19" s="127">
        <f>Table2[[#This Row],[Midranges]]/($AE$2-Table2[[#This Row],[DNP]])</f>
        <v>0</v>
      </c>
      <c r="AJ19" s="126">
        <f>'2404'!AE18+'2604'!AE18+'0205'!AE18+'0305'!AE18+'0805'!AE18+'0905'!AE18+'1005'!AE18+'1505'!AE18+'1605'!AE18</f>
        <v>0</v>
      </c>
      <c r="AK19" s="128">
        <f>Table2[[#This Row],[Threes]]/($AE$2-Table2[[#This Row],[DNP]])</f>
        <v>0</v>
      </c>
      <c r="AL19" s="126">
        <f>'Stats Global'!Z23</f>
        <v>0</v>
      </c>
      <c r="AN19" s="127">
        <f>'Stats Global'!R23-Table2[[#This Row],[Avg P]]</f>
        <v>0.1111111111111111</v>
      </c>
      <c r="AO19" s="129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97" t="s">
        <v>185</v>
      </c>
      <c r="AD23" s="98" t="s">
        <v>169</v>
      </c>
      <c r="AE23" s="99" t="s">
        <v>78</v>
      </c>
      <c r="AF23" s="98" t="s">
        <v>186</v>
      </c>
      <c r="AG23" s="99" t="s">
        <v>75</v>
      </c>
      <c r="AH23" s="98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92" t="s">
        <v>65</v>
      </c>
      <c r="AD24" s="93" t="s">
        <v>85</v>
      </c>
      <c r="AE24" s="94" t="s">
        <v>85</v>
      </c>
      <c r="AF24" s="93" t="s">
        <v>85</v>
      </c>
      <c r="AG24" s="94" t="s">
        <v>85</v>
      </c>
      <c r="AH24" s="93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92" t="s">
        <v>71</v>
      </c>
      <c r="AD25" s="93" t="s">
        <v>78</v>
      </c>
      <c r="AE25" s="94" t="s">
        <v>186</v>
      </c>
      <c r="AF25" s="93" t="s">
        <v>78</v>
      </c>
      <c r="AG25" s="94" t="s">
        <v>78</v>
      </c>
      <c r="AH25" s="93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92" t="s">
        <v>68</v>
      </c>
      <c r="AD26" s="95" t="s">
        <v>186</v>
      </c>
      <c r="AE26" s="96" t="s">
        <v>75</v>
      </c>
      <c r="AF26" s="95" t="s">
        <v>75</v>
      </c>
      <c r="AG26" s="96" t="s">
        <v>186</v>
      </c>
      <c r="AH26" s="95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92" t="s">
        <v>59</v>
      </c>
      <c r="AD27" s="95" t="s">
        <v>75</v>
      </c>
      <c r="AE27" s="96" t="s">
        <v>87</v>
      </c>
      <c r="AF27" s="95" t="s">
        <v>87</v>
      </c>
      <c r="AG27" s="96" t="s">
        <v>87</v>
      </c>
      <c r="AH27" s="95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92" t="s">
        <v>86</v>
      </c>
      <c r="AD28" s="95" t="s">
        <v>87</v>
      </c>
      <c r="AE28" s="96" t="s">
        <v>169</v>
      </c>
      <c r="AF28" s="95" t="s">
        <v>169</v>
      </c>
      <c r="AG28" s="96" t="s">
        <v>169</v>
      </c>
      <c r="AH28" s="95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94"/>
      <c r="AD29" s="93"/>
      <c r="AE29" s="94"/>
      <c r="AF29" s="93"/>
      <c r="AG29" s="94"/>
      <c r="AH29" s="93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25</v>
      </c>
      <c r="T30" s="17">
        <f t="shared" si="0"/>
        <v>37</v>
      </c>
      <c r="U30" s="17"/>
      <c r="V30" s="17"/>
      <c r="X30" s="17">
        <f t="shared" ref="X30:Y30" si="1">SUM(X4:X29)</f>
        <v>29</v>
      </c>
      <c r="Y30" s="17">
        <f t="shared" si="1"/>
        <v>28</v>
      </c>
      <c r="Z30" s="17"/>
      <c r="AA30" s="17"/>
      <c r="AC30" s="97" t="s">
        <v>185</v>
      </c>
      <c r="AD30" s="98" t="s">
        <v>169</v>
      </c>
      <c r="AE30" s="99" t="s">
        <v>78</v>
      </c>
      <c r="AF30" s="98" t="s">
        <v>186</v>
      </c>
      <c r="AG30" s="99" t="s">
        <v>75</v>
      </c>
      <c r="AH30" s="98" t="s">
        <v>87</v>
      </c>
    </row>
    <row r="31" spans="1:41" ht="14.35" customHeight="1" x14ac:dyDescent="0.45">
      <c r="K31" s="1"/>
      <c r="S31" s="22">
        <f>S30/(T30+S30)</f>
        <v>0.40322580645161288</v>
      </c>
      <c r="X31" s="22">
        <f>X30/(Y30+X30)</f>
        <v>0.50877192982456143</v>
      </c>
      <c r="AC31" s="94" t="s">
        <v>169</v>
      </c>
      <c r="AD31" s="93" t="s">
        <v>85</v>
      </c>
      <c r="AE31" s="94" t="s">
        <v>85</v>
      </c>
      <c r="AF31" s="93" t="s">
        <v>85</v>
      </c>
      <c r="AG31" s="94" t="s">
        <v>85</v>
      </c>
      <c r="AH31" s="93" t="s">
        <v>85</v>
      </c>
    </row>
    <row r="32" spans="1:41" ht="14.35" customHeight="1" x14ac:dyDescent="0.45">
      <c r="K32" s="1"/>
      <c r="L32" s="106" t="str">
        <f>R32&amp;H4&amp;","&amp;I4&amp;"],"</f>
        <v>"PartA":[54,65],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6.8</v>
      </c>
      <c r="X32" s="22"/>
      <c r="AC32" s="94" t="s">
        <v>62</v>
      </c>
      <c r="AD32" s="93" t="s">
        <v>78</v>
      </c>
      <c r="AE32" s="94" t="s">
        <v>186</v>
      </c>
      <c r="AF32" s="93" t="s">
        <v>78</v>
      </c>
      <c r="AG32" s="94" t="s">
        <v>78</v>
      </c>
      <c r="AH32" s="93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"PartB":[16,"Angus Walker",12,"Angus Walker",8,"William Kim",5,"Clarrie Jones"],</v>
      </c>
      <c r="R33" t="s">
        <v>197</v>
      </c>
      <c r="T33" s="42">
        <f>MAX('Stats Global'!Q14:Q15,'Stats Global'!Q19:Q20,'Stats Global'!Q22:Q23)</f>
        <v>16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3.3</v>
      </c>
      <c r="AC33" s="94" t="s">
        <v>187</v>
      </c>
      <c r="AD33" s="93" t="s">
        <v>186</v>
      </c>
      <c r="AE33" s="94" t="s">
        <v>75</v>
      </c>
      <c r="AF33" s="93" t="s">
        <v>75</v>
      </c>
      <c r="AG33" s="94" t="s">
        <v>186</v>
      </c>
      <c r="AH33" s="93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"PartC":[6.8,3.3,1.9,0.8,6,7.2],</v>
      </c>
      <c r="R34" t="s">
        <v>198</v>
      </c>
      <c r="T34" s="42">
        <f>MAX('Stats Global'!S14:S15,'Stats Global'!S19:S20,'Stats Global'!S22:S23)</f>
        <v>12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1.9</v>
      </c>
      <c r="AC34" s="94" t="s">
        <v>55</v>
      </c>
      <c r="AD34" s="93" t="s">
        <v>87</v>
      </c>
      <c r="AE34" s="94" t="s">
        <v>169</v>
      </c>
      <c r="AF34" s="93" t="s">
        <v>169</v>
      </c>
      <c r="AG34" s="94" t="s">
        <v>169</v>
      </c>
      <c r="AH34" s="93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"PartD":[25,37,40.3,29,28,50.9],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0.8</v>
      </c>
      <c r="AC35" s="94" t="s">
        <v>81</v>
      </c>
      <c r="AD35" s="93" t="s">
        <v>75</v>
      </c>
      <c r="AE35" s="94" t="s">
        <v>87</v>
      </c>
      <c r="AF35" s="93" t="s">
        <v>87</v>
      </c>
      <c r="AG35" s="94" t="s">
        <v>87</v>
      </c>
      <c r="AH35" s="93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</v>
      </c>
    </row>
    <row r="37" spans="12:34" ht="14.25" customHeight="1" x14ac:dyDescent="0.45">
      <c r="V37">
        <f>ROUND(I4/COUNT(B4:B40),1)</f>
        <v>7.2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70</v>
      </c>
      <c r="I4" s="24">
        <f>SUM(C4:C30)</f>
        <v>59</v>
      </c>
      <c r="J4" s="24">
        <f>SUM(D4:D30)</f>
        <v>16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6</v>
      </c>
      <c r="S11" s="17">
        <f>COUNTIF('1505'!$Z$4:$Z$40,"5M/WW")</f>
        <v>1</v>
      </c>
      <c r="T11" s="17"/>
      <c r="U11" s="17"/>
      <c r="V11" s="65"/>
      <c r="W11" s="89"/>
      <c r="X11" s="89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30</v>
      </c>
      <c r="S30" s="17">
        <f t="shared" si="0"/>
        <v>27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0.52631578947368418</v>
      </c>
      <c r="V31" s="65"/>
      <c r="W31" s="65"/>
      <c r="X31" s="65"/>
    </row>
    <row r="32" spans="1:24" ht="14.25" customHeight="1" x14ac:dyDescent="0.45">
      <c r="K32" s="24"/>
      <c r="L32" s="106" t="str">
        <f>R32&amp;H4&amp;","&amp;I4&amp;"],"</f>
        <v>"PartA":[70,59],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8.1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"PartB":[35,"Rudy Hoschke",33,"Rudy Hoschke",12,"Michael Iffland",1,"Michael Iffland"],</v>
      </c>
      <c r="R33" s="40" t="s">
        <v>197</v>
      </c>
      <c r="T33" s="42">
        <f>MAX('Stats Global'!Q9,'Stats Global'!Q11:Q13,'Stats Global'!Q21)</f>
        <v>35</v>
      </c>
      <c r="U33" s="40" t="s">
        <v>44</v>
      </c>
      <c r="V33" s="66">
        <f>ROUND(SUM('Stats Global'!S9,'Stats Global'!S11:S13,'Stats Global'!S21)/COUNT(B4:B40),1)</f>
        <v>5.4</v>
      </c>
    </row>
    <row r="34" spans="12:22" ht="14.25" customHeight="1" x14ac:dyDescent="0.45">
      <c r="L34" s="40" t="str">
        <f>R34&amp;V32&amp;","&amp;V33&amp;","&amp;V34&amp;","&amp;V35&amp;","&amp;V36&amp;","&amp;V37&amp;"],"</f>
        <v>"PartC":[8.1,5.4,2,0.33,7.8,6.6],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6">
        <f>ROUND(SUM('Stats Global'!U9,'Stats Global'!U11:U13,'Stats Global'!U21)/COUNT(B4:B40),1)</f>
        <v>2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"PartD":[37,25,59.7,30,27,52.6],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Global'!W21)/COUNT(B4:B40),2)</f>
        <v>0.33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7.8</v>
      </c>
    </row>
    <row r="37" spans="12:22" ht="14.25" customHeight="1" x14ac:dyDescent="0.45">
      <c r="V37" s="40">
        <f>ROUND(I4/COUNT(B4:B40),1)</f>
        <v>6.6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62</v>
      </c>
      <c r="H4" s="24">
        <f>SUM(C4:C30)</f>
        <v>62</v>
      </c>
      <c r="I4" s="24">
        <f>SUM(D4:D30)</f>
        <v>21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7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03">
        <v>1</v>
      </c>
      <c r="L10" s="103"/>
      <c r="M10" s="103"/>
      <c r="N10" s="103">
        <v>1</v>
      </c>
      <c r="O10" s="103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8" t="s">
        <v>206</v>
      </c>
      <c r="F11" s="40" t="s">
        <v>60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8" t="s">
        <v>38</v>
      </c>
      <c r="F12" s="40" t="s">
        <v>60</v>
      </c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17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06" t="str">
        <f>Q32&amp;G4&amp;","&amp;H4&amp;"],"</f>
        <v>"PartA":[62,62],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"PartB":[22,"Samuel McConaghy",17,"Alexander Galt",17,"Samuel McConaghy",1,"N/A"],</v>
      </c>
      <c r="Q33" s="40" t="s">
        <v>197</v>
      </c>
      <c r="S33" s="42">
        <f>MAX('Stats Global'!Q8,'Stats Global'!Q10,'Stats Global'!Q16:Q18)</f>
        <v>22</v>
      </c>
      <c r="T33" s="40" t="s">
        <v>60</v>
      </c>
      <c r="U33" s="66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"PartC":[7,3.6,3.1,0.1,6.9,6.9],</v>
      </c>
      <c r="Q34" s="40" t="s">
        <v>198</v>
      </c>
      <c r="S34" s="42">
        <f>MAX('Stats Global'!S8,'Stats Global'!S10,'Stats Global'!S16:S18)</f>
        <v>17</v>
      </c>
      <c r="T34" s="40" t="s">
        <v>38</v>
      </c>
      <c r="U34" s="66">
        <f>ROUND(SUM('Stats Global'!U8,'Stats Global'!U10,'Stats Global'!U16:U18)/COUNT(B4:B40),1)</f>
        <v>3.1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"PartD":[28,29,49.1,27,30,47.4],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6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6.9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9" t="s">
        <v>159</v>
      </c>
      <c r="R41" s="119"/>
      <c r="S41" s="11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9"/>
      <c r="R42" s="119"/>
      <c r="S42" s="11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1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1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2">
        <v>1</v>
      </c>
      <c r="C4" s="102" t="s">
        <v>39</v>
      </c>
      <c r="D4" s="102" t="s">
        <v>57</v>
      </c>
      <c r="E4" s="102" t="s">
        <v>46</v>
      </c>
      <c r="F4" s="102" t="s">
        <v>123</v>
      </c>
      <c r="G4" s="102">
        <v>1</v>
      </c>
      <c r="H4" s="102">
        <v>1</v>
      </c>
      <c r="I4" s="102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102">
        <v>2</v>
      </c>
      <c r="C5" s="102" t="s">
        <v>39</v>
      </c>
      <c r="D5" s="102" t="s">
        <v>34</v>
      </c>
      <c r="E5" s="102" t="s">
        <v>36</v>
      </c>
      <c r="F5" s="102" t="s">
        <v>154</v>
      </c>
      <c r="G5" s="102">
        <v>2</v>
      </c>
      <c r="H5" s="102">
        <v>1</v>
      </c>
      <c r="I5" s="102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2">
        <v>3</v>
      </c>
      <c r="C6" s="102" t="s">
        <v>57</v>
      </c>
      <c r="D6" s="102" t="s">
        <v>39</v>
      </c>
      <c r="E6" s="102" t="s">
        <v>53</v>
      </c>
      <c r="F6" s="102" t="s">
        <v>173</v>
      </c>
      <c r="G6" s="102">
        <v>1</v>
      </c>
      <c r="H6" s="102">
        <v>1</v>
      </c>
      <c r="I6" s="102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2">
        <v>4</v>
      </c>
      <c r="C7" s="102" t="s">
        <v>57</v>
      </c>
      <c r="D7" s="102" t="s">
        <v>34</v>
      </c>
      <c r="E7" s="102" t="s">
        <v>69</v>
      </c>
      <c r="F7" s="102" t="s">
        <v>123</v>
      </c>
      <c r="G7" s="102">
        <v>2</v>
      </c>
      <c r="H7" s="102">
        <v>2</v>
      </c>
      <c r="I7" s="102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2">
        <v>5</v>
      </c>
      <c r="C8" s="102" t="s">
        <v>57</v>
      </c>
      <c r="D8" s="102" t="s">
        <v>39</v>
      </c>
      <c r="E8" s="102" t="s">
        <v>56</v>
      </c>
      <c r="F8" s="102" t="s">
        <v>154</v>
      </c>
      <c r="G8" s="102">
        <v>3</v>
      </c>
      <c r="H8" s="102">
        <v>2</v>
      </c>
      <c r="I8" s="102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2">
        <v>6</v>
      </c>
      <c r="C9" s="102" t="s">
        <v>57</v>
      </c>
      <c r="D9" s="102" t="s">
        <v>34</v>
      </c>
      <c r="E9" s="102" t="s">
        <v>53</v>
      </c>
      <c r="F9" s="102" t="s">
        <v>154</v>
      </c>
      <c r="G9" s="102">
        <v>4</v>
      </c>
      <c r="H9" s="102">
        <v>3</v>
      </c>
      <c r="I9" s="102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2">
        <v>7</v>
      </c>
      <c r="C10" s="102" t="s">
        <v>39</v>
      </c>
      <c r="D10" s="102" t="s">
        <v>57</v>
      </c>
      <c r="E10" s="102" t="s">
        <v>44</v>
      </c>
      <c r="F10" s="102" t="s">
        <v>154</v>
      </c>
      <c r="G10" s="102">
        <v>1</v>
      </c>
      <c r="H10" s="102">
        <v>1</v>
      </c>
      <c r="I10" s="102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2">
        <v>8</v>
      </c>
      <c r="C11" s="102" t="s">
        <v>39</v>
      </c>
      <c r="D11" s="102" t="s">
        <v>34</v>
      </c>
      <c r="E11" s="102" t="s">
        <v>46</v>
      </c>
      <c r="F11" s="102" t="s">
        <v>123</v>
      </c>
      <c r="G11" s="102">
        <v>2</v>
      </c>
      <c r="H11" s="102">
        <v>4</v>
      </c>
      <c r="I11" s="102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2">
        <v>9</v>
      </c>
      <c r="C12" s="102" t="s">
        <v>39</v>
      </c>
      <c r="D12" s="102" t="s">
        <v>57</v>
      </c>
      <c r="E12" s="102" t="s">
        <v>44</v>
      </c>
      <c r="F12" s="102" t="s">
        <v>154</v>
      </c>
      <c r="G12" s="102">
        <v>3</v>
      </c>
      <c r="H12" s="102">
        <v>2</v>
      </c>
      <c r="I12" s="102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2">
        <v>10</v>
      </c>
      <c r="C13" s="102" t="s">
        <v>34</v>
      </c>
      <c r="D13" s="102" t="s">
        <v>39</v>
      </c>
      <c r="E13" s="102" t="s">
        <v>60</v>
      </c>
      <c r="F13" s="102" t="s">
        <v>123</v>
      </c>
      <c r="G13" s="102">
        <v>1</v>
      </c>
      <c r="H13" s="102">
        <v>1</v>
      </c>
      <c r="I13" s="102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2">
        <v>11</v>
      </c>
      <c r="C14" s="102" t="s">
        <v>57</v>
      </c>
      <c r="D14" s="102" t="s">
        <v>34</v>
      </c>
      <c r="E14" s="102" t="s">
        <v>56</v>
      </c>
      <c r="F14" s="102" t="s">
        <v>154</v>
      </c>
      <c r="G14" s="102">
        <v>1</v>
      </c>
      <c r="H14" s="102">
        <v>1</v>
      </c>
      <c r="I14" s="102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2">
        <v>12</v>
      </c>
      <c r="C15" s="102" t="s">
        <v>57</v>
      </c>
      <c r="D15" s="102" t="s">
        <v>39</v>
      </c>
      <c r="E15" s="102" t="s">
        <v>56</v>
      </c>
      <c r="F15" s="102" t="s">
        <v>123</v>
      </c>
      <c r="G15" s="102">
        <v>2</v>
      </c>
      <c r="H15" s="102">
        <v>2</v>
      </c>
      <c r="I15" s="102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2">
        <v>13</v>
      </c>
      <c r="C16" s="102" t="s">
        <v>57</v>
      </c>
      <c r="D16" s="102" t="s">
        <v>34</v>
      </c>
      <c r="E16" s="102" t="s">
        <v>79</v>
      </c>
      <c r="F16" s="102" t="s">
        <v>123</v>
      </c>
      <c r="G16" s="102">
        <v>3</v>
      </c>
      <c r="H16" s="102">
        <v>2</v>
      </c>
      <c r="I16" s="102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2">
        <v>14</v>
      </c>
      <c r="C17" s="102" t="s">
        <v>39</v>
      </c>
      <c r="D17" s="102" t="s">
        <v>57</v>
      </c>
      <c r="E17" s="102" t="s">
        <v>44</v>
      </c>
      <c r="F17" s="102" t="s">
        <v>123</v>
      </c>
      <c r="G17" s="102">
        <v>1</v>
      </c>
      <c r="H17" s="102">
        <v>1</v>
      </c>
      <c r="I17" s="102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2">
        <v>15</v>
      </c>
      <c r="C18" s="102" t="s">
        <v>39</v>
      </c>
      <c r="D18" s="102" t="s">
        <v>34</v>
      </c>
      <c r="E18" s="102" t="s">
        <v>46</v>
      </c>
      <c r="F18" s="102" t="s">
        <v>123</v>
      </c>
      <c r="G18" s="102">
        <v>2</v>
      </c>
      <c r="H18" s="102">
        <v>3</v>
      </c>
      <c r="I18" s="102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2">
        <v>16</v>
      </c>
      <c r="C19" s="102" t="s">
        <v>57</v>
      </c>
      <c r="D19" s="102" t="s">
        <v>39</v>
      </c>
      <c r="E19" s="102" t="s">
        <v>56</v>
      </c>
      <c r="F19" s="102" t="s">
        <v>154</v>
      </c>
      <c r="G19" s="102">
        <v>1</v>
      </c>
      <c r="H19" s="102">
        <v>1</v>
      </c>
      <c r="I19" s="102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2">
        <v>17</v>
      </c>
      <c r="C20" s="102" t="s">
        <v>57</v>
      </c>
      <c r="D20" s="102" t="s">
        <v>34</v>
      </c>
      <c r="E20" s="102" t="s">
        <v>56</v>
      </c>
      <c r="F20" s="102" t="s">
        <v>123</v>
      </c>
      <c r="G20" s="102">
        <v>2</v>
      </c>
      <c r="H20" s="102">
        <v>4</v>
      </c>
      <c r="I20" s="102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2">
        <v>18</v>
      </c>
      <c r="C21" s="102" t="s">
        <v>39</v>
      </c>
      <c r="D21" s="102" t="s">
        <v>57</v>
      </c>
      <c r="E21" s="102" t="s">
        <v>44</v>
      </c>
      <c r="F21" s="102" t="s">
        <v>154</v>
      </c>
      <c r="G21" s="102">
        <v>1</v>
      </c>
      <c r="H21" s="102">
        <v>1</v>
      </c>
      <c r="I21" s="102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2">
        <v>19</v>
      </c>
      <c r="C22" s="102" t="s">
        <v>34</v>
      </c>
      <c r="D22" s="102" t="s">
        <v>39</v>
      </c>
      <c r="E22" s="102" t="s">
        <v>60</v>
      </c>
      <c r="F22" s="102" t="s">
        <v>123</v>
      </c>
      <c r="G22" s="102">
        <v>1</v>
      </c>
      <c r="H22" s="102">
        <v>1</v>
      </c>
      <c r="I22" s="102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2">
        <v>20</v>
      </c>
      <c r="C23" s="102" t="s">
        <v>57</v>
      </c>
      <c r="D23" s="102" t="s">
        <v>34</v>
      </c>
      <c r="E23" s="102" t="s">
        <v>56</v>
      </c>
      <c r="F23" s="102" t="s">
        <v>123</v>
      </c>
      <c r="G23" s="102">
        <v>1</v>
      </c>
      <c r="H23" s="102">
        <v>1</v>
      </c>
      <c r="I23" s="102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2">
        <v>21</v>
      </c>
      <c r="C24" s="102" t="s">
        <v>57</v>
      </c>
      <c r="D24" s="102" t="s">
        <v>39</v>
      </c>
      <c r="E24" s="102" t="s">
        <v>79</v>
      </c>
      <c r="F24" s="102" t="s">
        <v>154</v>
      </c>
      <c r="G24" s="102">
        <v>2</v>
      </c>
      <c r="H24" s="102">
        <v>2</v>
      </c>
      <c r="I24" s="102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2">
        <v>22</v>
      </c>
      <c r="C25" s="102" t="s">
        <v>57</v>
      </c>
      <c r="D25" s="102" t="s">
        <v>34</v>
      </c>
      <c r="E25" s="102" t="s">
        <v>53</v>
      </c>
      <c r="F25" s="102" t="s">
        <v>154</v>
      </c>
      <c r="G25" s="102">
        <v>3</v>
      </c>
      <c r="H25" s="102">
        <v>2</v>
      </c>
      <c r="I25" s="102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2">
        <v>23</v>
      </c>
      <c r="C26" s="102" t="s">
        <v>57</v>
      </c>
      <c r="D26" s="102" t="s">
        <v>39</v>
      </c>
      <c r="E26" s="102" t="s">
        <v>56</v>
      </c>
      <c r="F26" s="102" t="s">
        <v>123</v>
      </c>
      <c r="G26" s="102">
        <v>4</v>
      </c>
      <c r="H26" s="102">
        <v>3</v>
      </c>
      <c r="I26" s="102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2">
        <v>24</v>
      </c>
      <c r="C27" s="102" t="s">
        <v>34</v>
      </c>
      <c r="D27" s="102" t="s">
        <v>57</v>
      </c>
      <c r="E27" s="102" t="s">
        <v>33</v>
      </c>
      <c r="F27" s="102" t="s">
        <v>154</v>
      </c>
      <c r="G27" s="102">
        <v>1</v>
      </c>
      <c r="H27" s="102">
        <v>1</v>
      </c>
      <c r="I27" s="102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2">
        <v>25</v>
      </c>
      <c r="C28" s="102" t="s">
        <v>39</v>
      </c>
      <c r="D28" s="102" t="s">
        <v>34</v>
      </c>
      <c r="E28" s="102" t="s">
        <v>44</v>
      </c>
      <c r="F28" s="102" t="s">
        <v>154</v>
      </c>
      <c r="G28" s="102">
        <v>1</v>
      </c>
      <c r="H28" s="102">
        <v>1</v>
      </c>
      <c r="I28" s="102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2">
        <v>26</v>
      </c>
      <c r="C29" s="102" t="s">
        <v>39</v>
      </c>
      <c r="D29" s="102" t="s">
        <v>57</v>
      </c>
      <c r="E29" s="102" t="s">
        <v>44</v>
      </c>
      <c r="F29" s="102" t="s">
        <v>154</v>
      </c>
      <c r="G29" s="102">
        <v>2</v>
      </c>
      <c r="H29" s="102">
        <v>2</v>
      </c>
      <c r="I29" s="102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79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6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51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57</v>
      </c>
      <c r="D7" s="54" t="s">
        <v>34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6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39</v>
      </c>
      <c r="D8" s="54" t="s">
        <v>57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36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79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57</v>
      </c>
      <c r="D11" s="54" t="s">
        <v>34</v>
      </c>
      <c r="E11" s="54" t="s">
        <v>148</v>
      </c>
      <c r="F11" s="54" t="s">
        <v>123</v>
      </c>
      <c r="G11" s="54">
        <v>2</v>
      </c>
      <c r="H11" s="54">
        <v>3</v>
      </c>
      <c r="I11" s="54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36</v>
      </c>
      <c r="F13" s="54" t="s">
        <v>123</v>
      </c>
      <c r="G13" s="54">
        <v>2</v>
      </c>
      <c r="H13" s="54">
        <v>4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76</v>
      </c>
      <c r="F14" s="54" t="s">
        <v>154</v>
      </c>
      <c r="G14" s="54">
        <v>3</v>
      </c>
      <c r="H14" s="54">
        <v>2</v>
      </c>
      <c r="I14" s="54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>
        <v>12</v>
      </c>
      <c r="C15" s="54" t="s">
        <v>39</v>
      </c>
      <c r="D15" s="54" t="s">
        <v>34</v>
      </c>
      <c r="E15" s="54" t="s">
        <v>44</v>
      </c>
      <c r="F15" s="54" t="s">
        <v>154</v>
      </c>
      <c r="G15" s="54">
        <v>4</v>
      </c>
      <c r="H15" s="54">
        <v>5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4">
        <v>13</v>
      </c>
      <c r="C16" s="54" t="s">
        <v>57</v>
      </c>
      <c r="D16" s="54" t="s">
        <v>39</v>
      </c>
      <c r="E16" s="54" t="s">
        <v>69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53</v>
      </c>
      <c r="F17" s="54" t="s">
        <v>154</v>
      </c>
      <c r="G17" s="54">
        <v>2</v>
      </c>
      <c r="H17" s="54">
        <v>6</v>
      </c>
      <c r="I17" s="54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6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46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6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44</v>
      </c>
      <c r="F19" s="54" t="s">
        <v>154</v>
      </c>
      <c r="G19" s="54">
        <v>2</v>
      </c>
      <c r="H19" s="54">
        <v>7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51</v>
      </c>
      <c r="F20" s="54" t="s">
        <v>123</v>
      </c>
      <c r="G20" s="54">
        <v>3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44</v>
      </c>
      <c r="F21" s="54" t="s">
        <v>154</v>
      </c>
      <c r="G21" s="54">
        <v>4</v>
      </c>
      <c r="H21" s="54">
        <v>8</v>
      </c>
      <c r="I21" s="54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5</v>
      </c>
      <c r="H22" s="54">
        <v>3</v>
      </c>
      <c r="I22" s="54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46</v>
      </c>
      <c r="F23" s="54" t="s">
        <v>173</v>
      </c>
      <c r="G23" s="54">
        <v>6</v>
      </c>
      <c r="H23" s="54">
        <v>9</v>
      </c>
      <c r="I23" s="5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2"/>
      <c r="C24" s="102"/>
      <c r="D24" s="102"/>
      <c r="E24" s="102"/>
      <c r="F24" s="102"/>
      <c r="G24" s="102"/>
      <c r="H24" s="102"/>
      <c r="I24" s="102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2"/>
      <c r="C25" s="102"/>
      <c r="D25" s="102"/>
      <c r="E25" s="102"/>
      <c r="F25" s="102"/>
      <c r="G25" s="102"/>
      <c r="H25" s="102"/>
      <c r="I25" s="102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2"/>
      <c r="C26" s="102"/>
      <c r="D26" s="102"/>
      <c r="E26" s="102"/>
      <c r="F26" s="102"/>
      <c r="G26" s="102"/>
      <c r="H26" s="102"/>
      <c r="I26" s="102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2"/>
      <c r="C27" s="102"/>
      <c r="D27" s="102"/>
      <c r="E27" s="102"/>
      <c r="F27" s="102"/>
      <c r="G27" s="102"/>
      <c r="H27" s="102"/>
      <c r="I27" s="102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2"/>
      <c r="C28" s="102"/>
      <c r="D28" s="102"/>
      <c r="E28" s="102"/>
      <c r="F28" s="102"/>
      <c r="G28" s="102"/>
      <c r="H28" s="102"/>
      <c r="I28" s="102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2"/>
      <c r="C29" s="102"/>
      <c r="D29" s="102"/>
      <c r="E29" s="102"/>
      <c r="F29" s="102"/>
      <c r="G29" s="102"/>
      <c r="H29" s="102"/>
      <c r="I29" s="102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2</v>
      </c>
      <c r="H5" s="54">
        <v>1</v>
      </c>
      <c r="I5" s="54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46</v>
      </c>
      <c r="F6" s="54" t="s">
        <v>173</v>
      </c>
      <c r="G6" s="54">
        <v>3</v>
      </c>
      <c r="H6" s="54">
        <v>2</v>
      </c>
      <c r="I6" s="54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57</v>
      </c>
      <c r="D7" s="54" t="s">
        <v>39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6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60</v>
      </c>
      <c r="F8" s="54" t="s">
        <v>123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34</v>
      </c>
      <c r="D9" s="54" t="s">
        <v>39</v>
      </c>
      <c r="E9" s="54" t="s">
        <v>63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38</v>
      </c>
      <c r="F10" s="54" t="s">
        <v>154</v>
      </c>
      <c r="G10" s="54">
        <v>3</v>
      </c>
      <c r="H10" s="54">
        <v>2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60</v>
      </c>
      <c r="F11" s="54" t="s">
        <v>123</v>
      </c>
      <c r="G11" s="54">
        <v>4</v>
      </c>
      <c r="H11" s="54">
        <v>3</v>
      </c>
      <c r="I11" s="54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57</v>
      </c>
      <c r="E12" s="54" t="s">
        <v>38</v>
      </c>
      <c r="F12" s="54" t="s">
        <v>154</v>
      </c>
      <c r="G12" s="54">
        <v>5</v>
      </c>
      <c r="H12" s="54">
        <v>3</v>
      </c>
      <c r="I12" s="5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39</v>
      </c>
      <c r="E13" s="54" t="s">
        <v>33</v>
      </c>
      <c r="F13" s="54" t="s">
        <v>123</v>
      </c>
      <c r="G13" s="54">
        <v>6</v>
      </c>
      <c r="H13" s="54">
        <v>4</v>
      </c>
      <c r="I13" s="54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4">
        <v>12</v>
      </c>
      <c r="C15" s="54" t="s">
        <v>39</v>
      </c>
      <c r="D15" s="54" t="s">
        <v>57</v>
      </c>
      <c r="E15" s="54" t="s">
        <v>44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4">
        <v>13</v>
      </c>
      <c r="C16" s="54" t="s">
        <v>34</v>
      </c>
      <c r="D16" s="54" t="s">
        <v>39</v>
      </c>
      <c r="E16" s="54" t="s">
        <v>60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72</v>
      </c>
      <c r="F17" s="54" t="s">
        <v>154</v>
      </c>
      <c r="G17" s="54">
        <v>1</v>
      </c>
      <c r="H17" s="54">
        <v>1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44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4">
        <v>16</v>
      </c>
      <c r="C19" s="54" t="s">
        <v>34</v>
      </c>
      <c r="D19" s="54" t="s">
        <v>39</v>
      </c>
      <c r="E19" s="54" t="s">
        <v>63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4">
        <v>17</v>
      </c>
      <c r="C20" s="54" t="s">
        <v>34</v>
      </c>
      <c r="D20" s="54" t="s">
        <v>57</v>
      </c>
      <c r="E20" s="54" t="s">
        <v>38</v>
      </c>
      <c r="F20" s="54" t="s">
        <v>154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4">
        <v>18</v>
      </c>
      <c r="C21" s="54" t="s">
        <v>34</v>
      </c>
      <c r="D21" s="54" t="s">
        <v>39</v>
      </c>
      <c r="E21" s="54" t="s">
        <v>60</v>
      </c>
      <c r="F21" s="54" t="s">
        <v>123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4">
        <v>19</v>
      </c>
      <c r="C22" s="54" t="s">
        <v>34</v>
      </c>
      <c r="D22" s="54" t="s">
        <v>57</v>
      </c>
      <c r="E22" s="54" t="s">
        <v>38</v>
      </c>
      <c r="F22" s="54" t="s">
        <v>154</v>
      </c>
      <c r="G22" s="54">
        <v>4</v>
      </c>
      <c r="H22" s="54">
        <v>3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4">
        <v>20</v>
      </c>
      <c r="C23" s="54" t="s">
        <v>34</v>
      </c>
      <c r="D23" s="54" t="s">
        <v>39</v>
      </c>
      <c r="E23" s="54" t="s">
        <v>66</v>
      </c>
      <c r="F23" s="54" t="s">
        <v>173</v>
      </c>
      <c r="G23" s="54">
        <v>5</v>
      </c>
      <c r="H23" s="54">
        <v>3</v>
      </c>
      <c r="I23" s="54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4">
        <v>21</v>
      </c>
      <c r="C24" s="54" t="s">
        <v>34</v>
      </c>
      <c r="D24" s="54" t="s">
        <v>57</v>
      </c>
      <c r="E24" s="54" t="s">
        <v>60</v>
      </c>
      <c r="F24" s="54" t="s">
        <v>123</v>
      </c>
      <c r="G24" s="54">
        <v>6</v>
      </c>
      <c r="H24" s="54">
        <v>4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4">
        <v>22</v>
      </c>
      <c r="C25" s="54" t="s">
        <v>39</v>
      </c>
      <c r="D25" s="54" t="s">
        <v>34</v>
      </c>
      <c r="E25" s="54" t="s">
        <v>44</v>
      </c>
      <c r="F25" s="54" t="s">
        <v>154</v>
      </c>
      <c r="G25" s="54">
        <v>1</v>
      </c>
      <c r="H25" s="54">
        <v>1</v>
      </c>
      <c r="I25" s="54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4">
        <v>23</v>
      </c>
      <c r="C26" s="54" t="s">
        <v>57</v>
      </c>
      <c r="D26" s="54" t="s">
        <v>39</v>
      </c>
      <c r="E26" s="54" t="s">
        <v>69</v>
      </c>
      <c r="F26" s="54" t="s">
        <v>154</v>
      </c>
      <c r="G26" s="54">
        <v>1</v>
      </c>
      <c r="H26" s="54">
        <v>1</v>
      </c>
      <c r="I26" s="54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>
        <v>24</v>
      </c>
      <c r="C27" s="54" t="s">
        <v>57</v>
      </c>
      <c r="D27" s="54" t="s">
        <v>34</v>
      </c>
      <c r="E27" s="54" t="s">
        <v>69</v>
      </c>
      <c r="F27" s="54" t="s">
        <v>123</v>
      </c>
      <c r="G27" s="54">
        <v>2</v>
      </c>
      <c r="H27" s="54">
        <v>2</v>
      </c>
      <c r="I27" s="54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>
        <v>25</v>
      </c>
      <c r="C28" s="54" t="s">
        <v>39</v>
      </c>
      <c r="D28" s="54" t="s">
        <v>57</v>
      </c>
      <c r="E28" s="54" t="s">
        <v>46</v>
      </c>
      <c r="F28" s="54" t="s">
        <v>173</v>
      </c>
      <c r="G28" s="54">
        <v>1</v>
      </c>
      <c r="H28" s="54">
        <v>1</v>
      </c>
      <c r="I28" s="54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2"/>
      <c r="C29" s="102"/>
      <c r="D29" s="102"/>
      <c r="E29" s="102"/>
      <c r="F29" s="102"/>
      <c r="G29" s="102"/>
      <c r="H29" s="102"/>
      <c r="I29" s="102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2023-05-16T04:41:59Z</dcterms:modified>
</cp:coreProperties>
</file>