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39ED334F-9BAF-4ACF-998F-39806337203E}" xr6:coauthVersionLast="47" xr6:coauthVersionMax="47" xr10:uidLastSave="{00000000-0000-0000-0000-000000000000}"/>
  <bookViews>
    <workbookView xWindow="-98" yWindow="-98" windowWidth="22695" windowHeight="14595" firstSheet="1" activeTab="11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9" i="3" l="1"/>
  <c r="L55" i="3"/>
  <c r="L54" i="3"/>
  <c r="L53" i="3"/>
  <c r="J55" i="3"/>
  <c r="I55" i="3"/>
  <c r="K54" i="3"/>
  <c r="K53" i="3"/>
  <c r="J53" i="3"/>
  <c r="I54" i="3"/>
  <c r="Q5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W68" i="3"/>
  <c r="W69" i="3"/>
  <c r="W70" i="3"/>
  <c r="X70" i="3" s="1"/>
  <c r="W71" i="3"/>
  <c r="X71" i="3" s="1"/>
  <c r="W72" i="3"/>
  <c r="W73" i="3"/>
  <c r="X73" i="3" s="1"/>
  <c r="W74" i="3"/>
  <c r="W75" i="3"/>
  <c r="X75" i="3" s="1"/>
  <c r="W76" i="3"/>
  <c r="X76" i="3" s="1"/>
  <c r="W77" i="3"/>
  <c r="X77" i="3" s="1"/>
  <c r="W78" i="3"/>
  <c r="W79" i="3"/>
  <c r="W80" i="3"/>
  <c r="W81" i="3"/>
  <c r="W82" i="3"/>
  <c r="W67" i="3"/>
  <c r="U68" i="3"/>
  <c r="U69" i="3"/>
  <c r="U70" i="3"/>
  <c r="V70" i="3" s="1"/>
  <c r="U71" i="3"/>
  <c r="U72" i="3"/>
  <c r="U73" i="3"/>
  <c r="V73" i="3" s="1"/>
  <c r="U74" i="3"/>
  <c r="U75" i="3"/>
  <c r="V75" i="3" s="1"/>
  <c r="U76" i="3"/>
  <c r="U77" i="3"/>
  <c r="V77" i="3" s="1"/>
  <c r="U78" i="3"/>
  <c r="V78" i="3" s="1"/>
  <c r="U79" i="3"/>
  <c r="U80" i="3"/>
  <c r="V80" i="3" s="1"/>
  <c r="U81" i="3"/>
  <c r="V81" i="3" s="1"/>
  <c r="U82" i="3"/>
  <c r="U67" i="3"/>
  <c r="V67" i="3" s="1"/>
  <c r="S68" i="3"/>
  <c r="S69" i="3"/>
  <c r="T69" i="3" s="1"/>
  <c r="S70" i="3"/>
  <c r="T70" i="3" s="1"/>
  <c r="S71" i="3"/>
  <c r="T71" i="3" s="1"/>
  <c r="S72" i="3"/>
  <c r="S73" i="3"/>
  <c r="S74" i="3"/>
  <c r="S75" i="3"/>
  <c r="S76" i="3"/>
  <c r="T76" i="3" s="1"/>
  <c r="S77" i="3"/>
  <c r="T77" i="3" s="1"/>
  <c r="S78" i="3"/>
  <c r="T78" i="3" s="1"/>
  <c r="S79" i="3"/>
  <c r="S80" i="3"/>
  <c r="S81" i="3"/>
  <c r="S82" i="3"/>
  <c r="S67" i="3"/>
  <c r="T67" i="3" s="1"/>
  <c r="Q68" i="3"/>
  <c r="Q69" i="3"/>
  <c r="Q70" i="3"/>
  <c r="R70" i="3" s="1"/>
  <c r="Q71" i="3"/>
  <c r="Q72" i="3"/>
  <c r="R72" i="3" s="1"/>
  <c r="Q73" i="3"/>
  <c r="R73" i="3" s="1"/>
  <c r="Q74" i="3"/>
  <c r="Q75" i="3"/>
  <c r="Q76" i="3"/>
  <c r="Q77" i="3"/>
  <c r="Q78" i="3"/>
  <c r="R78" i="3" s="1"/>
  <c r="Q80" i="3"/>
  <c r="R80" i="3" s="1"/>
  <c r="Q81" i="3"/>
  <c r="R81" i="3" s="1"/>
  <c r="Q82" i="3"/>
  <c r="R82" i="3" s="1"/>
  <c r="Q67" i="3"/>
  <c r="X82" i="3"/>
  <c r="V82" i="3"/>
  <c r="T82" i="3"/>
  <c r="X81" i="3"/>
  <c r="T81" i="3"/>
  <c r="X80" i="3"/>
  <c r="T80" i="3"/>
  <c r="X79" i="3"/>
  <c r="V79" i="3"/>
  <c r="T79" i="3"/>
  <c r="R79" i="3"/>
  <c r="X78" i="3"/>
  <c r="R77" i="3"/>
  <c r="V76" i="3"/>
  <c r="R76" i="3"/>
  <c r="T75" i="3"/>
  <c r="R75" i="3"/>
  <c r="X74" i="3"/>
  <c r="V74" i="3"/>
  <c r="T74" i="3"/>
  <c r="R74" i="3"/>
  <c r="T73" i="3"/>
  <c r="X72" i="3"/>
  <c r="V72" i="3"/>
  <c r="T72" i="3"/>
  <c r="V71" i="3"/>
  <c r="R71" i="3"/>
  <c r="X69" i="3"/>
  <c r="V69" i="3"/>
  <c r="R69" i="3"/>
  <c r="X68" i="3"/>
  <c r="V68" i="3"/>
  <c r="T68" i="3"/>
  <c r="R68" i="3"/>
  <c r="X67" i="3"/>
  <c r="R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Q8" i="4" l="1"/>
  <c r="B8" i="5"/>
  <c r="R8" i="4"/>
  <c r="D9" i="3"/>
  <c r="E9" i="3" s="1"/>
  <c r="F9" i="3"/>
  <c r="W8" i="4"/>
  <c r="B8" i="4"/>
  <c r="H7" i="4" s="1"/>
  <c r="B8" i="6"/>
  <c r="AF18" i="4"/>
  <c r="AG18" i="4" s="1"/>
  <c r="AF5" i="4"/>
  <c r="AF10" i="4"/>
  <c r="AH7" i="4"/>
  <c r="AD13" i="4"/>
  <c r="AH10" i="4"/>
  <c r="AH18" i="4"/>
  <c r="AI18" i="4" s="1"/>
  <c r="AH13" i="4"/>
  <c r="AF16" i="4"/>
  <c r="AG16" i="4" s="1"/>
  <c r="AD19" i="4"/>
  <c r="AE19" i="4" s="1"/>
  <c r="AF11" i="4"/>
  <c r="AD14" i="4"/>
  <c r="AE14" i="4" s="1"/>
  <c r="AH16" i="4"/>
  <c r="AI16" i="4" s="1"/>
  <c r="AD6" i="4"/>
  <c r="AH8" i="4"/>
  <c r="AF19" i="4"/>
  <c r="AG19" i="4" s="1"/>
  <c r="AD10" i="4"/>
  <c r="AF7" i="4"/>
  <c r="AD18" i="4"/>
  <c r="AE18" i="4" s="1"/>
  <c r="AD5" i="4"/>
  <c r="AD8" i="4"/>
  <c r="AD16" i="4"/>
  <c r="AE16" i="4" s="1"/>
  <c r="AD11" i="4"/>
  <c r="AF6" i="4"/>
  <c r="AD9" i="4"/>
  <c r="AH11" i="4"/>
  <c r="AF14" i="4"/>
  <c r="AG14" i="4" s="1"/>
  <c r="AD17" i="4"/>
  <c r="AE17" i="4" s="1"/>
  <c r="AH19" i="4"/>
  <c r="AI19" i="4" s="1"/>
  <c r="AH12" i="4"/>
  <c r="AD4" i="4"/>
  <c r="AH6" i="4"/>
  <c r="AF9" i="4"/>
  <c r="AD12" i="4"/>
  <c r="AH14" i="4"/>
  <c r="AI14" i="4" s="1"/>
  <c r="AF17" i="4"/>
  <c r="AG17" i="4" s="1"/>
  <c r="AF13" i="4"/>
  <c r="AF4" i="4"/>
  <c r="AD7" i="4"/>
  <c r="AF12" i="4"/>
  <c r="AH17" i="4"/>
  <c r="AI17" i="4" s="1"/>
  <c r="AH9" i="4"/>
  <c r="AH5" i="4"/>
  <c r="AF8" i="4"/>
  <c r="AH4" i="4"/>
  <c r="AD15" i="4"/>
  <c r="AF15" i="4"/>
  <c r="AG15" i="4" s="1"/>
  <c r="AH15" i="4"/>
  <c r="AI15" i="4" s="1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AB18" i="4" l="1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0" i="3"/>
  <c r="Z11" i="3"/>
  <c r="Z12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P31" i="5"/>
  <c r="O5" i="7"/>
  <c r="E5" i="3"/>
  <c r="O3" i="7"/>
  <c r="O4" i="7"/>
  <c r="Q44" i="10" l="1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<sst xmlns="http://schemas.openxmlformats.org/spreadsheetml/2006/main" count="1215" uniqueCount="197">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</sst>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9" fontId="4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0.45238095238095233</c:v>
                </c:pt>
                <c:pt idx="1">
                  <c:v>0.32142857142857145</c:v>
                </c:pt>
                <c:pt idx="2">
                  <c:v>0.22619047619047616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2" headerRowBorderDxfId="31" tableBorderDxfId="30" totalsRowBorderDxfId="29">
  <autoFilter ref="P7:Z23" xr:uid="{598ECA3B-99B4-4CAB-8F81-5D711AA5A7FC}"/>
  <tableColumns count="11">
    <tableColumn id="1" xr3:uid="{9B036617-5450-4894-9268-827D2E0914FF}" name="Scoring" dataDxfId="28"/>
    <tableColumn id="2" xr3:uid="{6662CE93-E9C4-47DE-9476-E46126825B0A}" name="Points" dataDxfId="9">
      <calculatedColumnFormula>Q29+Q48+Q67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8">
      <calculatedColumnFormula>S29+S48+S67</calculatedColumnFormula>
    </tableColumn>
    <tableColumn id="5" xr3:uid="{5F324C66-956D-4EDC-870F-8EDE96C328C8}" name="Averages" dataDxfId="26">
      <calculatedColumnFormula>Table1[[#This Row],[Finishes]]/($Q$5-Table1[[#This Row],[Missed Games]])</calculatedColumnFormula>
    </tableColumn>
    <tableColumn id="6" xr3:uid="{80C6E15E-675D-4F58-AA26-27226F1CE373}" name="Midranges" dataDxfId="6">
      <calculatedColumnFormula>U29+U48+S67</calculatedColumnFormula>
    </tableColumn>
    <tableColumn id="7" xr3:uid="{8E7E6B37-23A0-4556-8839-B9D7834E3E68}" name="Averages2" dataDxfId="25">
      <calculatedColumnFormula>Table1[[#This Row],[Midranges]]/($Q$5-Table1[[#This Row],[Missed Games]])</calculatedColumnFormula>
    </tableColumn>
    <tableColumn id="8" xr3:uid="{8B28715D-E310-4E1F-B9F0-F58F7C70E830}" name="Threes" dataDxfId="7">
      <calculatedColumnFormula>W29+W48+S67</calculatedColumnFormula>
    </tableColumn>
    <tableColumn id="9" xr3:uid="{E0C0BF1C-40E8-4137-8E0F-BB238D651DAE}" name="Averages3" dataDxfId="24">
      <calculatedColumnFormula>Table1[[#This Row],[Threes]]/($Q$5-Table1[[#This Row],[Missed Games]])</calculatedColumnFormula>
    </tableColumn>
    <tableColumn id="10" xr3:uid="{1C75F230-74E0-47EE-BF13-C22289FE0F87}" name="Team" dataDxfId="23"/>
    <tableColumn id="11" xr3:uid="{E167D7FA-56F9-4571-B292-FF3869585F59}" name="Missed Games" dataDxfId="22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21" dataDxfId="20">
  <autoFilter ref="AA3:AJ19" xr:uid="{587B90AE-8257-4DD1-B916-54A097BDCDB9}"/>
  <tableColumns count="10">
    <tableColumn id="1" xr3:uid="{9C18B4B0-9A37-408A-98B5-B414F029A26A}" name="Scoring" dataDxfId="19"/>
    <tableColumn id="2" xr3:uid="{CC6666B6-FDFB-4B1A-846E-17C28664C92E}" name="Points" dataDxfId="1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7">
      <calculatedColumnFormula>Table2[[#This Row],[Points]]/$AC$2</calculatedColumnFormula>
    </tableColumn>
    <tableColumn id="4" xr3:uid="{FA85A798-E688-4A4F-A92F-2DD56D710025}" name="Finishes" dataDxfId="16">
      <calculatedColumnFormula>'2404'!AC3+'2604'!AC3+'0205'!AC3+'0305'!AC3+'0805'!AC3</calculatedColumnFormula>
    </tableColumn>
    <tableColumn id="5" xr3:uid="{14C722B6-CCC7-4AA5-A077-4781282133B0}" name="Avg F" dataDxfId="15">
      <calculatedColumnFormula>Table2[[#This Row],[Finishes]]/$AC$2</calculatedColumnFormula>
    </tableColumn>
    <tableColumn id="6" xr3:uid="{1E54054E-9F21-4987-99FC-EF35338EC708}" name="Midranges" dataDxfId="14">
      <calculatedColumnFormula>'2404'!AD3+'2604'!AD3+'0205'!AD3+'0305'!AD3+'0805'!AD3</calculatedColumnFormula>
    </tableColumn>
    <tableColumn id="7" xr3:uid="{3BC984C2-EE5E-43C7-8014-7F0DA5F9EB7A}" name="Avg M" dataDxfId="13">
      <calculatedColumnFormula>Table2[[#This Row],[Midranges]]/$AC$2</calculatedColumnFormula>
    </tableColumn>
    <tableColumn id="8" xr3:uid="{9FAC1FFA-039C-4124-88C5-1A3BE26F7F04}" name="Threes" dataDxfId="12">
      <calculatedColumnFormula>'2404'!AE3+'2604'!AE3+'0205'!AE3+'0305'!AE3+'0805'!AE3</calculatedColumnFormula>
    </tableColumn>
    <tableColumn id="9" xr3:uid="{44E19C86-A8F7-4165-82A8-E143251937CE}" name="Avg 3" dataDxfId="11">
      <calculatedColumnFormula>Table2[[#This Row],[Threes]]/$AC$2</calculatedColumnFormula>
    </tableColumn>
    <tableColumn id="10" xr3:uid="{DA5CCBEE-C42A-4EE7-8A28-4BA362276422}" name="DNP" dataDxfId="1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</v>
      </c>
      <c r="E3" s="1">
        <f>'Stats Global'!Q8</f>
        <v>2</v>
      </c>
      <c r="F3" s="14">
        <f>'Stats Global'!T8</f>
        <v>0</v>
      </c>
      <c r="G3" s="24">
        <f>'Stats Global'!S8</f>
        <v>0</v>
      </c>
      <c r="H3" s="14">
        <f>'Stats Global'!V8</f>
        <v>0.2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0.5</v>
      </c>
      <c r="E4" s="24">
        <f>'Stats Global'!Q9</f>
        <v>2</v>
      </c>
      <c r="F4" s="14">
        <f>'Stats Global'!T9</f>
        <v>0.5</v>
      </c>
      <c r="G4" s="24">
        <f>'Stats Global'!S9</f>
        <v>2</v>
      </c>
      <c r="H4" s="14">
        <f>'Stats Global'!V9</f>
        <v>0.25</v>
      </c>
      <c r="I4" s="24">
        <f>'Stats Global'!U9</f>
        <v>1</v>
      </c>
      <c r="J4" s="14">
        <f>'Stats Global'!X9</f>
        <v>0.25</v>
      </c>
      <c r="K4" s="24">
        <f>'Stats Global'!W9</f>
        <v>1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0.4</v>
      </c>
      <c r="I5" s="24">
        <f>'Stats Global'!U10</f>
        <v>2</v>
      </c>
      <c r="J5" s="14">
        <f>'Stats Global'!X10</f>
        <v>0.4</v>
      </c>
      <c r="K5" s="24">
        <f>'Stats Global'!W10</f>
        <v>2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1.6</v>
      </c>
      <c r="E6" s="24">
        <f>'Stats Global'!Q11</f>
        <v>8</v>
      </c>
      <c r="F6" s="14">
        <f>'Stats Global'!T11</f>
        <v>1.4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1.6</v>
      </c>
      <c r="E7" s="24">
        <f>'Stats Global'!Q12</f>
        <v>8</v>
      </c>
      <c r="F7" s="14">
        <f>'Stats Global'!T12</f>
        <v>0.6</v>
      </c>
      <c r="G7" s="24">
        <f>'Stats Global'!S12</f>
        <v>3</v>
      </c>
      <c r="H7" s="14">
        <f>'Stats Global'!V12</f>
        <v>1</v>
      </c>
      <c r="I7" s="24">
        <f>'Stats Global'!U12</f>
        <v>5</v>
      </c>
      <c r="J7" s="14">
        <f>'Stats Global'!X12</f>
        <v>0.4</v>
      </c>
      <c r="K7" s="24">
        <f>'Stats Global'!W12</f>
        <v>2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</v>
      </c>
      <c r="I9" s="24">
        <f>'Stats Global'!U14</f>
        <v>1</v>
      </c>
      <c r="J9" s="14">
        <f>'Stats Global'!X14</f>
        <v>0.4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0.8</v>
      </c>
      <c r="E10" s="24">
        <f>'Stats Global'!Q15</f>
        <v>4</v>
      </c>
      <c r="F10" s="14">
        <f>'Stats Global'!T15</f>
        <v>0.4</v>
      </c>
      <c r="G10" s="24">
        <f>'Stats Global'!S15</f>
        <v>2</v>
      </c>
      <c r="H10" s="14">
        <f>'Stats Global'!V15</f>
        <v>0.6</v>
      </c>
      <c r="I10" s="24">
        <f>'Stats Global'!U15</f>
        <v>3</v>
      </c>
      <c r="J10" s="14">
        <f>'Stats Global'!X15</f>
        <v>0.2</v>
      </c>
      <c r="K10" s="24">
        <f>'Stats Global'!W15</f>
        <v>1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</v>
      </c>
      <c r="E11" s="24">
        <f>'Stats Global'!Q16</f>
        <v>10</v>
      </c>
      <c r="F11" s="14">
        <f>'Stats Global'!T16</f>
        <v>0.75</v>
      </c>
      <c r="G11" s="24">
        <f>'Stats Global'!S16</f>
        <v>3</v>
      </c>
      <c r="H11" s="14">
        <f>'Stats Global'!V16</f>
        <v>1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5</v>
      </c>
      <c r="F12" s="14">
        <f>'Stats Global'!T17</f>
        <v>0.2</v>
      </c>
      <c r="G12" s="24">
        <f>'Stats Global'!S17</f>
        <v>1</v>
      </c>
      <c r="H12" s="14">
        <f>'Stats Global'!V17</f>
        <v>0.6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0.4</v>
      </c>
      <c r="E14" s="24">
        <f>'Stats Global'!Q19</f>
        <v>2</v>
      </c>
      <c r="F14" s="14">
        <f>'Stats Global'!T19</f>
        <v>0.4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0.5</v>
      </c>
      <c r="I15" s="24">
        <f>'Stats Global'!U20</f>
        <v>2</v>
      </c>
      <c r="J15" s="14">
        <f>'Stats Global'!X20</f>
        <v>0.75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</v>
      </c>
      <c r="E17" s="24">
        <f>'Stats Global'!Q22</f>
        <v>1</v>
      </c>
      <c r="F17" s="14">
        <f>'Stats Global'!T22</f>
        <v>0.2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0.6</v>
      </c>
      <c r="E18" s="24">
        <f>'Stats Global'!Q23</f>
        <v>3</v>
      </c>
      <c r="F18" s="14">
        <f>'Stats Global'!T23</f>
        <v>0.6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7" t="s">
        <v>159</v>
      </c>
      <c r="M20" s="117"/>
      <c r="N20" s="11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7"/>
      <c r="M21" s="117"/>
      <c r="N21" s="117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"0.4",</v>
      </c>
      <c r="E22" s="41" t="str">
        <f t="shared" ref="E22:K22" si="2">CHAR(34)&amp;E3&amp;CHAR(34)&amp;","</f>
        <v>"2",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"PPG":["0.4","0.5","2.6","1.6","1.6","0.75","1","0.8","2.5","1","1.4","0.4","3.5","0","0.2","0.6",],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"0.5",</v>
      </c>
      <c r="E23" s="41" t="str">
        <f t="shared" ref="E23:K23" si="4">CHAR(34)&amp;E4&amp;CHAR(34)&amp;","</f>
        <v>"2",</v>
      </c>
      <c r="F23" s="41" t="str">
        <f t="shared" ref="F23:F37" si="5">CHAR(34)&amp;ROUND(F4,2)&amp;CHAR(34)&amp;","</f>
        <v>"0.5",</v>
      </c>
      <c r="G23" s="41" t="str">
        <f t="shared" si="4"/>
        <v>"2",</v>
      </c>
      <c r="H23" s="41" t="str">
        <f t="shared" ref="H23:H37" si="6">CHAR(34)&amp;ROUND(H4,2)&amp;CHAR(34)&amp;","</f>
        <v>"0.25",</v>
      </c>
      <c r="I23" s="41" t="str">
        <f t="shared" si="4"/>
        <v>"1",</v>
      </c>
      <c r="J23" s="41" t="str">
        <f t="shared" ref="J23:J37" si="7">CHAR(34)&amp;ROUND(J4,2)&amp;CHAR(34)&amp;","</f>
        <v>"0.25",</v>
      </c>
      <c r="K23" s="41" t="str">
        <f t="shared" si="4"/>
        <v>"1",</v>
      </c>
      <c r="L23" t="str">
        <f>E21&amp;":["&amp;E22&amp;E23&amp;E24&amp;E25&amp;E26&amp;E27&amp;E28&amp;E29&amp;E30&amp;E31&amp;E32&amp;E33&amp;E34&amp;E35&amp;E36&amp;E37&amp;"],"</f>
        <v>"TP":["2","2","13","8","8","3","5","4","10","5","7","2","14","0","1","3"],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"0.4",</v>
      </c>
      <c r="I24" s="41" t="str">
        <f t="shared" si="8"/>
        <v>"2",</v>
      </c>
      <c r="J24" s="41" t="str">
        <f t="shared" si="7"/>
        <v>"0.4",</v>
      </c>
      <c r="K24" s="41" t="str">
        <f t="shared" si="8"/>
        <v>"2",</v>
      </c>
      <c r="L24" t="str">
        <f>F21&amp;":["&amp;F22&amp;F23&amp;F24&amp;F25&amp;F26&amp;F27&amp;F28&amp;F29&amp;F30&amp;F31&amp;F32&amp;F33&amp;F34&amp;F35&amp;F36&amp;F37&amp;"],"</f>
        <v>"FPG":["0","0.5","2.6","1.4","0.6","0.5","0","0.4","0.75","0.2","1.4","0.4","2.5","0","0.2","0.6",],</v>
      </c>
      <c r="X24" s="40" t="s">
        <v>107</v>
      </c>
    </row>
    <row r="25" spans="2:24" ht="14.25" customHeight="1" x14ac:dyDescent="0.45">
      <c r="D25" s="41" t="str">
        <f t="shared" si="3"/>
        <v>"1.6",</v>
      </c>
      <c r="E25" s="41" t="str">
        <f t="shared" ref="E25:K25" si="9">CHAR(34)&amp;E6&amp;CHAR(34)&amp;","</f>
        <v>"8",</v>
      </c>
      <c r="F25" s="41" t="str">
        <f t="shared" si="5"/>
        <v>"1.4",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"TF":["0","2","13","7","3","2","0","2","3","1","7","2","10","0","1","3"],</v>
      </c>
    </row>
    <row r="26" spans="2:24" ht="14.25" customHeight="1" x14ac:dyDescent="0.45">
      <c r="D26" s="41" t="str">
        <f t="shared" si="3"/>
        <v>"1.6",</v>
      </c>
      <c r="E26" s="41" t="str">
        <f t="shared" ref="E26:K26" si="10">CHAR(34)&amp;E7&amp;CHAR(34)&amp;","</f>
        <v>"8",</v>
      </c>
      <c r="F26" s="41" t="str">
        <f t="shared" si="5"/>
        <v>"0.6",</v>
      </c>
      <c r="G26" s="41" t="str">
        <f t="shared" si="10"/>
        <v>"3",</v>
      </c>
      <c r="H26" s="41" t="str">
        <f t="shared" si="6"/>
        <v>"1",</v>
      </c>
      <c r="I26" s="41" t="str">
        <f t="shared" si="10"/>
        <v>"5",</v>
      </c>
      <c r="J26" s="41" t="str">
        <f t="shared" si="7"/>
        <v>"0.4",</v>
      </c>
      <c r="K26" s="41" t="str">
        <f t="shared" si="10"/>
        <v>"2",</v>
      </c>
      <c r="L26" t="str">
        <f>H21&amp;":["&amp;H22&amp;H23&amp;H24&amp;H25&amp;H26&amp;H27&amp;H28&amp;H29&amp;H30&amp;H31&amp;H32&amp;H33&amp;H34&amp;H35&amp;H36&amp;H37&amp;"],"</f>
        <v>"MPG":["0.2","0.25","0.4","0","1","0.25","0.2","0.6","1","0.6","0","0","0.5","0","0","0",],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"TM":["1","1","2","0","5","1","1","3","4","3","0","0","2","0","0","0"],</v>
      </c>
    </row>
    <row r="28" spans="2:24" ht="14.25" customHeight="1" x14ac:dyDescent="0.45">
      <c r="D28" s="41" t="str">
        <f t="shared" si="3"/>
        <v>"1",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"0.2",</v>
      </c>
      <c r="I28" s="41" t="str">
        <f t="shared" si="12"/>
        <v>"1",</v>
      </c>
      <c r="J28" s="41" t="str">
        <f t="shared" si="7"/>
        <v>"0.4",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"TPG":["0","0.25","0.4","0","0.4","0","0.4","0.2","0","0","0","0","0.75","0","0","0",],</v>
      </c>
    </row>
    <row r="29" spans="2:24" ht="14.25" customHeight="1" x14ac:dyDescent="0.45">
      <c r="D29" s="41" t="str">
        <f t="shared" si="3"/>
        <v>"0.8",</v>
      </c>
      <c r="E29" s="41" t="str">
        <f t="shared" ref="E29:K29" si="13">CHAR(34)&amp;E10&amp;CHAR(34)&amp;","</f>
        <v>"4",</v>
      </c>
      <c r="F29" s="41" t="str">
        <f t="shared" si="5"/>
        <v>"0.4",</v>
      </c>
      <c r="G29" s="41" t="str">
        <f t="shared" si="13"/>
        <v>"2",</v>
      </c>
      <c r="H29" s="41" t="str">
        <f t="shared" si="6"/>
        <v>"0.6",</v>
      </c>
      <c r="I29" s="41" t="str">
        <f t="shared" si="13"/>
        <v>"3",</v>
      </c>
      <c r="J29" s="41" t="str">
        <f t="shared" si="7"/>
        <v>"0.2",</v>
      </c>
      <c r="K29" s="41" t="str">
        <f t="shared" si="13"/>
        <v>"1",</v>
      </c>
      <c r="L29" t="str">
        <f>K21&amp;":["&amp;K22&amp;K23&amp;K24&amp;K25&amp;K26&amp;K27&amp;K28&amp;K29&amp;K30&amp;K31&amp;K32&amp;K33&amp;K34&amp;K35&amp;K36&amp;K37&amp;"],"</f>
        <v>"TT":["0","1","2","0","2","0","2","1","0","0","0","0","3","0","0","0"],</v>
      </c>
    </row>
    <row r="30" spans="2:24" ht="14.25" customHeight="1" x14ac:dyDescent="0.45">
      <c r="C30" s="41"/>
      <c r="D30" s="41" t="str">
        <f t="shared" si="3"/>
        <v>"2.5",</v>
      </c>
      <c r="E30" s="41" t="str">
        <f t="shared" ref="E30:K30" si="14">CHAR(34)&amp;E11&amp;CHAR(34)&amp;","</f>
        <v>"10",</v>
      </c>
      <c r="F30" s="41" t="str">
        <f t="shared" si="5"/>
        <v>"0.75",</v>
      </c>
      <c r="G30" s="41" t="str">
        <f t="shared" si="14"/>
        <v>"3",</v>
      </c>
      <c r="H30" s="41" t="str">
        <f t="shared" si="6"/>
        <v>"1",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"5",</v>
      </c>
      <c r="F31" s="41" t="str">
        <f t="shared" si="5"/>
        <v>"0.2",</v>
      </c>
      <c r="G31" s="41" t="str">
        <f t="shared" si="15"/>
        <v>"1",</v>
      </c>
      <c r="H31" s="41" t="str">
        <f t="shared" si="6"/>
        <v>"0.6",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"0.4",</v>
      </c>
      <c r="E33" s="41" t="str">
        <f t="shared" ref="E33:K33" si="17">CHAR(34)&amp;E14&amp;CHAR(34)&amp;","</f>
        <v>"2",</v>
      </c>
      <c r="F33" s="41" t="str">
        <f t="shared" si="5"/>
        <v>"0.4",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"0.5",</v>
      </c>
      <c r="I34" s="41" t="str">
        <f t="shared" si="18"/>
        <v>"2",</v>
      </c>
      <c r="J34" s="41" t="str">
        <f t="shared" si="7"/>
        <v>"0.75",</v>
      </c>
      <c r="K34" s="41" t="str">
        <f t="shared" si="18"/>
        <v>"3",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"0.2",</v>
      </c>
      <c r="E36" s="41" t="str">
        <f t="shared" ref="E36:K36" si="20">CHAR(34)&amp;E17&amp;CHAR(34)&amp;","</f>
        <v>"1",</v>
      </c>
      <c r="F36" s="41" t="str">
        <f t="shared" si="5"/>
        <v>"0.2",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"0.6",</v>
      </c>
      <c r="E37" s="41" t="str">
        <f t="shared" ref="E37:K37" si="21">CHAR(34)&amp;E18&amp;CHAR(34)</f>
        <v>"3"</v>
      </c>
      <c r="F37" s="41" t="str">
        <f t="shared" si="5"/>
        <v>"0.6",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F1" zoomScaleNormal="100" workbookViewId="0">
      <selection activeCell="Q79" sqref="Q7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5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16.8</v>
      </c>
      <c r="J6" s="1">
        <f t="shared" si="0"/>
        <v>7.6</v>
      </c>
      <c r="K6" s="1">
        <f t="shared" si="0"/>
        <v>5.4</v>
      </c>
      <c r="L6" s="1">
        <f t="shared" si="0"/>
        <v>3.8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0.45238095238095233</v>
      </c>
      <c r="K7" s="8">
        <f t="shared" si="1"/>
        <v>0.32142857142857145</v>
      </c>
      <c r="L7" s="8">
        <f t="shared" si="1"/>
        <v>0.22619047619047616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Q29+Q48+Q67</f>
        <v>2</v>
      </c>
      <c r="R8" s="76">
        <f>Table1[[#This Row],[Points]]/($Q$5-Table1[[#This Row],[Missed Games]])</f>
        <v>0.4</v>
      </c>
      <c r="S8" s="77">
        <f t="shared" ref="S8:S23" si="3">S29+S48+S67</f>
        <v>0</v>
      </c>
      <c r="T8" s="78">
        <f>Table1[[#This Row],[Finishes]]/($Q$5-Table1[[#This Row],[Missed Games]])</f>
        <v>0</v>
      </c>
      <c r="U8" s="77">
        <f t="shared" ref="U8:U23" si="4">U29+U48+S67</f>
        <v>1</v>
      </c>
      <c r="V8" s="78">
        <f>Table1[[#This Row],[Midranges]]/($Q$5-Table1[[#This Row],[Missed Games]])</f>
        <v>0.2</v>
      </c>
      <c r="W8" s="77">
        <f t="shared" ref="W8:W23" si="5">W29+W48+S67</f>
        <v>0</v>
      </c>
      <c r="X8" s="78">
        <f>Table1[[#This Row],[Threes]]/($Q$5-Table1[[#This Row],[Missed Games]])</f>
        <v>0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2.3809523809523808E-2</v>
      </c>
      <c r="AD8" s="72">
        <v>4.7</v>
      </c>
      <c r="AE8" s="66">
        <f>AC8-AD8</f>
        <v>-4.6761904761904765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>C9-D9-F9</f>
        <v>6</v>
      </c>
      <c r="F9" s="3">
        <f>MIN('0805'!$L$3:$L$5)</f>
        <v>4</v>
      </c>
      <c r="P9" s="89" t="s">
        <v>59</v>
      </c>
      <c r="Q9" s="79">
        <f t="shared" si="2"/>
        <v>2</v>
      </c>
      <c r="R9" s="80">
        <f>Table1[[#This Row],[Points]]/($Q$5-Table1[[#This Row],[Missed Games]])</f>
        <v>0.5</v>
      </c>
      <c r="S9" s="81">
        <f t="shared" si="3"/>
        <v>2</v>
      </c>
      <c r="T9" s="82">
        <f>Table1[[#This Row],[Finishes]]/($Q$5-Table1[[#This Row],[Missed Games]])</f>
        <v>0.5</v>
      </c>
      <c r="U9" s="81">
        <f t="shared" si="4"/>
        <v>1</v>
      </c>
      <c r="V9" s="82">
        <f>Table1[[#This Row],[Midranges]]/($Q$5-Table1[[#This Row],[Missed Games]])</f>
        <v>0.25</v>
      </c>
      <c r="W9" s="81">
        <f t="shared" si="5"/>
        <v>1</v>
      </c>
      <c r="X9" s="82">
        <f>Table1[[#This Row],[Threes]]/($Q$5-Table1[[#This Row],[Missed Games]])</f>
        <v>0.25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8.9285714285714288</v>
      </c>
      <c r="AD9" s="72">
        <v>8.1999999999999993</v>
      </c>
      <c r="AE9" s="66">
        <f t="shared" ref="AE9:AE23" si="7">AC9-AD9</f>
        <v>0.72857142857142954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4"/>
      <c r="P10" s="87" t="s">
        <v>62</v>
      </c>
      <c r="Q10" s="75">
        <f t="shared" si="2"/>
        <v>13</v>
      </c>
      <c r="R10" s="76">
        <f>Table1[[#This Row],[Points]]/($Q$5-Table1[[#This Row],[Missed Games]])</f>
        <v>2.6</v>
      </c>
      <c r="S10" s="77">
        <f t="shared" si="3"/>
        <v>13</v>
      </c>
      <c r="T10" s="78">
        <f>Table1[[#This Row],[Finishes]]/($Q$5-Table1[[#This Row],[Missed Games]])</f>
        <v>2.6</v>
      </c>
      <c r="U10" s="77">
        <f t="shared" si="4"/>
        <v>2</v>
      </c>
      <c r="V10" s="78">
        <f>Table1[[#This Row],[Midranges]]/($Q$5-Table1[[#This Row],[Missed Games]])</f>
        <v>0.4</v>
      </c>
      <c r="W10" s="77">
        <f t="shared" si="5"/>
        <v>2</v>
      </c>
      <c r="X10" s="78">
        <f>Table1[[#This Row],[Threes]]/($Q$5-Table1[[#This Row],[Missed Games]])</f>
        <v>0.4</v>
      </c>
      <c r="Y10" s="87" t="s">
        <v>34</v>
      </c>
      <c r="Z10" s="88">
        <f t="shared" si="6"/>
        <v>0</v>
      </c>
      <c r="AB10" s="69" t="s">
        <v>62</v>
      </c>
      <c r="AC10" s="66">
        <f>Table1[[#This Row],[Average]]/$I$6*300</f>
        <v>46.428571428571431</v>
      </c>
      <c r="AD10" s="72">
        <v>39.4</v>
      </c>
      <c r="AE10" s="66">
        <f t="shared" si="7"/>
        <v>7.028571428571432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8</v>
      </c>
      <c r="R11" s="80">
        <f>Table1[[#This Row],[Points]]/($Q$5-Table1[[#This Row],[Missed Games]])</f>
        <v>1.6</v>
      </c>
      <c r="S11" s="81">
        <f t="shared" si="3"/>
        <v>7</v>
      </c>
      <c r="T11" s="82">
        <f>Table1[[#This Row],[Finishes]]/($Q$5-Table1[[#This Row],[Missed Games]])</f>
        <v>1.4</v>
      </c>
      <c r="U11" s="81">
        <f t="shared" si="4"/>
        <v>0</v>
      </c>
      <c r="V11" s="82">
        <f>Table1[[#This Row],[Midranges]]/($Q$5-Table1[[#This Row],[Missed Games]])</f>
        <v>0</v>
      </c>
      <c r="W11" s="81">
        <f t="shared" si="5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28.571428571428569</v>
      </c>
      <c r="AD11" s="72">
        <v>37.4</v>
      </c>
      <c r="AE11" s="66">
        <f t="shared" si="7"/>
        <v>-8.8285714285714292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8</v>
      </c>
      <c r="R12" s="80">
        <f>Table1[[#This Row],[Points]]/($Q$5-Table1[[#This Row],[Missed Games]])</f>
        <v>1.6</v>
      </c>
      <c r="S12" s="81">
        <f t="shared" si="3"/>
        <v>3</v>
      </c>
      <c r="T12" s="82">
        <f>Table1[[#This Row],[Finishes]]/($Q$5-Table1[[#This Row],[Missed Games]])</f>
        <v>0.6</v>
      </c>
      <c r="U12" s="81">
        <f t="shared" si="4"/>
        <v>5</v>
      </c>
      <c r="V12" s="82">
        <f>Table1[[#This Row],[Midranges]]/($Q$5-Table1[[#This Row],[Missed Games]])</f>
        <v>1</v>
      </c>
      <c r="W12" s="81">
        <f t="shared" si="5"/>
        <v>2</v>
      </c>
      <c r="X12" s="82">
        <f>Table1[[#This Row],[Threes]]/($Q$5-Table1[[#This Row],[Missed Games]])</f>
        <v>0.4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28.571428571428569</v>
      </c>
      <c r="AD12" s="72">
        <v>19.8</v>
      </c>
      <c r="AE12" s="66">
        <f t="shared" si="7"/>
        <v>8.7714285714285687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v>1</v>
      </c>
      <c r="AB13" s="69" t="s">
        <v>71</v>
      </c>
      <c r="AC13" s="66">
        <f>Table1[[#This Row],[Average]]/$I$6*300</f>
        <v>13.392857142857142</v>
      </c>
      <c r="AD13" s="72">
        <v>30.4</v>
      </c>
      <c r="AE13" s="66">
        <f t="shared" si="7"/>
        <v>-17.007142857142856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1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0.2</v>
      </c>
      <c r="W14" s="85">
        <f t="shared" si="5"/>
        <v>2</v>
      </c>
      <c r="X14" s="86">
        <f>Table1[[#This Row],[Threes]]/($Q$5-Table1[[#This Row],[Missed Games]])</f>
        <v>0.4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17.857142857142858</v>
      </c>
      <c r="AD14" s="72">
        <v>11.7</v>
      </c>
      <c r="AE14" s="66">
        <f t="shared" si="7"/>
        <v>6.1571428571428584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4</v>
      </c>
      <c r="R15" s="84">
        <f>Table1[[#This Row],[Points]]/($Q$5-Table1[[#This Row],[Missed Games]])</f>
        <v>0.8</v>
      </c>
      <c r="S15" s="85">
        <f t="shared" si="3"/>
        <v>2</v>
      </c>
      <c r="T15" s="86">
        <f>Table1[[#This Row],[Finishes]]/($Q$5-Table1[[#This Row],[Missed Games]])</f>
        <v>0.4</v>
      </c>
      <c r="U15" s="85">
        <f t="shared" si="4"/>
        <v>3</v>
      </c>
      <c r="V15" s="86">
        <f>Table1[[#This Row],[Midranges]]/($Q$5-Table1[[#This Row],[Missed Games]])</f>
        <v>0.6</v>
      </c>
      <c r="W15" s="85">
        <f t="shared" si="5"/>
        <v>1</v>
      </c>
      <c r="X15" s="86">
        <f>Table1[[#This Row],[Threes]]/($Q$5-Table1[[#This Row],[Missed Games]])</f>
        <v>0.2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14.285714285714285</v>
      </c>
      <c r="AD15" s="72">
        <v>37.4</v>
      </c>
      <c r="AE15" s="66">
        <f t="shared" si="7"/>
        <v>-23.114285714285714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10</v>
      </c>
      <c r="R16" s="76">
        <f>Table1[[#This Row],[Points]]/($Q$5-Table1[[#This Row],[Missed Games]])</f>
        <v>2.5</v>
      </c>
      <c r="S16" s="77">
        <f t="shared" si="3"/>
        <v>3</v>
      </c>
      <c r="T16" s="78">
        <f>Table1[[#This Row],[Finishes]]/($Q$5-Table1[[#This Row],[Missed Games]])</f>
        <v>0.75</v>
      </c>
      <c r="U16" s="77">
        <f t="shared" si="4"/>
        <v>4</v>
      </c>
      <c r="V16" s="78">
        <f>Table1[[#This Row],[Midranges]]/($Q$5-Table1[[#This Row],[Missed Games]])</f>
        <v>1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44.642857142857146</v>
      </c>
      <c r="AD16" s="72">
        <v>29.2</v>
      </c>
      <c r="AE16" s="66">
        <f t="shared" si="7"/>
        <v>15.442857142857147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5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0.2</v>
      </c>
      <c r="U17" s="77">
        <f t="shared" si="4"/>
        <v>3</v>
      </c>
      <c r="V17" s="78">
        <f>Table1[[#This Row],[Midranges]]/($Q$5-Table1[[#This Row],[Missed Games]])</f>
        <v>0.6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17.857142857142858</v>
      </c>
      <c r="AD17" s="72">
        <v>5.8</v>
      </c>
      <c r="AE17" s="66">
        <f t="shared" si="7"/>
        <v>12.057142857142857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2"/>
        <v>7</v>
      </c>
      <c r="R18" s="76">
        <f>Table1[[#This Row],[Points]]/($Q$5-Table1[[#This Row],[Missed Games]])</f>
        <v>1.4</v>
      </c>
      <c r="S18" s="77">
        <f t="shared" si="3"/>
        <v>7</v>
      </c>
      <c r="T18" s="78">
        <f>Table1[[#This Row],[Finishes]]/($Q$5-Table1[[#This Row],[Missed Games]])</f>
        <v>1.4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189</v>
      </c>
      <c r="AC18" s="66">
        <f>Table1[[#This Row],[Average]]/$I$6*300</f>
        <v>25</v>
      </c>
      <c r="AD18" s="72">
        <v>11.7</v>
      </c>
      <c r="AE18" s="66">
        <f t="shared" si="7"/>
        <v>13.3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2"/>
        <v>2</v>
      </c>
      <c r="R19" s="84">
        <f>Table1[[#This Row],[Points]]/($Q$5-Table1[[#This Row],[Missed Games]])</f>
        <v>0.4</v>
      </c>
      <c r="S19" s="85">
        <f t="shared" si="3"/>
        <v>2</v>
      </c>
      <c r="T19" s="86">
        <f>Table1[[#This Row],[Finishes]]/($Q$5-Table1[[#This Row],[Missed Games]])</f>
        <v>0.4</v>
      </c>
      <c r="U19" s="85">
        <f t="shared" si="4"/>
        <v>0</v>
      </c>
      <c r="V19" s="86">
        <f>Table1[[#This Row],[Midranges]]/($Q$5-Table1[[#This Row],[Missed Games]])</f>
        <v>0</v>
      </c>
      <c r="W19" s="85">
        <f t="shared" si="5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6"/>
        <v>0</v>
      </c>
      <c r="AB19" s="69" t="s">
        <v>188</v>
      </c>
      <c r="AC19" s="66">
        <f>Table1[[#This Row],[Average]]/$I$6*300</f>
        <v>7.1428571428571423</v>
      </c>
      <c r="AD19" s="72">
        <v>16.5</v>
      </c>
      <c r="AE19" s="66">
        <f t="shared" si="7"/>
        <v>-9.3571428571428577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14</v>
      </c>
      <c r="R20" s="84">
        <f>Table1[[#This Row],[Points]]/($Q$5-Table1[[#This Row],[Missed Games]])</f>
        <v>3.5</v>
      </c>
      <c r="S20" s="85">
        <f t="shared" si="3"/>
        <v>10</v>
      </c>
      <c r="T20" s="86">
        <f>Table1[[#This Row],[Finishes]]/($Q$5-Table1[[#This Row],[Missed Games]])</f>
        <v>2.5</v>
      </c>
      <c r="U20" s="85">
        <f t="shared" si="4"/>
        <v>2</v>
      </c>
      <c r="V20" s="86">
        <f>Table1[[#This Row],[Midranges]]/($Q$5-Table1[[#This Row],[Missed Games]])</f>
        <v>0.5</v>
      </c>
      <c r="W20" s="85">
        <f t="shared" si="5"/>
        <v>3</v>
      </c>
      <c r="X20" s="86">
        <f>Table1[[#This Row],[Threes]]/($Q$5-Table1[[#This Row],[Missed Games]])</f>
        <v>0.75</v>
      </c>
      <c r="Y20" s="91" t="s">
        <v>57</v>
      </c>
      <c r="Z20" s="92">
        <v>1</v>
      </c>
      <c r="AB20" s="69" t="s">
        <v>85</v>
      </c>
      <c r="AC20" s="66">
        <f>Table1[[#This Row],[Average]]/$I$6*300</f>
        <v>62.499999999999993</v>
      </c>
      <c r="AD20" s="72">
        <v>39.700000000000003</v>
      </c>
      <c r="AE20" s="66">
        <f t="shared" si="7"/>
        <v>22.79999999999999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0</v>
      </c>
      <c r="R21" s="80">
        <f>Table1[[#This Row],[Points]]/($Q$5-Table1[[#This Row],[Missed Games]])</f>
        <v>0</v>
      </c>
      <c r="S21" s="81">
        <f t="shared" si="3"/>
        <v>0</v>
      </c>
      <c r="T21" s="82">
        <f>Table1[[#This Row],[Finishes]]/($Q$5-Table1[[#This Row],[Missed Games]])</f>
        <v>0</v>
      </c>
      <c r="U21" s="81">
        <f t="shared" si="4"/>
        <v>0</v>
      </c>
      <c r="V21" s="82">
        <f>Table1[[#This Row],[Midranges]]/($Q$5-Table1[[#This Row],[Missed Games]])</f>
        <v>0</v>
      </c>
      <c r="W21" s="81">
        <f t="shared" si="5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0</v>
      </c>
      <c r="AD21" s="72">
        <v>8.1999999999999993</v>
      </c>
      <c r="AE21" s="66">
        <f t="shared" si="7"/>
        <v>-8.1999999999999993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1</v>
      </c>
      <c r="R22" s="84">
        <f>Table1[[#This Row],[Points]]/($Q$5-Table1[[#This Row],[Missed Games]])</f>
        <v>0.2</v>
      </c>
      <c r="S22" s="85">
        <f t="shared" si="3"/>
        <v>1</v>
      </c>
      <c r="T22" s="86">
        <f>Table1[[#This Row],[Finishes]]/($Q$5-Table1[[#This Row],[Missed Games]])</f>
        <v>0.2</v>
      </c>
      <c r="U22" s="85">
        <f t="shared" si="4"/>
        <v>0</v>
      </c>
      <c r="V22" s="86">
        <f>Table1[[#This Row],[Midranges]]/($Q$5-Table1[[#This Row],[Missed Games]])</f>
        <v>0</v>
      </c>
      <c r="W22" s="85">
        <f t="shared" si="5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3.5714285714285712</v>
      </c>
      <c r="AD22" s="72">
        <v>7</v>
      </c>
      <c r="AE22" s="66">
        <f t="shared" si="7"/>
        <v>-3.4285714285714288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0.6</v>
      </c>
      <c r="S23" s="85">
        <f t="shared" si="3"/>
        <v>3</v>
      </c>
      <c r="T23" s="86">
        <f>Table1[[#This Row],[Finishes]]/($Q$5-Table1[[#This Row],[Missed Games]])</f>
        <v>0.6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10.714285714285714</v>
      </c>
      <c r="AD23" s="72">
        <v>3.5</v>
      </c>
      <c r="AE23" s="66">
        <f t="shared" si="7"/>
        <v>7.2142857142857135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10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6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14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56</v>
      </c>
      <c r="K46">
        <f>J46/Q5</f>
        <v>11.2</v>
      </c>
      <c r="L46" s="57">
        <f>J46/SUM($J$46:$J$48)</f>
        <v>0.62222222222222223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23</v>
      </c>
      <c r="K47">
        <f>Q5</f>
        <v>5</v>
      </c>
      <c r="L47" s="57">
        <f t="shared" ref="L47:L48" si="12">J47/SUM($J$46:$J$48)</f>
        <v>0.25555555555555554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11</v>
      </c>
      <c r="K48">
        <f>J48/Q5</f>
        <v>2.2000000000000002</v>
      </c>
      <c r="L48" s="57">
        <f t="shared" si="12"/>
        <v>0.12222222222222222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3">Q49/(Q$46-Y49)</f>
        <v>0.5</v>
      </c>
      <c r="S49" s="27">
        <f>'0205'!S4+'0305'!S4</f>
        <v>1</v>
      </c>
      <c r="T49" s="28">
        <f t="shared" ref="T49:T63" si="14">S49/($Q$46-Y49)</f>
        <v>0.5</v>
      </c>
      <c r="U49" s="27">
        <f>'0205'!T4+'0305'!T4</f>
        <v>0</v>
      </c>
      <c r="V49" s="28">
        <f t="shared" ref="V49:V63" si="15">U49/($Q$46-Y49)</f>
        <v>0</v>
      </c>
      <c r="W49" s="27">
        <f>'0205'!U4+'0305'!U4</f>
        <v>0</v>
      </c>
      <c r="X49" s="28">
        <f t="shared" ref="X49:X63" si="16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3"/>
        <v>4</v>
      </c>
      <c r="S50" s="27">
        <f>'0205'!S5+'0305'!S5</f>
        <v>8</v>
      </c>
      <c r="T50" s="28">
        <f t="shared" si="14"/>
        <v>4</v>
      </c>
      <c r="U50" s="27">
        <f>'0205'!T5+'0305'!T5</f>
        <v>0</v>
      </c>
      <c r="V50" s="28">
        <f t="shared" si="15"/>
        <v>0</v>
      </c>
      <c r="W50" s="27">
        <f>'0205'!U5+'0305'!U5</f>
        <v>0</v>
      </c>
      <c r="X50" s="28">
        <f t="shared" si="16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3"/>
        <v>2</v>
      </c>
      <c r="S51" s="27">
        <f>'0205'!S6+'0305'!S6</f>
        <v>4</v>
      </c>
      <c r="T51" s="28">
        <f t="shared" si="14"/>
        <v>2</v>
      </c>
      <c r="U51" s="27">
        <f>'0205'!T6+'0305'!T6</f>
        <v>0</v>
      </c>
      <c r="V51" s="28">
        <f t="shared" si="15"/>
        <v>0</v>
      </c>
      <c r="W51" s="27">
        <f>'0205'!U6+'0305'!U6</f>
        <v>0</v>
      </c>
      <c r="X51" s="28">
        <f t="shared" si="16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3"/>
        <v>1.5</v>
      </c>
      <c r="S52" s="27">
        <f>'0205'!S7+'0305'!S7</f>
        <v>0</v>
      </c>
      <c r="T52" s="28">
        <f t="shared" si="14"/>
        <v>0</v>
      </c>
      <c r="U52" s="27">
        <f>'0205'!T7+'0305'!T7</f>
        <v>3</v>
      </c>
      <c r="V52" s="28">
        <f t="shared" si="15"/>
        <v>1.5</v>
      </c>
      <c r="W52" s="27">
        <f>'0205'!U7+'0305'!U7</f>
        <v>0</v>
      </c>
      <c r="X52" s="28">
        <f t="shared" si="16"/>
        <v>0</v>
      </c>
      <c r="Y52" s="40">
        <v>0</v>
      </c>
    </row>
    <row r="53" spans="8:25" ht="14.25" customHeight="1" x14ac:dyDescent="0.45">
      <c r="H53" s="33" t="s">
        <v>194</v>
      </c>
      <c r="I53" s="118" t="s">
        <v>193</v>
      </c>
      <c r="J53" s="73">
        <f>'Statistics LG'!Q31</f>
        <v>0.60869565217391308</v>
      </c>
      <c r="K53" s="73">
        <f>'Statistics LG'!V31</f>
        <v>0.36666666666666664</v>
      </c>
      <c r="L53" s="73">
        <f>AVERAGE(J53:K53)</f>
        <v>0.48768115942028989</v>
      </c>
      <c r="P53" s="30" t="s">
        <v>71</v>
      </c>
      <c r="Q53" s="44">
        <f>'0205'!R8+'0305'!R8</f>
        <v>1</v>
      </c>
      <c r="R53" s="29">
        <f t="shared" si="13"/>
        <v>0.5</v>
      </c>
      <c r="S53" s="27">
        <f>'0205'!S8+'0305'!S8</f>
        <v>0</v>
      </c>
      <c r="T53" s="28">
        <f t="shared" si="14"/>
        <v>0</v>
      </c>
      <c r="U53" s="27">
        <f>'0205'!T8+'0305'!T8</f>
        <v>1</v>
      </c>
      <c r="V53" s="28">
        <f t="shared" si="15"/>
        <v>0.5</v>
      </c>
      <c r="W53" s="27">
        <f>'0205'!U8+'0305'!U8</f>
        <v>0</v>
      </c>
      <c r="X53" s="28">
        <f t="shared" si="16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LG'!Q31</f>
        <v>0.39130434782608692</v>
      </c>
      <c r="J54" s="118" t="s">
        <v>193</v>
      </c>
      <c r="K54" s="73">
        <f>'Statistics WW'!P31</f>
        <v>0.38709677419354838</v>
      </c>
      <c r="L54" s="73">
        <f>AVERAGE(I54:K54)</f>
        <v>0.38920056100981765</v>
      </c>
      <c r="P54" s="30" t="s">
        <v>75</v>
      </c>
      <c r="Q54" s="44">
        <f>'0205'!R9+'0305'!R9</f>
        <v>5</v>
      </c>
      <c r="R54" s="29">
        <f t="shared" si="13"/>
        <v>2.5</v>
      </c>
      <c r="S54" s="27">
        <f>'0205'!S9+'0305'!S9</f>
        <v>0</v>
      </c>
      <c r="T54" s="28">
        <f t="shared" si="14"/>
        <v>0</v>
      </c>
      <c r="U54" s="27">
        <f>'0205'!T9+'0305'!T9</f>
        <v>1</v>
      </c>
      <c r="V54" s="28">
        <f t="shared" si="15"/>
        <v>0.5</v>
      </c>
      <c r="W54" s="27">
        <f>'0205'!U9+'0305'!U9</f>
        <v>2</v>
      </c>
      <c r="X54" s="28">
        <f t="shared" si="16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0.6333333333333333</v>
      </c>
      <c r="J55" s="73">
        <f>1-K54</f>
        <v>0.61290322580645162</v>
      </c>
      <c r="K55" s="118" t="s">
        <v>193</v>
      </c>
      <c r="L55" s="73">
        <f>AVERAGE(I55:K55)</f>
        <v>0.62311827956989241</v>
      </c>
      <c r="P55" s="30" t="s">
        <v>78</v>
      </c>
      <c r="Q55" s="44">
        <f>'0205'!R10+'0305'!R10</f>
        <v>3</v>
      </c>
      <c r="R55" s="29">
        <f t="shared" si="13"/>
        <v>1.5</v>
      </c>
      <c r="S55" s="27">
        <f>'0205'!S10+'0305'!S10</f>
        <v>1</v>
      </c>
      <c r="T55" s="28">
        <f t="shared" si="14"/>
        <v>0.5</v>
      </c>
      <c r="U55" s="27">
        <f>'0205'!T10+'0305'!T10</f>
        <v>2</v>
      </c>
      <c r="V55" s="28">
        <f t="shared" si="15"/>
        <v>1</v>
      </c>
      <c r="W55" s="27">
        <f>'0205'!U10+'0305'!U10</f>
        <v>0</v>
      </c>
      <c r="X55" s="28">
        <f t="shared" si="16"/>
        <v>0</v>
      </c>
      <c r="Y55" s="40">
        <v>0</v>
      </c>
    </row>
    <row r="56" spans="8:25" ht="14.25" customHeight="1" x14ac:dyDescent="0.45">
      <c r="L56" s="119"/>
      <c r="M56" s="119"/>
      <c r="P56" s="30" t="s">
        <v>80</v>
      </c>
      <c r="Q56" s="44">
        <f>'0205'!R11+'0305'!R11</f>
        <v>5</v>
      </c>
      <c r="R56" s="29">
        <f t="shared" si="13"/>
        <v>2.5</v>
      </c>
      <c r="S56" s="27">
        <f>'0205'!S11+'0305'!S11</f>
        <v>2</v>
      </c>
      <c r="T56" s="28">
        <f t="shared" si="14"/>
        <v>1</v>
      </c>
      <c r="U56" s="27">
        <f>'0205'!T11+'0305'!T11</f>
        <v>3</v>
      </c>
      <c r="V56" s="28">
        <f t="shared" si="15"/>
        <v>1.5</v>
      </c>
      <c r="W56" s="27">
        <f>'0205'!U11+'0305'!U11</f>
        <v>0</v>
      </c>
      <c r="X56" s="28">
        <f t="shared" si="16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3"/>
        <v>2</v>
      </c>
      <c r="S57" s="27">
        <f>'0205'!S12+'0305'!S12</f>
        <v>1</v>
      </c>
      <c r="T57" s="28">
        <f t="shared" si="14"/>
        <v>0.5</v>
      </c>
      <c r="U57" s="27">
        <f>'0205'!T12+'0305'!T12</f>
        <v>3</v>
      </c>
      <c r="V57" s="28">
        <f t="shared" si="15"/>
        <v>1.5</v>
      </c>
      <c r="W57" s="27">
        <f>'0205'!U12+'0305'!U12</f>
        <v>0</v>
      </c>
      <c r="X57" s="28">
        <f t="shared" si="16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3"/>
        <v>1.5</v>
      </c>
      <c r="S58" s="27">
        <f>'0205'!S13+'0305'!S13</f>
        <v>3</v>
      </c>
      <c r="T58" s="28">
        <f t="shared" si="14"/>
        <v>1.5</v>
      </c>
      <c r="U58" s="27">
        <f>'0205'!T13+'0305'!T13</f>
        <v>0</v>
      </c>
      <c r="V58" s="28">
        <f t="shared" si="15"/>
        <v>0</v>
      </c>
      <c r="W58" s="27">
        <f>'0205'!U13+'0305'!U13</f>
        <v>0</v>
      </c>
      <c r="X58" s="28">
        <f t="shared" si="16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3"/>
        <v>1</v>
      </c>
      <c r="S59" s="27">
        <f>'0205'!S14+'0305'!S14</f>
        <v>2</v>
      </c>
      <c r="T59" s="28">
        <f t="shared" si="14"/>
        <v>1</v>
      </c>
      <c r="U59" s="27">
        <f>'0205'!T14+'0305'!T14</f>
        <v>0</v>
      </c>
      <c r="V59" s="28">
        <f t="shared" si="15"/>
        <v>0</v>
      </c>
      <c r="W59" s="27">
        <f>'0205'!U14+'0305'!U14</f>
        <v>0</v>
      </c>
      <c r="X59" s="28">
        <f t="shared" si="16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3"/>
        <v>6</v>
      </c>
      <c r="S60" s="27">
        <f>'0205'!S15+'0305'!S15</f>
        <v>4</v>
      </c>
      <c r="T60" s="28">
        <f t="shared" si="14"/>
        <v>4</v>
      </c>
      <c r="U60" s="27">
        <f>'0205'!T15+'0305'!T15</f>
        <v>0</v>
      </c>
      <c r="V60" s="28">
        <f t="shared" si="15"/>
        <v>0</v>
      </c>
      <c r="W60" s="27">
        <f>'0205'!U15+'0305'!U15</f>
        <v>1</v>
      </c>
      <c r="X60" s="28">
        <f t="shared" si="16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3"/>
        <v>0</v>
      </c>
      <c r="S61" s="27">
        <f>'0205'!S16+'0305'!S16</f>
        <v>0</v>
      </c>
      <c r="T61" s="28">
        <f t="shared" si="14"/>
        <v>0</v>
      </c>
      <c r="U61" s="27">
        <f>'0205'!T16+'0305'!T16</f>
        <v>0</v>
      </c>
      <c r="V61" s="28">
        <f t="shared" si="15"/>
        <v>0</v>
      </c>
      <c r="W61" s="27">
        <f>'0205'!U16+'0305'!U16</f>
        <v>0</v>
      </c>
      <c r="X61" s="28">
        <f t="shared" si="16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3"/>
        <v>0</v>
      </c>
      <c r="S62" s="27">
        <f>'0205'!S17+'0305'!S17</f>
        <v>0</v>
      </c>
      <c r="T62" s="28">
        <f t="shared" si="14"/>
        <v>0</v>
      </c>
      <c r="U62" s="27">
        <f>'0205'!T17+'0305'!T17</f>
        <v>0</v>
      </c>
      <c r="V62" s="28">
        <f t="shared" si="15"/>
        <v>0</v>
      </c>
      <c r="W62" s="27">
        <f>'0205'!U17+'0305'!U17</f>
        <v>0</v>
      </c>
      <c r="X62" s="28">
        <f t="shared" si="16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3"/>
        <v>1</v>
      </c>
      <c r="S63" s="27">
        <f>'0205'!S18+'0305'!S18</f>
        <v>2</v>
      </c>
      <c r="T63" s="28">
        <f t="shared" si="14"/>
        <v>1</v>
      </c>
      <c r="U63" s="27">
        <f>'0205'!T18+'0305'!T18</f>
        <v>0</v>
      </c>
      <c r="V63" s="28">
        <f t="shared" si="15"/>
        <v>0</v>
      </c>
      <c r="W63" s="27">
        <f>'0205'!U18+'0305'!U18</f>
        <v>0</v>
      </c>
      <c r="X63" s="28">
        <f t="shared" si="16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1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</f>
        <v>1</v>
      </c>
      <c r="R67" s="29">
        <f>Q67/(Q$65-Y67)</f>
        <v>1</v>
      </c>
      <c r="S67" s="27">
        <f>'0805'!$S3</f>
        <v>0</v>
      </c>
      <c r="T67" s="28">
        <f>S67/($Q$65-Y67)</f>
        <v>0</v>
      </c>
      <c r="U67" s="27">
        <f>'0805'!$T3</f>
        <v>1</v>
      </c>
      <c r="V67" s="28">
        <f>U67/($Q$65-Y67)</f>
        <v>1</v>
      </c>
      <c r="W67" s="27">
        <f>'0805'!$U3</f>
        <v>0</v>
      </c>
      <c r="X67" s="28">
        <f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</f>
        <v>1</v>
      </c>
      <c r="R68" s="29">
        <f>Q68/(Q$65-Y68)</f>
        <v>1</v>
      </c>
      <c r="S68" s="27">
        <f>'0805'!$S4</f>
        <v>1</v>
      </c>
      <c r="T68" s="28">
        <f>S68/($Q$65-Y68)</f>
        <v>1</v>
      </c>
      <c r="U68" s="27">
        <f>'0805'!$T4</f>
        <v>0</v>
      </c>
      <c r="V68" s="28">
        <f>U68/($Q$65-Y68)</f>
        <v>0</v>
      </c>
      <c r="W68" s="27">
        <f>'0805'!$U4</f>
        <v>0</v>
      </c>
      <c r="X68" s="28">
        <f>W68/($Q$65-Y68)</f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</f>
        <v>2</v>
      </c>
      <c r="R69" s="29">
        <f>Q69/(Q$65-Y69)</f>
        <v>2</v>
      </c>
      <c r="S69" s="27">
        <f>'0805'!$S5</f>
        <v>2</v>
      </c>
      <c r="T69" s="28">
        <f>S69/($Q$65-Y69)</f>
        <v>2</v>
      </c>
      <c r="U69" s="27">
        <f>'0805'!$T5</f>
        <v>0</v>
      </c>
      <c r="V69" s="28">
        <f>U69/($Q$65-Y69)</f>
        <v>0</v>
      </c>
      <c r="W69" s="27">
        <f>'0805'!$U5</f>
        <v>0</v>
      </c>
      <c r="X69" s="28">
        <f>W69/($Q$65-Y69)</f>
        <v>0</v>
      </c>
      <c r="Y69" s="40">
        <v>0</v>
      </c>
    </row>
    <row r="70" spans="16:25" ht="14.25" customHeight="1" x14ac:dyDescent="0.45">
      <c r="P70" s="30" t="s">
        <v>65</v>
      </c>
      <c r="Q70" s="44">
        <f>'0805'!$R6</f>
        <v>1</v>
      </c>
      <c r="R70" s="29">
        <f>Q70/(Q$65-Y70)</f>
        <v>1</v>
      </c>
      <c r="S70" s="27">
        <f>'0805'!$S6</f>
        <v>0</v>
      </c>
      <c r="T70" s="28">
        <f>S70/($Q$65-Y70)</f>
        <v>0</v>
      </c>
      <c r="U70" s="27">
        <f>'0805'!$T6</f>
        <v>1</v>
      </c>
      <c r="V70" s="28">
        <f>U70/($Q$65-Y70)</f>
        <v>1</v>
      </c>
      <c r="W70" s="27">
        <f>'0805'!$U6</f>
        <v>0</v>
      </c>
      <c r="X70" s="28">
        <f>W70/($Q$65-Y70)</f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</f>
        <v>4</v>
      </c>
      <c r="R71" s="29">
        <f>Q71/(Q$65-Y71)</f>
        <v>4</v>
      </c>
      <c r="S71" s="27">
        <f>'0805'!$S7</f>
        <v>2</v>
      </c>
      <c r="T71" s="28">
        <f>S71/($Q$65-Y71)</f>
        <v>2</v>
      </c>
      <c r="U71" s="27">
        <f>'0805'!$T7</f>
        <v>2</v>
      </c>
      <c r="V71" s="28">
        <f>U71/($Q$65-Y71)</f>
        <v>2</v>
      </c>
      <c r="W71" s="27">
        <f>'0805'!$U7</f>
        <v>0</v>
      </c>
      <c r="X71" s="28">
        <f>W71/($Q$65-Y71)</f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</f>
        <v>0</v>
      </c>
      <c r="R72" s="29" t="e">
        <f>Q72/(Q$65-Y72)</f>
        <v>#DIV/0!</v>
      </c>
      <c r="S72" s="27">
        <f>'0805'!$S8</f>
        <v>0</v>
      </c>
      <c r="T72" s="28" t="e">
        <f>S72/($Q$65-Y72)</f>
        <v>#DIV/0!</v>
      </c>
      <c r="U72" s="27">
        <f>'0805'!$T8</f>
        <v>0</v>
      </c>
      <c r="V72" s="28" t="e">
        <f>U72/($Q$65-Y72)</f>
        <v>#DIV/0!</v>
      </c>
      <c r="W72" s="27">
        <f>'0805'!$U8</f>
        <v>0</v>
      </c>
      <c r="X72" s="28" t="e">
        <f>W72/($Q$65-Y72)</f>
        <v>#DIV/0!</v>
      </c>
      <c r="Y72" s="40">
        <v>1</v>
      </c>
    </row>
    <row r="73" spans="16:25" ht="14.25" customHeight="1" x14ac:dyDescent="0.45">
      <c r="P73" s="30" t="s">
        <v>75</v>
      </c>
      <c r="Q73" s="44">
        <f>'0805'!$R9</f>
        <v>0</v>
      </c>
      <c r="R73" s="29">
        <f>Q73/(Q$65-Y73)</f>
        <v>0</v>
      </c>
      <c r="S73" s="27">
        <f>'0805'!$S9</f>
        <v>0</v>
      </c>
      <c r="T73" s="28">
        <f>S73/($Q$65-Y73)</f>
        <v>0</v>
      </c>
      <c r="U73" s="27">
        <f>'0805'!$T9</f>
        <v>0</v>
      </c>
      <c r="V73" s="28">
        <f>U73/($Q$65-Y73)</f>
        <v>0</v>
      </c>
      <c r="W73" s="27">
        <f>'0805'!$U9</f>
        <v>0</v>
      </c>
      <c r="X73" s="28">
        <f>W73/($Q$65-Y73)</f>
        <v>0</v>
      </c>
      <c r="Y73" s="40">
        <v>0</v>
      </c>
    </row>
    <row r="74" spans="16:25" ht="14.25" customHeight="1" x14ac:dyDescent="0.45">
      <c r="P74" s="30" t="s">
        <v>78</v>
      </c>
      <c r="Q74" s="44">
        <f>'0805'!$R10</f>
        <v>1</v>
      </c>
      <c r="R74" s="29">
        <f>Q74/(Q$65-Y74)</f>
        <v>1</v>
      </c>
      <c r="S74" s="27">
        <f>'0805'!$S10</f>
        <v>1</v>
      </c>
      <c r="T74" s="28">
        <f>S74/($Q$65-Y74)</f>
        <v>1</v>
      </c>
      <c r="U74" s="27">
        <f>'0805'!$T10</f>
        <v>0</v>
      </c>
      <c r="V74" s="28">
        <f>U74/($Q$65-Y74)</f>
        <v>0</v>
      </c>
      <c r="W74" s="27">
        <f>'0805'!$U10</f>
        <v>0</v>
      </c>
      <c r="X74" s="28">
        <f>W74/($Q$65-Y74)</f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</f>
        <v>3</v>
      </c>
      <c r="R75" s="29">
        <f>Q75/(Q$65-Y75)</f>
        <v>3</v>
      </c>
      <c r="S75" s="27">
        <f>'0805'!$S11</f>
        <v>0</v>
      </c>
      <c r="T75" s="28">
        <f>S75/($Q$65-Y75)</f>
        <v>0</v>
      </c>
      <c r="U75" s="27">
        <f>'0805'!$T11</f>
        <v>3</v>
      </c>
      <c r="V75" s="28">
        <f>U75/($Q$65-Y75)</f>
        <v>3</v>
      </c>
      <c r="W75" s="27">
        <f>'0805'!$U11</f>
        <v>0</v>
      </c>
      <c r="X75" s="28">
        <f>W75/($Q$65-Y75)</f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</f>
        <v>1</v>
      </c>
      <c r="R76" s="29">
        <f>Q76/(Q$65-Y76)</f>
        <v>1</v>
      </c>
      <c r="S76" s="27">
        <f>'0805'!$S12</f>
        <v>0</v>
      </c>
      <c r="T76" s="28">
        <f>S76/($Q$65-Y76)</f>
        <v>0</v>
      </c>
      <c r="U76" s="27">
        <f>'0805'!$T12</f>
        <v>1</v>
      </c>
      <c r="V76" s="28">
        <f>U76/($Q$65-Y76)</f>
        <v>1</v>
      </c>
      <c r="W76" s="27">
        <f>'0805'!$U12</f>
        <v>0</v>
      </c>
      <c r="X76" s="28">
        <f>W76/($Q$65-Y76)</f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</f>
        <v>0</v>
      </c>
      <c r="R77" s="29">
        <f>Q77/(Q$65-Y77)</f>
        <v>0</v>
      </c>
      <c r="S77" s="27">
        <f>'0805'!$S13</f>
        <v>0</v>
      </c>
      <c r="T77" s="28">
        <f>S77/($Q$65-Y77)</f>
        <v>0</v>
      </c>
      <c r="U77" s="27">
        <f>'0805'!$T13</f>
        <v>0</v>
      </c>
      <c r="V77" s="28">
        <f>U77/($Q$65-Y77)</f>
        <v>0</v>
      </c>
      <c r="W77" s="27">
        <f>'0805'!$U13</f>
        <v>0</v>
      </c>
      <c r="X77" s="28">
        <f>W77/($Q$65-Y77)</f>
        <v>0</v>
      </c>
      <c r="Y77" s="40">
        <v>0</v>
      </c>
    </row>
    <row r="78" spans="16:25" ht="14.25" customHeight="1" x14ac:dyDescent="0.45">
      <c r="P78" s="30" t="s">
        <v>188</v>
      </c>
      <c r="Q78" s="44">
        <f>'0805'!$R14</f>
        <v>0</v>
      </c>
      <c r="R78" s="29">
        <f>Q78/(Q$65-Y78)</f>
        <v>0</v>
      </c>
      <c r="S78" s="27">
        <f>'0805'!$S14</f>
        <v>0</v>
      </c>
      <c r="T78" s="28">
        <f>S78/($Q$65-Y78)</f>
        <v>0</v>
      </c>
      <c r="U78" s="27">
        <f>'0805'!$T14</f>
        <v>0</v>
      </c>
      <c r="V78" s="28">
        <f>U78/($Q$65-Y78)</f>
        <v>0</v>
      </c>
      <c r="W78" s="27">
        <f>'0805'!$U14</f>
        <v>0</v>
      </c>
      <c r="X78" s="28">
        <f>W78/($Q$65-Y78)</f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</f>
        <v>4</v>
      </c>
      <c r="R79" s="29">
        <f>Q79/(Q$65-Y79)</f>
        <v>4</v>
      </c>
      <c r="S79" s="27">
        <f>'0805'!$S15</f>
        <v>2</v>
      </c>
      <c r="T79" s="28">
        <f>S79/($Q$65-Y79)</f>
        <v>2</v>
      </c>
      <c r="U79" s="27">
        <f>'0805'!$T15</f>
        <v>0</v>
      </c>
      <c r="V79" s="28">
        <f>U79/($Q$65-Y79)</f>
        <v>0</v>
      </c>
      <c r="W79" s="27">
        <f>'0805'!$U15</f>
        <v>1</v>
      </c>
      <c r="X79" s="28">
        <f>W79/($Q$65-Y79)</f>
        <v>1</v>
      </c>
      <c r="Y79" s="40">
        <v>0</v>
      </c>
    </row>
    <row r="80" spans="16:25" ht="14.25" customHeight="1" x14ac:dyDescent="0.45">
      <c r="P80" s="30" t="s">
        <v>86</v>
      </c>
      <c r="Q80" s="44">
        <f>'0805'!$R16</f>
        <v>0</v>
      </c>
      <c r="R80" s="29">
        <f>Q80/(Q$65-Y80)</f>
        <v>0</v>
      </c>
      <c r="S80" s="27">
        <f>'0805'!$S16</f>
        <v>0</v>
      </c>
      <c r="T80" s="28">
        <f>S80/($Q$65-Y80)</f>
        <v>0</v>
      </c>
      <c r="U80" s="27">
        <f>'0805'!$T16</f>
        <v>0</v>
      </c>
      <c r="V80" s="28">
        <f>U80/($Q$65-Y80)</f>
        <v>0</v>
      </c>
      <c r="W80" s="27">
        <f>'0805'!$U16</f>
        <v>0</v>
      </c>
      <c r="X80" s="28">
        <f>W80/($Q$65-Y80)</f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</f>
        <v>0</v>
      </c>
      <c r="R81" s="29">
        <f>Q81/(Q$65-Y81)</f>
        <v>0</v>
      </c>
      <c r="S81" s="27">
        <f>'0805'!$S17</f>
        <v>0</v>
      </c>
      <c r="T81" s="28">
        <f>S81/($Q$65-Y81)</f>
        <v>0</v>
      </c>
      <c r="U81" s="27">
        <f>'0805'!$T17</f>
        <v>0</v>
      </c>
      <c r="V81" s="28">
        <f>U81/($Q$65-Y81)</f>
        <v>0</v>
      </c>
      <c r="W81" s="27">
        <f>'0805'!$U17</f>
        <v>0</v>
      </c>
      <c r="X81" s="28">
        <f>W81/($Q$65-Y81)</f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</f>
        <v>0</v>
      </c>
      <c r="R82" s="29">
        <f>Q82/(Q$65-Y82)</f>
        <v>0</v>
      </c>
      <c r="S82" s="27">
        <f>'0805'!$S18</f>
        <v>0</v>
      </c>
      <c r="T82" s="28">
        <f>S82/($Q$65-Y82)</f>
        <v>0</v>
      </c>
      <c r="U82" s="27">
        <f>'0805'!$T18</f>
        <v>0</v>
      </c>
      <c r="V82" s="28">
        <f>U82/($Q$65-Y82)</f>
        <v>0</v>
      </c>
      <c r="W82" s="27">
        <f>'0805'!$U18</f>
        <v>0</v>
      </c>
      <c r="X82" s="28">
        <f>W82/($Q$65-Y82)</f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zoomScale="70" zoomScaleNormal="70" workbookViewId="0">
      <selection activeCell="O34" sqref="O34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5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25</v>
      </c>
      <c r="G4" s="1">
        <f t="shared" si="0"/>
        <v>28</v>
      </c>
      <c r="H4" s="1">
        <f t="shared" si="0"/>
        <v>10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'2404'!AC3+'2604'!AC3+'0205'!AC3+'0305'!AC3+'0805'!AC3</f>
        <v>0</v>
      </c>
      <c r="AE4" s="64">
        <f>Table2[[#This Row],[Finishes]]/$AC$2</f>
        <v>0</v>
      </c>
      <c r="AF4" s="63">
        <f>'2404'!AD3+'2604'!AD3+'0205'!AD3+'0305'!AD3+'0805'!AD3</f>
        <v>0</v>
      </c>
      <c r="AG4" s="64">
        <f>Table2[[#This Row],[Midranges]]/$AC$2</f>
        <v>0</v>
      </c>
      <c r="AH4" s="63">
        <f>'2404'!AE3+'2604'!AE3+'0205'!AE3+'0305'!AE3+'0805'!AE3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0.4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1</v>
      </c>
      <c r="AC5" s="62">
        <f>Table2[[#This Row],[Points]]/$AC$2</f>
        <v>0.2</v>
      </c>
      <c r="AD5" s="63">
        <f>'2404'!AC4+'2604'!AC4+'0205'!AC4+'0305'!AC4+'0805'!AC4</f>
        <v>1</v>
      </c>
      <c r="AE5" s="64">
        <f>Table2[[#This Row],[Finishes]]/$AC$2</f>
        <v>0.2</v>
      </c>
      <c r="AF5" s="63">
        <f>'2404'!AD4+'2604'!AD4+'0205'!AD4+'0305'!AD4+'0805'!AD4</f>
        <v>0</v>
      </c>
      <c r="AG5" s="64">
        <f>Table2[[#This Row],[Midranges]]/$AC$2</f>
        <v>0</v>
      </c>
      <c r="AH5" s="63">
        <f>'2404'!AE4+'2604'!AE4+'0205'!AE4+'0305'!AE4+'0805'!AE4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0.3</v>
      </c>
      <c r="AM5" s="57">
        <f>Table2[[#This Row],[Avg P]]/(Table2[[#This Row],[Avg P]]+AL5)</f>
        <v>0.4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Row],[Points]]/$AC$2</f>
        <v>2</v>
      </c>
      <c r="AD6" s="63">
        <f>'2404'!AC5+'2604'!AC5+'0205'!AC5+'0305'!AC5+'0805'!AC5</f>
        <v>10</v>
      </c>
      <c r="AE6" s="64">
        <f>Table2[[#This Row],[Finishes]]/$AC$2</f>
        <v>2</v>
      </c>
      <c r="AF6" s="63">
        <f>'2404'!AD5+'2604'!AD5+'0205'!AD5+'0305'!AD5+'0805'!AD5</f>
        <v>0</v>
      </c>
      <c r="AG6" s="64">
        <f>Table2[[#This Row],[Midranges]]/$AC$2</f>
        <v>0</v>
      </c>
      <c r="AH6" s="63">
        <f>'2404'!AE5+'2604'!AE5+'0205'!AE5+'0305'!AE5+'0805'!AE5</f>
        <v>0</v>
      </c>
      <c r="AI6" s="64">
        <f>Table2[[#This Row],[Threes]]/$AC$2</f>
        <v>0</v>
      </c>
      <c r="AJ6" s="97">
        <f>'Stats Global'!Z10</f>
        <v>0</v>
      </c>
      <c r="AL6" s="41">
        <f>'Stats Global'!R10-Table2[[#This Row],[Avg P]]</f>
        <v>0.60000000000000009</v>
      </c>
      <c r="AM6" s="57">
        <f>Table2[[#This Row],[Avg P]]/(Table2[[#This Row],[Avg P]]+AL6)</f>
        <v>0.76923076923076916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</v>
      </c>
      <c r="AD7" s="63">
        <f>'2404'!AC6+'2604'!AC6+'0205'!AC6+'0305'!AC6+'0805'!AC6</f>
        <v>5</v>
      </c>
      <c r="AE7" s="64">
        <f>Table2[[#This Row],[Finishes]]/$AC$2</f>
        <v>1</v>
      </c>
      <c r="AF7" s="63">
        <f>'2404'!AD6+'2604'!AD6+'0205'!AD6+'0305'!AD6+'0805'!AD6</f>
        <v>0</v>
      </c>
      <c r="AG7" s="64">
        <f>Table2[[#This Row],[Midranges]]/$AC$2</f>
        <v>0</v>
      </c>
      <c r="AH7" s="63">
        <f>'2404'!AE6+'2604'!AE6+'0205'!AE6+'0305'!AE6+'0805'!AE6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0.60000000000000009</v>
      </c>
      <c r="AM7" s="57">
        <f>Table2[[#This Row],[Avg P]]/(Table2[[#This Row],[Avg P]]+AL7)</f>
        <v>0.625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>
        <v>1</v>
      </c>
      <c r="K8" s="17">
        <v>1</v>
      </c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 t="s">
        <v>85</v>
      </c>
      <c r="T8" s="17" t="s">
        <v>191</v>
      </c>
      <c r="V8" s="17">
        <f>COUNTIF('0805'!$X$4:$X$26,"LG/5M")</f>
        <v>1</v>
      </c>
      <c r="W8" s="17">
        <f>COUNTIF('0805'!$Z$4:$Z$26,"5M/LG")</f>
        <v>4</v>
      </c>
      <c r="X8" s="17" t="s">
        <v>78</v>
      </c>
      <c r="Y8" s="17" t="s">
        <v>62</v>
      </c>
      <c r="AA8" s="3" t="s">
        <v>46</v>
      </c>
      <c r="AB8" s="61">
        <f>Table2[[#This Row],[Finishes]]+Table2[[#This Row],[Midranges]]+Table2[[#This Row],[Threes]]+Table2[[#This Row],[Threes]]</f>
        <v>3</v>
      </c>
      <c r="AC8" s="62">
        <f>Table2[[#This Row],[Points]]/$AC$2</f>
        <v>0.6</v>
      </c>
      <c r="AD8" s="63">
        <f>'2404'!AC7+'2604'!AC7+'0205'!AC7+'0305'!AC7+'0805'!AC7</f>
        <v>2</v>
      </c>
      <c r="AE8" s="64">
        <f>Table2[[#This Row],[Finishes]]/$AC$2</f>
        <v>0.4</v>
      </c>
      <c r="AF8" s="63">
        <f>'2404'!AD7+'2604'!AD7+'0205'!AD7+'0305'!AD7+'0805'!AD7</f>
        <v>1</v>
      </c>
      <c r="AG8" s="64">
        <f>Table2[[#This Row],[Midranges]]/$AC$2</f>
        <v>0.2</v>
      </c>
      <c r="AH8" s="63">
        <f>'2404'!AE7+'2604'!AE7+'0205'!AE7+'0305'!AE7+'0805'!AE7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1</v>
      </c>
      <c r="AM8" s="57">
        <f>Table2[[#This Row],[Avg P]]/(Table2[[#This Row],[Avg P]]+AL8)</f>
        <v>0.37499999999999994</v>
      </c>
    </row>
    <row r="9" spans="1:39" ht="14.3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'2404'!AC8+'2604'!AC8+'0205'!AC8+'0305'!AC8+'0805'!AC8</f>
        <v>0</v>
      </c>
      <c r="AE9" s="64">
        <f>Table2[[#This Row],[Finishes]]/$AC$2</f>
        <v>0</v>
      </c>
      <c r="AF9" s="63">
        <f>'2404'!AD8+'2604'!AD8+'0205'!AD8+'0305'!AD8+'0805'!AD8</f>
        <v>0</v>
      </c>
      <c r="AG9" s="64">
        <f>Table2[[#This Row],[Midranges]]/$AC$2</f>
        <v>0</v>
      </c>
      <c r="AH9" s="63">
        <f>'2404'!AE8+'2604'!AE8+'0205'!AE8+'0305'!AE8+'0805'!AE8</f>
        <v>0</v>
      </c>
      <c r="AI9" s="64">
        <f>Table2[[#This Row],[Threes]]/$AC$2</f>
        <v>0</v>
      </c>
      <c r="AJ9" s="97">
        <f>'Stats Global'!Z13</f>
        <v>1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'2404'!AC9+'2604'!AC9+'0205'!AC9+'0305'!AC9+'0805'!AC9</f>
        <v>0</v>
      </c>
      <c r="AE10" s="106">
        <f>Table2[[#This Row],[Finishes]]/$AC$2</f>
        <v>0</v>
      </c>
      <c r="AF10" s="105">
        <f>'2404'!AD9+'2604'!AD9+'0205'!AD9+'0305'!AD9+'0805'!AD9</f>
        <v>0</v>
      </c>
      <c r="AG10" s="106">
        <f>Table2[[#This Row],[Midranges]]/$AC$2</f>
        <v>0</v>
      </c>
      <c r="AH10" s="105">
        <f>'2404'!AE9+'2604'!AE9+'0205'!AE9+'0305'!AE9+'0805'!AE9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1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'2404'!AC10+'2604'!AC10+'0205'!AC10+'0305'!AC10+'0805'!AC10</f>
        <v>0</v>
      </c>
      <c r="AE11" s="106">
        <f>Table2[[#This Row],[Finishes]]/$AC$2</f>
        <v>0</v>
      </c>
      <c r="AF11" s="105">
        <f>'2404'!AD10+'2604'!AD10+'0205'!AD10+'0305'!AD10+'0805'!AD10</f>
        <v>0</v>
      </c>
      <c r="AG11" s="106">
        <f>Table2[[#This Row],[Midranges]]/$AC$2</f>
        <v>0</v>
      </c>
      <c r="AH11" s="105">
        <f>'2404'!AE10+'2604'!AE10+'0205'!AE10+'0305'!AE10+'0805'!AE10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0.8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3</v>
      </c>
      <c r="AC12" s="62">
        <f>Table2[[#This Row],[Points]]/$AC$2</f>
        <v>0.6</v>
      </c>
      <c r="AD12" s="63">
        <f>'2404'!AC11+'2604'!AC11+'0205'!AC11+'0305'!AC11+'0805'!AC11</f>
        <v>0</v>
      </c>
      <c r="AE12" s="64">
        <f>Table2[[#This Row],[Finishes]]/$AC$2</f>
        <v>0</v>
      </c>
      <c r="AF12" s="63">
        <f>'2404'!AD11+'2604'!AD11+'0205'!AD11+'0305'!AD11+'0805'!AD11</f>
        <v>3</v>
      </c>
      <c r="AG12" s="64">
        <f>Table2[[#This Row],[Midranges]]/$AC$2</f>
        <v>0.6</v>
      </c>
      <c r="AH12" s="63">
        <f>'2404'!AE11+'2604'!AE11+'0205'!AE11+'0305'!AE11+'0805'!AE11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1.9</v>
      </c>
      <c r="AM12" s="57">
        <f>Table2[[#This Row],[Avg P]]/(Table2[[#This Row],[Avg P]]+AL12)</f>
        <v>0.24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Row],[Points]]/$AC$2</f>
        <v>0.6</v>
      </c>
      <c r="AD13" s="63">
        <f>'2404'!AC12+'2604'!AC12+'0205'!AC12+'0305'!AC12+'0805'!AC12</f>
        <v>1</v>
      </c>
      <c r="AE13" s="64">
        <f>Table2[[#This Row],[Finishes]]/$AC$2</f>
        <v>0.2</v>
      </c>
      <c r="AF13" s="63">
        <f>'2404'!AD12+'2604'!AD12+'0205'!AD12+'0305'!AD12+'0805'!AD12</f>
        <v>2</v>
      </c>
      <c r="AG13" s="64">
        <f>Table2[[#This Row],[Midranges]]/$AC$2</f>
        <v>0.4</v>
      </c>
      <c r="AH13" s="63">
        <f>'2404'!AE12+'2604'!AE12+'0205'!AE12+'0305'!AE12+'0805'!AE12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0.4</v>
      </c>
      <c r="AM13" s="57">
        <f>Table2[[#This Row],[Avg P]]/(Table2[[#This Row],[Avg P]]+AL13)</f>
        <v>0.6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0.6</v>
      </c>
      <c r="AD14" s="97">
        <f>'2404'!AC13+'2604'!AC13+'0205'!AC13+'0305'!AC13+'0805'!AC13</f>
        <v>3</v>
      </c>
      <c r="AE14" s="96">
        <f>Table2[[#This Row],[Finishes]]/$AC$2</f>
        <v>0.6</v>
      </c>
      <c r="AF14" s="97">
        <f>'2404'!AD13+'2604'!AD13+'0205'!AD13+'0305'!AD13+'0805'!AD13</f>
        <v>0</v>
      </c>
      <c r="AG14" s="96">
        <f>Table2[[#This Row],[Midranges]]/$AC$2</f>
        <v>0</v>
      </c>
      <c r="AH14" s="97">
        <f>'2404'!AE13+'2604'!AE13+'0205'!AE13+'0305'!AE13+'0805'!AE13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0.79999999999999993</v>
      </c>
      <c r="AM14" s="57">
        <f>Table2[[#This Row],[Avg P]]/(Table2[[#This Row],[Avg P]]+AL14)</f>
        <v>0.4285714285714286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'2404'!AC14+'2604'!AC14+'0205'!AC14+'0305'!AC14+'0805'!AC14</f>
        <v>0</v>
      </c>
      <c r="AE15" s="101">
        <f>Table2[[#This Row],[Finishes]]/$AC$2</f>
        <v>0</v>
      </c>
      <c r="AF15" s="99">
        <f>'2404'!AD14+'2604'!AD14+'0205'!AD14+'0305'!AD14+'0805'!AD14</f>
        <v>0</v>
      </c>
      <c r="AG15" s="101">
        <f>Table2[[#This Row],[Midranges]]/$AC$2</f>
        <v>0</v>
      </c>
      <c r="AH15" s="99">
        <f>'2404'!AE14+'2604'!AE14+'0205'!AE14+'0305'!AE14+'0805'!AE14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0.4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'2404'!AC15+'2604'!AC15+'0205'!AC15+'0305'!AC15+'0805'!AC15</f>
        <v>0</v>
      </c>
      <c r="AE16" s="101">
        <f>Table2[[#This Row],[Finishes]]/$AC$2</f>
        <v>0</v>
      </c>
      <c r="AF16" s="99">
        <f>'2404'!AD15+'2604'!AD15+'0205'!AD15+'0305'!AD15+'0805'!AD15</f>
        <v>0</v>
      </c>
      <c r="AG16" s="101">
        <f>Table2[[#This Row],[Midranges]]/$AC$2</f>
        <v>0</v>
      </c>
      <c r="AH16" s="99">
        <f>'2404'!AE15+'2604'!AE15+'0205'!AE15+'0305'!AE15+'0805'!AE15</f>
        <v>0</v>
      </c>
      <c r="AI16" s="101">
        <f>Table2[[#This Row],[Threes]]/$AC$2</f>
        <v>0</v>
      </c>
      <c r="AJ16" s="99">
        <f>'Stats Global'!Z20</f>
        <v>1</v>
      </c>
      <c r="AL16" s="107">
        <f>'Stats Global'!R20-Table2[[#This Row],[Avg P]]</f>
        <v>3.5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'2404'!AC16+'2604'!AC16+'0205'!AC16+'0305'!AC16+'0805'!AC16</f>
        <v>0</v>
      </c>
      <c r="AE17" s="96">
        <f>Table2[[#This Row],[Finishes]]/$AC$2</f>
        <v>0</v>
      </c>
      <c r="AF17" s="97">
        <f>'2404'!AD16+'2604'!AD16+'0205'!AD16+'0305'!AD16+'0805'!AD16</f>
        <v>0</v>
      </c>
      <c r="AG17" s="96">
        <f>Table2[[#This Row],[Midranges]]/$AC$2</f>
        <v>0</v>
      </c>
      <c r="AH17" s="97">
        <f>'2404'!AE16+'2604'!AE16+'0205'!AE16+'0305'!AE16+'0805'!AE16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</v>
      </c>
      <c r="AM17" s="57" t="e">
        <f>Table2[[#This Row],[Avg P]]/(Table2[[#This Row],[Avg P]]+AL17)</f>
        <v>#DIV/0!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'2404'!AC17+'2604'!AC17+'0205'!AC17+'0305'!AC17+'0805'!AC17</f>
        <v>0</v>
      </c>
      <c r="AE18" s="101">
        <f>Table2[[#This Row],[Finishes]]/$AC$2</f>
        <v>0</v>
      </c>
      <c r="AF18" s="99">
        <f>'2404'!AD17+'2604'!AD17+'0205'!AD17+'0305'!AD17+'0805'!AD17</f>
        <v>0</v>
      </c>
      <c r="AG18" s="101">
        <f>Table2[[#This Row],[Midranges]]/$AC$2</f>
        <v>0</v>
      </c>
      <c r="AH18" s="99">
        <f>'2404'!AE17+'2604'!AE17+'0205'!AE17+'0305'!AE17+'0805'!AE17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0.2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'2404'!AC18+'2604'!AC18+'0205'!AC18+'0305'!AC18+'0805'!AC18</f>
        <v>0</v>
      </c>
      <c r="AE19" s="101">
        <f>Table2[[#This Row],[Finishes]]/$AC$2</f>
        <v>0</v>
      </c>
      <c r="AF19" s="99">
        <f>'2404'!AD18+'2604'!AD18+'0205'!AD18+'0305'!AD18+'0805'!AD18</f>
        <v>0</v>
      </c>
      <c r="AG19" s="101">
        <f>Table2[[#This Row],[Midranges]]/$AC$2</f>
        <v>0</v>
      </c>
      <c r="AH19" s="99">
        <f>'2404'!AE18+'2604'!AE18+'0205'!AE18+'0305'!AE18+'0805'!AE18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0.6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14</v>
      </c>
      <c r="R30" s="17">
        <f t="shared" si="1"/>
        <v>9</v>
      </c>
      <c r="S30" s="17"/>
      <c r="T30" s="17"/>
      <c r="V30" s="17">
        <f t="shared" ref="V30:W30" si="2">SUM(V4:V29)</f>
        <v>11</v>
      </c>
      <c r="W30" s="17">
        <f t="shared" si="2"/>
        <v>19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0.60869565217391308</v>
      </c>
      <c r="V31" s="22">
        <f>V30/(W30+V30)</f>
        <v>0.36666666666666664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3" priority="1" operator="lessThan">
      <formula>0.3333</formula>
    </cfRule>
    <cfRule type="cellIs" dxfId="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H8" sqref="H8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21</v>
      </c>
      <c r="G4" s="24">
        <f t="shared" si="0"/>
        <v>33</v>
      </c>
      <c r="H4" s="24">
        <f t="shared" si="0"/>
        <v>6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12</v>
      </c>
      <c r="Q30" s="17">
        <f t="shared" si="1"/>
        <v>19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0.38709677419354838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L8" sqref="L8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38</v>
      </c>
      <c r="G4" s="24">
        <f t="shared" si="0"/>
        <v>23</v>
      </c>
      <c r="H4" s="24">
        <f t="shared" si="0"/>
        <v>14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>
        <v>1</v>
      </c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7" t="s">
        <v>159</v>
      </c>
      <c r="R41" s="117"/>
      <c r="S41" s="11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7"/>
      <c r="R42" s="117"/>
      <c r="S42" s="11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abSelected="1" zoomScale="70" zoomScaleNormal="70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2023-05-08T04:37:56Z</dcterms:modified>
</cp:coreProperties>
</file>