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 Gupta\Desktop\"/>
    </mc:Choice>
  </mc:AlternateContent>
  <xr:revisionPtr revIDLastSave="0" documentId="13_ncr:1_{96712CD3-8658-4801-9ADC-A2B3FCC6461E}" xr6:coauthVersionLast="47" xr6:coauthVersionMax="47" xr10:uidLastSave="{00000000-0000-0000-0000-000000000000}"/>
  <bookViews>
    <workbookView xWindow="19200" yWindow="0" windowWidth="19200" windowHeight="21000" xr2:uid="{1332FDC1-DC27-49C4-A325-96684E5EBB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3" i="1" l="1"/>
  <c r="G151" i="1"/>
  <c r="C151" i="1"/>
  <c r="B95" i="1"/>
  <c r="D95" i="1" s="1"/>
  <c r="B81" i="1"/>
  <c r="D81" i="1" s="1"/>
  <c r="K38" i="1"/>
  <c r="H43" i="1"/>
  <c r="H39" i="1"/>
  <c r="H40" i="1"/>
  <c r="H41" i="1"/>
  <c r="H42" i="1"/>
  <c r="H44" i="1"/>
  <c r="H45" i="1"/>
  <c r="H46" i="1"/>
  <c r="H47" i="1"/>
  <c r="H38" i="1"/>
  <c r="F47" i="1"/>
  <c r="I47" i="1" s="1"/>
  <c r="F46" i="1"/>
  <c r="I46" i="1" s="1"/>
  <c r="F45" i="1"/>
  <c r="I45" i="1" s="1"/>
  <c r="F44" i="1"/>
  <c r="I44" i="1" s="1"/>
  <c r="F43" i="1"/>
  <c r="I43" i="1" s="1"/>
  <c r="F42" i="1"/>
  <c r="I42" i="1" s="1"/>
  <c r="F41" i="1"/>
  <c r="I41" i="1" s="1"/>
  <c r="F40" i="1"/>
  <c r="I40" i="1" s="1"/>
  <c r="F39" i="1"/>
  <c r="I39" i="1" s="1"/>
  <c r="F38" i="1"/>
  <c r="F37" i="1"/>
  <c r="B29" i="1"/>
  <c r="D29" i="1" s="1"/>
  <c r="Q11" i="1"/>
  <c r="Q12" i="1"/>
  <c r="Q10" i="1"/>
  <c r="E14" i="1"/>
  <c r="G14" i="1" s="1"/>
  <c r="H14" i="1"/>
  <c r="J14" i="1" s="1"/>
  <c r="K14" i="1"/>
  <c r="M14" i="1" s="1"/>
  <c r="N14" i="1"/>
  <c r="P14" i="1" s="1"/>
  <c r="B14" i="1"/>
  <c r="D14" i="1" s="1"/>
  <c r="H80" i="1" l="1"/>
  <c r="I49" i="1"/>
  <c r="E88" i="1" s="1"/>
  <c r="Q14" i="1"/>
  <c r="S14" i="1" s="1"/>
  <c r="H88" i="1" l="1"/>
  <c r="E97" i="1"/>
  <c r="I139" i="1" s="1"/>
  <c r="Q42" i="1"/>
  <c r="I140" i="1" l="1"/>
  <c r="D152" i="1" s="1"/>
  <c r="E155" i="1" s="1"/>
  <c r="G97" i="1"/>
  <c r="K139" i="1" s="1"/>
  <c r="K140" i="1" s="1"/>
  <c r="E99" i="1"/>
  <c r="G9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968E99-6944-4A24-BE61-1FE2B9EC09F6}" keepAlive="1" name="Query - dronemass" description="Connection to the 'dronemass' query in the workbook." type="5" refreshedVersion="0" background="1">
    <dbPr connection="Provider=Microsoft.Mashup.OleDb.1;Data Source=$Workbook$;Location=dronemass;Extended Properties=&quot;&quot;" command="SELECT * FROM [dronemass]"/>
  </connection>
</connections>
</file>

<file path=xl/sharedStrings.xml><?xml version="1.0" encoding="utf-8"?>
<sst xmlns="http://schemas.openxmlformats.org/spreadsheetml/2006/main" count="182" uniqueCount="83">
  <si>
    <t>AERSP 305 W Intro Measurement Lab</t>
  </si>
  <si>
    <t>Ankit Gupta</t>
  </si>
  <si>
    <t>Section -A6</t>
  </si>
  <si>
    <t>Part A</t>
  </si>
  <si>
    <t>We assumed the shape to be an Extruded Triangle</t>
  </si>
  <si>
    <t>Table of Measurements</t>
  </si>
  <si>
    <t>Sample 1</t>
  </si>
  <si>
    <t>Sample 2</t>
  </si>
  <si>
    <t>Sample 3</t>
  </si>
  <si>
    <t>Sample 4</t>
  </si>
  <si>
    <t>Sample 5</t>
  </si>
  <si>
    <t>cm</t>
  </si>
  <si>
    <t>+/-</t>
  </si>
  <si>
    <t>Width/Base(b)</t>
  </si>
  <si>
    <t>Height(h)</t>
  </si>
  <si>
    <t>Thickness(t)</t>
  </si>
  <si>
    <t>Volume (cm^3)</t>
  </si>
  <si>
    <t>Average</t>
  </si>
  <si>
    <t>Part B</t>
  </si>
  <si>
    <t>Thickness(bt)</t>
  </si>
  <si>
    <t>Outside Top Width(tw)</t>
  </si>
  <si>
    <t>Outside Bottom Width(bw)</t>
  </si>
  <si>
    <t>Outside Height(bh)</t>
  </si>
  <si>
    <t>Outside Length(bl)</t>
  </si>
  <si>
    <t>Part C</t>
  </si>
  <si>
    <t>Bin</t>
  </si>
  <si>
    <t>Bin + 2 candy</t>
  </si>
  <si>
    <t>Bin + 1 candy</t>
  </si>
  <si>
    <t>Bin + 3 candy</t>
  </si>
  <si>
    <t>Bin + 4 candy</t>
  </si>
  <si>
    <t>Bin + 5 candy</t>
  </si>
  <si>
    <t>Bin + 8 candy</t>
  </si>
  <si>
    <t>Bin + 11 candy</t>
  </si>
  <si>
    <t>Bin + 14 candy</t>
  </si>
  <si>
    <t>Bin + 17 candy</t>
  </si>
  <si>
    <t>Bin + 23 candy</t>
  </si>
  <si>
    <t>grams</t>
  </si>
  <si>
    <t>Mass with the Bin</t>
  </si>
  <si>
    <t>Mass without the Bin</t>
  </si>
  <si>
    <t>Average Mass per candy</t>
  </si>
  <si>
    <t>Average Mass a candy corn (grams)</t>
  </si>
  <si>
    <t>% error</t>
  </si>
  <si>
    <t>mass given by packaging = 2.08 g/pc</t>
  </si>
  <si>
    <t>No of candy</t>
  </si>
  <si>
    <t>Part D</t>
  </si>
  <si>
    <t>Density Calculations for a Candy</t>
  </si>
  <si>
    <t>Average Mass(grams)</t>
  </si>
  <si>
    <t>Average Volume(cm^3)</t>
  </si>
  <si>
    <t>Average Density (grams/cm^3)</t>
  </si>
  <si>
    <t>density of sugar = 1.59 g/cm^3</t>
  </si>
  <si>
    <t>Part E</t>
  </si>
  <si>
    <t>bulk density (grams/cm^3) =</t>
  </si>
  <si>
    <t>No. of pieces that filled the Bin = 23</t>
  </si>
  <si>
    <t>Part F</t>
  </si>
  <si>
    <t>Diameter of Cylinder(cm)</t>
  </si>
  <si>
    <t>Height of Cylinder(cm)</t>
  </si>
  <si>
    <t>Volume of Cylinder(cm^3)</t>
  </si>
  <si>
    <t>Total Payload Mass(g)=</t>
  </si>
  <si>
    <t>bulk density * Volume of Cylinder =</t>
  </si>
  <si>
    <t>Total No. of pieces =</t>
  </si>
  <si>
    <t>Total Paylod Mass / Mass of candy =</t>
  </si>
  <si>
    <t>Part G</t>
  </si>
  <si>
    <t>Field Test Data from Drone</t>
  </si>
  <si>
    <t>Run</t>
  </si>
  <si>
    <t>PayLMass(g)</t>
  </si>
  <si>
    <t>FlyTime(s)</t>
  </si>
  <si>
    <t>No. of pieces*mass of one candy/volume of the bin =</t>
  </si>
  <si>
    <t>y = -0.1824x+2089.4</t>
  </si>
  <si>
    <t xml:space="preserve">x= payloadMass = </t>
  </si>
  <si>
    <t>sec</t>
  </si>
  <si>
    <t>equation of fitted line=</t>
  </si>
  <si>
    <t>Extra Credit</t>
  </si>
  <si>
    <t>Flytime (sec) =</t>
  </si>
  <si>
    <t>y=</t>
  </si>
  <si>
    <t>8 hours =</t>
  </si>
  <si>
    <t>minutes</t>
  </si>
  <si>
    <t>No. of pieces moved by single drone in 8 hrs =</t>
  </si>
  <si>
    <t>No of drones required to move 250,000 pieces =</t>
  </si>
  <si>
    <t>drones</t>
  </si>
  <si>
    <t>min</t>
  </si>
  <si>
    <t>Flytime (min) =</t>
  </si>
  <si>
    <t>No, of trips drone (1 charge) =</t>
  </si>
  <si>
    <t>no of trips drone single day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</si>
</sst>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2" borderId="1" xfId="0" applyFill="1" applyBorder="1"/>
    <xf numFmtId="0" fontId="3" fillId="0" borderId="0" xfId="0" applyFont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quotePrefix="1" applyFill="1" applyBorder="1" applyAlignment="1">
      <alignment horizontal="center"/>
    </xf>
    <xf numFmtId="0" fontId="0" fillId="4" borderId="0" xfId="0" applyFill="1"/>
    <xf numFmtId="0" fontId="0" fillId="4" borderId="11" xfId="0" applyFill="1" applyBorder="1"/>
    <xf numFmtId="0" fontId="0" fillId="4" borderId="7" xfId="0" applyFill="1" applyBorder="1"/>
    <xf numFmtId="0" fontId="0" fillId="4" borderId="7" xfId="0" quotePrefix="1" applyFill="1" applyBorder="1" applyAlignment="1">
      <alignment horizontal="center"/>
    </xf>
    <xf numFmtId="0" fontId="0" fillId="4" borderId="13" xfId="0" applyFill="1" applyBorder="1"/>
    <xf numFmtId="0" fontId="3" fillId="0" borderId="0" xfId="0" applyFont="1" applyAlignment="1">
      <alignment horizontal="center"/>
    </xf>
    <xf numFmtId="0" fontId="0" fillId="6" borderId="5" xfId="0" applyFill="1" applyBorder="1"/>
    <xf numFmtId="0" fontId="0" fillId="6" borderId="5" xfId="0" quotePrefix="1" applyFill="1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7" xfId="0" quotePrefix="1" applyFill="1" applyBorder="1" applyAlignment="1">
      <alignment horizontal="center"/>
    </xf>
    <xf numFmtId="0" fontId="0" fillId="6" borderId="8" xfId="0" applyFill="1" applyBorder="1"/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6" borderId="1" xfId="0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Mass</a:t>
            </a:r>
            <a:r>
              <a:rPr lang="en-IN" baseline="0"/>
              <a:t> vs No. of Candy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Sheet1!$B$37:$B$47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23</c:v>
                </c:pt>
              </c:numCache>
            </c:numRef>
          </c:xVal>
          <c:yVal>
            <c:numRef>
              <c:f>Sheet1!$F$37:$F$47</c:f>
              <c:numCache>
                <c:formatCode>General</c:formatCode>
                <c:ptCount val="11"/>
                <c:pt idx="0">
                  <c:v>0</c:v>
                </c:pt>
                <c:pt idx="1">
                  <c:v>2.25</c:v>
                </c:pt>
                <c:pt idx="2">
                  <c:v>4.4499999999999993</c:v>
                </c:pt>
                <c:pt idx="3">
                  <c:v>6.6999999999999993</c:v>
                </c:pt>
                <c:pt idx="4">
                  <c:v>9.15</c:v>
                </c:pt>
                <c:pt idx="5">
                  <c:v>11.049999999999999</c:v>
                </c:pt>
                <c:pt idx="6">
                  <c:v>16.950000000000003</c:v>
                </c:pt>
                <c:pt idx="7">
                  <c:v>23.15</c:v>
                </c:pt>
                <c:pt idx="8">
                  <c:v>29.200000000000003</c:v>
                </c:pt>
                <c:pt idx="9">
                  <c:v>35.35</c:v>
                </c:pt>
                <c:pt idx="10">
                  <c:v>47.65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4-4642-9DA0-F4009A63C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13912"/>
        <c:axId val="897518392"/>
      </c:scatterChart>
      <c:valAx>
        <c:axId val="89751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candy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18392"/>
        <c:crosses val="autoZero"/>
        <c:crossBetween val="midCat"/>
      </c:valAx>
      <c:valAx>
        <c:axId val="89751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Mass (grams)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1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Payload</a:t>
            </a:r>
            <a:r>
              <a:rPr lang="en-IN" baseline="0"/>
              <a:t> Mass vs Flytime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686051743532059"/>
                  <c:y val="0.15220084506746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Sheet1!$C$106:$C$146</c:f>
              <c:numCache>
                <c:formatCode>General</c:formatCode>
                <c:ptCount val="4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</c:numCache>
            </c:numRef>
          </c:xVal>
          <c:yVal>
            <c:numRef>
              <c:f>Sheet1!$D$106:$D$146</c:f>
              <c:numCache>
                <c:formatCode>General</c:formatCode>
                <c:ptCount val="41"/>
                <c:pt idx="0">
                  <c:v>2012.1</c:v>
                </c:pt>
                <c:pt idx="1">
                  <c:v>2090.6</c:v>
                </c:pt>
                <c:pt idx="2">
                  <c:v>2139</c:v>
                </c:pt>
                <c:pt idx="3">
                  <c:v>1972</c:v>
                </c:pt>
                <c:pt idx="4">
                  <c:v>2086.1</c:v>
                </c:pt>
                <c:pt idx="5">
                  <c:v>2107</c:v>
                </c:pt>
                <c:pt idx="6">
                  <c:v>1892.9</c:v>
                </c:pt>
                <c:pt idx="7">
                  <c:v>1764.1</c:v>
                </c:pt>
                <c:pt idx="8">
                  <c:v>1785.1</c:v>
                </c:pt>
                <c:pt idx="9">
                  <c:v>1989.3</c:v>
                </c:pt>
                <c:pt idx="10">
                  <c:v>1804.8</c:v>
                </c:pt>
                <c:pt idx="11">
                  <c:v>1862.5</c:v>
                </c:pt>
                <c:pt idx="12">
                  <c:v>1924.6</c:v>
                </c:pt>
                <c:pt idx="13">
                  <c:v>2080.9</c:v>
                </c:pt>
                <c:pt idx="14">
                  <c:v>1785.5</c:v>
                </c:pt>
                <c:pt idx="15">
                  <c:v>1949</c:v>
                </c:pt>
                <c:pt idx="16">
                  <c:v>1807.1</c:v>
                </c:pt>
                <c:pt idx="17">
                  <c:v>1724.1</c:v>
                </c:pt>
                <c:pt idx="18">
                  <c:v>1877.4</c:v>
                </c:pt>
                <c:pt idx="19">
                  <c:v>1650.7</c:v>
                </c:pt>
                <c:pt idx="20">
                  <c:v>1827.5</c:v>
                </c:pt>
                <c:pt idx="21">
                  <c:v>1766.9</c:v>
                </c:pt>
                <c:pt idx="22">
                  <c:v>1556.3</c:v>
                </c:pt>
                <c:pt idx="23">
                  <c:v>1563</c:v>
                </c:pt>
                <c:pt idx="24">
                  <c:v>1833.3</c:v>
                </c:pt>
                <c:pt idx="25">
                  <c:v>1556.8</c:v>
                </c:pt>
                <c:pt idx="26">
                  <c:v>1853.6</c:v>
                </c:pt>
                <c:pt idx="27">
                  <c:v>1559.2</c:v>
                </c:pt>
                <c:pt idx="28">
                  <c:v>1485.7</c:v>
                </c:pt>
                <c:pt idx="29">
                  <c:v>1639</c:v>
                </c:pt>
                <c:pt idx="30">
                  <c:v>1423.3</c:v>
                </c:pt>
                <c:pt idx="31">
                  <c:v>1349.5</c:v>
                </c:pt>
                <c:pt idx="32">
                  <c:v>1706.8</c:v>
                </c:pt>
                <c:pt idx="33">
                  <c:v>1494.2</c:v>
                </c:pt>
                <c:pt idx="34">
                  <c:v>1630.5</c:v>
                </c:pt>
                <c:pt idx="35">
                  <c:v>1308.0999999999999</c:v>
                </c:pt>
                <c:pt idx="36">
                  <c:v>1257.3</c:v>
                </c:pt>
                <c:pt idx="37">
                  <c:v>1554.7</c:v>
                </c:pt>
                <c:pt idx="38">
                  <c:v>1378.6</c:v>
                </c:pt>
                <c:pt idx="39">
                  <c:v>1308.7</c:v>
                </c:pt>
                <c:pt idx="40">
                  <c:v>1352.3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6-4407-9B49-BFBA41D6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856848"/>
        <c:axId val="821854928"/>
      </c:scatterChart>
      <c:valAx>
        <c:axId val="8218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Payload</a:t>
                </a:r>
                <a:r>
                  <a:rPr lang="en-IN" baseline="0"/>
                  <a:t> Mass (grams)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9032070991126114"/>
              <c:y val="0.93021294442056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54928"/>
        <c:crosses val="autoZero"/>
        <c:crossBetween val="midCat"/>
      </c:valAx>
      <c:valAx>
        <c:axId val="8218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FlyTime</a:t>
                </a:r>
                <a:r>
                  <a:rPr lang="en-IN" baseline="0"/>
                  <a:t> (sec)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5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148167</xdr:colOff>
      <xdr:row>20</xdr:row>
      <xdr:rowOff>21168</xdr:rowOff>
    </xdr:from>
    <xdr:ext cx="5842000" cy="4762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DB77980-EBFD-1068-628C-BF1C69CD3C9E}"/>
                </a:ext>
              </a:extLst>
            </xdr:cNvPr>
            <xdr:cNvSpPr txBox="1"/>
          </xdr:nvSpPr>
          <xdr:spPr>
            <a:xfrm>
              <a:off x="3937000" y="3958168"/>
              <a:ext cx="5842000" cy="476249"/>
            </a:xfrm>
            <a:prstGeom prst="rect">
              <a:avLst/>
            </a:prstGeom>
            <a:noFill/>
            <a:effectLst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</a:rPr>
                      <m:t>𝑉𝑜𝑙𝑢𝑚𝑒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𝑡h𝑒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𝑏𝑖𝑛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IN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400" b="0" i="1">
                                <a:latin typeface="Cambria Math" panose="02040503050406030204" pitchFamily="18" charset="0"/>
                              </a:rPr>
                              <m:t>𝑡𝑤</m:t>
                            </m:r>
                            <m:r>
                              <a:rPr lang="en-IN" sz="14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  <m:r>
                              <a:rPr lang="en-IN" sz="1400" b="0" i="1">
                                <a:latin typeface="Cambria Math" panose="02040503050406030204" pitchFamily="18" charset="0"/>
                              </a:rPr>
                              <m:t>𝑏𝑡</m:t>
                            </m:r>
                          </m:e>
                        </m:d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en-IN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400" b="0" i="1">
                                <a:latin typeface="Cambria Math" panose="02040503050406030204" pitchFamily="18" charset="0"/>
                              </a:rPr>
                              <m:t>𝑏𝑤</m:t>
                            </m:r>
                            <m:r>
                              <a:rPr lang="en-IN" sz="14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  <m:r>
                              <a:rPr lang="en-IN" sz="1400" b="0" i="1">
                                <a:latin typeface="Cambria Math" panose="02040503050406030204" pitchFamily="18" charset="0"/>
                              </a:rPr>
                              <m:t>𝑏𝑡</m:t>
                            </m:r>
                          </m:e>
                        </m:d>
                      </m:e>
                    </m:d>
                    <m:r>
                      <a:rPr lang="en-IN" sz="14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𝑏𝑙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−2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𝑏𝑡</m:t>
                        </m:r>
                      </m:e>
                    </m:d>
                    <m:r>
                      <a:rPr lang="en-IN" sz="14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𝑏h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𝑏𝑡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IN" sz="1400" b="0"/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DB77980-EBFD-1068-628C-BF1C69CD3C9E}"/>
                </a:ext>
              </a:extLst>
            </xdr:cNvPr>
            <xdr:cNvSpPr txBox="1"/>
          </xdr:nvSpPr>
          <xdr:spPr>
            <a:xfrm>
              <a:off x="3937000" y="3958168"/>
              <a:ext cx="5842000" cy="476249"/>
            </a:xfrm>
            <a:prstGeom prst="rect">
              <a:avLst/>
            </a:prstGeom>
            <a:noFill/>
            <a:effectLst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𝑉𝑜𝑙𝑢𝑚𝑒 𝑜𝑓 𝑡ℎ𝑒 𝑏𝑖𝑛=((𝑡𝑤−2𝑏𝑡)+(𝑏𝑤−2𝑏𝑡))∗(𝑏𝑙−2𝑏𝑡)∗(𝑏ℎ−𝑏𝑡)/2</a:t>
              </a:r>
              <a:endParaRPr lang="en-IN" sz="1400" b="0"/>
            </a:p>
            <a:p>
              <a:endParaRPr lang="en-IN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14</xdr:row>
      <xdr:rowOff>93662</xdr:rowOff>
    </xdr:from>
    <xdr:ext cx="3733800" cy="4764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5B89E6-BEBD-1A52-9B8D-741F9D39686C}"/>
                </a:ext>
              </a:extLst>
            </xdr:cNvPr>
            <xdr:cNvSpPr txBox="1"/>
          </xdr:nvSpPr>
          <xdr:spPr>
            <a:xfrm>
              <a:off x="0" y="2834745"/>
              <a:ext cx="3733800" cy="4764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en-IN" sz="1400" b="0" i="1">
                      <a:latin typeface="Cambria Math" panose="02040503050406030204" pitchFamily="18" charset="0"/>
                    </a:rPr>
                    <m:t>𝑣𝑜𝑙𝑢𝑚𝑒</m:t>
                  </m:r>
                  <m:r>
                    <a:rPr lang="en-IN" sz="14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IN" sz="1400" b="0" i="1">
                      <a:latin typeface="Cambria Math" panose="02040503050406030204" pitchFamily="18" charset="0"/>
                    </a:rPr>
                    <m:t>𝑜𝑓</m:t>
                  </m:r>
                  <m:r>
                    <a:rPr lang="en-IN" sz="14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IN" sz="1400" b="0" i="1">
                      <a:latin typeface="Cambria Math" panose="02040503050406030204" pitchFamily="18" charset="0"/>
                    </a:rPr>
                    <m:t>𝑡h𝑒</m:t>
                  </m:r>
                  <m:r>
                    <a:rPr lang="en-IN" sz="14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IN" sz="1400" b="0" i="1">
                      <a:latin typeface="Cambria Math" panose="02040503050406030204" pitchFamily="18" charset="0"/>
                    </a:rPr>
                    <m:t>𝑐𝑎𝑛𝑑𝑦</m:t>
                  </m:r>
                  <m:r>
                    <a:rPr lang="en-IN" sz="14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IN" sz="1400" b="0" i="1">
                      <a:latin typeface="Cambria Math" panose="02040503050406030204" pitchFamily="18" charset="0"/>
                    </a:rPr>
                    <m:t>𝑐𝑜𝑟𝑛</m:t>
                  </m:r>
                  <m:r>
                    <a:rPr lang="en-IN" sz="1400" b="0" i="1">
                      <a:latin typeface="Cambria Math" panose="02040503050406030204" pitchFamily="18" charset="0"/>
                    </a:rPr>
                    <m:t> =</m:t>
                  </m:r>
                  <m:f>
                    <m:fPr>
                      <m:ctrlPr>
                        <a:rPr lang="en-IN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4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IN" sz="14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r>
                <a:rPr lang="en-IN" sz="1400" b="0"/>
                <a:t>(b*h*t)</a:t>
              </a:r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5B89E6-BEBD-1A52-9B8D-741F9D39686C}"/>
                </a:ext>
              </a:extLst>
            </xdr:cNvPr>
            <xdr:cNvSpPr txBox="1"/>
          </xdr:nvSpPr>
          <xdr:spPr>
            <a:xfrm>
              <a:off x="0" y="2834745"/>
              <a:ext cx="3733800" cy="4764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IN" sz="1400" b="0" i="0">
                  <a:latin typeface="Cambria Math" panose="02040503050406030204" pitchFamily="18" charset="0"/>
                </a:rPr>
                <a:t>𝑣𝑜𝑙𝑢𝑚𝑒 𝑜𝑓 𝑡ℎ𝑒 𝑐𝑎𝑛𝑑𝑦 𝑐𝑜𝑟𝑛 =1/2</a:t>
              </a:r>
              <a:r>
                <a:rPr lang="en-IN" sz="1400" b="0"/>
                <a:t>(b*h*t)</a:t>
              </a:r>
            </a:p>
            <a:p>
              <a:endParaRPr lang="en-IN" sz="1100"/>
            </a:p>
          </xdr:txBody>
        </xdr:sp>
      </mc:Fallback>
    </mc:AlternateContent>
    <xdr:clientData/>
  </xdr:oneCellAnchor>
  <xdr:twoCellAnchor>
    <xdr:from>
      <xdr:col>2</xdr:col>
      <xdr:colOff>402166</xdr:colOff>
      <xdr:row>50</xdr:row>
      <xdr:rowOff>42334</xdr:rowOff>
    </xdr:from>
    <xdr:to>
      <xdr:col>14</xdr:col>
      <xdr:colOff>391584</xdr:colOff>
      <xdr:row>73</xdr:row>
      <xdr:rowOff>42334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748748-718F-DAE0-57D3-29CB6FB8D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465667</xdr:colOff>
      <xdr:row>106</xdr:row>
      <xdr:rowOff>14816</xdr:rowOff>
    </xdr:from>
    <xdr:to>
      <xdr:col>18</xdr:col>
      <xdr:colOff>486834</xdr:colOff>
      <xdr:row>131</xdr:row>
      <xdr:rowOff>21166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D2F4A-5479-EEBB-BF9D-6AC5E935E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619125</xdr:colOff>
      <xdr:row>5</xdr:row>
      <xdr:rowOff>66675</xdr:rowOff>
    </xdr:from>
    <xdr:ext cx="752475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F1349B0-E919-C226-9DD1-0C8E7DBCD3B2}"/>
            </a:ext>
          </a:extLst>
        </xdr:cNvPr>
        <xdr:cNvSpPr txBox="1"/>
      </xdr:nvSpPr>
      <xdr:spPr>
        <a:xfrm>
          <a:off x="5610225" y="1066800"/>
          <a:ext cx="752475" cy="264560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IN" sz="1100"/>
            <a:t>1</a:t>
          </a:r>
        </a:p>
      </xdr:txBody>
    </xdr:sp>
    <xdr:clientData/>
  </xdr:oneCellAnchor>
  <xdr:oneCellAnchor>
    <xdr:from>
      <xdr:col>17</xdr:col>
      <xdr:colOff>247650</xdr:colOff>
      <xdr:row>14</xdr:row>
      <xdr:rowOff>114300</xdr:rowOff>
    </xdr:from>
    <xdr:ext cx="752475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F60BA9D-09C6-43F0-BB2A-B6C4AEE6B650}"/>
            </a:ext>
          </a:extLst>
        </xdr:cNvPr>
        <xdr:cNvSpPr txBox="1"/>
      </xdr:nvSpPr>
      <xdr:spPr>
        <a:xfrm>
          <a:off x="14201775" y="2847975"/>
          <a:ext cx="752475" cy="264560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IN" sz="1100"/>
            <a:t>2</a:t>
          </a:r>
        </a:p>
      </xdr:txBody>
    </xdr:sp>
    <xdr:clientData/>
  </xdr:oneCellAnchor>
  <xdr:oneCellAnchor>
    <xdr:from>
      <xdr:col>4</xdr:col>
      <xdr:colOff>0</xdr:colOff>
      <xdr:row>28</xdr:row>
      <xdr:rowOff>0</xdr:rowOff>
    </xdr:from>
    <xdr:ext cx="752475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B9AB2C8-EFB6-41AC-8092-7AFD70441B03}"/>
            </a:ext>
          </a:extLst>
        </xdr:cNvPr>
        <xdr:cNvSpPr txBox="1"/>
      </xdr:nvSpPr>
      <xdr:spPr>
        <a:xfrm>
          <a:off x="4991100" y="5457825"/>
          <a:ext cx="752475" cy="264560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IN" sz="1100"/>
            <a:t>3</a:t>
          </a:r>
        </a:p>
      </xdr:txBody>
    </xdr:sp>
    <xdr:clientData/>
  </xdr:oneCellAnchor>
  <xdr:oneCellAnchor>
    <xdr:from>
      <xdr:col>0</xdr:col>
      <xdr:colOff>485775</xdr:colOff>
      <xdr:row>33</xdr:row>
      <xdr:rowOff>85725</xdr:rowOff>
    </xdr:from>
    <xdr:ext cx="752475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FEFC2D1-AAF3-476F-BB87-0ACC3788A818}"/>
            </a:ext>
          </a:extLst>
        </xdr:cNvPr>
        <xdr:cNvSpPr txBox="1"/>
      </xdr:nvSpPr>
      <xdr:spPr>
        <a:xfrm>
          <a:off x="485775" y="6600825"/>
          <a:ext cx="752475" cy="264560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IN" sz="1100"/>
            <a:t>4</a:t>
          </a:r>
        </a:p>
      </xdr:txBody>
    </xdr:sp>
    <xdr:clientData/>
  </xdr:oneCellAnchor>
  <xdr:oneCellAnchor>
    <xdr:from>
      <xdr:col>11</xdr:col>
      <xdr:colOff>142875</xdr:colOff>
      <xdr:row>46</xdr:row>
      <xdr:rowOff>180975</xdr:rowOff>
    </xdr:from>
    <xdr:ext cx="752475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12CBA96-6CD3-4714-9919-383A0B91F272}"/>
            </a:ext>
          </a:extLst>
        </xdr:cNvPr>
        <xdr:cNvSpPr txBox="1"/>
      </xdr:nvSpPr>
      <xdr:spPr>
        <a:xfrm>
          <a:off x="10439400" y="9172575"/>
          <a:ext cx="752475" cy="264560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IN" sz="1100"/>
            <a:t>5</a:t>
          </a:r>
        </a:p>
      </xdr:txBody>
    </xdr:sp>
    <xdr:clientData/>
  </xdr:oneCellAnchor>
  <xdr:oneCellAnchor>
    <xdr:from>
      <xdr:col>15</xdr:col>
      <xdr:colOff>285750</xdr:colOff>
      <xdr:row>38</xdr:row>
      <xdr:rowOff>104775</xdr:rowOff>
    </xdr:from>
    <xdr:ext cx="752475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C2F5722-B42F-4C6D-B821-1A8509C624AB}"/>
            </a:ext>
          </a:extLst>
        </xdr:cNvPr>
        <xdr:cNvSpPr txBox="1"/>
      </xdr:nvSpPr>
      <xdr:spPr>
        <a:xfrm>
          <a:off x="13020675" y="7572375"/>
          <a:ext cx="752475" cy="264560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IN" sz="1100"/>
            <a:t>6</a:t>
          </a:r>
        </a:p>
      </xdr:txBody>
    </xdr:sp>
    <xdr:clientData/>
  </xdr:oneCellAnchor>
  <xdr:oneCellAnchor>
    <xdr:from>
      <xdr:col>2</xdr:col>
      <xdr:colOff>266700</xdr:colOff>
      <xdr:row>81</xdr:row>
      <xdr:rowOff>28575</xdr:rowOff>
    </xdr:from>
    <xdr:ext cx="752475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49DAE60-3005-4D9A-878B-DEA352EA3943}"/>
            </a:ext>
          </a:extLst>
        </xdr:cNvPr>
        <xdr:cNvSpPr txBox="1"/>
      </xdr:nvSpPr>
      <xdr:spPr>
        <a:xfrm>
          <a:off x="2924175" y="15744825"/>
          <a:ext cx="752475" cy="264560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IN" sz="1100"/>
            <a:t>7</a:t>
          </a:r>
        </a:p>
      </xdr:txBody>
    </xdr:sp>
    <xdr:clientData/>
  </xdr:oneCellAnchor>
  <xdr:oneCellAnchor>
    <xdr:from>
      <xdr:col>7</xdr:col>
      <xdr:colOff>457200</xdr:colOff>
      <xdr:row>76</xdr:row>
      <xdr:rowOff>47625</xdr:rowOff>
    </xdr:from>
    <xdr:ext cx="752475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8A2899B-1C8A-412C-AD35-72860D8E5870}"/>
            </a:ext>
          </a:extLst>
        </xdr:cNvPr>
        <xdr:cNvSpPr txBox="1"/>
      </xdr:nvSpPr>
      <xdr:spPr>
        <a:xfrm>
          <a:off x="8315325" y="14811375"/>
          <a:ext cx="752475" cy="264560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IN" sz="1100"/>
            <a:t>8</a:t>
          </a:r>
        </a:p>
      </xdr:txBody>
    </xdr:sp>
    <xdr:clientData/>
  </xdr:oneCellAnchor>
  <xdr:oneCellAnchor>
    <xdr:from>
      <xdr:col>6</xdr:col>
      <xdr:colOff>304800</xdr:colOff>
      <xdr:row>84</xdr:row>
      <xdr:rowOff>171450</xdr:rowOff>
    </xdr:from>
    <xdr:ext cx="752475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A94B932-DDC1-47D2-B68A-EAE7DDD8BC4E}"/>
            </a:ext>
          </a:extLst>
        </xdr:cNvPr>
        <xdr:cNvSpPr txBox="1"/>
      </xdr:nvSpPr>
      <xdr:spPr>
        <a:xfrm>
          <a:off x="7296150" y="16506825"/>
          <a:ext cx="752475" cy="264560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IN" sz="1100"/>
            <a:t>9</a:t>
          </a:r>
        </a:p>
      </xdr:txBody>
    </xdr:sp>
    <xdr:clientData/>
  </xdr:oneCellAnchor>
  <xdr:oneCellAnchor>
    <xdr:from>
      <xdr:col>7</xdr:col>
      <xdr:colOff>28575</xdr:colOff>
      <xdr:row>95</xdr:row>
      <xdr:rowOff>85725</xdr:rowOff>
    </xdr:from>
    <xdr:ext cx="752475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6FC8A87-AD36-465D-B699-BF1C433AE0FC}"/>
            </a:ext>
          </a:extLst>
        </xdr:cNvPr>
        <xdr:cNvSpPr txBox="1"/>
      </xdr:nvSpPr>
      <xdr:spPr>
        <a:xfrm>
          <a:off x="7886700" y="18564225"/>
          <a:ext cx="752475" cy="264560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IN" sz="1100"/>
            <a:t>10</a:t>
          </a:r>
        </a:p>
      </xdr:txBody>
    </xdr:sp>
    <xdr:clientData/>
  </xdr:oneCellAnchor>
  <xdr:oneCellAnchor>
    <xdr:from>
      <xdr:col>7</xdr:col>
      <xdr:colOff>47625</xdr:colOff>
      <xdr:row>97</xdr:row>
      <xdr:rowOff>180975</xdr:rowOff>
    </xdr:from>
    <xdr:ext cx="752475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9462216-7866-44DC-8130-C065FDC05CEF}"/>
            </a:ext>
          </a:extLst>
        </xdr:cNvPr>
        <xdr:cNvSpPr txBox="1"/>
      </xdr:nvSpPr>
      <xdr:spPr>
        <a:xfrm>
          <a:off x="7905750" y="19040475"/>
          <a:ext cx="752475" cy="264560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IN" sz="1100"/>
            <a:t>11</a:t>
          </a:r>
        </a:p>
      </xdr:txBody>
    </xdr:sp>
    <xdr:clientData/>
  </xdr:oneCellAnchor>
  <xdr:oneCellAnchor>
    <xdr:from>
      <xdr:col>5</xdr:col>
      <xdr:colOff>1019175</xdr:colOff>
      <xdr:row>136</xdr:row>
      <xdr:rowOff>85725</xdr:rowOff>
    </xdr:from>
    <xdr:ext cx="752475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BC0B126-3AE4-4D6F-B8FA-B804ACFC6863}"/>
            </a:ext>
          </a:extLst>
        </xdr:cNvPr>
        <xdr:cNvSpPr txBox="1"/>
      </xdr:nvSpPr>
      <xdr:spPr>
        <a:xfrm>
          <a:off x="6819900" y="26422350"/>
          <a:ext cx="752475" cy="264560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IN" sz="1100"/>
            <a:t>12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114B4-FB42-4C20-908E-09FF2208F269}">
  <dimension ref="A1:S155"/>
  <sheetViews>
    <sheetView tabSelected="1" zoomScaleNormal="90" workbookViewId="0">
      <selection activeCell="J154" sqref="J154"/>
    </sheetView>
  </sheetViews>
  <sheetFormatPr defaultRowHeight="15" x14ac:dyDescent="0.25"/>
  <cols>
    <col min="1" max="1" width="27" customWidth="1"/>
    <col min="2" max="2" width="12.85546875" customWidth="1"/>
    <col min="3" max="3" width="15.140625" customWidth="1"/>
    <col min="4" max="4" width="19.85546875" customWidth="1"/>
    <col min="5" max="5" width="12.140625" customWidth="1"/>
    <col min="6" max="6" width="17.85546875" customWidth="1"/>
    <col min="7" max="7" width="13" customWidth="1"/>
  </cols>
  <sheetData>
    <row r="1" spans="1:19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 x14ac:dyDescent="0.25">
      <c r="A2" s="51" t="s">
        <v>1</v>
      </c>
      <c r="B2" s="52"/>
      <c r="C2" s="52"/>
      <c r="D2" s="52"/>
      <c r="E2" s="52"/>
      <c r="F2" s="52"/>
      <c r="G2" s="53"/>
      <c r="H2" s="42" t="s">
        <v>2</v>
      </c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4" spans="1:19" s="13" customFormat="1" ht="18.75" x14ac:dyDescent="0.3">
      <c r="A4" s="38" t="s">
        <v>3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5">
      <c r="A5" s="41" t="s">
        <v>4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</row>
    <row r="7" spans="1:19" x14ac:dyDescent="0.25">
      <c r="A7" s="40" t="s">
        <v>5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</row>
    <row r="8" spans="1:19" x14ac:dyDescent="0.25">
      <c r="A8" s="12"/>
      <c r="B8" s="39" t="s">
        <v>6</v>
      </c>
      <c r="C8" s="39"/>
      <c r="D8" s="39"/>
      <c r="E8" s="39" t="s">
        <v>7</v>
      </c>
      <c r="F8" s="39"/>
      <c r="G8" s="39"/>
      <c r="H8" s="39" t="s">
        <v>8</v>
      </c>
      <c r="I8" s="39"/>
      <c r="J8" s="39"/>
      <c r="K8" s="39" t="s">
        <v>9</v>
      </c>
      <c r="L8" s="39"/>
      <c r="M8" s="39"/>
      <c r="N8" s="39" t="s">
        <v>10</v>
      </c>
      <c r="O8" s="39"/>
      <c r="P8" s="39"/>
      <c r="Q8" s="39" t="s">
        <v>17</v>
      </c>
      <c r="R8" s="39"/>
      <c r="S8" s="39"/>
    </row>
    <row r="9" spans="1:19" x14ac:dyDescent="0.25">
      <c r="A9" s="3"/>
      <c r="B9" s="1" t="s">
        <v>11</v>
      </c>
      <c r="C9" s="1"/>
      <c r="D9" s="1" t="s">
        <v>11</v>
      </c>
      <c r="E9" s="1" t="s">
        <v>11</v>
      </c>
      <c r="F9" s="1"/>
      <c r="G9" s="1" t="s">
        <v>11</v>
      </c>
      <c r="H9" s="1" t="s">
        <v>11</v>
      </c>
      <c r="I9" s="1"/>
      <c r="J9" s="1" t="s">
        <v>11</v>
      </c>
      <c r="K9" s="1" t="s">
        <v>11</v>
      </c>
      <c r="L9" s="1"/>
      <c r="M9" s="1" t="s">
        <v>11</v>
      </c>
      <c r="N9" s="1" t="s">
        <v>11</v>
      </c>
      <c r="O9" s="1"/>
      <c r="P9" s="1" t="s">
        <v>11</v>
      </c>
      <c r="Q9" s="14" t="s">
        <v>11</v>
      </c>
      <c r="R9" s="15"/>
      <c r="S9" s="14" t="s">
        <v>11</v>
      </c>
    </row>
    <row r="10" spans="1:19" x14ac:dyDescent="0.25">
      <c r="A10" s="3" t="s">
        <v>13</v>
      </c>
      <c r="B10" s="1">
        <v>1.2</v>
      </c>
      <c r="C10" s="2" t="s">
        <v>12</v>
      </c>
      <c r="D10" s="1">
        <v>0.05</v>
      </c>
      <c r="E10" s="3">
        <v>1.1499999999999999</v>
      </c>
      <c r="F10" s="2" t="s">
        <v>12</v>
      </c>
      <c r="G10" s="3">
        <v>0.05</v>
      </c>
      <c r="H10" s="3">
        <v>1.35</v>
      </c>
      <c r="I10" s="2" t="s">
        <v>12</v>
      </c>
      <c r="J10" s="3">
        <v>0.05</v>
      </c>
      <c r="K10" s="3">
        <v>1.35</v>
      </c>
      <c r="L10" s="2" t="s">
        <v>12</v>
      </c>
      <c r="M10" s="3">
        <v>0.05</v>
      </c>
      <c r="N10" s="3">
        <v>1.35</v>
      </c>
      <c r="O10" s="2" t="s">
        <v>12</v>
      </c>
      <c r="P10" s="3">
        <v>0.05</v>
      </c>
      <c r="Q10" s="15">
        <f>AVERAGE(B10,E10,H10,K10,N10)</f>
        <v>1.28</v>
      </c>
      <c r="R10" s="16" t="s">
        <v>12</v>
      </c>
      <c r="S10" s="15">
        <v>0.05</v>
      </c>
    </row>
    <row r="11" spans="1:19" x14ac:dyDescent="0.25">
      <c r="A11" s="3" t="s">
        <v>14</v>
      </c>
      <c r="B11" s="1">
        <v>2.4</v>
      </c>
      <c r="C11" s="2" t="s">
        <v>12</v>
      </c>
      <c r="D11" s="1">
        <v>0.05</v>
      </c>
      <c r="E11" s="3">
        <v>2.4500000000000002</v>
      </c>
      <c r="F11" s="2" t="s">
        <v>12</v>
      </c>
      <c r="G11" s="3">
        <v>0.05</v>
      </c>
      <c r="H11" s="3">
        <v>2.6</v>
      </c>
      <c r="I11" s="2" t="s">
        <v>12</v>
      </c>
      <c r="J11" s="3">
        <v>0.05</v>
      </c>
      <c r="K11" s="3">
        <v>2.5</v>
      </c>
      <c r="L11" s="2" t="s">
        <v>12</v>
      </c>
      <c r="M11" s="3">
        <v>0.05</v>
      </c>
      <c r="N11" s="3">
        <v>2.7</v>
      </c>
      <c r="O11" s="2" t="s">
        <v>12</v>
      </c>
      <c r="P11" s="3">
        <v>0.05</v>
      </c>
      <c r="Q11" s="15">
        <f t="shared" ref="Q11:Q12" si="0">AVERAGE(B11,E11,H11,K11,N11)</f>
        <v>2.5299999999999998</v>
      </c>
      <c r="R11" s="16" t="s">
        <v>12</v>
      </c>
      <c r="S11" s="15">
        <v>0.05</v>
      </c>
    </row>
    <row r="12" spans="1:19" x14ac:dyDescent="0.25">
      <c r="A12" s="3" t="s">
        <v>15</v>
      </c>
      <c r="B12" s="1">
        <v>0.8</v>
      </c>
      <c r="C12" s="2" t="s">
        <v>12</v>
      </c>
      <c r="D12" s="1">
        <v>0.05</v>
      </c>
      <c r="E12" s="3">
        <v>0.85</v>
      </c>
      <c r="F12" s="2" t="s">
        <v>12</v>
      </c>
      <c r="G12" s="3">
        <v>0.05</v>
      </c>
      <c r="H12" s="3">
        <v>0.9</v>
      </c>
      <c r="I12" s="2" t="s">
        <v>12</v>
      </c>
      <c r="J12" s="3">
        <v>0.05</v>
      </c>
      <c r="K12" s="3">
        <v>0.9</v>
      </c>
      <c r="L12" s="2" t="s">
        <v>12</v>
      </c>
      <c r="M12" s="3">
        <v>0.05</v>
      </c>
      <c r="N12" s="3">
        <v>0.95</v>
      </c>
      <c r="O12" s="2" t="s">
        <v>12</v>
      </c>
      <c r="P12" s="3">
        <v>0.05</v>
      </c>
      <c r="Q12" s="15">
        <f t="shared" si="0"/>
        <v>0.87999999999999989</v>
      </c>
      <c r="R12" s="16" t="s">
        <v>12</v>
      </c>
      <c r="S12" s="15">
        <v>0.05</v>
      </c>
    </row>
    <row r="13" spans="1:19" ht="15.75" thickBot="1" x14ac:dyDescent="0.3">
      <c r="B13" s="9"/>
      <c r="C13" s="10"/>
      <c r="D13" s="9"/>
      <c r="F13" s="10"/>
      <c r="I13" s="10"/>
      <c r="L13" s="10"/>
      <c r="O13" s="10"/>
      <c r="Q13" s="21"/>
      <c r="R13" s="17"/>
      <c r="S13" s="18"/>
    </row>
    <row r="14" spans="1:19" ht="15.75" thickBot="1" x14ac:dyDescent="0.3">
      <c r="A14" s="4" t="s">
        <v>16</v>
      </c>
      <c r="B14" s="5">
        <f>B10*B11*B12/2</f>
        <v>1.1519999999999999</v>
      </c>
      <c r="C14" s="11" t="s">
        <v>12</v>
      </c>
      <c r="D14" s="5">
        <f>SQRT((B14^2)*(((D10^2)/(B10^2))+((D11^2)/(B11^2))+((D12^2)/(B12^2))))</f>
        <v>8.97997772825746E-2</v>
      </c>
      <c r="E14" s="5">
        <f>E10*E11*E12/2</f>
        <v>1.1974374999999999</v>
      </c>
      <c r="F14" s="11" t="s">
        <v>12</v>
      </c>
      <c r="G14" s="5">
        <f>SQRT((E14^2)*(((G10^2)/(E10^2))+((G11^2)/(E11^2))+((G12^2)/(E12^2))))</f>
        <v>9.0934793774165468E-2</v>
      </c>
      <c r="H14" s="5">
        <f>H10*H11*H12/2</f>
        <v>1.5795000000000001</v>
      </c>
      <c r="I14" s="11" t="s">
        <v>12</v>
      </c>
      <c r="J14" s="5">
        <f>SQRT((H14^2)*(((J10^2)/(H10^2))+((J11^2)/(H11^2))+((J12^2)/(H12^2))))</f>
        <v>0.10974950170729707</v>
      </c>
      <c r="K14" s="5">
        <f>K10*K11*K12/2</f>
        <v>1.51875</v>
      </c>
      <c r="L14" s="11" t="s">
        <v>12</v>
      </c>
      <c r="M14" s="5">
        <f>SQRT((K14^2)*(((M10^2)/(K10^2))+((M11^2)/(K11^2))+((M12^2)/(K12^2))))</f>
        <v>0.1058576579657797</v>
      </c>
      <c r="N14" s="5">
        <f>N10*N11*N12/2</f>
        <v>1.7313750000000001</v>
      </c>
      <c r="O14" s="11" t="s">
        <v>12</v>
      </c>
      <c r="P14" s="6">
        <f>SQRT((N14^2)*(((P10^2)/(N10^2))+((P11^2)/(N11^2))+((P12^2)/(N12^2))))</f>
        <v>0.11594733785753775</v>
      </c>
      <c r="Q14" s="19">
        <f>Q10*Q11*Q12/2</f>
        <v>1.4248959999999997</v>
      </c>
      <c r="R14" s="20" t="s">
        <v>12</v>
      </c>
      <c r="S14" s="19">
        <f>SQRT((Q14^2)*(((S10^2)/(Q10^2))+((S11^2)/(Q11^2))+((S12^2)/(Q12^2))))</f>
        <v>0.10220343829832731</v>
      </c>
    </row>
    <row r="19" spans="1:19" ht="18.75" x14ac:dyDescent="0.3">
      <c r="A19" s="38" t="s">
        <v>18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</row>
    <row r="21" spans="1:19" x14ac:dyDescent="0.25">
      <c r="A21" s="43" t="s">
        <v>5</v>
      </c>
      <c r="B21" s="44"/>
      <c r="C21" s="44"/>
      <c r="D21" s="45"/>
    </row>
    <row r="22" spans="1:19" x14ac:dyDescent="0.25">
      <c r="A22" s="1"/>
      <c r="B22" s="1" t="s">
        <v>11</v>
      </c>
      <c r="C22" s="1"/>
      <c r="D22" s="1" t="s">
        <v>11</v>
      </c>
    </row>
    <row r="23" spans="1:19" x14ac:dyDescent="0.25">
      <c r="A23" s="3" t="s">
        <v>20</v>
      </c>
      <c r="B23" s="3">
        <v>5.3</v>
      </c>
      <c r="C23" s="2" t="s">
        <v>12</v>
      </c>
      <c r="D23" s="3">
        <v>0.05</v>
      </c>
    </row>
    <row r="24" spans="1:19" x14ac:dyDescent="0.25">
      <c r="A24" s="3" t="s">
        <v>21</v>
      </c>
      <c r="B24" s="3">
        <v>5.0999999999999996</v>
      </c>
      <c r="C24" s="2" t="s">
        <v>12</v>
      </c>
      <c r="D24" s="3">
        <v>0.05</v>
      </c>
    </row>
    <row r="25" spans="1:19" x14ac:dyDescent="0.25">
      <c r="A25" s="3" t="s">
        <v>22</v>
      </c>
      <c r="B25" s="3">
        <v>4.75</v>
      </c>
      <c r="C25" s="2" t="s">
        <v>12</v>
      </c>
      <c r="D25" s="3">
        <v>0.05</v>
      </c>
    </row>
    <row r="26" spans="1:19" x14ac:dyDescent="0.25">
      <c r="A26" s="3" t="s">
        <v>23</v>
      </c>
      <c r="B26" s="3">
        <v>3.65</v>
      </c>
      <c r="C26" s="2" t="s">
        <v>12</v>
      </c>
      <c r="D26" s="3">
        <v>0.05</v>
      </c>
    </row>
    <row r="27" spans="1:19" x14ac:dyDescent="0.25">
      <c r="A27" s="3" t="s">
        <v>19</v>
      </c>
      <c r="B27" s="3">
        <v>0.1</v>
      </c>
      <c r="C27" s="2" t="s">
        <v>12</v>
      </c>
      <c r="D27" s="3">
        <v>0.05</v>
      </c>
    </row>
    <row r="28" spans="1:19" ht="15.75" thickBot="1" x14ac:dyDescent="0.3">
      <c r="A28" s="8"/>
      <c r="D28" s="7"/>
    </row>
    <row r="29" spans="1:19" ht="15.75" thickBot="1" x14ac:dyDescent="0.3">
      <c r="A29" s="26" t="s">
        <v>16</v>
      </c>
      <c r="B29" s="27">
        <f>((B23-(2*B27))+(B24-(2*B27)))*(B25-B27)*(B26-(2*B27))/2</f>
        <v>80.212499999999991</v>
      </c>
      <c r="C29" s="28" t="s">
        <v>12</v>
      </c>
      <c r="D29" s="29">
        <f>SQRT((B29^2)*(((D23^2)/(B23^2))+((D24^2)/(B24^2))+((D25^2)/(B25^2))+((D26^2)/(B26^2))))</f>
        <v>1.7638951509811152</v>
      </c>
    </row>
    <row r="32" spans="1:19" ht="18.75" x14ac:dyDescent="0.3">
      <c r="A32" s="38" t="s">
        <v>24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</row>
    <row r="33" spans="1:19" ht="18.75" x14ac:dyDescent="0.3">
      <c r="A33" s="43" t="s">
        <v>5</v>
      </c>
      <c r="B33" s="44"/>
      <c r="C33" s="44"/>
      <c r="D33" s="44"/>
      <c r="E33" s="44"/>
      <c r="F33" s="44"/>
      <c r="G33" s="44"/>
      <c r="H33" s="44"/>
      <c r="I33" s="44"/>
      <c r="J33" s="44"/>
      <c r="K33" s="45"/>
      <c r="L33" s="22"/>
      <c r="M33" s="22"/>
      <c r="N33" s="22"/>
      <c r="O33" s="22"/>
      <c r="P33" s="22"/>
      <c r="Q33" s="22"/>
      <c r="R33" s="22"/>
      <c r="S33" s="22"/>
    </row>
    <row r="35" spans="1:19" x14ac:dyDescent="0.25">
      <c r="A35" s="12"/>
      <c r="B35" s="12" t="s">
        <v>43</v>
      </c>
      <c r="C35" s="39" t="s">
        <v>37</v>
      </c>
      <c r="D35" s="39"/>
      <c r="E35" s="39"/>
      <c r="F35" s="39" t="s">
        <v>38</v>
      </c>
      <c r="G35" s="39"/>
      <c r="H35" s="39"/>
      <c r="I35" s="39" t="s">
        <v>39</v>
      </c>
      <c r="J35" s="39"/>
      <c r="K35" s="39"/>
    </row>
    <row r="36" spans="1:19" x14ac:dyDescent="0.25">
      <c r="A36" s="3"/>
      <c r="B36" s="3"/>
      <c r="C36" s="3" t="s">
        <v>36</v>
      </c>
      <c r="D36" s="3"/>
      <c r="E36" s="3" t="s">
        <v>36</v>
      </c>
      <c r="F36" s="3" t="s">
        <v>36</v>
      </c>
      <c r="G36" s="3"/>
      <c r="H36" s="3" t="s">
        <v>36</v>
      </c>
      <c r="I36" s="3" t="s">
        <v>36</v>
      </c>
      <c r="J36" s="3"/>
      <c r="K36" s="3" t="s">
        <v>36</v>
      </c>
    </row>
    <row r="37" spans="1:19" x14ac:dyDescent="0.25">
      <c r="A37" s="15" t="s">
        <v>25</v>
      </c>
      <c r="B37" s="25">
        <v>0</v>
      </c>
      <c r="C37" s="15">
        <v>8.15</v>
      </c>
      <c r="D37" s="16" t="s">
        <v>12</v>
      </c>
      <c r="E37" s="15">
        <v>0.05</v>
      </c>
      <c r="F37" s="3">
        <f>C37-C37</f>
        <v>0</v>
      </c>
      <c r="G37" s="2" t="s">
        <v>12</v>
      </c>
      <c r="H37" s="3">
        <v>0</v>
      </c>
      <c r="I37" s="3">
        <v>0</v>
      </c>
      <c r="J37" s="2" t="s">
        <v>12</v>
      </c>
      <c r="K37" s="3">
        <v>0</v>
      </c>
    </row>
    <row r="38" spans="1:19" x14ac:dyDescent="0.25">
      <c r="A38" s="3" t="s">
        <v>27</v>
      </c>
      <c r="B38" s="3">
        <v>1</v>
      </c>
      <c r="C38" s="3">
        <v>10.4</v>
      </c>
      <c r="D38" s="2" t="s">
        <v>12</v>
      </c>
      <c r="E38" s="3">
        <v>0.05</v>
      </c>
      <c r="F38" s="3">
        <f>C38-C37</f>
        <v>2.25</v>
      </c>
      <c r="G38" s="2" t="s">
        <v>12</v>
      </c>
      <c r="H38" s="3">
        <f>SQRT((E38^2)+(E37^2))</f>
        <v>7.0710678118654766E-2</v>
      </c>
      <c r="I38" s="3">
        <v>2.25</v>
      </c>
      <c r="J38" s="2" t="s">
        <v>12</v>
      </c>
      <c r="K38" s="3">
        <f>SQRT((E43^2)+(E42^2))</f>
        <v>7.0710678118654766E-2</v>
      </c>
    </row>
    <row r="39" spans="1:19" x14ac:dyDescent="0.25">
      <c r="A39" s="3" t="s">
        <v>26</v>
      </c>
      <c r="B39" s="3">
        <v>2</v>
      </c>
      <c r="C39" s="3">
        <v>12.6</v>
      </c>
      <c r="D39" s="2" t="s">
        <v>12</v>
      </c>
      <c r="E39" s="3">
        <v>0.05</v>
      </c>
      <c r="F39" s="3">
        <f>C39-C37</f>
        <v>4.4499999999999993</v>
      </c>
      <c r="G39" s="2" t="s">
        <v>12</v>
      </c>
      <c r="H39" s="3">
        <f t="shared" ref="H39:H47" si="1">SQRT((E39^2)+(E38^2))</f>
        <v>7.0710678118654766E-2</v>
      </c>
      <c r="I39" s="3">
        <f>F39/2</f>
        <v>2.2249999999999996</v>
      </c>
      <c r="J39" s="2" t="s">
        <v>12</v>
      </c>
      <c r="K39" s="3">
        <v>7.0709999999999995E-2</v>
      </c>
    </row>
    <row r="40" spans="1:19" x14ac:dyDescent="0.25">
      <c r="A40" s="3" t="s">
        <v>28</v>
      </c>
      <c r="B40" s="3">
        <v>3</v>
      </c>
      <c r="C40" s="3">
        <v>14.85</v>
      </c>
      <c r="D40" s="2" t="s">
        <v>12</v>
      </c>
      <c r="E40" s="3">
        <v>0.05</v>
      </c>
      <c r="F40" s="3">
        <f>C40-C37</f>
        <v>6.6999999999999993</v>
      </c>
      <c r="G40" s="2" t="s">
        <v>12</v>
      </c>
      <c r="H40" s="3">
        <f t="shared" si="1"/>
        <v>7.0710678118654766E-2</v>
      </c>
      <c r="I40" s="3">
        <f>F40/3</f>
        <v>2.2333333333333329</v>
      </c>
      <c r="J40" s="2" t="s">
        <v>12</v>
      </c>
      <c r="K40" s="3">
        <v>7.0709999999999995E-2</v>
      </c>
    </row>
    <row r="41" spans="1:19" x14ac:dyDescent="0.25">
      <c r="A41" s="3" t="s">
        <v>29</v>
      </c>
      <c r="B41" s="3">
        <v>4</v>
      </c>
      <c r="C41" s="3">
        <v>17.3</v>
      </c>
      <c r="D41" s="2" t="s">
        <v>12</v>
      </c>
      <c r="E41" s="3">
        <v>0.05</v>
      </c>
      <c r="F41" s="3">
        <f>C41-C37</f>
        <v>9.15</v>
      </c>
      <c r="G41" s="2" t="s">
        <v>12</v>
      </c>
      <c r="H41" s="3">
        <f t="shared" si="1"/>
        <v>7.0710678118654766E-2</v>
      </c>
      <c r="I41" s="3">
        <f>F41/4</f>
        <v>2.2875000000000001</v>
      </c>
      <c r="J41" s="2" t="s">
        <v>12</v>
      </c>
      <c r="K41" s="3">
        <v>7.0709999999999995E-2</v>
      </c>
      <c r="O41" s="42" t="s">
        <v>42</v>
      </c>
      <c r="P41" s="42"/>
      <c r="Q41" s="42"/>
      <c r="R41" s="42"/>
    </row>
    <row r="42" spans="1:19" x14ac:dyDescent="0.25">
      <c r="A42" s="3" t="s">
        <v>30</v>
      </c>
      <c r="B42" s="3">
        <v>5</v>
      </c>
      <c r="C42" s="3">
        <v>19.2</v>
      </c>
      <c r="D42" s="2" t="s">
        <v>12</v>
      </c>
      <c r="E42" s="3">
        <v>0.05</v>
      </c>
      <c r="F42" s="3">
        <f>C42-C37</f>
        <v>11.049999999999999</v>
      </c>
      <c r="G42" s="2" t="s">
        <v>12</v>
      </c>
      <c r="H42" s="3">
        <f t="shared" si="1"/>
        <v>7.0710678118654766E-2</v>
      </c>
      <c r="I42" s="3">
        <f>F42/5</f>
        <v>2.21</v>
      </c>
      <c r="J42" s="2" t="s">
        <v>12</v>
      </c>
      <c r="K42" s="3">
        <v>7.0709999999999995E-2</v>
      </c>
      <c r="O42" s="47" t="s">
        <v>41</v>
      </c>
      <c r="P42" s="47"/>
      <c r="Q42" s="47">
        <f>ABS((I49-2.08)*100/2.08)</f>
        <v>4.1634325419891045</v>
      </c>
      <c r="R42" s="47"/>
    </row>
    <row r="43" spans="1:19" x14ac:dyDescent="0.25">
      <c r="A43" s="3" t="s">
        <v>31</v>
      </c>
      <c r="B43" s="3">
        <v>8</v>
      </c>
      <c r="C43" s="3">
        <v>25.1</v>
      </c>
      <c r="D43" s="2" t="s">
        <v>12</v>
      </c>
      <c r="E43" s="3">
        <v>0.05</v>
      </c>
      <c r="F43" s="3">
        <f>C43-C37</f>
        <v>16.950000000000003</v>
      </c>
      <c r="G43" s="2" t="s">
        <v>12</v>
      </c>
      <c r="H43" s="3">
        <f>SQRT((E43^2)+(E42^2))</f>
        <v>7.0710678118654766E-2</v>
      </c>
      <c r="I43" s="3">
        <f>F43/8</f>
        <v>2.1187500000000004</v>
      </c>
      <c r="J43" s="2" t="s">
        <v>12</v>
      </c>
      <c r="K43" s="3">
        <v>7.0709999999999995E-2</v>
      </c>
    </row>
    <row r="44" spans="1:19" x14ac:dyDescent="0.25">
      <c r="A44" s="3" t="s">
        <v>32</v>
      </c>
      <c r="B44" s="3">
        <v>11</v>
      </c>
      <c r="C44" s="3">
        <v>31.3</v>
      </c>
      <c r="D44" s="2" t="s">
        <v>12</v>
      </c>
      <c r="E44" s="3">
        <v>0.05</v>
      </c>
      <c r="F44" s="3">
        <f>C44-C37</f>
        <v>23.15</v>
      </c>
      <c r="G44" s="2" t="s">
        <v>12</v>
      </c>
      <c r="H44" s="3">
        <f t="shared" si="1"/>
        <v>7.0710678118654766E-2</v>
      </c>
      <c r="I44" s="3">
        <f>F44/11</f>
        <v>2.1045454545454545</v>
      </c>
      <c r="J44" s="2" t="s">
        <v>12</v>
      </c>
      <c r="K44" s="3">
        <v>7.0709999999999995E-2</v>
      </c>
    </row>
    <row r="45" spans="1:19" x14ac:dyDescent="0.25">
      <c r="A45" s="3" t="s">
        <v>33</v>
      </c>
      <c r="B45" s="3">
        <v>14</v>
      </c>
      <c r="C45" s="3">
        <v>37.35</v>
      </c>
      <c r="D45" s="2" t="s">
        <v>12</v>
      </c>
      <c r="E45" s="3">
        <v>0.05</v>
      </c>
      <c r="F45" s="3">
        <f>C45-C37</f>
        <v>29.200000000000003</v>
      </c>
      <c r="G45" s="2" t="s">
        <v>12</v>
      </c>
      <c r="H45" s="3">
        <f t="shared" si="1"/>
        <v>7.0710678118654766E-2</v>
      </c>
      <c r="I45" s="3">
        <f>F45/14</f>
        <v>2.0857142857142859</v>
      </c>
      <c r="J45" s="2" t="s">
        <v>12</v>
      </c>
      <c r="K45" s="3">
        <v>7.0709999999999995E-2</v>
      </c>
    </row>
    <row r="46" spans="1:19" x14ac:dyDescent="0.25">
      <c r="A46" s="3" t="s">
        <v>34</v>
      </c>
      <c r="B46" s="3">
        <v>17</v>
      </c>
      <c r="C46" s="3">
        <v>43.5</v>
      </c>
      <c r="D46" s="2" t="s">
        <v>12</v>
      </c>
      <c r="E46" s="3">
        <v>0.05</v>
      </c>
      <c r="F46" s="3">
        <f>C46-C37</f>
        <v>35.35</v>
      </c>
      <c r="G46" s="2" t="s">
        <v>12</v>
      </c>
      <c r="H46" s="3">
        <f t="shared" si="1"/>
        <v>7.0710678118654766E-2</v>
      </c>
      <c r="I46" s="3">
        <f>F46/17</f>
        <v>2.0794117647058825</v>
      </c>
      <c r="J46" s="2" t="s">
        <v>12</v>
      </c>
      <c r="K46" s="3">
        <v>7.0709999999999995E-2</v>
      </c>
    </row>
    <row r="47" spans="1:19" x14ac:dyDescent="0.25">
      <c r="A47" s="3" t="s">
        <v>35</v>
      </c>
      <c r="B47" s="3">
        <v>23</v>
      </c>
      <c r="C47" s="3">
        <v>55.8</v>
      </c>
      <c r="D47" s="2" t="s">
        <v>12</v>
      </c>
      <c r="E47" s="3">
        <v>0.05</v>
      </c>
      <c r="F47" s="3">
        <f>C47-C37</f>
        <v>47.65</v>
      </c>
      <c r="G47" s="2" t="s">
        <v>12</v>
      </c>
      <c r="H47" s="3">
        <f t="shared" si="1"/>
        <v>7.0710678118654766E-2</v>
      </c>
      <c r="I47" s="3">
        <f>F47/23</f>
        <v>2.0717391304347825</v>
      </c>
      <c r="J47" s="2" t="s">
        <v>12</v>
      </c>
      <c r="K47" s="3">
        <v>7.0709999999999995E-2</v>
      </c>
    </row>
    <row r="48" spans="1:19" ht="15.75" thickBot="1" x14ac:dyDescent="0.3">
      <c r="A48" s="8"/>
      <c r="J48" s="7"/>
      <c r="K48" s="7"/>
    </row>
    <row r="49" spans="1:11" x14ac:dyDescent="0.25">
      <c r="A49" s="46" t="s">
        <v>40</v>
      </c>
      <c r="B49" s="46"/>
      <c r="C49" s="46"/>
      <c r="D49" s="46"/>
      <c r="E49" s="46"/>
      <c r="F49" s="46"/>
      <c r="G49" s="46"/>
      <c r="H49" s="46"/>
      <c r="I49" s="23">
        <f>AVERAGE(I38:I47)</f>
        <v>2.1665993968733734</v>
      </c>
      <c r="J49" s="24" t="s">
        <v>12</v>
      </c>
      <c r="K49" s="23">
        <v>7.0709999999999995E-2</v>
      </c>
    </row>
    <row r="76" spans="1:19" ht="18.75" x14ac:dyDescent="0.3">
      <c r="A76" s="38" t="s">
        <v>44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</row>
    <row r="78" spans="1:19" x14ac:dyDescent="0.25">
      <c r="A78" s="54" t="s">
        <v>45</v>
      </c>
      <c r="B78" s="54"/>
      <c r="C78" s="54"/>
      <c r="D78" s="54"/>
    </row>
    <row r="79" spans="1:19" x14ac:dyDescent="0.25">
      <c r="A79" s="3" t="s">
        <v>46</v>
      </c>
      <c r="B79" s="3">
        <v>2.1665999999999999</v>
      </c>
      <c r="C79" s="2" t="s">
        <v>12</v>
      </c>
      <c r="D79" s="3">
        <v>7.0709999999999995E-2</v>
      </c>
      <c r="F79" s="42" t="s">
        <v>49</v>
      </c>
      <c r="G79" s="42"/>
      <c r="H79" s="42"/>
      <c r="I79" s="42"/>
    </row>
    <row r="80" spans="1:19" x14ac:dyDescent="0.25">
      <c r="A80" s="3" t="s">
        <v>47</v>
      </c>
      <c r="B80" s="3">
        <v>1.4249000000000001</v>
      </c>
      <c r="C80" s="2" t="s">
        <v>12</v>
      </c>
      <c r="D80" s="3">
        <v>0.1022</v>
      </c>
      <c r="F80" s="47" t="s">
        <v>41</v>
      </c>
      <c r="G80" s="47"/>
      <c r="H80" s="47">
        <f>ABS((B81-1.59)*100/1.59)</f>
        <v>4.3693235010202836</v>
      </c>
      <c r="I80" s="47"/>
    </row>
    <row r="81" spans="1:19" x14ac:dyDescent="0.25">
      <c r="A81" s="15" t="s">
        <v>48</v>
      </c>
      <c r="B81" s="15">
        <f>B79/B80</f>
        <v>1.5205277563337776</v>
      </c>
      <c r="C81" s="16" t="s">
        <v>12</v>
      </c>
      <c r="D81" s="15">
        <f>SQRT((B81^2)*((D79^2)/(B79^2))+((D80^2)/(B80^2)))</f>
        <v>8.7217969554167094E-2</v>
      </c>
    </row>
    <row r="84" spans="1:19" ht="18.75" x14ac:dyDescent="0.3">
      <c r="A84" s="38" t="s">
        <v>50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</row>
    <row r="86" spans="1:19" x14ac:dyDescent="0.25">
      <c r="A86" s="42" t="s">
        <v>52</v>
      </c>
      <c r="B86" s="42"/>
    </row>
    <row r="88" spans="1:19" x14ac:dyDescent="0.25">
      <c r="A88" s="15" t="s">
        <v>51</v>
      </c>
      <c r="B88" s="47" t="s">
        <v>66</v>
      </c>
      <c r="C88" s="47"/>
      <c r="D88" s="47"/>
      <c r="E88" s="47">
        <f>B47*I49/B29</f>
        <v>0.62124713888842253</v>
      </c>
      <c r="F88" s="47"/>
      <c r="G88" s="16" t="s">
        <v>12</v>
      </c>
      <c r="H88" s="15">
        <f>SQRT((E88^2)*(((K49^2)/(I49^2))+((D29^2)/(B29^2))))</f>
        <v>2.4448318892341413E-2</v>
      </c>
    </row>
    <row r="91" spans="1:19" ht="18.75" x14ac:dyDescent="0.3">
      <c r="A91" s="38" t="s">
        <v>53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</row>
    <row r="93" spans="1:19" x14ac:dyDescent="0.25">
      <c r="A93" s="3" t="s">
        <v>54</v>
      </c>
      <c r="B93" s="3">
        <v>25</v>
      </c>
      <c r="C93" s="2" t="s">
        <v>12</v>
      </c>
      <c r="D93" s="3">
        <v>0.2</v>
      </c>
    </row>
    <row r="94" spans="1:19" x14ac:dyDescent="0.25">
      <c r="A94" s="3" t="s">
        <v>55</v>
      </c>
      <c r="B94" s="3">
        <v>5</v>
      </c>
      <c r="C94" s="2" t="s">
        <v>12</v>
      </c>
      <c r="D94" s="3">
        <v>0.2</v>
      </c>
    </row>
    <row r="95" spans="1:19" x14ac:dyDescent="0.25">
      <c r="A95" s="3" t="s">
        <v>56</v>
      </c>
      <c r="B95" s="3">
        <f>3.14*((B93/2)^2)*B94</f>
        <v>2453.125</v>
      </c>
      <c r="C95" s="2" t="s">
        <v>12</v>
      </c>
      <c r="D95" s="3">
        <f>SQRT((B95^2)*((D93^2)/(B93^2))+((D94^2)/(B94^2)))</f>
        <v>19.625040764288876</v>
      </c>
    </row>
    <row r="97" spans="1:19" x14ac:dyDescent="0.25">
      <c r="A97" s="14" t="s">
        <v>57</v>
      </c>
      <c r="B97" s="47" t="s">
        <v>58</v>
      </c>
      <c r="C97" s="47"/>
      <c r="D97" s="47"/>
      <c r="E97" s="15">
        <f>B95*E88</f>
        <v>1523.9968875856616</v>
      </c>
      <c r="F97" s="16" t="s">
        <v>12</v>
      </c>
      <c r="G97" s="15">
        <f>SQRT((E97^2)*(((D95^2)/(B95^2))+((H88^2)/(E88^2))))</f>
        <v>61.201465539959159</v>
      </c>
    </row>
    <row r="99" spans="1:19" x14ac:dyDescent="0.25">
      <c r="A99" s="14" t="s">
        <v>59</v>
      </c>
      <c r="B99" s="47" t="s">
        <v>60</v>
      </c>
      <c r="C99" s="47"/>
      <c r="D99" s="47"/>
      <c r="E99" s="15">
        <f>INT(E97/I49)</f>
        <v>703</v>
      </c>
      <c r="F99" s="16" t="s">
        <v>12</v>
      </c>
      <c r="G99" s="15">
        <f>INT(SQRT((E99^2)*(((G97^2)/(E97^2))+((K49^2)/(I49^2)))))</f>
        <v>36</v>
      </c>
    </row>
    <row r="102" spans="1:19" ht="18.75" x14ac:dyDescent="0.3">
      <c r="A102" s="38" t="s">
        <v>61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</row>
    <row r="104" spans="1:19" x14ac:dyDescent="0.25">
      <c r="B104" s="48" t="s">
        <v>62</v>
      </c>
      <c r="C104" s="49"/>
      <c r="D104" s="50"/>
    </row>
    <row r="105" spans="1:19" x14ac:dyDescent="0.25">
      <c r="B105" s="30" t="s">
        <v>63</v>
      </c>
      <c r="C105" s="31" t="s">
        <v>64</v>
      </c>
      <c r="D105" s="32" t="s">
        <v>65</v>
      </c>
    </row>
    <row r="106" spans="1:19" x14ac:dyDescent="0.25">
      <c r="B106" s="33">
        <v>1</v>
      </c>
      <c r="C106" s="34">
        <v>0</v>
      </c>
      <c r="D106" s="35">
        <v>2012.1</v>
      </c>
    </row>
    <row r="107" spans="1:19" x14ac:dyDescent="0.25">
      <c r="B107" s="30">
        <v>2</v>
      </c>
      <c r="C107" s="31">
        <v>100</v>
      </c>
      <c r="D107" s="32">
        <v>2090.6</v>
      </c>
    </row>
    <row r="108" spans="1:19" x14ac:dyDescent="0.25">
      <c r="B108" s="33">
        <v>3</v>
      </c>
      <c r="C108" s="34">
        <v>200</v>
      </c>
      <c r="D108" s="35">
        <v>2139</v>
      </c>
    </row>
    <row r="109" spans="1:19" x14ac:dyDescent="0.25">
      <c r="B109" s="30">
        <v>4</v>
      </c>
      <c r="C109" s="31">
        <v>300</v>
      </c>
      <c r="D109" s="32">
        <v>1972</v>
      </c>
    </row>
    <row r="110" spans="1:19" x14ac:dyDescent="0.25">
      <c r="B110" s="33">
        <v>5</v>
      </c>
      <c r="C110" s="34">
        <v>400</v>
      </c>
      <c r="D110" s="35">
        <v>2086.1</v>
      </c>
    </row>
    <row r="111" spans="1:19" x14ac:dyDescent="0.25">
      <c r="B111" s="30">
        <v>6</v>
      </c>
      <c r="C111" s="31">
        <v>500</v>
      </c>
      <c r="D111" s="32">
        <v>2107</v>
      </c>
    </row>
    <row r="112" spans="1:19" x14ac:dyDescent="0.25">
      <c r="B112" s="33">
        <v>7</v>
      </c>
      <c r="C112" s="34">
        <v>600</v>
      </c>
      <c r="D112" s="35">
        <v>1892.9</v>
      </c>
    </row>
    <row r="113" spans="2:4" x14ac:dyDescent="0.25">
      <c r="B113" s="30">
        <v>8</v>
      </c>
      <c r="C113" s="31">
        <v>700</v>
      </c>
      <c r="D113" s="32">
        <v>1764.1</v>
      </c>
    </row>
    <row r="114" spans="2:4" x14ac:dyDescent="0.25">
      <c r="B114" s="33">
        <v>9</v>
      </c>
      <c r="C114" s="34">
        <v>800</v>
      </c>
      <c r="D114" s="35">
        <v>1785.1</v>
      </c>
    </row>
    <row r="115" spans="2:4" x14ac:dyDescent="0.25">
      <c r="B115" s="30">
        <v>10</v>
      </c>
      <c r="C115" s="31">
        <v>900</v>
      </c>
      <c r="D115" s="32">
        <v>1989.3</v>
      </c>
    </row>
    <row r="116" spans="2:4" x14ac:dyDescent="0.25">
      <c r="B116" s="33">
        <v>11</v>
      </c>
      <c r="C116" s="34">
        <v>1000</v>
      </c>
      <c r="D116" s="35">
        <v>1804.8</v>
      </c>
    </row>
    <row r="117" spans="2:4" x14ac:dyDescent="0.25">
      <c r="B117" s="30">
        <v>12</v>
      </c>
      <c r="C117" s="31">
        <v>1100</v>
      </c>
      <c r="D117" s="32">
        <v>1862.5</v>
      </c>
    </row>
    <row r="118" spans="2:4" x14ac:dyDescent="0.25">
      <c r="B118" s="33">
        <v>13</v>
      </c>
      <c r="C118" s="34">
        <v>1200</v>
      </c>
      <c r="D118" s="35">
        <v>1924.6</v>
      </c>
    </row>
    <row r="119" spans="2:4" x14ac:dyDescent="0.25">
      <c r="B119" s="30">
        <v>14</v>
      </c>
      <c r="C119" s="31">
        <v>1300</v>
      </c>
      <c r="D119" s="32">
        <v>2080.9</v>
      </c>
    </row>
    <row r="120" spans="2:4" x14ac:dyDescent="0.25">
      <c r="B120" s="33">
        <v>15</v>
      </c>
      <c r="C120" s="34">
        <v>1400</v>
      </c>
      <c r="D120" s="35">
        <v>1785.5</v>
      </c>
    </row>
    <row r="121" spans="2:4" x14ac:dyDescent="0.25">
      <c r="B121" s="30">
        <v>16</v>
      </c>
      <c r="C121" s="31">
        <v>1500</v>
      </c>
      <c r="D121" s="32">
        <v>1949</v>
      </c>
    </row>
    <row r="122" spans="2:4" x14ac:dyDescent="0.25">
      <c r="B122" s="33">
        <v>17</v>
      </c>
      <c r="C122" s="34">
        <v>1600</v>
      </c>
      <c r="D122" s="35">
        <v>1807.1</v>
      </c>
    </row>
    <row r="123" spans="2:4" x14ac:dyDescent="0.25">
      <c r="B123" s="30">
        <v>18</v>
      </c>
      <c r="C123" s="31">
        <v>1700</v>
      </c>
      <c r="D123" s="32">
        <v>1724.1</v>
      </c>
    </row>
    <row r="124" spans="2:4" x14ac:dyDescent="0.25">
      <c r="B124" s="33">
        <v>19</v>
      </c>
      <c r="C124" s="34">
        <v>1800</v>
      </c>
      <c r="D124" s="35">
        <v>1877.4</v>
      </c>
    </row>
    <row r="125" spans="2:4" x14ac:dyDescent="0.25">
      <c r="B125" s="30">
        <v>20</v>
      </c>
      <c r="C125" s="31">
        <v>1900</v>
      </c>
      <c r="D125" s="32">
        <v>1650.7</v>
      </c>
    </row>
    <row r="126" spans="2:4" x14ac:dyDescent="0.25">
      <c r="B126" s="33">
        <v>21</v>
      </c>
      <c r="C126" s="34">
        <v>2000</v>
      </c>
      <c r="D126" s="35">
        <v>1827.5</v>
      </c>
    </row>
    <row r="127" spans="2:4" x14ac:dyDescent="0.25">
      <c r="B127" s="30">
        <v>22</v>
      </c>
      <c r="C127" s="31">
        <v>2100</v>
      </c>
      <c r="D127" s="32">
        <v>1766.9</v>
      </c>
    </row>
    <row r="128" spans="2:4" x14ac:dyDescent="0.25">
      <c r="B128" s="33">
        <v>23</v>
      </c>
      <c r="C128" s="34">
        <v>2200</v>
      </c>
      <c r="D128" s="35">
        <v>1556.3</v>
      </c>
    </row>
    <row r="129" spans="2:13" x14ac:dyDescent="0.25">
      <c r="B129" s="30">
        <v>24</v>
      </c>
      <c r="C129" s="31">
        <v>2300</v>
      </c>
      <c r="D129" s="32">
        <v>1563</v>
      </c>
    </row>
    <row r="130" spans="2:13" x14ac:dyDescent="0.25">
      <c r="B130" s="33">
        <v>25</v>
      </c>
      <c r="C130" s="34">
        <v>2400</v>
      </c>
      <c r="D130" s="35">
        <v>1833.3</v>
      </c>
    </row>
    <row r="131" spans="2:13" x14ac:dyDescent="0.25">
      <c r="B131" s="30">
        <v>26</v>
      </c>
      <c r="C131" s="31">
        <v>2500</v>
      </c>
      <c r="D131" s="32">
        <v>1556.8</v>
      </c>
    </row>
    <row r="132" spans="2:13" x14ac:dyDescent="0.25">
      <c r="B132" s="33">
        <v>27</v>
      </c>
      <c r="C132" s="34">
        <v>2600</v>
      </c>
      <c r="D132" s="35">
        <v>1853.6</v>
      </c>
    </row>
    <row r="133" spans="2:13" x14ac:dyDescent="0.25">
      <c r="B133" s="30">
        <v>28</v>
      </c>
      <c r="C133" s="31">
        <v>2700</v>
      </c>
      <c r="D133" s="32">
        <v>1559.2</v>
      </c>
    </row>
    <row r="134" spans="2:13" x14ac:dyDescent="0.25">
      <c r="B134" s="33">
        <v>29</v>
      </c>
      <c r="C134" s="34">
        <v>2800</v>
      </c>
      <c r="D134" s="35">
        <v>1485.7</v>
      </c>
      <c r="F134" s="55" t="s">
        <v>70</v>
      </c>
      <c r="G134" s="55"/>
      <c r="H134" s="55" t="s">
        <v>67</v>
      </c>
      <c r="I134" s="55"/>
    </row>
    <row r="135" spans="2:13" x14ac:dyDescent="0.25">
      <c r="B135" s="30">
        <v>30</v>
      </c>
      <c r="C135" s="31">
        <v>2900</v>
      </c>
      <c r="D135" s="32">
        <v>1639</v>
      </c>
    </row>
    <row r="136" spans="2:13" x14ac:dyDescent="0.25">
      <c r="B136" s="33">
        <v>31</v>
      </c>
      <c r="C136" s="34">
        <v>3000</v>
      </c>
      <c r="D136" s="35">
        <v>1423.3</v>
      </c>
    </row>
    <row r="137" spans="2:13" x14ac:dyDescent="0.25">
      <c r="B137" s="30">
        <v>32</v>
      </c>
      <c r="C137" s="31">
        <v>3100</v>
      </c>
      <c r="D137" s="32">
        <v>1349.5</v>
      </c>
      <c r="H137" s="55" t="s">
        <v>68</v>
      </c>
      <c r="I137" s="55"/>
      <c r="J137">
        <v>1523.9970000000001</v>
      </c>
      <c r="K137" s="10" t="s">
        <v>12</v>
      </c>
      <c r="L137">
        <v>61.201500000000003</v>
      </c>
      <c r="M137" t="s">
        <v>36</v>
      </c>
    </row>
    <row r="138" spans="2:13" x14ac:dyDescent="0.25">
      <c r="B138" s="33">
        <v>33</v>
      </c>
      <c r="C138" s="34">
        <v>3200</v>
      </c>
      <c r="D138" s="35">
        <v>1706.8</v>
      </c>
    </row>
    <row r="139" spans="2:13" x14ac:dyDescent="0.25">
      <c r="B139" s="30">
        <v>34</v>
      </c>
      <c r="C139" s="31">
        <v>3300</v>
      </c>
      <c r="D139" s="32">
        <v>1494.2</v>
      </c>
      <c r="F139" s="46" t="s">
        <v>72</v>
      </c>
      <c r="G139" s="46"/>
      <c r="H139" s="36" t="s">
        <v>73</v>
      </c>
      <c r="I139" s="36">
        <f>(-0.1824*E97)+2089.4</f>
        <v>1811.4229677043754</v>
      </c>
      <c r="J139" s="37" t="s">
        <v>12</v>
      </c>
      <c r="K139" s="36">
        <f>SQRT((I139^2)*((G97^2)/(E97^2)))</f>
        <v>72.744072667942717</v>
      </c>
      <c r="L139" s="36" t="s">
        <v>69</v>
      </c>
    </row>
    <row r="140" spans="2:13" x14ac:dyDescent="0.25">
      <c r="B140" s="33">
        <v>35</v>
      </c>
      <c r="C140" s="34">
        <v>3400</v>
      </c>
      <c r="D140" s="35">
        <v>1630.5</v>
      </c>
      <c r="F140" s="46" t="s">
        <v>80</v>
      </c>
      <c r="G140" s="46"/>
      <c r="H140" s="36" t="s">
        <v>73</v>
      </c>
      <c r="I140" s="36">
        <f>I139/60</f>
        <v>30.190382795072924</v>
      </c>
      <c r="J140" s="37" t="s">
        <v>12</v>
      </c>
      <c r="K140" s="36">
        <f>K139/60</f>
        <v>1.2124012111323785</v>
      </c>
      <c r="L140" s="36" t="s">
        <v>79</v>
      </c>
    </row>
    <row r="141" spans="2:13" x14ac:dyDescent="0.25">
      <c r="B141" s="30">
        <v>36</v>
      </c>
      <c r="C141" s="31">
        <v>3500</v>
      </c>
      <c r="D141" s="32">
        <v>1308.0999999999999</v>
      </c>
    </row>
    <row r="142" spans="2:13" x14ac:dyDescent="0.25">
      <c r="B142" s="33">
        <v>37</v>
      </c>
      <c r="C142" s="34">
        <v>3600</v>
      </c>
      <c r="D142" s="35">
        <v>1257.3</v>
      </c>
    </row>
    <row r="143" spans="2:13" x14ac:dyDescent="0.25">
      <c r="B143" s="30">
        <v>38</v>
      </c>
      <c r="C143" s="31">
        <v>3700</v>
      </c>
      <c r="D143" s="32">
        <v>1554.7</v>
      </c>
    </row>
    <row r="144" spans="2:13" x14ac:dyDescent="0.25">
      <c r="B144" s="33">
        <v>39</v>
      </c>
      <c r="C144" s="34">
        <v>3800</v>
      </c>
      <c r="D144" s="35">
        <v>1378.6</v>
      </c>
    </row>
    <row r="145" spans="1:19" x14ac:dyDescent="0.25">
      <c r="B145" s="30">
        <v>40</v>
      </c>
      <c r="C145" s="31">
        <v>3900</v>
      </c>
      <c r="D145" s="32">
        <v>1308.7</v>
      </c>
    </row>
    <row r="146" spans="1:19" x14ac:dyDescent="0.25">
      <c r="B146" s="33">
        <v>41</v>
      </c>
      <c r="C146" s="34">
        <v>4000</v>
      </c>
      <c r="D146" s="35">
        <v>1352.3</v>
      </c>
    </row>
    <row r="148" spans="1:19" ht="18.75" x14ac:dyDescent="0.3">
      <c r="A148" s="38" t="s">
        <v>71</v>
      </c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</row>
    <row r="151" spans="1:19" x14ac:dyDescent="0.25">
      <c r="B151" s="25" t="s">
        <v>74</v>
      </c>
      <c r="C151" s="25">
        <f>8*60</f>
        <v>480</v>
      </c>
      <c r="D151" s="25" t="s">
        <v>75</v>
      </c>
      <c r="E151" s="46" t="s">
        <v>82</v>
      </c>
      <c r="F151" s="46"/>
      <c r="G151" s="25">
        <f>C151*D152/60</f>
        <v>32</v>
      </c>
    </row>
    <row r="152" spans="1:19" x14ac:dyDescent="0.25">
      <c r="B152" s="46" t="s">
        <v>81</v>
      </c>
      <c r="C152" s="46"/>
      <c r="D152" s="25">
        <f>INT(I140/7)</f>
        <v>4</v>
      </c>
      <c r="E152" s="25"/>
      <c r="F152" s="25"/>
      <c r="G152" s="25"/>
    </row>
    <row r="153" spans="1:19" x14ac:dyDescent="0.25">
      <c r="B153" s="46" t="s">
        <v>76</v>
      </c>
      <c r="C153" s="46"/>
      <c r="D153" s="46"/>
      <c r="E153" s="25">
        <f>G151*E99</f>
        <v>22496</v>
      </c>
      <c r="F153" s="25"/>
      <c r="G153" s="25"/>
    </row>
    <row r="154" spans="1:19" x14ac:dyDescent="0.25">
      <c r="B154" s="25"/>
      <c r="C154" s="25"/>
      <c r="D154" s="25"/>
      <c r="E154" s="25"/>
      <c r="F154" s="25"/>
      <c r="G154" s="25"/>
    </row>
    <row r="155" spans="1:19" x14ac:dyDescent="0.25">
      <c r="B155" s="56" t="s">
        <v>77</v>
      </c>
      <c r="C155" s="56"/>
      <c r="D155" s="56"/>
      <c r="E155" s="57">
        <f>INT(250000/E153)</f>
        <v>11</v>
      </c>
      <c r="F155" s="57" t="s">
        <v>78</v>
      </c>
      <c r="G155" s="25"/>
    </row>
  </sheetData>
  <mergeCells count="47">
    <mergeCell ref="B153:D153"/>
    <mergeCell ref="B155:D155"/>
    <mergeCell ref="H134:I134"/>
    <mergeCell ref="H137:I137"/>
    <mergeCell ref="F134:G134"/>
    <mergeCell ref="A148:S148"/>
    <mergeCell ref="F139:G139"/>
    <mergeCell ref="B152:C152"/>
    <mergeCell ref="F140:G140"/>
    <mergeCell ref="E151:F151"/>
    <mergeCell ref="B99:D99"/>
    <mergeCell ref="A102:S102"/>
    <mergeCell ref="B104:D104"/>
    <mergeCell ref="H2:S2"/>
    <mergeCell ref="A2:G2"/>
    <mergeCell ref="B88:D88"/>
    <mergeCell ref="E88:F88"/>
    <mergeCell ref="A86:B86"/>
    <mergeCell ref="A91:S91"/>
    <mergeCell ref="B97:D97"/>
    <mergeCell ref="A76:S76"/>
    <mergeCell ref="A78:D78"/>
    <mergeCell ref="F79:I79"/>
    <mergeCell ref="F80:G80"/>
    <mergeCell ref="H80:I80"/>
    <mergeCell ref="A84:S84"/>
    <mergeCell ref="O41:R41"/>
    <mergeCell ref="A49:H49"/>
    <mergeCell ref="A33:K33"/>
    <mergeCell ref="O42:P42"/>
    <mergeCell ref="Q42:R42"/>
    <mergeCell ref="A19:S19"/>
    <mergeCell ref="A21:D21"/>
    <mergeCell ref="A32:S32"/>
    <mergeCell ref="F35:H35"/>
    <mergeCell ref="C35:E35"/>
    <mergeCell ref="I35:K35"/>
    <mergeCell ref="A4:S4"/>
    <mergeCell ref="Q8:S8"/>
    <mergeCell ref="A7:S7"/>
    <mergeCell ref="A5:S5"/>
    <mergeCell ref="A1:S1"/>
    <mergeCell ref="B8:D8"/>
    <mergeCell ref="E8:G8"/>
    <mergeCell ref="H8:J8"/>
    <mergeCell ref="K8:M8"/>
    <mergeCell ref="N8:P8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D A A B Q S w M E F A A C A A g A F R Z H V i B t o 8 + l A A A A 9 g A A A B I A H A B D b 2 5 m a W c v U G F j a 2 F n Z S 5 4 b W w g o h g A K K A U A A A A A A A A A A A A A A A A A A A A A A A A A A A A h Y 9 L C s I w G I S v U r J v X k W Q 8 j d d u B K s C I K 4 D T G 2 w T a V J j W 9 m w u P 5 B W s a N W d y 5 n 5 B m b u 1 x v k Q 1 N H F 9 0 5 0 9 o M M U x R p K 1 q D 8 a W G e r 9 M Z 6 j X M B G q p M s d T T C 1 q W D M x m q v D + n h I Q Q c E h w 2 5 W E U 8 r I v l h t V a U b G R v r v L R K o 0 / r 8 L + F B O x e Y w T H j H E 8 4 w m m Q C Y T C m O / A B / 3 P t M f E x Z 9 7 f t O C 2 3 j 5 R r I J I G 8 P 4 g H U E s D B B Q A A g A I A B U W R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F k d W U C 7 5 B e 0 A A A B p A Q A A E w A c A E Z v c m 1 1 b G F z L 1 N l Y 3 R p b 2 4 x L m 0 g o h g A K K A U A A A A A A A A A A A A A A A A A A A A A A A A A A A A d Y / B S s R A D I b P F v o O w 3 h p Y S i 0 i x e X H q R V b 4 K 0 n q y H s Y 2 7 g 9 P M M s n o L s u + u y N F R d B c k n w J f / 4 Q j G w c i m 7 J 5 T p N 0 o S 2 2 s M k J u 8 Q Z k 0 k a m G B 0 0 T E 6 F z w I 0 T S 0 F v R u j H M g J z d G A t F 4 5 B j Q 5 l s L o c H A k / D F b 4 a F r d h x 3 p o 3 T t a p y c a v o U L 3 r P M 1 W M L 1 s y G w d f y T C r R O B t m p H q l x D W O b j K 4 q c v q o l L i P j i G j g 8 W 6 p + y u I t y T 7 l a D J 7 L Z q t x E / 3 3 h x 3 I 6 L T X z 3 G p 9 x r p x f l 5 U f 8 c U r Z 8 o 4 5 H u d A y X u c 4 E Q x 7 P i n x x a t / + O o X P + V p Y v B P G + s P U E s B A i 0 A F A A C A A g A F R Z H V i B t o 8 + l A A A A 9 g A A A B I A A A A A A A A A A A A A A A A A A A A A A E N v b m Z p Z y 9 Q Y W N r Y W d l L n h t b F B L A Q I t A B Q A A g A I A B U W R 1 Y P y u m r p A A A A O k A A A A T A A A A A A A A A A A A A A A A A P E A A A B b Q 2 9 u d G V u d F 9 U e X B l c 1 0 u e G 1 s U E s B A i 0 A F A A C A A g A F R Z H V l A u + Q X t A A A A a Q E A A B M A A A A A A A A A A A A A A A A A 4 g E A A E Z v c m 1 1 b G F z L 1 N l Y 3 R p b 2 4 x L m 1 Q S w U G A A A A A A M A A w D C A A A A H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g A A A A A A A C e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b 2 5 l b W F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3 V D A 3 O j Q 4 O j E 4 L j M 1 O D M z M z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y b 2 5 l b W F z c y 9 B d X R v U m V t b 3 Z l Z E N v b H V t b n M x L n t D b 2 x 1 b W 4 x L D B 9 J n F 1 b 3 Q 7 L C Z x d W 9 0 O 1 N l Y 3 R p b 2 4 x L 2 R y b 2 5 l b W F z c y 9 B d X R v U m V t b 3 Z l Z E N v b H V t b n M x L n t D b 2 x 1 b W 4 y L D F 9 J n F 1 b 3 Q 7 L C Z x d W 9 0 O 1 N l Y 3 R p b 2 4 x L 2 R y b 2 5 l b W F z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y b 2 5 l b W F z c y 9 B d X R v U m V t b 3 Z l Z E N v b H V t b n M x L n t D b 2 x 1 b W 4 x L D B 9 J n F 1 b 3 Q 7 L C Z x d W 9 0 O 1 N l Y 3 R p b 2 4 x L 2 R y b 2 5 l b W F z c y 9 B d X R v U m V t b 3 Z l Z E N v b H V t b n M x L n t D b 2 x 1 b W 4 y L D F 9 J n F 1 b 3 Q 7 L C Z x d W 9 0 O 1 N l Y 3 R p b 2 4 x L 2 R y b 2 5 l b W F z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c m 9 u Z W 1 h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v b m V t Y X N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C c 2 c h / l K 1 M q j 5 d 0 n m N b b I A A A A A A g A A A A A A E G Y A A A A B A A A g A A A A N V y c I T / C u f U k z 6 p 0 m u 1 A m H o K g 1 E w 1 P G 2 E 8 6 e H R Y L j l 0 A A A A A D o A A A A A C A A A g A A A A u g 8 Z + Q c R C G E w N B H o 7 H G O b V x I L J V X k v 5 p h O 9 7 6 Y o P w P 9 Q A A A A X o 0 B B x T G B 0 5 W 9 3 v e H N p + D + H a O B 8 s D i x z + + Y + / e Q I O F v / C + n S j g h s x M w e P z 4 v i k v r c 0 I i x K l e e T L R N / t n O 7 T 8 A I t y r 7 x y E s D 4 G d q + 9 F b Z c D J A A A A A y S 3 I l 7 K k 2 a H s 1 h S P h T y 1 q J L W O X Y X P k A a d 5 l n A Z T U I k v x X H z A 8 + Q 5 v 4 p T w O y + 5 r 7 t w 5 C C P 5 m E j w Q a X M f E A L X d U A = = < / D a t a M a s h u p > 
</file>

<file path=customXml/itemProps1.xml><?xml version="1.0" encoding="utf-8"?>
<ds:datastoreItem xmlns:ds="http://schemas.openxmlformats.org/officeDocument/2006/customXml" ds:itemID="{ADC8A911-F40C-4B90-859A-A33113DED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Gupta</dc:creator>
  <cp:lastModifiedBy>Ankit Gupta</cp:lastModifiedBy>
  <dcterms:created xsi:type="dcterms:W3CDTF">2023-02-07T04:36:03Z</dcterms:created>
  <dcterms:modified xsi:type="dcterms:W3CDTF">2023-02-07T23:40:13Z</dcterms:modified>
</cp:coreProperties>
</file>