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-ADMIN\Desktop\E D U C A T I O N\cc_cal\excel\"/>
    </mc:Choice>
  </mc:AlternateContent>
  <bookViews>
    <workbookView xWindow="240" yWindow="105" windowWidth="14805" windowHeight="8010" tabRatio="715"/>
  </bookViews>
  <sheets>
    <sheet name="Calc. Sheet" sheetId="15" r:id="rId1"/>
    <sheet name="BGC" sheetId="19" state="veryHidden" r:id="rId2"/>
    <sheet name="#ATT" sheetId="16" state="veryHidden" r:id="rId3"/>
  </sheets>
  <definedNames>
    <definedName name="_xlnm.Print_Area" localSheetId="0">'Calc. Sheet'!$B$1:$AL$196</definedName>
    <definedName name="_xlnm.Print_Titles" localSheetId="0">'Calc. Sheet'!$1:$3</definedName>
  </definedNames>
  <calcPr calcId="152511"/>
</workbook>
</file>

<file path=xl/calcChain.xml><?xml version="1.0" encoding="utf-8"?>
<calcChain xmlns="http://schemas.openxmlformats.org/spreadsheetml/2006/main">
  <c r="P38" i="15" l="1"/>
  <c r="P114" i="15" l="1"/>
  <c r="L118" i="15" l="1"/>
  <c r="L114" i="15"/>
  <c r="L125" i="15" l="1"/>
  <c r="L51" i="15"/>
  <c r="L53" i="15"/>
  <c r="L47" i="15"/>
  <c r="L167" i="15" s="1"/>
  <c r="L78" i="15"/>
  <c r="L81" i="15"/>
  <c r="L69" i="15"/>
  <c r="L68" i="15"/>
  <c r="L46" i="15"/>
  <c r="AA24" i="15"/>
  <c r="AG24" i="15"/>
  <c r="N34" i="15"/>
  <c r="D127" i="15" l="1"/>
  <c r="L58" i="15"/>
  <c r="L63" i="15" s="1"/>
  <c r="L57" i="15"/>
  <c r="P49" i="15"/>
  <c r="L49" i="15"/>
  <c r="P69" i="15"/>
  <c r="L71" i="15" s="1"/>
  <c r="L55" i="15"/>
  <c r="P89" i="15" l="1"/>
  <c r="P93" i="15" s="1"/>
  <c r="P90" i="15"/>
  <c r="P94" i="15" s="1"/>
  <c r="L89" i="15"/>
  <c r="L93" i="15" s="1"/>
  <c r="L90" i="15"/>
  <c r="L94" i="15" s="1"/>
  <c r="L110" i="15"/>
  <c r="L111" i="15" s="1"/>
  <c r="L73" i="15"/>
  <c r="G8" i="19"/>
  <c r="L119" i="15"/>
  <c r="P119" i="15"/>
  <c r="L102" i="15"/>
  <c r="L59" i="15"/>
  <c r="L61" i="15"/>
  <c r="L65" i="15" s="1"/>
  <c r="L106" i="15" s="1"/>
  <c r="P68" i="15"/>
  <c r="L72" i="15" s="1"/>
  <c r="L153" i="15" l="1"/>
  <c r="L191" i="15"/>
  <c r="P191" i="15"/>
  <c r="L147" i="15"/>
  <c r="L156" i="15" s="1"/>
  <c r="P147" i="15"/>
  <c r="P156" i="15" s="1"/>
  <c r="P157" i="15" s="1"/>
  <c r="P160" i="15" s="1"/>
  <c r="P111" i="15"/>
  <c r="L120" i="15"/>
  <c r="L174" i="15" s="1"/>
  <c r="P120" i="15"/>
  <c r="P174" i="15" s="1"/>
  <c r="P179" i="15" s="1"/>
  <c r="P181" i="15" s="1"/>
  <c r="G7" i="19"/>
  <c r="P107" i="15"/>
  <c r="L107" i="15"/>
  <c r="P103" i="15"/>
  <c r="L103" i="15"/>
  <c r="L70" i="15"/>
  <c r="P167" i="15"/>
  <c r="L169" i="15" s="1"/>
  <c r="L179" i="15" l="1"/>
  <c r="L187" i="15"/>
  <c r="L157" i="15"/>
  <c r="L160" i="15" s="1"/>
  <c r="L133" i="15"/>
  <c r="L139" i="15" s="1"/>
  <c r="L140" i="15" s="1"/>
  <c r="L181" i="15" l="1"/>
  <c r="L192" i="15" s="1"/>
  <c r="D194" i="15" s="1"/>
  <c r="D142" i="15"/>
  <c r="D135" i="15"/>
  <c r="L184" i="15" l="1"/>
  <c r="L98" i="15"/>
  <c r="P99" i="15" l="1"/>
  <c r="L99" i="15"/>
</calcChain>
</file>

<file path=xl/sharedStrings.xml><?xml version="1.0" encoding="utf-8"?>
<sst xmlns="http://schemas.openxmlformats.org/spreadsheetml/2006/main" count="530" uniqueCount="353">
  <si>
    <t>R</t>
  </si>
  <si>
    <t>2.1.1</t>
  </si>
  <si>
    <t>2.1.2</t>
  </si>
  <si>
    <t>1.3.1</t>
  </si>
  <si>
    <t>1.3.2</t>
  </si>
  <si>
    <t>1.4.1</t>
  </si>
  <si>
    <t>1.3.3</t>
  </si>
  <si>
    <t>1.3.4</t>
  </si>
  <si>
    <t>2.3.1.2</t>
  </si>
  <si>
    <t>2.3.1.1</t>
  </si>
  <si>
    <t>2.3.1</t>
  </si>
  <si>
    <t>2.2.1</t>
  </si>
  <si>
    <t>Compressor Type</t>
  </si>
  <si>
    <t>2.3.2</t>
  </si>
  <si>
    <t>2.3.3</t>
  </si>
  <si>
    <t>Gas Composition</t>
  </si>
  <si>
    <t>Flow Rate</t>
  </si>
  <si>
    <t>Centrifugal</t>
  </si>
  <si>
    <t>2.2.2</t>
  </si>
  <si>
    <t>2.3.2.1</t>
  </si>
  <si>
    <t>2.3.2.2</t>
  </si>
  <si>
    <t>1.3.5</t>
  </si>
  <si>
    <t>1.3.6</t>
  </si>
  <si>
    <t>1.4.2</t>
  </si>
  <si>
    <t>1.4.3</t>
  </si>
  <si>
    <t>REMARKS</t>
  </si>
  <si>
    <t>2.3.4</t>
  </si>
  <si>
    <t>2.5.1</t>
  </si>
  <si>
    <t>2.5.2</t>
  </si>
  <si>
    <t>2.5.3</t>
  </si>
  <si>
    <t>Gas (Service)</t>
  </si>
  <si>
    <r>
      <rPr>
        <b/>
        <sz val="10"/>
        <color theme="1"/>
        <rFont val="Verdana"/>
        <family val="2"/>
      </rPr>
      <t xml:space="preserve">W </t>
    </r>
    <r>
      <rPr>
        <vertAlign val="subscript"/>
        <sz val="10"/>
        <color theme="1"/>
        <rFont val="Verdana"/>
        <family val="2"/>
      </rPr>
      <t>(Weight Flow)</t>
    </r>
  </si>
  <si>
    <r>
      <rPr>
        <b/>
        <sz val="10"/>
        <color theme="1"/>
        <rFont val="Verdana"/>
        <family val="2"/>
      </rPr>
      <t>MW</t>
    </r>
    <r>
      <rPr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(Molecular Weight)</t>
    </r>
  </si>
  <si>
    <t>SCFM | SCMH</t>
  </si>
  <si>
    <r>
      <rPr>
        <b/>
        <sz val="10"/>
        <color theme="1"/>
        <rFont val="Verdana"/>
        <family val="2"/>
      </rPr>
      <t>VF</t>
    </r>
    <r>
      <rPr>
        <b/>
        <vertAlign val="subscript"/>
        <sz val="10"/>
        <color theme="1"/>
        <rFont val="Verdana"/>
        <family val="2"/>
      </rPr>
      <t>STD</t>
    </r>
    <r>
      <rPr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(Standard Volume Flow)</t>
    </r>
  </si>
  <si>
    <r>
      <rPr>
        <b/>
        <sz val="10"/>
        <color theme="1"/>
        <rFont val="Verdana"/>
        <family val="2"/>
      </rPr>
      <t>Mol</t>
    </r>
    <r>
      <rPr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(Mole Flow Rate)</t>
    </r>
  </si>
  <si>
    <r>
      <rPr>
        <b/>
        <sz val="10"/>
        <color theme="1"/>
        <rFont val="Verdana"/>
        <family val="2"/>
      </rPr>
      <t>P</t>
    </r>
    <r>
      <rPr>
        <b/>
        <vertAlign val="subscript"/>
        <sz val="10"/>
        <color theme="1"/>
        <rFont val="Verdana"/>
        <family val="2"/>
      </rPr>
      <t>1</t>
    </r>
    <r>
      <rPr>
        <vertAlign val="subscript"/>
        <sz val="10"/>
        <color theme="1"/>
        <rFont val="Verdana"/>
        <family val="2"/>
      </rPr>
      <t xml:space="preserve"> (Inlet Pressure)</t>
    </r>
  </si>
  <si>
    <r>
      <rPr>
        <b/>
        <sz val="10"/>
        <color theme="1"/>
        <rFont val="Verdana"/>
        <family val="2"/>
      </rPr>
      <t>T</t>
    </r>
    <r>
      <rPr>
        <b/>
        <vertAlign val="subscript"/>
        <sz val="10"/>
        <color theme="1"/>
        <rFont val="Verdana"/>
        <family val="2"/>
      </rPr>
      <t>1</t>
    </r>
    <r>
      <rPr>
        <vertAlign val="subscript"/>
        <sz val="10"/>
        <color theme="1"/>
        <rFont val="Verdana"/>
        <family val="2"/>
      </rPr>
      <t xml:space="preserve"> (Inlet Temperature)</t>
    </r>
  </si>
  <si>
    <r>
      <rPr>
        <b/>
        <sz val="10"/>
        <color theme="1"/>
        <rFont val="Verdana"/>
        <family val="2"/>
      </rPr>
      <t>P</t>
    </r>
    <r>
      <rPr>
        <b/>
        <vertAlign val="subscript"/>
        <sz val="10"/>
        <color theme="1"/>
        <rFont val="Verdana"/>
        <family val="2"/>
      </rPr>
      <t>2</t>
    </r>
    <r>
      <rPr>
        <vertAlign val="subscript"/>
        <sz val="10"/>
        <color theme="1"/>
        <rFont val="Verdana"/>
        <family val="2"/>
      </rPr>
      <t xml:space="preserve"> (Outlet Pressure)</t>
    </r>
  </si>
  <si>
    <r>
      <t>V</t>
    </r>
    <r>
      <rPr>
        <b/>
        <vertAlign val="subscript"/>
        <sz val="10"/>
        <color theme="1"/>
        <rFont val="Verdana"/>
        <family val="2"/>
      </rPr>
      <t>1</t>
    </r>
  </si>
  <si>
    <t>INPUT DATA</t>
  </si>
  <si>
    <t>OUTPUT DATA</t>
  </si>
  <si>
    <r>
      <t>V</t>
    </r>
    <r>
      <rPr>
        <b/>
        <vertAlign val="subscript"/>
        <sz val="10"/>
        <color theme="1"/>
        <rFont val="Verdana"/>
        <family val="2"/>
      </rPr>
      <t>2</t>
    </r>
  </si>
  <si>
    <r>
      <rPr>
        <vertAlign val="superscript"/>
        <sz val="8"/>
        <color theme="1"/>
        <rFont val="Verdana"/>
        <family val="2"/>
      </rPr>
      <t>o</t>
    </r>
    <r>
      <rPr>
        <sz val="8"/>
        <color theme="1"/>
        <rFont val="Verdana"/>
        <family val="2"/>
      </rPr>
      <t xml:space="preserve">R | </t>
    </r>
    <r>
      <rPr>
        <vertAlign val="superscript"/>
        <sz val="8"/>
        <color theme="1"/>
        <rFont val="Verdana"/>
        <family val="2"/>
      </rPr>
      <t>o</t>
    </r>
    <r>
      <rPr>
        <sz val="8"/>
        <color theme="1"/>
        <rFont val="Verdana"/>
        <family val="2"/>
      </rPr>
      <t>K</t>
    </r>
  </si>
  <si>
    <t>lb/min | Kg/s</t>
  </si>
  <si>
    <t>psia | bara</t>
  </si>
  <si>
    <r>
      <t>Q</t>
    </r>
    <r>
      <rPr>
        <b/>
        <vertAlign val="subscript"/>
        <sz val="10"/>
        <color theme="1"/>
        <rFont val="Verdana"/>
        <family val="2"/>
      </rPr>
      <t>1</t>
    </r>
  </si>
  <si>
    <r>
      <t>Q</t>
    </r>
    <r>
      <rPr>
        <b/>
        <vertAlign val="subscript"/>
        <sz val="10"/>
        <color theme="1"/>
        <rFont val="Verdana"/>
        <family val="2"/>
      </rPr>
      <t>2</t>
    </r>
  </si>
  <si>
    <r>
      <t>ft</t>
    </r>
    <r>
      <rPr>
        <vertAlign val="superscript"/>
        <sz val="8"/>
        <color theme="1"/>
        <rFont val="Verdana"/>
        <family val="2"/>
      </rPr>
      <t>3</t>
    </r>
    <r>
      <rPr>
        <sz val="8"/>
        <color theme="1"/>
        <rFont val="Verdana"/>
        <family val="2"/>
      </rPr>
      <t>/min | m</t>
    </r>
    <r>
      <rPr>
        <vertAlign val="superscript"/>
        <sz val="8"/>
        <color theme="1"/>
        <rFont val="Verdana"/>
        <family val="2"/>
      </rPr>
      <t>3</t>
    </r>
    <r>
      <rPr>
        <sz val="8"/>
        <color theme="1"/>
        <rFont val="Verdana"/>
        <family val="2"/>
      </rPr>
      <t>/hr</t>
    </r>
  </si>
  <si>
    <t>-&gt;</t>
  </si>
  <si>
    <t>Gas</t>
  </si>
  <si>
    <t>MW</t>
  </si>
  <si>
    <t>Mol%</t>
  </si>
  <si>
    <t>1.3.7</t>
  </si>
  <si>
    <t>1.3.8</t>
  </si>
  <si>
    <t>1.3.9</t>
  </si>
  <si>
    <t>1.3.10</t>
  </si>
  <si>
    <t>1.3.11</t>
  </si>
  <si>
    <t>1.3.12</t>
  </si>
  <si>
    <t>1.3.13</t>
  </si>
  <si>
    <t>1.3.14</t>
  </si>
  <si>
    <t>1.3.15</t>
  </si>
  <si>
    <t>1.3.16</t>
  </si>
  <si>
    <t>1.3.17</t>
  </si>
  <si>
    <t>1.3.18</t>
  </si>
  <si>
    <t>1.3.19</t>
  </si>
  <si>
    <t>1.3.20</t>
  </si>
  <si>
    <t>OXYGEN</t>
  </si>
  <si>
    <t>NITROGEN</t>
  </si>
  <si>
    <t>WATER VAPOR</t>
  </si>
  <si>
    <t>CARBON MONOXIDE</t>
  </si>
  <si>
    <t>CARBON DIOXIDE</t>
  </si>
  <si>
    <t>HYDROGEN SULPHIDE</t>
  </si>
  <si>
    <t>HYDROGEN</t>
  </si>
  <si>
    <t>METHANE</t>
  </si>
  <si>
    <t>ETHYLENE</t>
  </si>
  <si>
    <t>ETHANE</t>
  </si>
  <si>
    <t>PROPYLENE</t>
  </si>
  <si>
    <t>PROPANE</t>
  </si>
  <si>
    <t>I-BUTANE</t>
  </si>
  <si>
    <t>n-BUTANE</t>
  </si>
  <si>
    <t>I-PENTANE</t>
  </si>
  <si>
    <t>n-PENTANE</t>
  </si>
  <si>
    <t>O2</t>
  </si>
  <si>
    <t>N2</t>
  </si>
  <si>
    <t>H2O</t>
  </si>
  <si>
    <t>CO</t>
  </si>
  <si>
    <t>CO2</t>
  </si>
  <si>
    <t>H2S</t>
  </si>
  <si>
    <t>H2</t>
  </si>
  <si>
    <t>CH4</t>
  </si>
  <si>
    <t>C2H4</t>
  </si>
  <si>
    <t>C2H6</t>
  </si>
  <si>
    <t>C3H6</t>
  </si>
  <si>
    <t>C3H8</t>
  </si>
  <si>
    <t>C4H10</t>
  </si>
  <si>
    <t>C5H12</t>
  </si>
  <si>
    <t>-</t>
  </si>
  <si>
    <r>
      <t>C</t>
    </r>
    <r>
      <rPr>
        <b/>
        <vertAlign val="subscript"/>
        <sz val="10"/>
        <color theme="1"/>
        <rFont val="Verdana"/>
        <family val="2"/>
      </rPr>
      <t>p-1 (</t>
    </r>
    <r>
      <rPr>
        <vertAlign val="subscript"/>
        <sz val="10"/>
        <color theme="1"/>
        <rFont val="Verdana"/>
        <family val="2"/>
      </rPr>
      <t>Calc.)</t>
    </r>
  </si>
  <si>
    <r>
      <t>C</t>
    </r>
    <r>
      <rPr>
        <b/>
        <vertAlign val="subscript"/>
        <sz val="10"/>
        <color theme="1"/>
        <rFont val="Verdana"/>
        <family val="2"/>
      </rPr>
      <t>p-2 (</t>
    </r>
    <r>
      <rPr>
        <vertAlign val="subscript"/>
        <sz val="10"/>
        <color theme="1"/>
        <rFont val="Verdana"/>
        <family val="2"/>
      </rPr>
      <t>Calc.)</t>
    </r>
  </si>
  <si>
    <r>
      <t>C</t>
    </r>
    <r>
      <rPr>
        <b/>
        <vertAlign val="subscript"/>
        <sz val="10"/>
        <color theme="1"/>
        <rFont val="Verdana"/>
        <family val="2"/>
      </rPr>
      <t>p</t>
    </r>
    <r>
      <rPr>
        <vertAlign val="subscript"/>
        <sz val="10"/>
        <color theme="1"/>
        <rFont val="Verdana"/>
        <family val="2"/>
      </rPr>
      <t xml:space="preserve"> (avg)</t>
    </r>
  </si>
  <si>
    <r>
      <t>C</t>
    </r>
    <r>
      <rPr>
        <b/>
        <vertAlign val="subscript"/>
        <sz val="10"/>
        <color theme="1"/>
        <rFont val="Verdana"/>
        <family val="2"/>
      </rPr>
      <t>v-1</t>
    </r>
  </si>
  <si>
    <r>
      <t>C</t>
    </r>
    <r>
      <rPr>
        <b/>
        <vertAlign val="subscript"/>
        <sz val="10"/>
        <color theme="1"/>
        <rFont val="Verdana"/>
        <family val="2"/>
      </rPr>
      <t>v-2</t>
    </r>
  </si>
  <si>
    <r>
      <t>C</t>
    </r>
    <r>
      <rPr>
        <b/>
        <vertAlign val="subscript"/>
        <sz val="10"/>
        <color theme="1"/>
        <rFont val="Verdana"/>
        <family val="2"/>
      </rPr>
      <t>v</t>
    </r>
    <r>
      <rPr>
        <vertAlign val="subscript"/>
        <sz val="10"/>
        <color theme="1"/>
        <rFont val="Verdana"/>
        <family val="2"/>
      </rPr>
      <t xml:space="preserve"> (avg)</t>
    </r>
  </si>
  <si>
    <r>
      <t>K</t>
    </r>
    <r>
      <rPr>
        <b/>
        <vertAlign val="subscript"/>
        <sz val="10"/>
        <color theme="1"/>
        <rFont val="Verdana"/>
        <family val="2"/>
      </rPr>
      <t>-1</t>
    </r>
    <r>
      <rPr>
        <vertAlign val="subscript"/>
        <sz val="10"/>
        <color theme="1"/>
        <rFont val="Verdana"/>
        <family val="2"/>
      </rPr>
      <t xml:space="preserve"> (Manual)</t>
    </r>
  </si>
  <si>
    <r>
      <t>K</t>
    </r>
    <r>
      <rPr>
        <b/>
        <vertAlign val="subscript"/>
        <sz val="10"/>
        <color theme="1"/>
        <rFont val="Verdana"/>
        <family val="2"/>
      </rPr>
      <t>-1</t>
    </r>
    <r>
      <rPr>
        <vertAlign val="subscript"/>
        <sz val="10"/>
        <color theme="1"/>
        <rFont val="Verdana"/>
        <family val="2"/>
      </rPr>
      <t xml:space="preserve"> (Calc.)</t>
    </r>
  </si>
  <si>
    <r>
      <t>K</t>
    </r>
    <r>
      <rPr>
        <b/>
        <vertAlign val="subscript"/>
        <sz val="10"/>
        <color theme="1"/>
        <rFont val="Verdana"/>
        <family val="2"/>
      </rPr>
      <t>-2</t>
    </r>
    <r>
      <rPr>
        <vertAlign val="subscript"/>
        <sz val="10"/>
        <color theme="1"/>
        <rFont val="Verdana"/>
        <family val="2"/>
      </rPr>
      <t xml:space="preserve"> (Calc.)</t>
    </r>
  </si>
  <si>
    <r>
      <t>K</t>
    </r>
    <r>
      <rPr>
        <b/>
        <vertAlign val="subscript"/>
        <sz val="10"/>
        <color theme="1"/>
        <rFont val="Verdana"/>
        <family val="2"/>
      </rPr>
      <t>-2</t>
    </r>
    <r>
      <rPr>
        <vertAlign val="subscript"/>
        <sz val="10"/>
        <color theme="1"/>
        <rFont val="Verdana"/>
        <family val="2"/>
      </rPr>
      <t xml:space="preserve"> (Manual)</t>
    </r>
  </si>
  <si>
    <r>
      <t>K</t>
    </r>
    <r>
      <rPr>
        <vertAlign val="subscript"/>
        <sz val="10"/>
        <color theme="1"/>
        <rFont val="Verdana"/>
        <family val="2"/>
      </rPr>
      <t xml:space="preserve"> (avg)</t>
    </r>
  </si>
  <si>
    <t>Z: Compressibility Factor</t>
  </si>
  <si>
    <r>
      <t>Z</t>
    </r>
    <r>
      <rPr>
        <b/>
        <vertAlign val="subscript"/>
        <sz val="10"/>
        <color theme="1"/>
        <rFont val="Verdana"/>
        <family val="2"/>
      </rPr>
      <t>-1</t>
    </r>
  </si>
  <si>
    <r>
      <t>Z</t>
    </r>
    <r>
      <rPr>
        <b/>
        <vertAlign val="subscript"/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(avg)</t>
    </r>
  </si>
  <si>
    <r>
      <t>Z</t>
    </r>
    <r>
      <rPr>
        <b/>
        <vertAlign val="subscript"/>
        <sz val="10"/>
        <color theme="1"/>
        <rFont val="Verdana"/>
        <family val="2"/>
      </rPr>
      <t>-2</t>
    </r>
  </si>
  <si>
    <t>Adiabatic Compression</t>
  </si>
  <si>
    <r>
      <t>T</t>
    </r>
    <r>
      <rPr>
        <b/>
        <vertAlign val="subscript"/>
        <sz val="10"/>
        <color theme="1"/>
        <rFont val="Verdana"/>
        <family val="2"/>
      </rPr>
      <t>2-adb</t>
    </r>
  </si>
  <si>
    <r>
      <t>r</t>
    </r>
    <r>
      <rPr>
        <vertAlign val="subscript"/>
        <sz val="10"/>
        <color theme="1"/>
        <rFont val="Verdana"/>
        <family val="2"/>
      </rPr>
      <t xml:space="preserve"> (Pressure Ratio)</t>
    </r>
  </si>
  <si>
    <t>%</t>
  </si>
  <si>
    <r>
      <t>P</t>
    </r>
    <r>
      <rPr>
        <b/>
        <vertAlign val="subscript"/>
        <sz val="10"/>
        <color theme="1"/>
        <rFont val="Verdana"/>
        <family val="2"/>
      </rPr>
      <t>r-2</t>
    </r>
  </si>
  <si>
    <r>
      <t>T</t>
    </r>
    <r>
      <rPr>
        <b/>
        <vertAlign val="subscript"/>
        <sz val="10"/>
        <color theme="1"/>
        <rFont val="Verdana"/>
        <family val="2"/>
      </rPr>
      <t>r-2</t>
    </r>
  </si>
  <si>
    <r>
      <t>T</t>
    </r>
    <r>
      <rPr>
        <b/>
        <vertAlign val="subscript"/>
        <sz val="10"/>
        <color theme="1"/>
        <rFont val="Verdana"/>
        <family val="2"/>
      </rPr>
      <t>2</t>
    </r>
  </si>
  <si>
    <r>
      <t>X</t>
    </r>
    <r>
      <rPr>
        <b/>
        <vertAlign val="subscript"/>
        <sz val="10"/>
        <color theme="1"/>
        <rFont val="Verdana"/>
        <family val="2"/>
      </rPr>
      <t>1</t>
    </r>
  </si>
  <si>
    <r>
      <t>X</t>
    </r>
    <r>
      <rPr>
        <b/>
        <vertAlign val="subscript"/>
        <sz val="10"/>
        <color theme="1"/>
        <rFont val="Verdana"/>
        <family val="2"/>
      </rPr>
      <t>2</t>
    </r>
  </si>
  <si>
    <t>Ideal Gas</t>
  </si>
  <si>
    <r>
      <t>C</t>
    </r>
    <r>
      <rPr>
        <b/>
        <vertAlign val="subscript"/>
        <sz val="10"/>
        <color theme="1"/>
        <rFont val="Verdana"/>
        <family val="2"/>
      </rPr>
      <t>p</t>
    </r>
    <r>
      <rPr>
        <vertAlign val="subscript"/>
        <sz val="10"/>
        <color theme="1"/>
        <rFont val="Verdana"/>
        <family val="2"/>
      </rPr>
      <t>-</t>
    </r>
    <r>
      <rPr>
        <b/>
        <vertAlign val="subscript"/>
        <sz val="10"/>
        <color theme="1"/>
        <rFont val="Verdana"/>
        <family val="2"/>
      </rPr>
      <t>1</t>
    </r>
    <r>
      <rPr>
        <vertAlign val="subscript"/>
        <sz val="10"/>
        <color theme="1"/>
        <rFont val="Verdana"/>
        <family val="2"/>
      </rPr>
      <t xml:space="preserve"> (Manual)</t>
    </r>
  </si>
  <si>
    <r>
      <t>C</t>
    </r>
    <r>
      <rPr>
        <b/>
        <vertAlign val="subscript"/>
        <sz val="10"/>
        <color theme="1"/>
        <rFont val="Verdana"/>
        <family val="2"/>
      </rPr>
      <t>p</t>
    </r>
    <r>
      <rPr>
        <vertAlign val="subscript"/>
        <sz val="10"/>
        <color theme="1"/>
        <rFont val="Verdana"/>
        <family val="2"/>
      </rPr>
      <t>-</t>
    </r>
    <r>
      <rPr>
        <b/>
        <vertAlign val="subscript"/>
        <sz val="10"/>
        <color theme="1"/>
        <rFont val="Verdana"/>
        <family val="2"/>
      </rPr>
      <t>2</t>
    </r>
    <r>
      <rPr>
        <vertAlign val="subscript"/>
        <sz val="10"/>
        <color theme="1"/>
        <rFont val="Verdana"/>
        <family val="2"/>
      </rPr>
      <t xml:space="preserve"> (Manual)</t>
    </r>
  </si>
  <si>
    <r>
      <t>T</t>
    </r>
    <r>
      <rPr>
        <b/>
        <vertAlign val="subscript"/>
        <sz val="10"/>
        <color theme="1"/>
        <rFont val="Verdana"/>
        <family val="2"/>
      </rPr>
      <t>2-Id</t>
    </r>
  </si>
  <si>
    <t>m = (k-1)/k</t>
  </si>
  <si>
    <t>2.3.3.1</t>
  </si>
  <si>
    <t>2.3.3.2</t>
  </si>
  <si>
    <r>
      <t>T</t>
    </r>
    <r>
      <rPr>
        <b/>
        <vertAlign val="subscript"/>
        <sz val="10"/>
        <color theme="1"/>
        <rFont val="Verdana"/>
        <family val="2"/>
      </rPr>
      <t>2-Per</t>
    </r>
  </si>
  <si>
    <r>
      <t>X</t>
    </r>
    <r>
      <rPr>
        <vertAlign val="subscript"/>
        <sz val="10"/>
        <color theme="1"/>
        <rFont val="Verdana"/>
        <family val="2"/>
      </rPr>
      <t xml:space="preserve"> (avg)</t>
    </r>
  </si>
  <si>
    <r>
      <t>T</t>
    </r>
    <r>
      <rPr>
        <b/>
        <vertAlign val="subscript"/>
        <sz val="10"/>
        <color theme="1"/>
        <rFont val="Verdana"/>
        <family val="2"/>
      </rPr>
      <t>2-Real</t>
    </r>
  </si>
  <si>
    <t>2.3.4.1</t>
  </si>
  <si>
    <t>2.3.4.2</t>
  </si>
  <si>
    <t>Real Gas</t>
  </si>
  <si>
    <r>
      <t>C</t>
    </r>
    <r>
      <rPr>
        <b/>
        <vertAlign val="subscript"/>
        <sz val="9"/>
        <rFont val="Verdana"/>
        <family val="2"/>
      </rPr>
      <t>p-1</t>
    </r>
  </si>
  <si>
    <r>
      <t>C</t>
    </r>
    <r>
      <rPr>
        <b/>
        <vertAlign val="subscript"/>
        <sz val="9"/>
        <rFont val="Verdana"/>
        <family val="2"/>
      </rPr>
      <t>p-2</t>
    </r>
  </si>
  <si>
    <r>
      <t>P</t>
    </r>
    <r>
      <rPr>
        <b/>
        <vertAlign val="subscript"/>
        <sz val="9"/>
        <rFont val="Verdana"/>
        <family val="2"/>
      </rPr>
      <t>c</t>
    </r>
  </si>
  <si>
    <r>
      <t>T</t>
    </r>
    <r>
      <rPr>
        <b/>
        <vertAlign val="subscript"/>
        <sz val="9"/>
        <rFont val="Verdana"/>
        <family val="2"/>
      </rPr>
      <t>c</t>
    </r>
  </si>
  <si>
    <t>Perfect Gas (Polytropic)</t>
  </si>
  <si>
    <r>
      <t>Btu/(lb.</t>
    </r>
    <r>
      <rPr>
        <vertAlign val="superscript"/>
        <sz val="8"/>
        <color theme="1"/>
        <rFont val="Verdana"/>
        <family val="2"/>
      </rPr>
      <t>o</t>
    </r>
    <r>
      <rPr>
        <sz val="8"/>
        <color theme="1"/>
        <rFont val="Verdana"/>
        <family val="2"/>
      </rPr>
      <t>F)</t>
    </r>
  </si>
  <si>
    <t>Perfect Gas</t>
  </si>
  <si>
    <t>Pressure Limit</t>
  </si>
  <si>
    <t>ft-lbf/lbm| kJ/Kg</t>
  </si>
  <si>
    <r>
      <t>ft</t>
    </r>
    <r>
      <rPr>
        <vertAlign val="superscript"/>
        <sz val="8"/>
        <color theme="1"/>
        <rFont val="Verdana"/>
        <family val="2"/>
      </rPr>
      <t>3</t>
    </r>
    <r>
      <rPr>
        <sz val="8"/>
        <color theme="1"/>
        <rFont val="Verdana"/>
        <family val="2"/>
      </rPr>
      <t>/lbm | m</t>
    </r>
    <r>
      <rPr>
        <vertAlign val="superscript"/>
        <sz val="8"/>
        <color theme="1"/>
        <rFont val="Verdana"/>
        <family val="2"/>
      </rPr>
      <t>3</t>
    </r>
    <r>
      <rPr>
        <sz val="8"/>
        <color theme="1"/>
        <rFont val="Verdana"/>
        <family val="2"/>
      </rPr>
      <t>/kg</t>
    </r>
  </si>
  <si>
    <t>ft | m</t>
  </si>
  <si>
    <r>
      <rPr>
        <b/>
        <sz val="10"/>
        <color theme="1"/>
        <rFont val="Verdana"/>
        <family val="2"/>
      </rPr>
      <t>T</t>
    </r>
    <r>
      <rPr>
        <b/>
        <vertAlign val="subscript"/>
        <sz val="10"/>
        <color theme="1"/>
        <rFont val="Verdana"/>
        <family val="2"/>
      </rPr>
      <t>L</t>
    </r>
    <r>
      <rPr>
        <vertAlign val="subscript"/>
        <sz val="10"/>
        <color theme="1"/>
        <rFont val="Verdana"/>
        <family val="2"/>
      </rPr>
      <t xml:space="preserve"> (Max. allowable discharge temp.)</t>
    </r>
  </si>
  <si>
    <r>
      <rPr>
        <b/>
        <sz val="10"/>
        <color theme="1"/>
        <rFont val="Verdana"/>
        <family val="2"/>
      </rPr>
      <t>H</t>
    </r>
    <r>
      <rPr>
        <b/>
        <vertAlign val="subscript"/>
        <sz val="10"/>
        <color theme="1"/>
        <rFont val="Verdana"/>
        <family val="2"/>
      </rPr>
      <t xml:space="preserve">L </t>
    </r>
    <r>
      <rPr>
        <vertAlign val="subscript"/>
        <sz val="10"/>
        <color theme="1"/>
        <rFont val="Verdana"/>
        <family val="2"/>
      </rPr>
      <t>(Max. allowable head)</t>
    </r>
  </si>
  <si>
    <r>
      <rPr>
        <b/>
        <sz val="10"/>
        <color theme="1"/>
        <rFont val="Verdana"/>
        <family val="2"/>
      </rPr>
      <t>r</t>
    </r>
    <r>
      <rPr>
        <b/>
        <vertAlign val="subscript"/>
        <sz val="10"/>
        <color theme="1"/>
        <rFont val="Verdana"/>
        <family val="2"/>
      </rPr>
      <t xml:space="preserve">L </t>
    </r>
    <r>
      <rPr>
        <vertAlign val="subscript"/>
        <sz val="10"/>
        <color theme="1"/>
        <rFont val="Verdana"/>
        <family val="2"/>
      </rPr>
      <t>(Max. allowable pressure ratio)</t>
    </r>
  </si>
  <si>
    <t>POWER CONSUMPTION</t>
  </si>
  <si>
    <t>LIMITS and STAGING</t>
  </si>
  <si>
    <t>POLYTROPIC HEAD</t>
  </si>
  <si>
    <t>DISCHARGE TEMPERATURE</t>
  </si>
  <si>
    <t>SPECIFIC VOLUME</t>
  </si>
  <si>
    <t>ACTUAL VOLUME FLOW RATE</t>
  </si>
  <si>
    <r>
      <t>r</t>
    </r>
    <r>
      <rPr>
        <b/>
        <vertAlign val="subscript"/>
        <sz val="10"/>
        <color theme="1"/>
        <rFont val="Verdana"/>
        <family val="2"/>
      </rPr>
      <t>s</t>
    </r>
    <r>
      <rPr>
        <vertAlign val="subscript"/>
        <sz val="10"/>
        <color theme="1"/>
        <rFont val="Verdana"/>
        <family val="2"/>
      </rPr>
      <t xml:space="preserve"> (each stage pressure ratio)</t>
    </r>
  </si>
  <si>
    <t>2.6.1</t>
  </si>
  <si>
    <t>HP | kW</t>
  </si>
  <si>
    <t>2.6.2</t>
  </si>
  <si>
    <t>2.6.3</t>
  </si>
  <si>
    <t>2.6.4</t>
  </si>
  <si>
    <r>
      <t>η</t>
    </r>
    <r>
      <rPr>
        <b/>
        <vertAlign val="subscript"/>
        <sz val="10"/>
        <color theme="1"/>
        <rFont val="Verdana"/>
        <family val="2"/>
      </rPr>
      <t>GB</t>
    </r>
  </si>
  <si>
    <t>GearBox Loss</t>
  </si>
  <si>
    <t>RPM</t>
  </si>
  <si>
    <r>
      <t xml:space="preserve">CFM </t>
    </r>
    <r>
      <rPr>
        <vertAlign val="subscript"/>
        <sz val="10"/>
        <color theme="1"/>
        <rFont val="Verdana"/>
        <family val="2"/>
      </rPr>
      <t>(Flow)</t>
    </r>
  </si>
  <si>
    <t>CONSTRUCTION FEATURES</t>
  </si>
  <si>
    <t>2.7.1</t>
  </si>
  <si>
    <t>2.7.2</t>
  </si>
  <si>
    <r>
      <t>N</t>
    </r>
    <r>
      <rPr>
        <b/>
        <vertAlign val="subscript"/>
        <sz val="10"/>
        <color theme="1"/>
        <rFont val="Verdana"/>
        <family val="2"/>
      </rPr>
      <t>nominal</t>
    </r>
  </si>
  <si>
    <t>Firs Round: Estimating wheels' number and compressor shaft speed</t>
  </si>
  <si>
    <r>
      <t>W</t>
    </r>
    <r>
      <rPr>
        <b/>
        <vertAlign val="subscript"/>
        <sz val="10"/>
        <color theme="1"/>
        <rFont val="Verdana"/>
        <family val="2"/>
      </rPr>
      <t xml:space="preserve">n </t>
    </r>
    <r>
      <rPr>
        <vertAlign val="subscript"/>
        <sz val="10"/>
        <color theme="1"/>
        <rFont val="Verdana"/>
        <family val="2"/>
      </rPr>
      <t>(Min.)</t>
    </r>
  </si>
  <si>
    <t>in | mm</t>
  </si>
  <si>
    <t>ft/s | m/s</t>
  </si>
  <si>
    <t>Mach Number</t>
  </si>
  <si>
    <t>1.3.21</t>
  </si>
  <si>
    <t>X</t>
  </si>
  <si>
    <t>X=</t>
  </si>
  <si>
    <t>Y</t>
  </si>
  <si>
    <t>Y=</t>
  </si>
  <si>
    <t>1.3.22</t>
  </si>
  <si>
    <t>1.3.23</t>
  </si>
  <si>
    <t>AIR (DRY)</t>
  </si>
  <si>
    <r>
      <t>Btu/(lb.</t>
    </r>
    <r>
      <rPr>
        <b/>
        <vertAlign val="superscript"/>
        <sz val="8"/>
        <rFont val="Verdana"/>
        <family val="2"/>
      </rPr>
      <t>o</t>
    </r>
    <r>
      <rPr>
        <b/>
        <sz val="8"/>
        <rFont val="Verdana"/>
        <family val="2"/>
      </rPr>
      <t>F)</t>
    </r>
  </si>
  <si>
    <t>psia</t>
  </si>
  <si>
    <t>lb.mol/m | Kg.mol/hr</t>
  </si>
  <si>
    <t>ft.lb/mol.°R | Kj/mol.K</t>
  </si>
  <si>
    <r>
      <t>ft.lbf/lbm.</t>
    </r>
    <r>
      <rPr>
        <vertAlign val="superscript"/>
        <sz val="8"/>
        <color theme="1"/>
        <rFont val="Verdana"/>
        <family val="2"/>
      </rPr>
      <t>o</t>
    </r>
    <r>
      <rPr>
        <sz val="8"/>
        <color theme="1"/>
        <rFont val="Verdana"/>
        <family val="2"/>
      </rPr>
      <t>R | Kj/Kg.K</t>
    </r>
  </si>
  <si>
    <t>For gas properties refer to the following references;</t>
  </si>
  <si>
    <t>PROPERTIES OF COMMON GASES [1]</t>
  </si>
  <si>
    <t>COMPRESSIBILITY CURVE-ELLIOT [2]</t>
  </si>
  <si>
    <t>USEFUL TOOLS:</t>
  </si>
  <si>
    <t>METRIC</t>
  </si>
  <si>
    <t>CUSTOMARY</t>
  </si>
  <si>
    <t>HELPING TIP</t>
  </si>
  <si>
    <t>POLYTROPHIC EFFICIENCY-EXXON CHART [3]</t>
  </si>
  <si>
    <t>INTERPOLATION</t>
  </si>
  <si>
    <t>EXTRAPOLATION</t>
  </si>
  <si>
    <r>
      <t>η</t>
    </r>
    <r>
      <rPr>
        <b/>
        <vertAlign val="subscript"/>
        <sz val="10"/>
        <color theme="1"/>
        <rFont val="Verdana"/>
        <family val="2"/>
      </rPr>
      <t>po</t>
    </r>
    <r>
      <rPr>
        <vertAlign val="subscript"/>
        <sz val="10"/>
        <color theme="1"/>
        <rFont val="Verdana"/>
        <family val="2"/>
      </rPr>
      <t xml:space="preserve"> (Polytropic Efficiency)</t>
    </r>
  </si>
  <si>
    <r>
      <t>η</t>
    </r>
    <r>
      <rPr>
        <b/>
        <vertAlign val="subscript"/>
        <sz val="10"/>
        <color theme="1"/>
        <rFont val="Verdana"/>
        <family val="2"/>
      </rPr>
      <t>ad</t>
    </r>
    <r>
      <rPr>
        <vertAlign val="subscript"/>
        <sz val="10"/>
        <color theme="1"/>
        <rFont val="Verdana"/>
        <family val="2"/>
      </rPr>
      <t xml:space="preserve"> (Adiabatic Efficiency)</t>
    </r>
  </si>
  <si>
    <r>
      <t>R</t>
    </r>
    <r>
      <rPr>
        <b/>
        <vertAlign val="subscript"/>
        <sz val="10"/>
        <color theme="1"/>
        <rFont val="Verdana"/>
        <family val="2"/>
      </rPr>
      <t>0</t>
    </r>
    <r>
      <rPr>
        <vertAlign val="subscript"/>
        <sz val="10"/>
        <color theme="1"/>
        <rFont val="Verdana"/>
        <family val="2"/>
      </rPr>
      <t xml:space="preserve"> (Universal gas constant)</t>
    </r>
  </si>
  <si>
    <t>CAUTION</t>
  </si>
  <si>
    <r>
      <t>P</t>
    </r>
    <r>
      <rPr>
        <b/>
        <vertAlign val="subscript"/>
        <sz val="10"/>
        <color theme="1"/>
        <rFont val="Verdana"/>
        <family val="2"/>
      </rPr>
      <t>c</t>
    </r>
    <r>
      <rPr>
        <vertAlign val="subscript"/>
        <sz val="10"/>
        <color theme="1"/>
        <rFont val="Verdana"/>
        <family val="2"/>
      </rPr>
      <t xml:space="preserve"> (Critical Pressure)</t>
    </r>
  </si>
  <si>
    <r>
      <t>T</t>
    </r>
    <r>
      <rPr>
        <b/>
        <vertAlign val="subscript"/>
        <sz val="10"/>
        <color theme="1"/>
        <rFont val="Verdana"/>
        <family val="2"/>
      </rPr>
      <t>c</t>
    </r>
    <r>
      <rPr>
        <vertAlign val="subscript"/>
        <sz val="10"/>
        <color theme="1"/>
        <rFont val="Verdana"/>
        <family val="2"/>
      </rPr>
      <t xml:space="preserve"> (Critical Temperature)</t>
    </r>
  </si>
  <si>
    <r>
      <t>P</t>
    </r>
    <r>
      <rPr>
        <b/>
        <vertAlign val="subscript"/>
        <sz val="10"/>
        <color theme="1"/>
        <rFont val="Verdana"/>
        <family val="2"/>
      </rPr>
      <t>r-1</t>
    </r>
    <r>
      <rPr>
        <vertAlign val="subscript"/>
        <sz val="10"/>
        <color theme="1"/>
        <rFont val="Verdana"/>
        <family val="2"/>
      </rPr>
      <t xml:space="preserve"> (Reduced Pressure)</t>
    </r>
  </si>
  <si>
    <r>
      <t>T</t>
    </r>
    <r>
      <rPr>
        <b/>
        <vertAlign val="subscript"/>
        <sz val="10"/>
        <color theme="1"/>
        <rFont val="Verdana"/>
        <family val="2"/>
      </rPr>
      <t>r-1</t>
    </r>
    <r>
      <rPr>
        <vertAlign val="subscript"/>
        <sz val="10"/>
        <color theme="1"/>
        <rFont val="Verdana"/>
        <family val="2"/>
      </rPr>
      <t xml:space="preserve"> (Reduced Temprature)</t>
    </r>
  </si>
  <si>
    <t>DESIGN PARAMETERS</t>
  </si>
  <si>
    <t>Temperature Option</t>
  </si>
  <si>
    <t>PROCESS</t>
  </si>
  <si>
    <t>PERFECT GAS</t>
  </si>
  <si>
    <t>REAL GAS</t>
  </si>
  <si>
    <t>Polytropic Head Exponent</t>
  </si>
  <si>
    <r>
      <t>m</t>
    </r>
    <r>
      <rPr>
        <b/>
        <vertAlign val="subscript"/>
        <sz val="10"/>
        <color theme="1"/>
        <rFont val="Verdana"/>
        <family val="2"/>
      </rPr>
      <t xml:space="preserve">-adb </t>
    </r>
    <r>
      <rPr>
        <vertAlign val="subscript"/>
        <sz val="10"/>
        <color theme="1"/>
        <rFont val="Verdana"/>
        <family val="2"/>
      </rPr>
      <t>(Temp. Exponent)</t>
    </r>
  </si>
  <si>
    <r>
      <t>m</t>
    </r>
    <r>
      <rPr>
        <b/>
        <vertAlign val="subscript"/>
        <sz val="10"/>
        <color theme="1"/>
        <rFont val="Verdana"/>
        <family val="2"/>
      </rPr>
      <t>-Id</t>
    </r>
    <r>
      <rPr>
        <vertAlign val="subscript"/>
        <sz val="10"/>
        <color theme="1"/>
        <rFont val="Verdana"/>
        <family val="2"/>
      </rPr>
      <t xml:space="preserve">  (Temp. Exponent)</t>
    </r>
  </si>
  <si>
    <r>
      <t>m</t>
    </r>
    <r>
      <rPr>
        <b/>
        <vertAlign val="subscript"/>
        <sz val="10"/>
        <color theme="1"/>
        <rFont val="Verdana"/>
        <family val="2"/>
      </rPr>
      <t xml:space="preserve">-Per </t>
    </r>
    <r>
      <rPr>
        <vertAlign val="subscript"/>
        <sz val="10"/>
        <color theme="1"/>
        <rFont val="Verdana"/>
        <family val="2"/>
      </rPr>
      <t xml:space="preserve"> (Temp. Exponent)</t>
    </r>
  </si>
  <si>
    <r>
      <t>m</t>
    </r>
    <r>
      <rPr>
        <b/>
        <vertAlign val="subscript"/>
        <sz val="10"/>
        <color theme="1"/>
        <rFont val="Verdana"/>
        <family val="2"/>
      </rPr>
      <t xml:space="preserve">-Real </t>
    </r>
    <r>
      <rPr>
        <vertAlign val="subscript"/>
        <sz val="10"/>
        <color theme="1"/>
        <rFont val="Verdana"/>
        <family val="2"/>
      </rPr>
      <t xml:space="preserve"> (Temp. Exponent)</t>
    </r>
  </si>
  <si>
    <r>
      <t>n</t>
    </r>
    <r>
      <rPr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(Polytropic Exponent)</t>
    </r>
  </si>
  <si>
    <r>
      <t>H</t>
    </r>
    <r>
      <rPr>
        <b/>
        <vertAlign val="subscript"/>
        <sz val="10"/>
        <color theme="1"/>
        <rFont val="Verdana"/>
        <family val="2"/>
      </rPr>
      <t>po</t>
    </r>
  </si>
  <si>
    <r>
      <t>H</t>
    </r>
    <r>
      <rPr>
        <b/>
        <vertAlign val="subscript"/>
        <sz val="10"/>
        <color theme="1"/>
        <rFont val="Verdana"/>
        <family val="2"/>
      </rPr>
      <t>po</t>
    </r>
    <r>
      <rPr>
        <vertAlign val="subscript"/>
        <sz val="10"/>
        <color theme="1"/>
        <rFont val="Verdana"/>
        <family val="2"/>
      </rPr>
      <t>-(Length Unit)</t>
    </r>
  </si>
  <si>
    <t>UNITS</t>
  </si>
  <si>
    <t>1.13.1</t>
  </si>
  <si>
    <t>1.13.2</t>
  </si>
  <si>
    <t>1.13.3</t>
  </si>
  <si>
    <t>1.14.1</t>
  </si>
  <si>
    <t>1.14.2</t>
  </si>
  <si>
    <t>1.14.3</t>
  </si>
  <si>
    <t>K: Specific Heat Ratio</t>
  </si>
  <si>
    <r>
      <t>C</t>
    </r>
    <r>
      <rPr>
        <b/>
        <vertAlign val="subscript"/>
        <sz val="10"/>
        <color rgb="FF0000CC"/>
        <rFont val="Verdana"/>
        <family val="2"/>
      </rPr>
      <t>v</t>
    </r>
    <r>
      <rPr>
        <b/>
        <sz val="10"/>
        <color rgb="FF0000CC"/>
        <rFont val="Verdana"/>
        <family val="2"/>
      </rPr>
      <t>: Specific Heat @ Constant Volume</t>
    </r>
  </si>
  <si>
    <r>
      <t>C</t>
    </r>
    <r>
      <rPr>
        <b/>
        <vertAlign val="subscript"/>
        <sz val="10"/>
        <color rgb="FF0000CC"/>
        <rFont val="Verdana"/>
        <family val="2"/>
      </rPr>
      <t>p</t>
    </r>
    <r>
      <rPr>
        <b/>
        <sz val="10"/>
        <color rgb="FF0000CC"/>
        <rFont val="Verdana"/>
        <family val="2"/>
      </rPr>
      <t>:</t>
    </r>
    <r>
      <rPr>
        <b/>
        <vertAlign val="subscript"/>
        <sz val="10"/>
        <color rgb="FF0000CC"/>
        <rFont val="Verdana"/>
        <family val="2"/>
      </rPr>
      <t xml:space="preserve"> </t>
    </r>
    <r>
      <rPr>
        <b/>
        <sz val="10"/>
        <color rgb="FF0000CC"/>
        <rFont val="Verdana"/>
        <family val="2"/>
      </rPr>
      <t>Specific Heat @ Constant Pressure</t>
    </r>
  </si>
  <si>
    <t>1.12.1</t>
  </si>
  <si>
    <t>1.12.2</t>
  </si>
  <si>
    <t>1.12.3</t>
  </si>
  <si>
    <t>1.12.4</t>
  </si>
  <si>
    <t>1.12.5</t>
  </si>
  <si>
    <t>1.14.4</t>
  </si>
  <si>
    <t>1.14.5</t>
  </si>
  <si>
    <t>1.22.1</t>
  </si>
  <si>
    <t>1.22.2</t>
  </si>
  <si>
    <t>1.22.3</t>
  </si>
  <si>
    <t>IMPORTANT NOTIFICATION</t>
  </si>
  <si>
    <r>
      <t>St</t>
    </r>
    <r>
      <rPr>
        <b/>
        <vertAlign val="subscript"/>
        <sz val="10"/>
        <color theme="1"/>
        <rFont val="Verdana"/>
        <family val="2"/>
      </rPr>
      <t>-T</t>
    </r>
    <r>
      <rPr>
        <vertAlign val="subscript"/>
        <sz val="10"/>
        <color theme="1"/>
        <rFont val="Verdana"/>
        <family val="2"/>
      </rPr>
      <t xml:space="preserve"> (Expected Stage due to Temp.)</t>
    </r>
  </si>
  <si>
    <t>Temperature Limit</t>
  </si>
  <si>
    <t>2.6.1.1</t>
  </si>
  <si>
    <t>2.6.1.2</t>
  </si>
  <si>
    <t>2.6.2.1</t>
  </si>
  <si>
    <t>2.6.2.2</t>
  </si>
  <si>
    <t>2.6.2.3</t>
  </si>
  <si>
    <r>
      <t>St</t>
    </r>
    <r>
      <rPr>
        <b/>
        <vertAlign val="subscript"/>
        <sz val="10"/>
        <color theme="1"/>
        <rFont val="Verdana"/>
        <family val="2"/>
      </rPr>
      <t>-P</t>
    </r>
    <r>
      <rPr>
        <vertAlign val="subscript"/>
        <sz val="10"/>
        <color theme="1"/>
        <rFont val="Verdana"/>
        <family val="2"/>
      </rPr>
      <t xml:space="preserve"> (Expected Stage due to Press.)</t>
    </r>
  </si>
  <si>
    <t>C E N T R I F U G A L   C O M P R E S S O R   C A L C U L A T I O N    S H E E T</t>
  </si>
  <si>
    <t>TEMPERATURE LIMITS-EXXON CHART [3]</t>
  </si>
  <si>
    <t>PRESSURE LIMITS-EXXON CHART [3]</t>
  </si>
  <si>
    <r>
      <t>St</t>
    </r>
    <r>
      <rPr>
        <vertAlign val="subscript"/>
        <sz val="10"/>
        <color theme="1"/>
        <rFont val="Verdana"/>
        <family val="2"/>
      </rPr>
      <t xml:space="preserve"> (No. of Expected Process Stages)</t>
    </r>
  </si>
  <si>
    <r>
      <t>GHP</t>
    </r>
    <r>
      <rPr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(Gas Hydraulic Power)</t>
    </r>
  </si>
  <si>
    <r>
      <rPr>
        <b/>
        <sz val="10"/>
        <color theme="1"/>
        <rFont val="Verdana"/>
        <family val="2"/>
      </rPr>
      <t>GHP</t>
    </r>
    <r>
      <rPr>
        <b/>
        <vertAlign val="subscript"/>
        <sz val="10"/>
        <color theme="1"/>
        <rFont val="Verdana"/>
        <family val="2"/>
      </rPr>
      <t>i</t>
    </r>
    <r>
      <rPr>
        <vertAlign val="subscript"/>
        <sz val="10"/>
        <color theme="1"/>
        <rFont val="Verdana"/>
        <family val="2"/>
      </rPr>
      <t xml:space="preserve"> (Sum of GHP of former stages)</t>
    </r>
  </si>
  <si>
    <t>MECHANICAL LOSS-EXXON CHART [3]</t>
  </si>
  <si>
    <t>cfm</t>
  </si>
  <si>
    <t>2.7.3</t>
  </si>
  <si>
    <r>
      <t>M</t>
    </r>
    <r>
      <rPr>
        <b/>
        <vertAlign val="subscript"/>
        <sz val="10"/>
        <color theme="1"/>
        <rFont val="Verdana"/>
        <family val="2"/>
      </rPr>
      <t>L</t>
    </r>
    <r>
      <rPr>
        <vertAlign val="subscript"/>
        <sz val="10"/>
        <color theme="1"/>
        <rFont val="Verdana"/>
        <family val="2"/>
      </rPr>
      <t xml:space="preserve"> (Mechanical Loss)</t>
    </r>
  </si>
  <si>
    <t>GEAR EFFICIENCY-EXXON CHART [3]</t>
  </si>
  <si>
    <t>ELLIOT MACHINE FRAMES [6]</t>
  </si>
  <si>
    <t>2.7.4</t>
  </si>
  <si>
    <t>2.7.4.1</t>
  </si>
  <si>
    <t>2.7.4.2</t>
  </si>
  <si>
    <r>
      <t>SHP</t>
    </r>
    <r>
      <rPr>
        <vertAlign val="subscript"/>
        <sz val="10"/>
        <color theme="1"/>
        <rFont val="Verdana"/>
        <family val="2"/>
      </rPr>
      <t xml:space="preserve"> (Shaft Power Demand)</t>
    </r>
  </si>
  <si>
    <r>
      <t>THP</t>
    </r>
    <r>
      <rPr>
        <vertAlign val="subscript"/>
        <sz val="10"/>
        <color theme="1"/>
        <rFont val="Verdana"/>
        <family val="2"/>
      </rPr>
      <t xml:space="preserve"> (Train Power Demand)</t>
    </r>
  </si>
  <si>
    <r>
      <t>PSF</t>
    </r>
    <r>
      <rPr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(Power Service Factor)</t>
    </r>
  </si>
  <si>
    <r>
      <t>BHP</t>
    </r>
    <r>
      <rPr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(Brake Horsepower)</t>
    </r>
  </si>
  <si>
    <t>2.7.5</t>
  </si>
  <si>
    <t>2.7.6</t>
  </si>
  <si>
    <t>2.7.7</t>
  </si>
  <si>
    <t>2.7.8</t>
  </si>
  <si>
    <t>2.8.1</t>
  </si>
  <si>
    <t>ft-lbf/lbm | kJ/Kg</t>
  </si>
  <si>
    <r>
      <t>H</t>
    </r>
    <r>
      <rPr>
        <b/>
        <vertAlign val="subscript"/>
        <sz val="10"/>
        <color theme="1"/>
        <rFont val="Verdana"/>
        <family val="2"/>
      </rPr>
      <t xml:space="preserve">m/w </t>
    </r>
    <r>
      <rPr>
        <vertAlign val="subscript"/>
        <sz val="10"/>
        <color theme="1"/>
        <rFont val="Verdana"/>
        <family val="2"/>
      </rPr>
      <t>(max. allowable head/wheel)</t>
    </r>
  </si>
  <si>
    <t>2.8.1.1</t>
  </si>
  <si>
    <t>2.8.1.2</t>
  </si>
  <si>
    <r>
      <t xml:space="preserve">N </t>
    </r>
    <r>
      <rPr>
        <vertAlign val="subscript"/>
        <sz val="10"/>
        <color theme="1"/>
        <rFont val="Verdana"/>
        <family val="2"/>
      </rPr>
      <t>(Predicted Shaft Speed)</t>
    </r>
  </si>
  <si>
    <t>2.8.1.3</t>
  </si>
  <si>
    <t>2.8.1.4</t>
  </si>
  <si>
    <t>Second Round: Optimizing wheels' number, shaft speed and wheel diameter</t>
  </si>
  <si>
    <r>
      <t>W</t>
    </r>
    <r>
      <rPr>
        <b/>
        <vertAlign val="subscript"/>
        <sz val="10"/>
        <color theme="1"/>
        <rFont val="Verdana"/>
        <family val="2"/>
      </rPr>
      <t xml:space="preserve">n </t>
    </r>
    <r>
      <rPr>
        <vertAlign val="subscript"/>
        <sz val="10"/>
        <color theme="1"/>
        <rFont val="Verdana"/>
        <family val="2"/>
      </rPr>
      <t>(Optimized)</t>
    </r>
  </si>
  <si>
    <r>
      <t>N</t>
    </r>
    <r>
      <rPr>
        <b/>
        <vertAlign val="subscript"/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(Optimized)</t>
    </r>
  </si>
  <si>
    <r>
      <t>H</t>
    </r>
    <r>
      <rPr>
        <b/>
        <vertAlign val="subscript"/>
        <sz val="10"/>
        <color theme="1"/>
        <rFont val="Verdana"/>
        <family val="2"/>
      </rPr>
      <t xml:space="preserve">po/w </t>
    </r>
    <r>
      <rPr>
        <vertAlign val="subscript"/>
        <sz val="10"/>
        <color theme="1"/>
        <rFont val="Verdana"/>
        <family val="2"/>
      </rPr>
      <t>(Require Head per Wheel)</t>
    </r>
  </si>
  <si>
    <r>
      <t xml:space="preserve">Ψ </t>
    </r>
    <r>
      <rPr>
        <sz val="10"/>
        <color theme="1"/>
        <rFont val="Verdana"/>
        <family val="2"/>
      </rPr>
      <t xml:space="preserve">(or </t>
    </r>
    <r>
      <rPr>
        <b/>
        <sz val="10"/>
        <color theme="1"/>
        <rFont val="Verdana"/>
        <family val="2"/>
      </rPr>
      <t>µ</t>
    </r>
    <r>
      <rPr>
        <sz val="10"/>
        <color theme="1"/>
        <rFont val="Verdana"/>
        <family val="2"/>
      </rPr>
      <t xml:space="preserve">) </t>
    </r>
    <r>
      <rPr>
        <vertAlign val="subscript"/>
        <sz val="10"/>
        <color theme="1"/>
        <rFont val="Verdana"/>
        <family val="2"/>
      </rPr>
      <t>(Head/pres. Coefficient)</t>
    </r>
  </si>
  <si>
    <t>2.8.2</t>
  </si>
  <si>
    <t>2.8.2.1</t>
  </si>
  <si>
    <t>2.8.2.2</t>
  </si>
  <si>
    <t>2.8.2.3</t>
  </si>
  <si>
    <t>2.8.2.4</t>
  </si>
  <si>
    <r>
      <t xml:space="preserve">Φ </t>
    </r>
    <r>
      <rPr>
        <vertAlign val="subscript"/>
        <sz val="10"/>
        <color theme="1"/>
        <rFont val="Verdana"/>
        <family val="2"/>
      </rPr>
      <t>(Flow Coefficient)</t>
    </r>
  </si>
  <si>
    <t>2.8.2.5</t>
  </si>
  <si>
    <t>2.8.2.6</t>
  </si>
  <si>
    <t>2.8.2.7</t>
  </si>
  <si>
    <t>2.8.2.8</t>
  </si>
  <si>
    <r>
      <t>N</t>
    </r>
    <r>
      <rPr>
        <b/>
        <vertAlign val="subscript"/>
        <sz val="10"/>
        <color theme="1"/>
        <rFont val="Verdana"/>
        <family val="2"/>
      </rPr>
      <t>s</t>
    </r>
    <r>
      <rPr>
        <vertAlign val="subscript"/>
        <sz val="10"/>
        <color theme="1"/>
        <rFont val="Verdana"/>
        <family val="2"/>
      </rPr>
      <t xml:space="preserve"> (Specific Speed)</t>
    </r>
  </si>
  <si>
    <r>
      <t>V</t>
    </r>
    <r>
      <rPr>
        <b/>
        <vertAlign val="subscript"/>
        <sz val="10"/>
        <color theme="1"/>
        <rFont val="Verdana"/>
        <family val="2"/>
      </rPr>
      <t xml:space="preserve">s </t>
    </r>
    <r>
      <rPr>
        <vertAlign val="subscript"/>
        <sz val="10"/>
        <color theme="1"/>
        <rFont val="Verdana"/>
        <family val="2"/>
      </rPr>
      <t>(Sound velocity at inlet condition)</t>
    </r>
  </si>
  <si>
    <r>
      <t>M</t>
    </r>
    <r>
      <rPr>
        <b/>
        <vertAlign val="subscript"/>
        <sz val="10"/>
        <color theme="1"/>
        <rFont val="Verdana"/>
        <family val="2"/>
      </rPr>
      <t>a</t>
    </r>
    <r>
      <rPr>
        <vertAlign val="subscript"/>
        <sz val="10"/>
        <color theme="1"/>
        <rFont val="Verdana"/>
        <family val="2"/>
      </rPr>
      <t xml:space="preserve"> (Mach number at impeller tip)</t>
    </r>
  </si>
  <si>
    <t>SPECIFIC SPEED-DRESSER RAND CHART [1]</t>
  </si>
  <si>
    <t>BEGINNING TIPS</t>
  </si>
  <si>
    <t>REFERENCES</t>
  </si>
  <si>
    <t>IMPORTANT:   M A C R O    Enabling is required</t>
  </si>
  <si>
    <t>2.8.2.9</t>
  </si>
  <si>
    <r>
      <t>D</t>
    </r>
    <r>
      <rPr>
        <b/>
        <vertAlign val="subscript"/>
        <sz val="10"/>
        <color theme="1"/>
        <rFont val="Verdana"/>
        <family val="2"/>
      </rPr>
      <t>2</t>
    </r>
    <r>
      <rPr>
        <b/>
        <sz val="10"/>
        <color theme="1"/>
        <rFont val="Verdana"/>
        <family val="2"/>
      </rPr>
      <t xml:space="preserve"> </t>
    </r>
    <r>
      <rPr>
        <vertAlign val="subscript"/>
        <sz val="10"/>
        <color theme="1"/>
        <rFont val="Verdana"/>
        <family val="2"/>
      </rPr>
      <t>(Impeller Diameter)</t>
    </r>
  </si>
  <si>
    <r>
      <t>u</t>
    </r>
    <r>
      <rPr>
        <b/>
        <vertAlign val="subscript"/>
        <sz val="10"/>
        <color theme="1"/>
        <rFont val="Verdana"/>
        <family val="2"/>
      </rPr>
      <t>2</t>
    </r>
    <r>
      <rPr>
        <vertAlign val="subscript"/>
        <sz val="10"/>
        <color theme="1"/>
        <rFont val="Verdana"/>
        <family val="2"/>
      </rPr>
      <t xml:space="preserve"> (tip speed)</t>
    </r>
  </si>
  <si>
    <t>SCHULTZ COMPRESSIBILITY DERIVATIVE [3]</t>
  </si>
  <si>
    <t>MIN. WHEEL REQUIRED-GPSA CHART [6]</t>
  </si>
  <si>
    <t>NOMINAL SPEED-GPSA CHART [6]</t>
  </si>
  <si>
    <t>HEAD COEFFICIENT-DRESSER RAND [5]</t>
  </si>
  <si>
    <t>FLOW COEFFICIENT-COOPER CAMERON [5]</t>
  </si>
  <si>
    <r>
      <t>R = R</t>
    </r>
    <r>
      <rPr>
        <vertAlign val="subscript"/>
        <sz val="10"/>
        <rFont val="Verdana"/>
        <family val="2"/>
      </rPr>
      <t>0</t>
    </r>
    <r>
      <rPr>
        <sz val="10"/>
        <rFont val="Verdana"/>
        <family val="2"/>
      </rPr>
      <t>/MW</t>
    </r>
  </si>
  <si>
    <r>
      <t xml:space="preserve"> = Σ(MW</t>
    </r>
    <r>
      <rPr>
        <vertAlign val="subscript"/>
        <sz val="10"/>
        <rFont val="Verdana"/>
        <family val="2"/>
      </rPr>
      <t>i</t>
    </r>
    <r>
      <rPr>
        <sz val="10"/>
        <rFont val="Verdana"/>
        <family val="2"/>
      </rPr>
      <t>.Mol%</t>
    </r>
    <r>
      <rPr>
        <vertAlign val="subscript"/>
        <sz val="10"/>
        <rFont val="Verdana"/>
        <family val="2"/>
      </rPr>
      <t>i</t>
    </r>
    <r>
      <rPr>
        <sz val="10"/>
        <rFont val="Verdana"/>
        <family val="2"/>
      </rPr>
      <t>) / 100</t>
    </r>
  </si>
  <si>
    <r>
      <t xml:space="preserve"> = Σ(C</t>
    </r>
    <r>
      <rPr>
        <vertAlign val="subscript"/>
        <sz val="10"/>
        <rFont val="Verdana"/>
        <family val="2"/>
      </rPr>
      <t>pi</t>
    </r>
    <r>
      <rPr>
        <sz val="10"/>
        <rFont val="Verdana"/>
        <family val="2"/>
      </rPr>
      <t>.Mol%</t>
    </r>
    <r>
      <rPr>
        <vertAlign val="subscript"/>
        <sz val="10"/>
        <rFont val="Verdana"/>
        <family val="2"/>
      </rPr>
      <t>i</t>
    </r>
    <r>
      <rPr>
        <sz val="10"/>
        <rFont val="Verdana"/>
        <family val="2"/>
      </rPr>
      <t>) / 100</t>
    </r>
  </si>
  <si>
    <r>
      <t>MW.C</t>
    </r>
    <r>
      <rPr>
        <vertAlign val="subscript"/>
        <sz val="10"/>
        <rFont val="Verdana"/>
        <family val="2"/>
      </rPr>
      <t>v</t>
    </r>
    <r>
      <rPr>
        <sz val="10"/>
        <rFont val="Verdana"/>
        <family val="2"/>
      </rPr>
      <t xml:space="preserve"> = MW.C</t>
    </r>
    <r>
      <rPr>
        <vertAlign val="subscript"/>
        <sz val="10"/>
        <rFont val="Verdana"/>
        <family val="2"/>
      </rPr>
      <t>p</t>
    </r>
    <r>
      <rPr>
        <sz val="10"/>
        <rFont val="Verdana"/>
        <family val="2"/>
      </rPr>
      <t xml:space="preserve"> -1.987</t>
    </r>
  </si>
  <si>
    <r>
      <t>K = C</t>
    </r>
    <r>
      <rPr>
        <vertAlign val="subscript"/>
        <sz val="10"/>
        <rFont val="Verdana"/>
        <family val="2"/>
      </rPr>
      <t>p</t>
    </r>
    <r>
      <rPr>
        <sz val="10"/>
        <rFont val="Verdana"/>
        <family val="2"/>
      </rPr>
      <t xml:space="preserve"> / C</t>
    </r>
    <r>
      <rPr>
        <vertAlign val="subscript"/>
        <sz val="10"/>
        <rFont val="Verdana"/>
        <family val="2"/>
      </rPr>
      <t>v</t>
    </r>
  </si>
  <si>
    <r>
      <t>P</t>
    </r>
    <r>
      <rPr>
        <vertAlign val="subscript"/>
        <sz val="10"/>
        <rFont val="Verdana"/>
        <family val="2"/>
      </rPr>
      <t>c</t>
    </r>
    <r>
      <rPr>
        <sz val="10"/>
        <rFont val="Verdana"/>
        <family val="2"/>
      </rPr>
      <t xml:space="preserve"> = Σ(P</t>
    </r>
    <r>
      <rPr>
        <vertAlign val="subscript"/>
        <sz val="10"/>
        <rFont val="Verdana"/>
        <family val="2"/>
      </rPr>
      <t>ci</t>
    </r>
    <r>
      <rPr>
        <sz val="10"/>
        <rFont val="Verdana"/>
        <family val="2"/>
      </rPr>
      <t>.Mol%</t>
    </r>
    <r>
      <rPr>
        <vertAlign val="subscript"/>
        <sz val="10"/>
        <rFont val="Verdana"/>
        <family val="2"/>
      </rPr>
      <t>i</t>
    </r>
    <r>
      <rPr>
        <sz val="10"/>
        <rFont val="Verdana"/>
        <family val="2"/>
      </rPr>
      <t>)</t>
    </r>
  </si>
  <si>
    <r>
      <t>T</t>
    </r>
    <r>
      <rPr>
        <vertAlign val="subscript"/>
        <sz val="10"/>
        <rFont val="Verdana"/>
        <family val="2"/>
      </rPr>
      <t>c</t>
    </r>
    <r>
      <rPr>
        <sz val="10"/>
        <rFont val="Verdana"/>
        <family val="2"/>
      </rPr>
      <t xml:space="preserve"> = Σ(T</t>
    </r>
    <r>
      <rPr>
        <vertAlign val="subscript"/>
        <sz val="10"/>
        <rFont val="Verdana"/>
        <family val="2"/>
      </rPr>
      <t>ci</t>
    </r>
    <r>
      <rPr>
        <sz val="10"/>
        <rFont val="Verdana"/>
        <family val="2"/>
      </rPr>
      <t>.Mol%</t>
    </r>
    <r>
      <rPr>
        <vertAlign val="subscript"/>
        <sz val="10"/>
        <rFont val="Verdana"/>
        <family val="2"/>
      </rPr>
      <t>i</t>
    </r>
    <r>
      <rPr>
        <sz val="10"/>
        <rFont val="Verdana"/>
        <family val="2"/>
      </rPr>
      <t>)</t>
    </r>
  </si>
  <si>
    <r>
      <t>P</t>
    </r>
    <r>
      <rPr>
        <vertAlign val="subscript"/>
        <sz val="10"/>
        <rFont val="Verdana"/>
        <family val="2"/>
      </rPr>
      <t>r</t>
    </r>
    <r>
      <rPr>
        <sz val="10"/>
        <rFont val="Verdana"/>
        <family val="2"/>
      </rPr>
      <t xml:space="preserve"> = P/P</t>
    </r>
    <r>
      <rPr>
        <vertAlign val="subscript"/>
        <sz val="10"/>
        <rFont val="Verdana"/>
        <family val="2"/>
      </rPr>
      <t>c</t>
    </r>
  </si>
  <si>
    <r>
      <t>T</t>
    </r>
    <r>
      <rPr>
        <vertAlign val="subscript"/>
        <sz val="10"/>
        <rFont val="Verdana"/>
        <family val="2"/>
      </rPr>
      <t>r</t>
    </r>
    <r>
      <rPr>
        <sz val="10"/>
        <rFont val="Verdana"/>
        <family val="2"/>
      </rPr>
      <t xml:space="preserve"> = T/T</t>
    </r>
    <r>
      <rPr>
        <vertAlign val="subscript"/>
        <sz val="10"/>
        <rFont val="Verdana"/>
        <family val="2"/>
      </rPr>
      <t>c</t>
    </r>
  </si>
  <si>
    <r>
      <t>X = (T/Z) (∂Z/∂T)</t>
    </r>
    <r>
      <rPr>
        <vertAlign val="subscript"/>
        <sz val="10"/>
        <rFont val="Verdana"/>
        <family val="2"/>
      </rPr>
      <t>p</t>
    </r>
  </si>
  <si>
    <r>
      <t>V</t>
    </r>
    <r>
      <rPr>
        <vertAlign val="subscript"/>
        <sz val="10"/>
        <rFont val="Verdana"/>
        <family val="2"/>
      </rPr>
      <t>cus</t>
    </r>
    <r>
      <rPr>
        <sz val="10"/>
        <rFont val="Verdana"/>
        <family val="2"/>
      </rPr>
      <t xml:space="preserve"> = (Z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RT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)/(144P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)</t>
    </r>
  </si>
  <si>
    <r>
      <t>V</t>
    </r>
    <r>
      <rPr>
        <vertAlign val="subscript"/>
        <sz val="10"/>
        <rFont val="Verdana"/>
        <family val="2"/>
      </rPr>
      <t>met</t>
    </r>
    <r>
      <rPr>
        <sz val="10"/>
        <rFont val="Verdana"/>
        <family val="2"/>
      </rPr>
      <t xml:space="preserve"> = (Z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RT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)/(100P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)</t>
    </r>
  </si>
  <si>
    <r>
      <t>Q</t>
    </r>
    <r>
      <rPr>
        <vertAlign val="subscript"/>
        <sz val="10"/>
        <rFont val="Verdana"/>
        <family val="2"/>
      </rPr>
      <t>cus</t>
    </r>
    <r>
      <rPr>
        <sz val="10"/>
        <rFont val="Verdana"/>
        <family val="2"/>
      </rPr>
      <t xml:space="preserve"> = (SCFM.MW.V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 xml:space="preserve">)/378.7 </t>
    </r>
    <r>
      <rPr>
        <b/>
        <i/>
        <u/>
        <sz val="10"/>
        <rFont val="Verdana"/>
        <family val="2"/>
      </rPr>
      <t>or</t>
    </r>
    <r>
      <rPr>
        <sz val="10"/>
        <rFont val="Verdana"/>
        <family val="2"/>
      </rPr>
      <t xml:space="preserve"> = Mol.MW.V1</t>
    </r>
  </si>
  <si>
    <r>
      <rPr>
        <b/>
        <i/>
        <u/>
        <sz val="10"/>
        <rFont val="Verdana"/>
        <family val="2"/>
      </rPr>
      <t>or</t>
    </r>
    <r>
      <rPr>
        <sz val="10"/>
        <rFont val="Verdana"/>
        <family val="2"/>
      </rPr>
      <t xml:space="preserve"> = W.V</t>
    </r>
    <r>
      <rPr>
        <vertAlign val="subscript"/>
        <sz val="10"/>
        <rFont val="Verdana"/>
        <family val="2"/>
      </rPr>
      <t>1</t>
    </r>
  </si>
  <si>
    <r>
      <t>Q</t>
    </r>
    <r>
      <rPr>
        <vertAlign val="subscript"/>
        <sz val="10"/>
        <rFont val="Verdana"/>
        <family val="2"/>
      </rPr>
      <t>met</t>
    </r>
    <r>
      <rPr>
        <sz val="10"/>
        <rFont val="Verdana"/>
        <family val="2"/>
      </rPr>
      <t xml:space="preserve"> = (SCMH.MW.V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 xml:space="preserve">)/23.65 </t>
    </r>
    <r>
      <rPr>
        <b/>
        <i/>
        <u/>
        <sz val="10"/>
        <rFont val="Verdana"/>
        <family val="2"/>
      </rPr>
      <t xml:space="preserve">or </t>
    </r>
    <r>
      <rPr>
        <sz val="10"/>
        <rFont val="Verdana"/>
        <family val="2"/>
      </rPr>
      <t>= Mol.MW.V1</t>
    </r>
  </si>
  <si>
    <r>
      <rPr>
        <b/>
        <i/>
        <u/>
        <sz val="10"/>
        <rFont val="Verdana"/>
        <family val="2"/>
      </rPr>
      <t>or</t>
    </r>
    <r>
      <rPr>
        <sz val="10"/>
        <rFont val="Verdana"/>
        <family val="2"/>
      </rPr>
      <t xml:space="preserve"> = 3600.W.V</t>
    </r>
    <r>
      <rPr>
        <vertAlign val="subscript"/>
        <sz val="10"/>
        <rFont val="Verdana"/>
        <family val="2"/>
      </rPr>
      <t>1</t>
    </r>
  </si>
  <si>
    <r>
      <t>T</t>
    </r>
    <r>
      <rPr>
        <vertAlign val="subscript"/>
        <sz val="10"/>
        <rFont val="Verdana"/>
        <family val="2"/>
      </rPr>
      <t>2</t>
    </r>
    <r>
      <rPr>
        <sz val="10"/>
        <rFont val="Verdana"/>
        <family val="2"/>
      </rPr>
      <t xml:space="preserve"> = T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.r</t>
    </r>
    <r>
      <rPr>
        <vertAlign val="superscript"/>
        <sz val="10"/>
        <rFont val="Verdana"/>
        <family val="2"/>
      </rPr>
      <t>m</t>
    </r>
  </si>
  <si>
    <r>
      <t>m = ZR/C</t>
    </r>
    <r>
      <rPr>
        <vertAlign val="subscript"/>
        <sz val="10"/>
        <rFont val="Verdana"/>
        <family val="2"/>
      </rPr>
      <t>p</t>
    </r>
    <r>
      <rPr>
        <sz val="10"/>
        <rFont val="Verdana"/>
        <family val="2"/>
      </rPr>
      <t>η</t>
    </r>
    <r>
      <rPr>
        <vertAlign val="subscript"/>
        <sz val="10"/>
        <rFont val="Verdana"/>
        <family val="2"/>
      </rPr>
      <t>p</t>
    </r>
  </si>
  <si>
    <r>
      <t>m = (k-1)/(kη</t>
    </r>
    <r>
      <rPr>
        <vertAlign val="subscript"/>
        <sz val="10"/>
        <rFont val="Verdana"/>
        <family val="2"/>
      </rPr>
      <t>p</t>
    </r>
    <r>
      <rPr>
        <sz val="10"/>
        <rFont val="Verdana"/>
        <family val="2"/>
      </rPr>
      <t>)</t>
    </r>
  </si>
  <si>
    <r>
      <t>m = (ZR/C</t>
    </r>
    <r>
      <rPr>
        <vertAlign val="subscript"/>
        <sz val="10"/>
        <rFont val="Verdana"/>
        <family val="2"/>
      </rPr>
      <t>p</t>
    </r>
    <r>
      <rPr>
        <sz val="10"/>
        <rFont val="Verdana"/>
        <family val="2"/>
      </rPr>
      <t>)(1/η</t>
    </r>
    <r>
      <rPr>
        <vertAlign val="subscript"/>
        <sz val="10"/>
        <rFont val="Verdana"/>
        <family val="2"/>
      </rPr>
      <t>p</t>
    </r>
    <r>
      <rPr>
        <sz val="10"/>
        <rFont val="Verdana"/>
        <family val="2"/>
      </rPr>
      <t>+X)</t>
    </r>
  </si>
  <si>
    <r>
      <t>n</t>
    </r>
    <r>
      <rPr>
        <vertAlign val="subscript"/>
        <sz val="10"/>
        <rFont val="Verdana"/>
        <family val="2"/>
      </rPr>
      <t xml:space="preserve">-Per </t>
    </r>
    <r>
      <rPr>
        <sz val="10"/>
        <rFont val="Verdana"/>
        <family val="2"/>
      </rPr>
      <t>= 1 / (1-m</t>
    </r>
    <r>
      <rPr>
        <vertAlign val="subscript"/>
        <sz val="10"/>
        <rFont val="Verdana"/>
        <family val="2"/>
      </rPr>
      <t>avg</t>
    </r>
    <r>
      <rPr>
        <sz val="10"/>
        <rFont val="Verdana"/>
        <family val="2"/>
      </rPr>
      <t>)</t>
    </r>
  </si>
  <si>
    <r>
      <t>n</t>
    </r>
    <r>
      <rPr>
        <vertAlign val="subscript"/>
        <sz val="10"/>
        <rFont val="Verdana"/>
        <family val="2"/>
      </rPr>
      <t>-Real</t>
    </r>
    <r>
      <rPr>
        <sz val="10"/>
        <rFont val="Verdana"/>
        <family val="2"/>
      </rPr>
      <t xml:space="preserve"> = log(r) / </t>
    </r>
    <r>
      <rPr>
        <b/>
        <sz val="10"/>
        <rFont val="Verdana"/>
        <family val="2"/>
      </rPr>
      <t>[</t>
    </r>
    <r>
      <rPr>
        <sz val="10"/>
        <rFont val="Verdana"/>
        <family val="2"/>
      </rPr>
      <t>(1-m</t>
    </r>
    <r>
      <rPr>
        <vertAlign val="subscript"/>
        <sz val="10"/>
        <rFont val="Verdana"/>
        <family val="2"/>
      </rPr>
      <t>avg</t>
    </r>
    <r>
      <rPr>
        <sz val="10"/>
        <rFont val="Verdana"/>
        <family val="2"/>
      </rPr>
      <t>).log(r)-log(Z</t>
    </r>
    <r>
      <rPr>
        <vertAlign val="subscript"/>
        <sz val="10"/>
        <rFont val="Verdana"/>
        <family val="2"/>
      </rPr>
      <t>2</t>
    </r>
    <r>
      <rPr>
        <sz val="10"/>
        <rFont val="Verdana"/>
        <family val="2"/>
      </rPr>
      <t>/Z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)</t>
    </r>
    <r>
      <rPr>
        <b/>
        <sz val="10"/>
        <rFont val="Verdana"/>
        <family val="2"/>
      </rPr>
      <t>]</t>
    </r>
  </si>
  <si>
    <r>
      <t>H</t>
    </r>
    <r>
      <rPr>
        <vertAlign val="subscript"/>
        <sz val="10"/>
        <rFont val="Verdana"/>
        <family val="2"/>
      </rPr>
      <t>po</t>
    </r>
    <r>
      <rPr>
        <sz val="10"/>
        <rFont val="Verdana"/>
        <family val="2"/>
      </rPr>
      <t xml:space="preserve"> = Z</t>
    </r>
    <r>
      <rPr>
        <vertAlign val="subscript"/>
        <sz val="10"/>
        <rFont val="Verdana"/>
        <family val="2"/>
      </rPr>
      <t>avg</t>
    </r>
    <r>
      <rPr>
        <sz val="10"/>
        <rFont val="Verdana"/>
        <family val="2"/>
      </rPr>
      <t>RT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(n/n-1)(r</t>
    </r>
    <r>
      <rPr>
        <vertAlign val="superscript"/>
        <sz val="10"/>
        <rFont val="Verdana"/>
        <family val="2"/>
      </rPr>
      <t>(n-1/n)</t>
    </r>
    <r>
      <rPr>
        <sz val="10"/>
        <rFont val="Verdana"/>
        <family val="2"/>
      </rPr>
      <t>-1)</t>
    </r>
  </si>
  <si>
    <r>
      <t>H</t>
    </r>
    <r>
      <rPr>
        <vertAlign val="subscript"/>
        <sz val="10"/>
        <rFont val="Verdana"/>
        <family val="2"/>
      </rPr>
      <t>po(Length Unit)</t>
    </r>
    <r>
      <rPr>
        <sz val="10"/>
        <rFont val="Verdana"/>
        <family val="2"/>
      </rPr>
      <t xml:space="preserve"> = H</t>
    </r>
    <r>
      <rPr>
        <vertAlign val="subscript"/>
        <sz val="10"/>
        <rFont val="Verdana"/>
        <family val="2"/>
      </rPr>
      <t>po-CUST</t>
    </r>
    <r>
      <rPr>
        <sz val="10"/>
        <rFont val="Verdana"/>
        <family val="2"/>
      </rPr>
      <t>/1   | 1000H</t>
    </r>
    <r>
      <rPr>
        <vertAlign val="subscript"/>
        <sz val="10"/>
        <rFont val="Verdana"/>
        <family val="2"/>
      </rPr>
      <t>po-METRIC</t>
    </r>
    <r>
      <rPr>
        <sz val="10"/>
        <rFont val="Verdana"/>
        <family val="2"/>
      </rPr>
      <t>/9.81</t>
    </r>
  </si>
  <si>
    <r>
      <t>r</t>
    </r>
    <r>
      <rPr>
        <vertAlign val="subscript"/>
        <sz val="10"/>
        <rFont val="Verdana"/>
        <family val="2"/>
      </rPr>
      <t>s</t>
    </r>
    <r>
      <rPr>
        <sz val="10"/>
        <rFont val="Verdana"/>
        <family val="2"/>
      </rPr>
      <t xml:space="preserve"> = r</t>
    </r>
    <r>
      <rPr>
        <vertAlign val="superscript"/>
        <sz val="10"/>
        <rFont val="Verdana"/>
        <family val="2"/>
      </rPr>
      <t>(1/St)</t>
    </r>
  </si>
  <si>
    <r>
      <t>GHP</t>
    </r>
    <r>
      <rPr>
        <vertAlign val="subscript"/>
        <sz val="10"/>
        <rFont val="Verdana"/>
        <family val="2"/>
      </rPr>
      <t>CUS</t>
    </r>
    <r>
      <rPr>
        <sz val="10"/>
        <rFont val="Verdana"/>
        <family val="2"/>
      </rPr>
      <t xml:space="preserve"> = (W.H</t>
    </r>
    <r>
      <rPr>
        <vertAlign val="subscript"/>
        <sz val="10"/>
        <rFont val="Verdana"/>
        <family val="2"/>
      </rPr>
      <t>po</t>
    </r>
    <r>
      <rPr>
        <sz val="10"/>
        <rFont val="Verdana"/>
        <family val="2"/>
      </rPr>
      <t>)/(33000η</t>
    </r>
    <r>
      <rPr>
        <vertAlign val="subscript"/>
        <sz val="10"/>
        <rFont val="Verdana"/>
        <family val="2"/>
      </rPr>
      <t>po</t>
    </r>
    <r>
      <rPr>
        <sz val="10"/>
        <rFont val="Verdana"/>
        <family val="2"/>
      </rPr>
      <t>)</t>
    </r>
  </si>
  <si>
    <r>
      <t>GHP</t>
    </r>
    <r>
      <rPr>
        <vertAlign val="subscript"/>
        <sz val="10"/>
        <rFont val="Verdana"/>
        <family val="2"/>
      </rPr>
      <t>MET</t>
    </r>
    <r>
      <rPr>
        <sz val="10"/>
        <rFont val="Verdana"/>
        <family val="2"/>
      </rPr>
      <t xml:space="preserve"> = (W.H</t>
    </r>
    <r>
      <rPr>
        <vertAlign val="subscript"/>
        <sz val="10"/>
        <rFont val="Verdana"/>
        <family val="2"/>
      </rPr>
      <t>po</t>
    </r>
    <r>
      <rPr>
        <sz val="10"/>
        <rFont val="Verdana"/>
        <family val="2"/>
      </rPr>
      <t>)/η</t>
    </r>
    <r>
      <rPr>
        <vertAlign val="subscript"/>
        <sz val="10"/>
        <rFont val="Verdana"/>
        <family val="2"/>
      </rPr>
      <t>po</t>
    </r>
  </si>
  <si>
    <r>
      <t>SHP= GHP+GHP</t>
    </r>
    <r>
      <rPr>
        <vertAlign val="subscript"/>
        <sz val="10"/>
        <rFont val="Verdana"/>
        <family val="2"/>
      </rPr>
      <t>i</t>
    </r>
    <r>
      <rPr>
        <sz val="10"/>
        <rFont val="Verdana"/>
        <family val="2"/>
      </rPr>
      <t>+M</t>
    </r>
    <r>
      <rPr>
        <vertAlign val="subscript"/>
        <sz val="10"/>
        <rFont val="Verdana"/>
        <family val="2"/>
      </rPr>
      <t>L</t>
    </r>
  </si>
  <si>
    <r>
      <t>THP = SHP/η</t>
    </r>
    <r>
      <rPr>
        <vertAlign val="subscript"/>
        <sz val="10"/>
        <rFont val="Verdana"/>
        <family val="2"/>
      </rPr>
      <t>GB</t>
    </r>
  </si>
  <si>
    <r>
      <t xml:space="preserve">BHP = THP </t>
    </r>
    <r>
      <rPr>
        <vertAlign val="subscript"/>
        <sz val="10"/>
        <rFont val="Verdana"/>
        <family val="2"/>
      </rPr>
      <t>X</t>
    </r>
    <r>
      <rPr>
        <sz val="10"/>
        <rFont val="Verdana"/>
        <family val="2"/>
      </rPr>
      <t xml:space="preserve"> PSF</t>
    </r>
  </si>
  <si>
    <r>
      <t>METRIC: H</t>
    </r>
    <r>
      <rPr>
        <vertAlign val="subscript"/>
        <sz val="10"/>
        <rFont val="Verdana"/>
        <family val="2"/>
      </rPr>
      <t>m/w</t>
    </r>
    <r>
      <rPr>
        <sz val="10"/>
        <rFont val="Verdana"/>
        <family val="2"/>
      </rPr>
      <t xml:space="preserve"> = 45000 - 4500(MW)</t>
    </r>
    <r>
      <rPr>
        <vertAlign val="superscript"/>
        <sz val="10"/>
        <rFont val="Verdana"/>
        <family val="2"/>
      </rPr>
      <t>0.35</t>
    </r>
  </si>
  <si>
    <r>
      <t>COSTUM: H</t>
    </r>
    <r>
      <rPr>
        <vertAlign val="subscript"/>
        <sz val="10"/>
        <rFont val="Verdana"/>
        <family val="2"/>
      </rPr>
      <t>m/w</t>
    </r>
    <r>
      <rPr>
        <sz val="10"/>
        <rFont val="Verdana"/>
        <family val="2"/>
      </rPr>
      <t xml:space="preserve"> = 15000 - 1500(MW)</t>
    </r>
    <r>
      <rPr>
        <vertAlign val="superscript"/>
        <sz val="10"/>
        <rFont val="Verdana"/>
        <family val="2"/>
      </rPr>
      <t>0.35</t>
    </r>
  </si>
  <si>
    <r>
      <t>N= N</t>
    </r>
    <r>
      <rPr>
        <vertAlign val="subscript"/>
        <sz val="10"/>
        <rFont val="Verdana"/>
        <family val="2"/>
      </rPr>
      <t>nominal</t>
    </r>
    <r>
      <rPr>
        <sz val="10"/>
        <rFont val="Verdana"/>
        <family val="2"/>
      </rPr>
      <t xml:space="preserve"> √</t>
    </r>
    <r>
      <rPr>
        <b/>
        <sz val="10"/>
        <rFont val="Verdana"/>
        <family val="2"/>
      </rPr>
      <t>(</t>
    </r>
    <r>
      <rPr>
        <sz val="10"/>
        <rFont val="Verdana"/>
        <family val="2"/>
      </rPr>
      <t>H</t>
    </r>
    <r>
      <rPr>
        <vertAlign val="subscript"/>
        <sz val="10"/>
        <rFont val="Verdana"/>
        <family val="2"/>
      </rPr>
      <t>po-Total</t>
    </r>
    <r>
      <rPr>
        <sz val="10"/>
        <rFont val="Verdana"/>
        <family val="2"/>
      </rPr>
      <t xml:space="preserve"> / (W</t>
    </r>
    <r>
      <rPr>
        <vertAlign val="subscript"/>
        <sz val="10"/>
        <rFont val="Verdana"/>
        <family val="2"/>
      </rPr>
      <t>n</t>
    </r>
    <r>
      <rPr>
        <sz val="10"/>
        <rFont val="Verdana"/>
        <family val="2"/>
      </rPr>
      <t>)(H</t>
    </r>
    <r>
      <rPr>
        <vertAlign val="subscript"/>
        <sz val="10"/>
        <rFont val="Verdana"/>
        <family val="2"/>
      </rPr>
      <t>m/w</t>
    </r>
    <r>
      <rPr>
        <sz val="10"/>
        <rFont val="Verdana"/>
        <family val="2"/>
      </rPr>
      <t>)</t>
    </r>
    <r>
      <rPr>
        <b/>
        <sz val="10"/>
        <rFont val="Verdana"/>
        <family val="2"/>
      </rPr>
      <t>)</t>
    </r>
  </si>
  <si>
    <r>
      <t>H</t>
    </r>
    <r>
      <rPr>
        <vertAlign val="subscript"/>
        <sz val="10"/>
        <rFont val="Verdana"/>
        <family val="2"/>
      </rPr>
      <t>po/w</t>
    </r>
    <r>
      <rPr>
        <sz val="10"/>
        <rFont val="Verdana"/>
        <family val="2"/>
      </rPr>
      <t xml:space="preserve"> = H</t>
    </r>
    <r>
      <rPr>
        <vertAlign val="subscript"/>
        <sz val="10"/>
        <rFont val="Verdana"/>
        <family val="2"/>
      </rPr>
      <t>po-Total</t>
    </r>
    <r>
      <rPr>
        <sz val="10"/>
        <rFont val="Verdana"/>
        <family val="2"/>
      </rPr>
      <t xml:space="preserve"> / W</t>
    </r>
    <r>
      <rPr>
        <vertAlign val="subscript"/>
        <sz val="10"/>
        <rFont val="Verdana"/>
        <family val="2"/>
      </rPr>
      <t>n</t>
    </r>
  </si>
  <si>
    <r>
      <t>Ψ = H</t>
    </r>
    <r>
      <rPr>
        <vertAlign val="subscript"/>
        <sz val="10"/>
        <rFont val="Verdana"/>
        <family val="2"/>
      </rPr>
      <t>po</t>
    </r>
    <r>
      <rPr>
        <sz val="10"/>
        <rFont val="Verdana"/>
        <family val="2"/>
      </rPr>
      <t>.g/u</t>
    </r>
    <r>
      <rPr>
        <vertAlign val="superscript"/>
        <sz val="10"/>
        <rFont val="Verdana"/>
        <family val="2"/>
      </rPr>
      <t xml:space="preserve">2   </t>
    </r>
    <r>
      <rPr>
        <sz val="10"/>
        <rFont val="Verdana"/>
        <family val="2"/>
      </rPr>
      <t>(u: tip/peripheral speed)</t>
    </r>
  </si>
  <si>
    <r>
      <t>D</t>
    </r>
    <r>
      <rPr>
        <vertAlign val="subscript"/>
        <sz val="10"/>
        <rFont val="Verdana"/>
        <family val="2"/>
      </rPr>
      <t>(MET.)</t>
    </r>
    <r>
      <rPr>
        <sz val="10"/>
        <rFont val="Verdana"/>
        <family val="2"/>
      </rPr>
      <t>=(59.82/N)√(H/Ψ)</t>
    </r>
  </si>
  <si>
    <r>
      <t>D</t>
    </r>
    <r>
      <rPr>
        <vertAlign val="subscript"/>
        <sz val="10"/>
        <rFont val="Verdana"/>
        <family val="2"/>
      </rPr>
      <t>(CUS)</t>
    </r>
    <r>
      <rPr>
        <sz val="10"/>
        <rFont val="Verdana"/>
        <family val="2"/>
      </rPr>
      <t>=(1300/N)√(H/Ψ)</t>
    </r>
  </si>
  <si>
    <r>
      <t>u</t>
    </r>
    <r>
      <rPr>
        <vertAlign val="subscript"/>
        <sz val="10"/>
        <rFont val="Verdana"/>
        <family val="2"/>
      </rPr>
      <t>(MET)</t>
    </r>
    <r>
      <rPr>
        <sz val="10"/>
        <rFont val="Verdana"/>
        <family val="2"/>
      </rPr>
      <t>= πDN/60</t>
    </r>
  </si>
  <si>
    <r>
      <t>u</t>
    </r>
    <r>
      <rPr>
        <vertAlign val="subscript"/>
        <sz val="10"/>
        <rFont val="Verdana"/>
        <family val="2"/>
      </rPr>
      <t>(CUS)</t>
    </r>
    <r>
      <rPr>
        <sz val="10"/>
        <rFont val="Verdana"/>
        <family val="2"/>
      </rPr>
      <t>= πDN/720</t>
    </r>
  </si>
  <si>
    <r>
      <t>Φ = Q/(π/4)D</t>
    </r>
    <r>
      <rPr>
        <vertAlign val="superscript"/>
        <sz val="10"/>
        <rFont val="Verdana"/>
        <family val="2"/>
      </rPr>
      <t>2</t>
    </r>
    <r>
      <rPr>
        <sz val="10"/>
        <rFont val="Verdana"/>
        <family val="2"/>
      </rPr>
      <t>u</t>
    </r>
  </si>
  <si>
    <r>
      <t>N</t>
    </r>
    <r>
      <rPr>
        <vertAlign val="subscript"/>
        <sz val="10"/>
        <rFont val="Verdana"/>
        <family val="2"/>
      </rPr>
      <t>s</t>
    </r>
    <r>
      <rPr>
        <sz val="10"/>
        <rFont val="Verdana"/>
        <family val="2"/>
      </rPr>
      <t xml:space="preserve"> = ∫(Φ;Ψ) = NQ</t>
    </r>
    <r>
      <rPr>
        <vertAlign val="superscript"/>
        <sz val="10"/>
        <rFont val="Verdana"/>
        <family val="2"/>
      </rPr>
      <t>0.5</t>
    </r>
    <r>
      <rPr>
        <sz val="10"/>
        <rFont val="Verdana"/>
        <family val="2"/>
      </rPr>
      <t>/H</t>
    </r>
    <r>
      <rPr>
        <vertAlign val="superscript"/>
        <sz val="10"/>
        <rFont val="Verdana"/>
        <family val="2"/>
      </rPr>
      <t>0.75</t>
    </r>
  </si>
  <si>
    <r>
      <t>V</t>
    </r>
    <r>
      <rPr>
        <vertAlign val="subscript"/>
        <sz val="10"/>
        <rFont val="Verdana"/>
        <family val="2"/>
      </rPr>
      <t>s-CUST</t>
    </r>
    <r>
      <rPr>
        <sz val="10"/>
        <rFont val="Verdana"/>
        <family val="2"/>
      </rPr>
      <t xml:space="preserve"> = √(k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gRT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Z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) | V</t>
    </r>
    <r>
      <rPr>
        <vertAlign val="subscript"/>
        <sz val="10"/>
        <rFont val="Verdana"/>
        <family val="2"/>
      </rPr>
      <t>s-MET</t>
    </r>
    <r>
      <rPr>
        <sz val="10"/>
        <rFont val="Verdana"/>
        <family val="2"/>
      </rPr>
      <t xml:space="preserve"> = √(1000k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RT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Z</t>
    </r>
    <r>
      <rPr>
        <vertAlign val="subscript"/>
        <sz val="10"/>
        <rFont val="Verdana"/>
        <family val="2"/>
      </rPr>
      <t>1</t>
    </r>
    <r>
      <rPr>
        <sz val="10"/>
        <rFont val="Verdana"/>
        <family val="2"/>
      </rPr>
      <t>)</t>
    </r>
  </si>
  <si>
    <r>
      <t>M</t>
    </r>
    <r>
      <rPr>
        <vertAlign val="subscript"/>
        <sz val="10"/>
        <rFont val="Verdana"/>
        <family val="2"/>
      </rPr>
      <t>a</t>
    </r>
    <r>
      <rPr>
        <sz val="10"/>
        <rFont val="Verdana"/>
        <family val="2"/>
      </rPr>
      <t xml:space="preserve"> = u/V</t>
    </r>
    <r>
      <rPr>
        <vertAlign val="subscript"/>
        <sz val="10"/>
        <rFont val="Verdana"/>
        <family val="2"/>
      </rPr>
      <t>s</t>
    </r>
    <r>
      <rPr>
        <sz val="10"/>
        <rFont val="Verdana"/>
        <family val="2"/>
      </rPr>
      <t xml:space="preserve"> </t>
    </r>
  </si>
  <si>
    <t>PREPARED BY</t>
  </si>
  <si>
    <t>Propane Refrigerant Compressor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</si>
</sst>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0"/>
    <numFmt numFmtId="166" formatCode="0.000"/>
    <numFmt numFmtId="167" formatCode="0.0000"/>
    <numFmt numFmtId="168" formatCode="#,##0.000"/>
  </numFmts>
  <fonts count="58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sz val="9"/>
      <color rgb="FFC00000"/>
      <name val="Verdana"/>
      <family val="2"/>
    </font>
    <font>
      <b/>
      <sz val="10"/>
      <color theme="1"/>
      <name val="Verdana"/>
      <family val="2"/>
    </font>
    <font>
      <sz val="8"/>
      <color theme="1"/>
      <name val="Verdana"/>
      <family val="2"/>
    </font>
    <font>
      <b/>
      <sz val="9"/>
      <color rgb="FFC00000"/>
      <name val="Verdana"/>
      <family val="2"/>
    </font>
    <font>
      <sz val="9"/>
      <name val="Verdana"/>
      <family val="2"/>
    </font>
    <font>
      <vertAlign val="subscript"/>
      <sz val="10"/>
      <color theme="1"/>
      <name val="Verdana"/>
      <family val="2"/>
    </font>
    <font>
      <sz val="10"/>
      <color rgb="FF0000CC"/>
      <name val="Verdana"/>
      <family val="2"/>
    </font>
    <font>
      <b/>
      <vertAlign val="subscript"/>
      <sz val="10"/>
      <color theme="1"/>
      <name val="Verdana"/>
      <family val="2"/>
    </font>
    <font>
      <b/>
      <sz val="10"/>
      <color rgb="FFC00000"/>
      <name val="Verdana"/>
      <family val="2"/>
    </font>
    <font>
      <vertAlign val="superscript"/>
      <sz val="8"/>
      <color theme="1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9"/>
      <color rgb="FF0000CC"/>
      <name val="Verdana"/>
      <family val="2"/>
    </font>
    <font>
      <b/>
      <sz val="9"/>
      <name val="Verdana"/>
      <family val="2"/>
    </font>
    <font>
      <b/>
      <vertAlign val="subscript"/>
      <sz val="9"/>
      <name val="Verdana"/>
      <family val="2"/>
    </font>
    <font>
      <sz val="9"/>
      <color rgb="FFFFFFFF"/>
      <name val="Verdana"/>
      <family val="2"/>
    </font>
    <font>
      <b/>
      <sz val="10"/>
      <color rgb="FF0000CC"/>
      <name val="Verdana"/>
      <family val="2"/>
    </font>
    <font>
      <sz val="10"/>
      <color theme="0"/>
      <name val="Verdana"/>
      <family val="2"/>
    </font>
    <font>
      <sz val="9"/>
      <color rgb="FFFFFF00"/>
      <name val="Verdana"/>
      <family val="2"/>
    </font>
    <font>
      <sz val="10"/>
      <color rgb="FFFFFFFF"/>
      <name val="Verdana"/>
      <family val="2"/>
    </font>
    <font>
      <sz val="8"/>
      <color theme="0"/>
      <name val="Verdana"/>
      <family val="2"/>
    </font>
    <font>
      <sz val="9"/>
      <color theme="0"/>
      <name val="Verdana"/>
      <family val="2"/>
    </font>
    <font>
      <sz val="10"/>
      <color rgb="FFFFFF00"/>
      <name val="Verdana"/>
      <family val="2"/>
    </font>
    <font>
      <b/>
      <sz val="8"/>
      <name val="Verdana"/>
      <family val="2"/>
    </font>
    <font>
      <b/>
      <vertAlign val="superscript"/>
      <sz val="8"/>
      <name val="Verdana"/>
      <family val="2"/>
    </font>
    <font>
      <b/>
      <sz val="9"/>
      <color rgb="FF0000CC"/>
      <name val="Verdana"/>
      <family val="2"/>
    </font>
    <font>
      <b/>
      <sz val="10"/>
      <color rgb="FF92D050"/>
      <name val="Verdana"/>
      <family val="2"/>
    </font>
    <font>
      <b/>
      <vertAlign val="subscript"/>
      <sz val="10"/>
      <color rgb="FF0000CC"/>
      <name val="Verdana"/>
      <family val="2"/>
    </font>
    <font>
      <b/>
      <sz val="11"/>
      <color theme="0"/>
      <name val="Verdana"/>
      <family val="2"/>
    </font>
    <font>
      <b/>
      <sz val="10"/>
      <color rgb="FF920000"/>
      <name val="Verdana"/>
      <family val="2"/>
    </font>
    <font>
      <sz val="10"/>
      <color theme="7" tint="0.59999389629810485"/>
      <name val="Verdana"/>
      <family val="2"/>
    </font>
    <font>
      <b/>
      <sz val="9"/>
      <color rgb="FF920000"/>
      <name val="Verdana"/>
      <family val="2"/>
    </font>
    <font>
      <b/>
      <sz val="10"/>
      <color rgb="FF00B0F0"/>
      <name val="Verdana"/>
      <family val="2"/>
    </font>
    <font>
      <vertAlign val="subscript"/>
      <sz val="10"/>
      <name val="Verdana"/>
      <family val="2"/>
    </font>
    <font>
      <b/>
      <i/>
      <u/>
      <sz val="10"/>
      <name val="Verdana"/>
      <family val="2"/>
    </font>
    <font>
      <vertAlign val="superscript"/>
      <sz val="1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3F3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93"/>
        <bgColor indexed="64"/>
      </patternFill>
    </fill>
    <fill>
      <patternFill patternType="solid">
        <fgColor theme="3" tint="-0.249977111117893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FF0000"/>
      </top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auto="1"/>
      </left>
      <right/>
      <top style="thin">
        <color rgb="FFC00000"/>
      </top>
      <bottom style="thin">
        <color auto="1"/>
      </bottom>
      <diagonal/>
    </border>
    <border>
      <left/>
      <right style="thin">
        <color auto="1"/>
      </right>
      <top style="thin">
        <color rgb="FFC00000"/>
      </top>
      <bottom style="thin">
        <color auto="1"/>
      </bottom>
      <diagonal/>
    </border>
    <border>
      <left style="thin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indexed="64"/>
      </top>
      <bottom style="thin">
        <color rgb="FFFF0000"/>
      </bottom>
      <diagonal/>
    </border>
    <border>
      <left style="thin">
        <color auto="1"/>
      </left>
      <right style="thin">
        <color rgb="FFC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rgb="FF7E0000"/>
      </left>
      <right style="thin">
        <color rgb="FF7E0000"/>
      </right>
      <top style="thin">
        <color rgb="FF7E0000"/>
      </top>
      <bottom style="thin">
        <color rgb="FF7E0000"/>
      </bottom>
      <diagonal/>
    </border>
    <border>
      <left style="thin">
        <color rgb="FF7E0000"/>
      </left>
      <right/>
      <top style="thin">
        <color rgb="FF7E0000"/>
      </top>
      <bottom style="thin">
        <color rgb="FF7E0000"/>
      </bottom>
      <diagonal/>
    </border>
    <border>
      <left/>
      <right/>
      <top style="thin">
        <color rgb="FF7E0000"/>
      </top>
      <bottom style="thin">
        <color rgb="FF7E0000"/>
      </bottom>
      <diagonal/>
    </border>
    <border>
      <left/>
      <right style="thin">
        <color rgb="FF7E0000"/>
      </right>
      <top style="thin">
        <color rgb="FF7E0000"/>
      </top>
      <bottom style="thin">
        <color rgb="FF7E0000"/>
      </bottom>
      <diagonal/>
    </border>
    <border>
      <left style="thin">
        <color rgb="FF7E0000"/>
      </left>
      <right/>
      <top style="thin">
        <color rgb="FF7E0000"/>
      </top>
      <bottom/>
      <diagonal/>
    </border>
    <border>
      <left/>
      <right/>
      <top style="thin">
        <color rgb="FF7E0000"/>
      </top>
      <bottom/>
      <diagonal/>
    </border>
    <border>
      <left/>
      <right style="thin">
        <color rgb="FF7E0000"/>
      </right>
      <top style="thin">
        <color rgb="FF7E0000"/>
      </top>
      <bottom/>
      <diagonal/>
    </border>
    <border>
      <left style="thin">
        <color rgb="FF7E0000"/>
      </left>
      <right/>
      <top/>
      <bottom style="thin">
        <color rgb="FF7E0000"/>
      </bottom>
      <diagonal/>
    </border>
    <border>
      <left/>
      <right/>
      <top/>
      <bottom style="thin">
        <color rgb="FF7E0000"/>
      </bottom>
      <diagonal/>
    </border>
    <border>
      <left/>
      <right style="thin">
        <color rgb="FF7E0000"/>
      </right>
      <top/>
      <bottom style="thin">
        <color rgb="FF7E0000"/>
      </bottom>
      <diagonal/>
    </border>
    <border>
      <left style="thin">
        <color rgb="FF7E0000"/>
      </left>
      <right style="thin">
        <color rgb="FF7E0000"/>
      </right>
      <top style="thin">
        <color rgb="FF7E0000"/>
      </top>
      <bottom style="thin">
        <color indexed="64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double">
        <color rgb="FFC00000"/>
      </left>
      <right/>
      <top style="double">
        <color rgb="FFC00000"/>
      </top>
      <bottom/>
      <diagonal/>
    </border>
    <border>
      <left/>
      <right/>
      <top style="double">
        <color rgb="FFC00000"/>
      </top>
      <bottom/>
      <diagonal/>
    </border>
    <border>
      <left/>
      <right style="double">
        <color rgb="FFC00000"/>
      </right>
      <top style="double">
        <color rgb="FFC00000"/>
      </top>
      <bottom/>
      <diagonal/>
    </border>
    <border>
      <left style="double">
        <color rgb="FFC00000"/>
      </left>
      <right/>
      <top/>
      <bottom/>
      <diagonal/>
    </border>
    <border>
      <left/>
      <right style="double">
        <color rgb="FFC00000"/>
      </right>
      <top/>
      <bottom/>
      <diagonal/>
    </border>
    <border>
      <left style="double">
        <color rgb="FFC00000"/>
      </left>
      <right/>
      <top/>
      <bottom style="double">
        <color rgb="FFC00000"/>
      </bottom>
      <diagonal/>
    </border>
    <border>
      <left/>
      <right/>
      <top/>
      <bottom style="double">
        <color rgb="FFC00000"/>
      </bottom>
      <diagonal/>
    </border>
    <border>
      <left/>
      <right style="double">
        <color rgb="FFC00000"/>
      </right>
      <top/>
      <bottom style="double">
        <color rgb="FFC00000"/>
      </bottom>
      <diagonal/>
    </border>
    <border>
      <left style="thin">
        <color rgb="FF920000"/>
      </left>
      <right style="thin">
        <color rgb="FF920000"/>
      </right>
      <top style="thin">
        <color indexed="64"/>
      </top>
      <bottom style="thin">
        <color rgb="FF920000"/>
      </bottom>
      <diagonal/>
    </border>
    <border>
      <left style="thin">
        <color rgb="FF920000"/>
      </left>
      <right style="thin">
        <color rgb="FF920000"/>
      </right>
      <top style="thin">
        <color rgb="FF920000"/>
      </top>
      <bottom style="thin">
        <color rgb="FF920000"/>
      </bottom>
      <diagonal/>
    </border>
    <border>
      <left/>
      <right/>
      <top style="double">
        <color rgb="FFC00000"/>
      </top>
      <bottom style="thin">
        <color auto="1"/>
      </bottom>
      <diagonal/>
    </border>
  </borders>
  <cellStyleXfs count="1">
    <xf numFmtId="0" fontId="0" fillId="0" borderId="0"/>
  </cellStyleXfs>
  <cellXfs count="236">
    <xf numFmtId="0" fontId="0" fillId="0" borderId="0" xfId="0"/>
    <xf numFmtId="0" fontId="0" fillId="0" borderId="0" xfId="0" applyBorder="1"/>
    <xf numFmtId="0" fontId="19" fillId="0" borderId="0" xfId="0" applyFont="1" applyAlignment="1">
      <alignment vertical="center"/>
    </xf>
    <xf numFmtId="0" fontId="23" fillId="3" borderId="16" xfId="0" applyFont="1" applyFill="1" applyBorder="1" applyAlignment="1">
      <alignment horizontal="left" vertical="center"/>
    </xf>
    <xf numFmtId="0" fontId="23" fillId="3" borderId="16" xfId="0" applyFont="1" applyFill="1" applyBorder="1" applyAlignment="1">
      <alignment horizontal="centerContinuous" vertical="center"/>
    </xf>
    <xf numFmtId="0" fontId="19" fillId="3" borderId="16" xfId="0" applyFont="1" applyFill="1" applyBorder="1" applyAlignment="1">
      <alignment horizontal="left" vertical="center"/>
    </xf>
    <xf numFmtId="0" fontId="30" fillId="0" borderId="17" xfId="0" quotePrefix="1" applyFont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fill" vertical="center"/>
    </xf>
    <xf numFmtId="0" fontId="18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24" fillId="2" borderId="0" xfId="0" applyFont="1" applyFill="1" applyAlignment="1">
      <alignment horizontal="right" vertical="center"/>
    </xf>
    <xf numFmtId="0" fontId="30" fillId="0" borderId="17" xfId="0" applyFont="1" applyBorder="1" applyAlignment="1">
      <alignment horizontal="center" vertical="center"/>
    </xf>
    <xf numFmtId="0" fontId="19" fillId="2" borderId="0" xfId="0" applyFont="1" applyFill="1" applyBorder="1" applyAlignment="1">
      <alignment horizontal="right" vertical="center"/>
    </xf>
    <xf numFmtId="0" fontId="24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17" fillId="2" borderId="0" xfId="0" applyFont="1" applyFill="1" applyAlignment="1">
      <alignment horizontal="left" vertical="center"/>
    </xf>
    <xf numFmtId="0" fontId="30" fillId="0" borderId="5" xfId="0" applyFont="1" applyBorder="1" applyAlignment="1">
      <alignment horizontal="center" vertical="center"/>
    </xf>
    <xf numFmtId="0" fontId="42" fillId="5" borderId="24" xfId="0" applyFont="1" applyFill="1" applyBorder="1" applyAlignment="1" applyProtection="1">
      <alignment horizontal="right" vertical="center"/>
      <protection locked="0"/>
    </xf>
    <xf numFmtId="0" fontId="39" fillId="5" borderId="24" xfId="0" applyFont="1" applyFill="1" applyBorder="1" applyAlignment="1" applyProtection="1">
      <alignment horizontal="right" vertical="center"/>
      <protection locked="0"/>
    </xf>
    <xf numFmtId="0" fontId="24" fillId="0" borderId="0" xfId="0" applyFont="1" applyAlignment="1">
      <alignment horizontal="right" vertical="center"/>
    </xf>
    <xf numFmtId="0" fontId="23" fillId="0" borderId="0" xfId="0" applyFont="1" applyAlignment="1">
      <alignment vertical="center"/>
    </xf>
    <xf numFmtId="0" fontId="23" fillId="4" borderId="0" xfId="0" applyFont="1" applyFill="1" applyAlignment="1">
      <alignment horizontal="left" vertical="center"/>
    </xf>
    <xf numFmtId="0" fontId="23" fillId="4" borderId="0" xfId="0" applyFont="1" applyFill="1" applyAlignment="1">
      <alignment vertical="center"/>
    </xf>
    <xf numFmtId="0" fontId="19" fillId="4" borderId="0" xfId="0" applyFont="1" applyFill="1" applyAlignment="1">
      <alignment vertical="center"/>
    </xf>
    <xf numFmtId="0" fontId="19" fillId="4" borderId="0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164" fontId="19" fillId="2" borderId="0" xfId="0" applyNumberFormat="1" applyFont="1" applyFill="1" applyAlignment="1">
      <alignment horizontal="left" vertical="center"/>
    </xf>
    <xf numFmtId="0" fontId="19" fillId="2" borderId="0" xfId="0" applyFont="1" applyFill="1" applyAlignment="1">
      <alignment horizontal="right" vertical="center"/>
    </xf>
    <xf numFmtId="1" fontId="28" fillId="2" borderId="0" xfId="0" applyNumberFormat="1" applyFont="1" applyFill="1" applyBorder="1" applyAlignment="1">
      <alignment horizontal="center" vertical="center"/>
    </xf>
    <xf numFmtId="0" fontId="23" fillId="2" borderId="0" xfId="0" applyFont="1" applyFill="1" applyAlignment="1">
      <alignment vertical="center"/>
    </xf>
    <xf numFmtId="166" fontId="28" fillId="2" borderId="0" xfId="0" applyNumberFormat="1" applyFont="1" applyFill="1" applyBorder="1" applyAlignment="1">
      <alignment horizontal="center" vertical="center"/>
    </xf>
    <xf numFmtId="166" fontId="28" fillId="2" borderId="0" xfId="0" applyNumberFormat="1" applyFont="1" applyFill="1" applyBorder="1" applyAlignment="1">
      <alignment vertical="center"/>
    </xf>
    <xf numFmtId="0" fontId="18" fillId="2" borderId="0" xfId="0" applyFont="1" applyFill="1" applyAlignment="1">
      <alignment horizontal="right" vertical="center"/>
    </xf>
    <xf numFmtId="0" fontId="19" fillId="2" borderId="0" xfId="0" applyFont="1" applyFill="1" applyBorder="1" applyAlignment="1">
      <alignment vertical="center"/>
    </xf>
    <xf numFmtId="1" fontId="35" fillId="2" borderId="0" xfId="0" applyNumberFormat="1" applyFont="1" applyFill="1" applyBorder="1" applyAlignment="1">
      <alignment vertical="center"/>
    </xf>
    <xf numFmtId="2" fontId="28" fillId="2" borderId="0" xfId="0" applyNumberFormat="1" applyFont="1" applyFill="1" applyBorder="1" applyAlignment="1">
      <alignment horizontal="center" vertical="center"/>
    </xf>
    <xf numFmtId="2" fontId="19" fillId="2" borderId="0" xfId="0" applyNumberFormat="1" applyFont="1" applyFill="1" applyAlignment="1">
      <alignment horizontal="left" vertical="center"/>
    </xf>
    <xf numFmtId="166" fontId="32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28" fillId="2" borderId="0" xfId="0" applyNumberFormat="1" applyFont="1" applyFill="1" applyBorder="1" applyAlignment="1">
      <alignment horizontal="center" vertical="center"/>
    </xf>
    <xf numFmtId="165" fontId="28" fillId="2" borderId="0" xfId="0" applyNumberFormat="1" applyFont="1" applyFill="1" applyBorder="1" applyAlignment="1">
      <alignment horizontal="center" vertical="center"/>
    </xf>
    <xf numFmtId="0" fontId="18" fillId="2" borderId="0" xfId="0" quotePrefix="1" applyFont="1" applyFill="1" applyAlignment="1">
      <alignment vertical="center"/>
    </xf>
    <xf numFmtId="0" fontId="30" fillId="2" borderId="0" xfId="0" quotePrefix="1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0" fillId="6" borderId="0" xfId="0" applyFont="1" applyFill="1" applyBorder="1" applyAlignment="1">
      <alignment vertical="center"/>
    </xf>
    <xf numFmtId="0" fontId="21" fillId="3" borderId="16" xfId="0" applyFont="1" applyFill="1" applyBorder="1" applyAlignment="1">
      <alignment horizontal="centerContinuous" vertical="center"/>
    </xf>
    <xf numFmtId="0" fontId="20" fillId="3" borderId="16" xfId="0" applyFont="1" applyFill="1" applyBorder="1" applyAlignment="1">
      <alignment horizontal="centerContinuous" vertical="center"/>
    </xf>
    <xf numFmtId="0" fontId="20" fillId="3" borderId="16" xfId="0" applyFont="1" applyFill="1" applyBorder="1" applyAlignment="1">
      <alignment vertical="center"/>
    </xf>
    <xf numFmtId="0" fontId="20" fillId="6" borderId="0" xfId="0" applyFont="1" applyFill="1" applyAlignment="1">
      <alignment vertical="center"/>
    </xf>
    <xf numFmtId="0" fontId="20" fillId="0" borderId="0" xfId="0" applyFont="1" applyBorder="1" applyAlignment="1">
      <alignment vertical="center" wrapText="1"/>
    </xf>
    <xf numFmtId="0" fontId="35" fillId="6" borderId="0" xfId="0" applyFont="1" applyFill="1" applyAlignment="1">
      <alignment vertical="center"/>
    </xf>
    <xf numFmtId="0" fontId="20" fillId="6" borderId="0" xfId="0" applyFont="1" applyFill="1" applyAlignment="1">
      <alignment horizontal="center" vertical="center"/>
    </xf>
    <xf numFmtId="0" fontId="20" fillId="6" borderId="0" xfId="0" applyFont="1" applyFill="1" applyBorder="1" applyAlignment="1">
      <alignment vertical="center" wrapText="1"/>
    </xf>
    <xf numFmtId="0" fontId="21" fillId="6" borderId="0" xfId="0" applyFont="1" applyFill="1" applyBorder="1" applyAlignment="1">
      <alignment vertical="center"/>
    </xf>
    <xf numFmtId="0" fontId="48" fillId="0" borderId="17" xfId="0" quotePrefix="1" applyFont="1" applyBorder="1" applyAlignment="1">
      <alignment horizontal="center" vertical="center"/>
    </xf>
    <xf numFmtId="2" fontId="28" fillId="2" borderId="12" xfId="0" applyNumberFormat="1" applyFont="1" applyFill="1" applyBorder="1" applyAlignment="1">
      <alignment horizontal="center" vertical="center"/>
    </xf>
    <xf numFmtId="165" fontId="28" fillId="2" borderId="12" xfId="0" applyNumberFormat="1" applyFont="1" applyFill="1" applyBorder="1" applyAlignment="1">
      <alignment horizontal="center" vertical="center"/>
    </xf>
    <xf numFmtId="0" fontId="21" fillId="6" borderId="0" xfId="0" applyFont="1" applyFill="1" applyAlignment="1">
      <alignment vertical="center"/>
    </xf>
    <xf numFmtId="0" fontId="38" fillId="2" borderId="0" xfId="0" applyFont="1" applyFill="1" applyAlignment="1">
      <alignment horizontal="left" vertical="center"/>
    </xf>
    <xf numFmtId="0" fontId="28" fillId="2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12" xfId="0" quotePrefix="1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2" fontId="38" fillId="2" borderId="0" xfId="0" applyNumberFormat="1" applyFont="1" applyFill="1" applyAlignment="1">
      <alignment horizontal="left" vertical="center"/>
    </xf>
    <xf numFmtId="0" fontId="10" fillId="0" borderId="0" xfId="0" applyFont="1"/>
    <xf numFmtId="0" fontId="10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9" fillId="2" borderId="0" xfId="0" applyFont="1" applyFill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15" fillId="2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right" vertical="center"/>
    </xf>
    <xf numFmtId="2" fontId="28" fillId="2" borderId="9" xfId="0" applyNumberFormat="1" applyFont="1" applyFill="1" applyBorder="1" applyAlignment="1">
      <alignment vertical="center"/>
    </xf>
    <xf numFmtId="0" fontId="10" fillId="10" borderId="0" xfId="0" applyFont="1" applyFill="1"/>
    <xf numFmtId="0" fontId="33" fillId="10" borderId="0" xfId="0" applyFont="1" applyFill="1"/>
    <xf numFmtId="0" fontId="7" fillId="2" borderId="0" xfId="0" applyFont="1" applyFill="1" applyAlignment="1">
      <alignment horizontal="left" vertical="center"/>
    </xf>
    <xf numFmtId="0" fontId="23" fillId="2" borderId="0" xfId="0" applyFont="1" applyFill="1" applyBorder="1" applyAlignment="1">
      <alignment vertical="center"/>
    </xf>
    <xf numFmtId="0" fontId="24" fillId="2" borderId="6" xfId="0" applyFont="1" applyFill="1" applyBorder="1" applyAlignment="1">
      <alignment horizontal="right" vertical="center"/>
    </xf>
    <xf numFmtId="0" fontId="24" fillId="2" borderId="7" xfId="0" applyFont="1" applyFill="1" applyBorder="1" applyAlignment="1">
      <alignment horizontal="right" vertical="center"/>
    </xf>
    <xf numFmtId="0" fontId="24" fillId="2" borderId="7" xfId="0" applyFont="1" applyFill="1" applyBorder="1" applyAlignment="1">
      <alignment vertical="center"/>
    </xf>
    <xf numFmtId="0" fontId="24" fillId="2" borderId="8" xfId="0" applyFont="1" applyFill="1" applyBorder="1" applyAlignment="1">
      <alignment horizontal="right" vertical="center"/>
    </xf>
    <xf numFmtId="0" fontId="24" fillId="2" borderId="9" xfId="0" applyFont="1" applyFill="1" applyBorder="1" applyAlignment="1">
      <alignment horizontal="right" vertical="center"/>
    </xf>
    <xf numFmtId="0" fontId="24" fillId="2" borderId="9" xfId="0" applyFont="1" applyFill="1" applyBorder="1" applyAlignment="1">
      <alignment vertical="center"/>
    </xf>
    <xf numFmtId="0" fontId="42" fillId="5" borderId="46" xfId="0" applyFont="1" applyFill="1" applyBorder="1" applyAlignment="1" applyProtection="1">
      <alignment horizontal="right" vertical="center"/>
      <protection locked="0"/>
    </xf>
    <xf numFmtId="0" fontId="18" fillId="2" borderId="6" xfId="0" applyFont="1" applyFill="1" applyBorder="1" applyAlignment="1">
      <alignment vertical="center"/>
    </xf>
    <xf numFmtId="0" fontId="19" fillId="2" borderId="7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right" vertical="center"/>
    </xf>
    <xf numFmtId="2" fontId="6" fillId="2" borderId="0" xfId="0" applyNumberFormat="1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26" fillId="6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" fontId="25" fillId="2" borderId="13" xfId="0" applyNumberFormat="1" applyFont="1" applyFill="1" applyBorder="1" applyAlignment="1">
      <alignment vertical="center" wrapText="1"/>
    </xf>
    <xf numFmtId="0" fontId="12" fillId="2" borderId="0" xfId="0" applyFont="1" applyFill="1" applyAlignment="1">
      <alignment vertical="center"/>
    </xf>
    <xf numFmtId="0" fontId="22" fillId="2" borderId="0" xfId="0" applyFont="1" applyFill="1" applyAlignment="1">
      <alignment vertical="center" wrapText="1"/>
    </xf>
    <xf numFmtId="0" fontId="0" fillId="2" borderId="48" xfId="0" applyFill="1" applyBorder="1" applyAlignment="1"/>
    <xf numFmtId="2" fontId="28" fillId="2" borderId="12" xfId="0" applyNumberFormat="1" applyFont="1" applyFill="1" applyBorder="1" applyAlignment="1">
      <alignment vertical="center"/>
    </xf>
    <xf numFmtId="0" fontId="47" fillId="2" borderId="48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/>
    </xf>
    <xf numFmtId="0" fontId="19" fillId="3" borderId="14" xfId="0" applyFont="1" applyFill="1" applyBorder="1" applyAlignment="1">
      <alignment horizontal="left" vertical="center"/>
    </xf>
    <xf numFmtId="0" fontId="51" fillId="2" borderId="0" xfId="0" applyFont="1" applyFill="1" applyBorder="1" applyAlignment="1"/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9" fillId="0" borderId="0" xfId="0" applyFont="1" applyBorder="1" applyAlignment="1">
      <alignment horizontal="center" vertical="center"/>
    </xf>
    <xf numFmtId="0" fontId="20" fillId="6" borderId="9" xfId="0" applyFont="1" applyFill="1" applyBorder="1" applyAlignment="1">
      <alignment vertical="center" wrapText="1"/>
    </xf>
    <xf numFmtId="0" fontId="19" fillId="2" borderId="9" xfId="0" applyFont="1" applyFill="1" applyBorder="1" applyAlignment="1">
      <alignment vertical="center"/>
    </xf>
    <xf numFmtId="0" fontId="24" fillId="2" borderId="10" xfId="0" applyFont="1" applyFill="1" applyBorder="1" applyAlignment="1">
      <alignment horizontal="right" vertical="center"/>
    </xf>
    <xf numFmtId="0" fontId="47" fillId="2" borderId="57" xfId="0" applyFont="1" applyFill="1" applyBorder="1" applyAlignment="1">
      <alignment vertical="center" wrapText="1"/>
    </xf>
    <xf numFmtId="0" fontId="53" fillId="6" borderId="0" xfId="0" applyFont="1" applyFill="1" applyBorder="1" applyAlignment="1">
      <alignment vertical="center"/>
    </xf>
    <xf numFmtId="0" fontId="32" fillId="6" borderId="0" xfId="0" applyFont="1" applyFill="1" applyBorder="1" applyAlignment="1">
      <alignment vertical="center"/>
    </xf>
    <xf numFmtId="0" fontId="26" fillId="6" borderId="0" xfId="0" applyFont="1" applyFill="1" applyBorder="1" applyAlignment="1">
      <alignment vertical="center"/>
    </xf>
    <xf numFmtId="0" fontId="26" fillId="6" borderId="1" xfId="0" applyFont="1" applyFill="1" applyBorder="1" applyAlignment="1">
      <alignment vertical="center"/>
    </xf>
    <xf numFmtId="0" fontId="32" fillId="6" borderId="0" xfId="0" applyFont="1" applyFill="1" applyAlignment="1">
      <alignment vertical="center"/>
    </xf>
    <xf numFmtId="0" fontId="32" fillId="6" borderId="0" xfId="0" quotePrefix="1" applyFont="1" applyFill="1" applyAlignment="1">
      <alignment vertical="center"/>
    </xf>
    <xf numFmtId="0" fontId="26" fillId="6" borderId="0" xfId="0" quotePrefix="1" applyFont="1" applyFill="1" applyAlignment="1">
      <alignment vertical="center"/>
    </xf>
    <xf numFmtId="0" fontId="26" fillId="6" borderId="1" xfId="0" applyFont="1" applyFill="1" applyBorder="1" applyAlignment="1">
      <alignment vertical="center" wrapText="1"/>
    </xf>
    <xf numFmtId="0" fontId="26" fillId="6" borderId="8" xfId="0" applyFont="1" applyFill="1" applyBorder="1" applyAlignment="1">
      <alignment vertical="center" wrapText="1"/>
    </xf>
    <xf numFmtId="0" fontId="19" fillId="0" borderId="0" xfId="0" applyFont="1" applyAlignment="1" applyProtection="1">
      <alignment vertical="center"/>
    </xf>
    <xf numFmtId="0" fontId="19" fillId="2" borderId="0" xfId="0" applyFont="1" applyFill="1" applyAlignment="1" applyProtection="1">
      <alignment vertical="center"/>
      <protection locked="0"/>
    </xf>
    <xf numFmtId="0" fontId="50" fillId="5" borderId="14" xfId="0" applyFont="1" applyFill="1" applyBorder="1" applyAlignment="1">
      <alignment horizontal="center" vertical="center"/>
    </xf>
    <xf numFmtId="0" fontId="50" fillId="5" borderId="15" xfId="0" applyFont="1" applyFill="1" applyBorder="1" applyAlignment="1">
      <alignment horizontal="center" vertical="center"/>
    </xf>
    <xf numFmtId="166" fontId="39" fillId="5" borderId="42" xfId="0" applyNumberFormat="1" applyFont="1" applyFill="1" applyBorder="1" applyAlignment="1" applyProtection="1">
      <alignment horizontal="center" vertical="center"/>
      <protection locked="0"/>
    </xf>
    <xf numFmtId="166" fontId="39" fillId="5" borderId="43" xfId="0" applyNumberFormat="1" applyFont="1" applyFill="1" applyBorder="1" applyAlignment="1" applyProtection="1">
      <alignment horizontal="center" vertical="center"/>
      <protection locked="0"/>
    </xf>
    <xf numFmtId="166" fontId="39" fillId="5" borderId="44" xfId="0" applyNumberFormat="1" applyFont="1" applyFill="1" applyBorder="1" applyAlignment="1" applyProtection="1">
      <alignment horizontal="center" vertical="center"/>
      <protection locked="0"/>
    </xf>
    <xf numFmtId="164" fontId="39" fillId="5" borderId="19" xfId="0" applyNumberFormat="1" applyFont="1" applyFill="1" applyBorder="1" applyAlignment="1" applyProtection="1">
      <alignment horizontal="center" vertical="center"/>
      <protection locked="0"/>
    </xf>
    <xf numFmtId="2" fontId="39" fillId="5" borderId="45" xfId="0" applyNumberFormat="1" applyFont="1" applyFill="1" applyBorder="1" applyAlignment="1" applyProtection="1">
      <alignment horizontal="center" vertical="center"/>
      <protection locked="0"/>
    </xf>
    <xf numFmtId="0" fontId="43" fillId="5" borderId="19" xfId="0" applyFont="1" applyFill="1" applyBorder="1" applyAlignment="1" applyProtection="1">
      <alignment horizontal="center" vertical="center"/>
      <protection locked="0"/>
    </xf>
    <xf numFmtId="2" fontId="41" fillId="5" borderId="19" xfId="0" applyNumberFormat="1" applyFont="1" applyFill="1" applyBorder="1" applyAlignment="1" applyProtection="1">
      <alignment horizontal="center" vertical="center"/>
      <protection locked="0"/>
    </xf>
    <xf numFmtId="166" fontId="43" fillId="5" borderId="19" xfId="0" applyNumberFormat="1" applyFont="1" applyFill="1" applyBorder="1" applyAlignment="1" applyProtection="1">
      <alignment horizontal="center" vertical="center"/>
      <protection locked="0"/>
    </xf>
    <xf numFmtId="167" fontId="33" fillId="3" borderId="18" xfId="0" applyNumberFormat="1" applyFont="1" applyFill="1" applyBorder="1" applyAlignment="1">
      <alignment horizontal="center" vertical="center"/>
    </xf>
    <xf numFmtId="166" fontId="43" fillId="5" borderId="20" xfId="0" applyNumberFormat="1" applyFont="1" applyFill="1" applyBorder="1" applyAlignment="1" applyProtection="1">
      <alignment horizontal="center" vertical="center"/>
      <protection locked="0"/>
    </xf>
    <xf numFmtId="2" fontId="33" fillId="3" borderId="34" xfId="0" applyNumberFormat="1" applyFont="1" applyFill="1" applyBorder="1" applyAlignment="1">
      <alignment horizontal="center" vertical="center"/>
    </xf>
    <xf numFmtId="1" fontId="34" fillId="2" borderId="0" xfId="0" applyNumberFormat="1" applyFont="1" applyFill="1" applyBorder="1" applyAlignment="1">
      <alignment horizontal="center" vertical="center"/>
    </xf>
    <xf numFmtId="1" fontId="26" fillId="2" borderId="18" xfId="0" applyNumberFormat="1" applyFont="1" applyFill="1" applyBorder="1" applyAlignment="1">
      <alignment horizontal="center" vertical="center"/>
    </xf>
    <xf numFmtId="1" fontId="39" fillId="5" borderId="22" xfId="0" applyNumberFormat="1" applyFont="1" applyFill="1" applyBorder="1" applyAlignment="1" applyProtection="1">
      <alignment horizontal="center" vertical="center"/>
      <protection locked="0"/>
    </xf>
    <xf numFmtId="1" fontId="39" fillId="5" borderId="23" xfId="0" applyNumberFormat="1" applyFont="1" applyFill="1" applyBorder="1" applyAlignment="1" applyProtection="1">
      <alignment horizontal="center" vertical="center"/>
      <protection locked="0"/>
    </xf>
    <xf numFmtId="1" fontId="39" fillId="5" borderId="24" xfId="0" applyNumberFormat="1" applyFont="1" applyFill="1" applyBorder="1" applyAlignment="1" applyProtection="1">
      <alignment horizontal="center" vertical="center"/>
      <protection locked="0"/>
    </xf>
    <xf numFmtId="166" fontId="26" fillId="2" borderId="18" xfId="0" applyNumberFormat="1" applyFont="1" applyFill="1" applyBorder="1" applyAlignment="1">
      <alignment horizontal="center" vertical="center"/>
    </xf>
    <xf numFmtId="166" fontId="26" fillId="2" borderId="32" xfId="0" applyNumberFormat="1" applyFont="1" applyFill="1" applyBorder="1" applyAlignment="1">
      <alignment horizontal="center" vertical="center"/>
    </xf>
    <xf numFmtId="1" fontId="35" fillId="3" borderId="18" xfId="0" applyNumberFormat="1" applyFont="1" applyFill="1" applyBorder="1" applyAlignment="1">
      <alignment horizontal="center" vertical="center"/>
    </xf>
    <xf numFmtId="0" fontId="43" fillId="5" borderId="20" xfId="0" applyFont="1" applyFill="1" applyBorder="1" applyAlignment="1" applyProtection="1">
      <alignment horizontal="center" vertical="center"/>
      <protection locked="0"/>
    </xf>
    <xf numFmtId="2" fontId="43" fillId="5" borderId="19" xfId="0" applyNumberFormat="1" applyFont="1" applyFill="1" applyBorder="1" applyAlignment="1" applyProtection="1">
      <alignment horizontal="center" vertical="center"/>
      <protection locked="0"/>
    </xf>
    <xf numFmtId="4" fontId="44" fillId="8" borderId="18" xfId="0" applyNumberFormat="1" applyFont="1" applyFill="1" applyBorder="1" applyAlignment="1">
      <alignment horizontal="center" vertical="center"/>
    </xf>
    <xf numFmtId="0" fontId="47" fillId="3" borderId="47" xfId="0" applyFont="1" applyFill="1" applyBorder="1" applyAlignment="1">
      <alignment horizontal="center" vertical="center" wrapText="1"/>
    </xf>
    <xf numFmtId="0" fontId="47" fillId="3" borderId="0" xfId="0" applyFont="1" applyFill="1" applyBorder="1" applyAlignment="1">
      <alignment horizontal="center" vertical="center" wrapText="1"/>
    </xf>
    <xf numFmtId="0" fontId="47" fillId="3" borderId="48" xfId="0" applyFont="1" applyFill="1" applyBorder="1" applyAlignment="1">
      <alignment horizontal="center" vertical="center" wrapText="1"/>
    </xf>
    <xf numFmtId="0" fontId="47" fillId="3" borderId="49" xfId="0" applyFont="1" applyFill="1" applyBorder="1" applyAlignment="1">
      <alignment horizontal="center" vertical="center" wrapText="1"/>
    </xf>
    <xf numFmtId="0" fontId="47" fillId="3" borderId="52" xfId="0" applyFont="1" applyFill="1" applyBorder="1" applyAlignment="1">
      <alignment horizontal="center" vertical="center" wrapText="1"/>
    </xf>
    <xf numFmtId="0" fontId="47" fillId="3" borderId="53" xfId="0" applyFont="1" applyFill="1" applyBorder="1" applyAlignment="1">
      <alignment horizontal="center" vertical="center" wrapText="1"/>
    </xf>
    <xf numFmtId="0" fontId="47" fillId="3" borderId="54" xfId="0" applyFont="1" applyFill="1" applyBorder="1" applyAlignment="1">
      <alignment horizontal="center" vertical="center" wrapText="1"/>
    </xf>
    <xf numFmtId="3" fontId="39" fillId="5" borderId="35" xfId="0" applyNumberFormat="1" applyFont="1" applyFill="1" applyBorder="1" applyAlignment="1" applyProtection="1">
      <alignment horizontal="center" vertical="center"/>
      <protection locked="0"/>
    </xf>
    <xf numFmtId="3" fontId="44" fillId="8" borderId="18" xfId="0" applyNumberFormat="1" applyFont="1" applyFill="1" applyBorder="1" applyAlignment="1">
      <alignment horizontal="center" vertical="center"/>
    </xf>
    <xf numFmtId="168" fontId="44" fillId="8" borderId="18" xfId="0" applyNumberFormat="1" applyFont="1" applyFill="1" applyBorder="1" applyAlignment="1">
      <alignment horizontal="center" vertical="center"/>
    </xf>
    <xf numFmtId="1" fontId="44" fillId="8" borderId="18" xfId="0" applyNumberFormat="1" applyFont="1" applyFill="1" applyBorder="1" applyAlignment="1">
      <alignment horizontal="center" vertical="center"/>
    </xf>
    <xf numFmtId="2" fontId="44" fillId="8" borderId="18" xfId="0" applyNumberFormat="1" applyFont="1" applyFill="1" applyBorder="1" applyAlignment="1">
      <alignment horizontal="center" vertical="center"/>
    </xf>
    <xf numFmtId="1" fontId="39" fillId="5" borderId="35" xfId="0" applyNumberFormat="1" applyFont="1" applyFill="1" applyBorder="1" applyAlignment="1" applyProtection="1">
      <alignment horizontal="center" vertical="center"/>
      <protection locked="0"/>
    </xf>
    <xf numFmtId="3" fontId="39" fillId="5" borderId="55" xfId="0" applyNumberFormat="1" applyFont="1" applyFill="1" applyBorder="1" applyAlignment="1" applyProtection="1">
      <alignment horizontal="center" vertical="center"/>
      <protection locked="0"/>
    </xf>
    <xf numFmtId="3" fontId="39" fillId="5" borderId="56" xfId="0" applyNumberFormat="1" applyFont="1" applyFill="1" applyBorder="1" applyAlignment="1" applyProtection="1">
      <alignment horizontal="center" vertical="center"/>
      <protection locked="0"/>
    </xf>
    <xf numFmtId="2" fontId="39" fillId="5" borderId="35" xfId="0" applyNumberFormat="1" applyFont="1" applyFill="1" applyBorder="1" applyAlignment="1" applyProtection="1">
      <alignment horizontal="center" vertical="center"/>
      <protection locked="0"/>
    </xf>
    <xf numFmtId="0" fontId="47" fillId="3" borderId="50" xfId="0" applyFont="1" applyFill="1" applyBorder="1" applyAlignment="1">
      <alignment horizontal="center" vertical="center" wrapText="1"/>
    </xf>
    <xf numFmtId="0" fontId="47" fillId="3" borderId="51" xfId="0" applyFont="1" applyFill="1" applyBorder="1" applyAlignment="1">
      <alignment horizontal="center" vertical="center" wrapText="1"/>
    </xf>
    <xf numFmtId="1" fontId="43" fillId="5" borderId="19" xfId="0" applyNumberFormat="1" applyFont="1" applyFill="1" applyBorder="1" applyAlignment="1" applyProtection="1">
      <alignment horizontal="center" vertical="center"/>
      <protection locked="0"/>
    </xf>
    <xf numFmtId="167" fontId="44" fillId="8" borderId="18" xfId="0" applyNumberFormat="1" applyFont="1" applyFill="1" applyBorder="1" applyAlignment="1">
      <alignment horizontal="center" vertical="center"/>
    </xf>
    <xf numFmtId="4" fontId="44" fillId="8" borderId="6" xfId="0" applyNumberFormat="1" applyFont="1" applyFill="1" applyBorder="1" applyAlignment="1">
      <alignment horizontal="center" vertical="center"/>
    </xf>
    <xf numFmtId="4" fontId="44" fillId="8" borderId="7" xfId="0" applyNumberFormat="1" applyFont="1" applyFill="1" applyBorder="1" applyAlignment="1">
      <alignment horizontal="center" vertical="center"/>
    </xf>
    <xf numFmtId="4" fontId="44" fillId="8" borderId="11" xfId="0" applyNumberFormat="1" applyFont="1" applyFill="1" applyBorder="1" applyAlignment="1">
      <alignment horizontal="center" vertical="center"/>
    </xf>
    <xf numFmtId="2" fontId="52" fillId="2" borderId="0" xfId="0" applyNumberFormat="1" applyFont="1" applyFill="1" applyBorder="1" applyAlignment="1">
      <alignment horizontal="center" vertical="center"/>
    </xf>
    <xf numFmtId="2" fontId="44" fillId="8" borderId="8" xfId="0" applyNumberFormat="1" applyFont="1" applyFill="1" applyBorder="1" applyAlignment="1">
      <alignment horizontal="center" vertical="center"/>
    </xf>
    <xf numFmtId="2" fontId="44" fillId="8" borderId="9" xfId="0" applyNumberFormat="1" applyFont="1" applyFill="1" applyBorder="1" applyAlignment="1">
      <alignment horizontal="center" vertical="center"/>
    </xf>
    <xf numFmtId="2" fontId="44" fillId="8" borderId="10" xfId="0" applyNumberFormat="1" applyFont="1" applyFill="1" applyBorder="1" applyAlignment="1">
      <alignment horizontal="center" vertical="center"/>
    </xf>
    <xf numFmtId="2" fontId="39" fillId="5" borderId="22" xfId="0" applyNumberFormat="1" applyFont="1" applyFill="1" applyBorder="1" applyAlignment="1" applyProtection="1">
      <alignment horizontal="center" vertical="center"/>
      <protection locked="0"/>
    </xf>
    <xf numFmtId="2" fontId="39" fillId="5" borderId="23" xfId="0" applyNumberFormat="1" applyFont="1" applyFill="1" applyBorder="1" applyAlignment="1" applyProtection="1">
      <alignment horizontal="center" vertical="center"/>
      <protection locked="0"/>
    </xf>
    <xf numFmtId="2" fontId="39" fillId="5" borderId="24" xfId="0" applyNumberFormat="1" applyFont="1" applyFill="1" applyBorder="1" applyAlignment="1" applyProtection="1">
      <alignment horizontal="center" vertical="center"/>
      <protection locked="0"/>
    </xf>
    <xf numFmtId="166" fontId="41" fillId="5" borderId="19" xfId="0" applyNumberFormat="1" applyFont="1" applyFill="1" applyBorder="1" applyAlignment="1" applyProtection="1">
      <alignment horizontal="center" vertical="center"/>
      <protection locked="0"/>
    </xf>
    <xf numFmtId="166" fontId="43" fillId="5" borderId="21" xfId="0" applyNumberFormat="1" applyFont="1" applyFill="1" applyBorder="1" applyAlignment="1" applyProtection="1">
      <alignment horizontal="center" vertical="center"/>
      <protection locked="0"/>
    </xf>
    <xf numFmtId="166" fontId="39" fillId="5" borderId="39" xfId="0" applyNumberFormat="1" applyFont="1" applyFill="1" applyBorder="1" applyAlignment="1" applyProtection="1">
      <alignment horizontal="center" vertical="center"/>
      <protection locked="0"/>
    </xf>
    <xf numFmtId="166" fontId="39" fillId="5" borderId="40" xfId="0" applyNumberFormat="1" applyFont="1" applyFill="1" applyBorder="1" applyAlignment="1" applyProtection="1">
      <alignment horizontal="center" vertical="center"/>
      <protection locked="0"/>
    </xf>
    <xf numFmtId="166" fontId="39" fillId="5" borderId="41" xfId="0" applyNumberFormat="1" applyFont="1" applyFill="1" applyBorder="1" applyAlignment="1" applyProtection="1">
      <alignment horizontal="center" vertical="center"/>
      <protection locked="0"/>
    </xf>
    <xf numFmtId="166" fontId="44" fillId="8" borderId="6" xfId="0" applyNumberFormat="1" applyFont="1" applyFill="1" applyBorder="1" applyAlignment="1">
      <alignment horizontal="center" vertical="center"/>
    </xf>
    <xf numFmtId="166" fontId="44" fillId="8" borderId="7" xfId="0" applyNumberFormat="1" applyFont="1" applyFill="1" applyBorder="1" applyAlignment="1">
      <alignment horizontal="center" vertical="center"/>
    </xf>
    <xf numFmtId="166" fontId="44" fillId="8" borderId="11" xfId="0" applyNumberFormat="1" applyFont="1" applyFill="1" applyBorder="1" applyAlignment="1">
      <alignment horizontal="center" vertical="center"/>
    </xf>
    <xf numFmtId="166" fontId="44" fillId="8" borderId="36" xfId="0" applyNumberFormat="1" applyFont="1" applyFill="1" applyBorder="1" applyAlignment="1">
      <alignment horizontal="center" vertical="center"/>
    </xf>
    <xf numFmtId="166" fontId="44" fillId="8" borderId="37" xfId="0" applyNumberFormat="1" applyFont="1" applyFill="1" applyBorder="1" applyAlignment="1">
      <alignment horizontal="center" vertical="center"/>
    </xf>
    <xf numFmtId="166" fontId="44" fillId="8" borderId="38" xfId="0" applyNumberFormat="1" applyFont="1" applyFill="1" applyBorder="1" applyAlignment="1">
      <alignment horizontal="center" vertical="center"/>
    </xf>
    <xf numFmtId="2" fontId="44" fillId="8" borderId="2" xfId="0" applyNumberFormat="1" applyFont="1" applyFill="1" applyBorder="1" applyAlignment="1">
      <alignment horizontal="center" vertical="center"/>
    </xf>
    <xf numFmtId="2" fontId="44" fillId="8" borderId="3" xfId="0" applyNumberFormat="1" applyFont="1" applyFill="1" applyBorder="1" applyAlignment="1">
      <alignment horizontal="center" vertical="center"/>
    </xf>
    <xf numFmtId="2" fontId="44" fillId="8" borderId="4" xfId="0" applyNumberFormat="1" applyFont="1" applyFill="1" applyBorder="1" applyAlignment="1">
      <alignment horizontal="center" vertical="center"/>
    </xf>
    <xf numFmtId="167" fontId="39" fillId="5" borderId="22" xfId="0" applyNumberFormat="1" applyFont="1" applyFill="1" applyBorder="1" applyAlignment="1" applyProtection="1">
      <alignment horizontal="center" vertical="center"/>
      <protection locked="0"/>
    </xf>
    <xf numFmtId="167" fontId="39" fillId="5" borderId="23" xfId="0" applyNumberFormat="1" applyFont="1" applyFill="1" applyBorder="1" applyAlignment="1" applyProtection="1">
      <alignment horizontal="center" vertical="center"/>
      <protection locked="0"/>
    </xf>
    <xf numFmtId="167" fontId="39" fillId="5" borderId="24" xfId="0" applyNumberFormat="1" applyFont="1" applyFill="1" applyBorder="1" applyAlignment="1" applyProtection="1">
      <alignment horizontal="center" vertical="center"/>
      <protection locked="0"/>
    </xf>
    <xf numFmtId="2" fontId="44" fillId="8" borderId="6" xfId="0" applyNumberFormat="1" applyFont="1" applyFill="1" applyBorder="1" applyAlignment="1">
      <alignment horizontal="center" vertical="center"/>
    </xf>
    <xf numFmtId="2" fontId="44" fillId="8" borderId="7" xfId="0" applyNumberFormat="1" applyFont="1" applyFill="1" applyBorder="1" applyAlignment="1">
      <alignment horizontal="center" vertical="center"/>
    </xf>
    <xf numFmtId="2" fontId="44" fillId="8" borderId="11" xfId="0" applyNumberFormat="1" applyFont="1" applyFill="1" applyBorder="1" applyAlignment="1">
      <alignment horizontal="center" vertical="center"/>
    </xf>
    <xf numFmtId="1" fontId="35" fillId="2" borderId="0" xfId="0" applyNumberFormat="1" applyFont="1" applyFill="1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1" fontId="26" fillId="2" borderId="27" xfId="0" applyNumberFormat="1" applyFont="1" applyFill="1" applyBorder="1" applyAlignment="1">
      <alignment horizontal="center" vertical="center"/>
    </xf>
    <xf numFmtId="1" fontId="26" fillId="2" borderId="33" xfId="0" applyNumberFormat="1" applyFont="1" applyFill="1" applyBorder="1" applyAlignment="1">
      <alignment horizontal="center" vertical="center"/>
    </xf>
    <xf numFmtId="166" fontId="26" fillId="2" borderId="33" xfId="0" applyNumberFormat="1" applyFont="1" applyFill="1" applyBorder="1" applyAlignment="1">
      <alignment horizontal="center" vertical="center"/>
    </xf>
    <xf numFmtId="166" fontId="26" fillId="2" borderId="31" xfId="0" applyNumberFormat="1" applyFont="1" applyFill="1" applyBorder="1" applyAlignment="1">
      <alignment horizontal="center" vertical="center"/>
    </xf>
    <xf numFmtId="1" fontId="43" fillId="5" borderId="21" xfId="0" applyNumberFormat="1" applyFont="1" applyFill="1" applyBorder="1" applyAlignment="1" applyProtection="1">
      <alignment horizontal="center" vertical="center"/>
      <protection locked="0"/>
    </xf>
    <xf numFmtId="1" fontId="43" fillId="5" borderId="20" xfId="0" applyNumberFormat="1" applyFont="1" applyFill="1" applyBorder="1" applyAlignment="1" applyProtection="1">
      <alignment horizontal="center" vertical="center"/>
      <protection locked="0"/>
    </xf>
    <xf numFmtId="0" fontId="47" fillId="6" borderId="0" xfId="0" applyFont="1" applyFill="1" applyBorder="1" applyAlignment="1">
      <alignment horizontal="center" vertical="center"/>
    </xf>
    <xf numFmtId="0" fontId="43" fillId="5" borderId="35" xfId="0" applyFont="1" applyFill="1" applyBorder="1" applyAlignment="1" applyProtection="1">
      <alignment horizontal="center" vertical="center"/>
      <protection locked="0"/>
    </xf>
    <xf numFmtId="0" fontId="40" fillId="7" borderId="5" xfId="0" applyFont="1" applyFill="1" applyBorder="1" applyAlignment="1">
      <alignment horizontal="center" vertical="center"/>
    </xf>
    <xf numFmtId="0" fontId="40" fillId="7" borderId="17" xfId="0" applyFont="1" applyFill="1" applyBorder="1" applyAlignment="1">
      <alignment horizontal="center" vertical="center"/>
    </xf>
    <xf numFmtId="166" fontId="40" fillId="7" borderId="6" xfId="0" applyNumberFormat="1" applyFont="1" applyFill="1" applyBorder="1" applyAlignment="1">
      <alignment horizontal="center" vertical="center"/>
    </xf>
    <xf numFmtId="166" fontId="40" fillId="7" borderId="7" xfId="0" applyNumberFormat="1" applyFont="1" applyFill="1" applyBorder="1" applyAlignment="1">
      <alignment horizontal="center" vertical="center"/>
    </xf>
    <xf numFmtId="166" fontId="40" fillId="7" borderId="11" xfId="0" applyNumberFormat="1" applyFont="1" applyFill="1" applyBorder="1" applyAlignment="1">
      <alignment horizontal="center" vertical="center"/>
    </xf>
    <xf numFmtId="0" fontId="37" fillId="5" borderId="19" xfId="0" applyFont="1" applyFill="1" applyBorder="1" applyAlignment="1" applyProtection="1">
      <alignment horizontal="center" vertical="center"/>
      <protection locked="0"/>
    </xf>
    <xf numFmtId="0" fontId="40" fillId="7" borderId="10" xfId="0" applyFont="1" applyFill="1" applyBorder="1" applyAlignment="1">
      <alignment horizontal="center" vertical="center"/>
    </xf>
    <xf numFmtId="0" fontId="40" fillId="7" borderId="29" xfId="0" applyFont="1" applyFill="1" applyBorder="1" applyAlignment="1">
      <alignment horizontal="center" vertical="center"/>
    </xf>
    <xf numFmtId="1" fontId="45" fillId="3" borderId="30" xfId="0" applyNumberFormat="1" applyFont="1" applyFill="1" applyBorder="1" applyAlignment="1">
      <alignment horizontal="center" vertical="center"/>
    </xf>
    <xf numFmtId="1" fontId="26" fillId="2" borderId="29" xfId="0" applyNumberFormat="1" applyFont="1" applyFill="1" applyBorder="1" applyAlignment="1">
      <alignment horizontal="center" vertical="center"/>
    </xf>
    <xf numFmtId="166" fontId="34" fillId="2" borderId="0" xfId="0" applyNumberFormat="1" applyFont="1" applyFill="1" applyBorder="1" applyAlignment="1">
      <alignment horizontal="center" vertical="center"/>
    </xf>
    <xf numFmtId="166" fontId="34" fillId="2" borderId="5" xfId="0" applyNumberFormat="1" applyFont="1" applyFill="1" applyBorder="1" applyAlignment="1">
      <alignment horizontal="center" vertical="center"/>
    </xf>
    <xf numFmtId="1" fontId="26" fillId="2" borderId="28" xfId="0" applyNumberFormat="1" applyFont="1" applyFill="1" applyBorder="1" applyAlignment="1">
      <alignment horizontal="center" vertical="center"/>
    </xf>
    <xf numFmtId="0" fontId="54" fillId="11" borderId="3" xfId="0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165" fontId="44" fillId="8" borderId="18" xfId="0" applyNumberFormat="1" applyFont="1" applyFill="1" applyBorder="1" applyAlignment="1">
      <alignment horizontal="center" vertical="center"/>
    </xf>
    <xf numFmtId="166" fontId="26" fillId="2" borderId="0" xfId="0" applyNumberFormat="1" applyFont="1" applyFill="1" applyBorder="1" applyAlignment="1">
      <alignment horizontal="center" vertical="center"/>
    </xf>
    <xf numFmtId="2" fontId="40" fillId="8" borderId="25" xfId="0" applyNumberFormat="1" applyFont="1" applyFill="1" applyBorder="1" applyAlignment="1">
      <alignment horizontal="center" vertical="center"/>
    </xf>
    <xf numFmtId="2" fontId="40" fillId="8" borderId="26" xfId="0" applyNumberFormat="1" applyFont="1" applyFill="1" applyBorder="1" applyAlignment="1">
      <alignment horizontal="center" vertical="center"/>
    </xf>
    <xf numFmtId="2" fontId="39" fillId="9" borderId="1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20000"/>
      <color rgb="FF898600"/>
      <color rgb="FF0000CC"/>
      <color rgb="FF00823B"/>
      <color rgb="FFFFFF93"/>
      <color rgb="FF7E0000"/>
      <color rgb="FFFEFEDA"/>
      <color rgb="FFFFFFFF"/>
      <color rgb="FFFF5B5B"/>
      <color rgb="FFFF3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emf"/><Relationship Id="rId18" Type="http://schemas.openxmlformats.org/officeDocument/2006/relationships/image" Target="../media/image9.emf"/><Relationship Id="rId26" Type="http://schemas.openxmlformats.org/officeDocument/2006/relationships/image" Target="../media/image5.emf"/><Relationship Id="rId39" Type="http://schemas.openxmlformats.org/officeDocument/2006/relationships/image" Target="../media/image43.emf"/><Relationship Id="rId21" Type="http://schemas.openxmlformats.org/officeDocument/2006/relationships/image" Target="../media/image29.emf"/><Relationship Id="rId34" Type="http://schemas.openxmlformats.org/officeDocument/2006/relationships/image" Target="../media/image38.emf"/><Relationship Id="rId42" Type="http://schemas.openxmlformats.org/officeDocument/2006/relationships/image" Target="../media/image3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6" Type="http://schemas.openxmlformats.org/officeDocument/2006/relationships/image" Target="../media/image11.emf"/><Relationship Id="rId20" Type="http://schemas.openxmlformats.org/officeDocument/2006/relationships/image" Target="../media/image28.emf"/><Relationship Id="rId29" Type="http://schemas.openxmlformats.org/officeDocument/2006/relationships/image" Target="../media/image33.emf"/><Relationship Id="rId41" Type="http://schemas.openxmlformats.org/officeDocument/2006/relationships/image" Target="../media/image4.emf"/><Relationship Id="rId1" Type="http://schemas.openxmlformats.org/officeDocument/2006/relationships/image" Target="../media/image22.emf"/><Relationship Id="rId6" Type="http://schemas.openxmlformats.org/officeDocument/2006/relationships/image" Target="../media/image24.emf"/><Relationship Id="rId11" Type="http://schemas.openxmlformats.org/officeDocument/2006/relationships/image" Target="../media/image26.emf"/><Relationship Id="rId24" Type="http://schemas.openxmlformats.org/officeDocument/2006/relationships/image" Target="../media/image7.emf"/><Relationship Id="rId32" Type="http://schemas.openxmlformats.org/officeDocument/2006/relationships/image" Target="../media/image36.emf"/><Relationship Id="rId37" Type="http://schemas.openxmlformats.org/officeDocument/2006/relationships/image" Target="../media/image41.emf"/><Relationship Id="rId40" Type="http://schemas.openxmlformats.org/officeDocument/2006/relationships/image" Target="../media/image44.emf"/><Relationship Id="rId5" Type="http://schemas.openxmlformats.org/officeDocument/2006/relationships/image" Target="../media/image23.emf"/><Relationship Id="rId15" Type="http://schemas.openxmlformats.org/officeDocument/2006/relationships/image" Target="../media/image12.emf"/><Relationship Id="rId23" Type="http://schemas.openxmlformats.org/officeDocument/2006/relationships/image" Target="../media/image8.emf"/><Relationship Id="rId28" Type="http://schemas.openxmlformats.org/officeDocument/2006/relationships/image" Target="../media/image32.emf"/><Relationship Id="rId36" Type="http://schemas.openxmlformats.org/officeDocument/2006/relationships/image" Target="../media/image40.emf"/><Relationship Id="rId10" Type="http://schemas.openxmlformats.org/officeDocument/2006/relationships/image" Target="../media/image16.emf"/><Relationship Id="rId19" Type="http://schemas.openxmlformats.org/officeDocument/2006/relationships/image" Target="../media/image27.emf"/><Relationship Id="rId31" Type="http://schemas.openxmlformats.org/officeDocument/2006/relationships/image" Target="../media/image35.emf"/><Relationship Id="rId44" Type="http://schemas.openxmlformats.org/officeDocument/2006/relationships/image" Target="../media/image1.emf"/><Relationship Id="rId4" Type="http://schemas.openxmlformats.org/officeDocument/2006/relationships/image" Target="../media/image19.emf"/><Relationship Id="rId9" Type="http://schemas.openxmlformats.org/officeDocument/2006/relationships/image" Target="../media/image17.emf"/><Relationship Id="rId14" Type="http://schemas.openxmlformats.org/officeDocument/2006/relationships/image" Target="../media/image13.emf"/><Relationship Id="rId22" Type="http://schemas.openxmlformats.org/officeDocument/2006/relationships/image" Target="../media/image30.emf"/><Relationship Id="rId27" Type="http://schemas.openxmlformats.org/officeDocument/2006/relationships/image" Target="../media/image31.emf"/><Relationship Id="rId30" Type="http://schemas.openxmlformats.org/officeDocument/2006/relationships/image" Target="../media/image34.emf"/><Relationship Id="rId35" Type="http://schemas.openxmlformats.org/officeDocument/2006/relationships/image" Target="../media/image39.emf"/><Relationship Id="rId43" Type="http://schemas.openxmlformats.org/officeDocument/2006/relationships/image" Target="../media/image2.emf"/><Relationship Id="rId8" Type="http://schemas.openxmlformats.org/officeDocument/2006/relationships/image" Target="../media/image18.emf"/><Relationship Id="rId3" Type="http://schemas.openxmlformats.org/officeDocument/2006/relationships/image" Target="../media/image20.emf"/><Relationship Id="rId12" Type="http://schemas.openxmlformats.org/officeDocument/2006/relationships/image" Target="../media/image15.emf"/><Relationship Id="rId17" Type="http://schemas.openxmlformats.org/officeDocument/2006/relationships/image" Target="../media/image10.emf"/><Relationship Id="rId25" Type="http://schemas.openxmlformats.org/officeDocument/2006/relationships/image" Target="../media/image6.emf"/><Relationship Id="rId33" Type="http://schemas.openxmlformats.org/officeDocument/2006/relationships/image" Target="../media/image37.emf"/><Relationship Id="rId38" Type="http://schemas.openxmlformats.org/officeDocument/2006/relationships/image" Target="../media/image4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image" Target="../media/image57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12" Type="http://schemas.openxmlformats.org/officeDocument/2006/relationships/image" Target="../media/image56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11" Type="http://schemas.openxmlformats.org/officeDocument/2006/relationships/image" Target="../media/image55.emf"/><Relationship Id="rId5" Type="http://schemas.openxmlformats.org/officeDocument/2006/relationships/image" Target="../media/image49.emf"/><Relationship Id="rId10" Type="http://schemas.openxmlformats.org/officeDocument/2006/relationships/image" Target="../media/image54.emf"/><Relationship Id="rId4" Type="http://schemas.openxmlformats.org/officeDocument/2006/relationships/image" Target="../media/image48.emf"/><Relationship Id="rId9" Type="http://schemas.openxmlformats.org/officeDocument/2006/relationships/image" Target="../media/image53.emf"/><Relationship Id="rId14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9</xdr:row>
          <xdr:rowOff>47625</xdr:rowOff>
        </xdr:from>
        <xdr:to>
          <xdr:col>24</xdr:col>
          <xdr:colOff>219075</xdr:colOff>
          <xdr:row>9</xdr:row>
          <xdr:rowOff>190500</xdr:rowOff>
        </xdr:to>
        <xdr:sp macro="" textlink="">
          <xdr:nvSpPr>
            <xdr:cNvPr id="17472" name="CommandButton1" hidden="1">
              <a:extLst>
                <a:ext uri="{63B3BB69-23CF-44E3-9099-C40C66FF867C}">
                  <a14:compatExt spid="_x0000_s17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10</xdr:row>
          <xdr:rowOff>47625</xdr:rowOff>
        </xdr:from>
        <xdr:to>
          <xdr:col>24</xdr:col>
          <xdr:colOff>219075</xdr:colOff>
          <xdr:row>10</xdr:row>
          <xdr:rowOff>190500</xdr:rowOff>
        </xdr:to>
        <xdr:sp macro="" textlink="">
          <xdr:nvSpPr>
            <xdr:cNvPr id="17473" name="CommandButton2" hidden="1">
              <a:extLst>
                <a:ext uri="{63B3BB69-23CF-44E3-9099-C40C66FF867C}">
                  <a14:compatExt spid="_x0000_s17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38</xdr:row>
          <xdr:rowOff>47625</xdr:rowOff>
        </xdr:from>
        <xdr:to>
          <xdr:col>24</xdr:col>
          <xdr:colOff>219075</xdr:colOff>
          <xdr:row>38</xdr:row>
          <xdr:rowOff>190500</xdr:rowOff>
        </xdr:to>
        <xdr:sp macro="" textlink="">
          <xdr:nvSpPr>
            <xdr:cNvPr id="17474" name="CommandButton3" hidden="1">
              <a:extLst>
                <a:ext uri="{63B3BB69-23CF-44E3-9099-C40C66FF867C}">
                  <a14:compatExt spid="_x0000_s17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82</xdr:row>
          <xdr:rowOff>47625</xdr:rowOff>
        </xdr:from>
        <xdr:to>
          <xdr:col>24</xdr:col>
          <xdr:colOff>219075</xdr:colOff>
          <xdr:row>82</xdr:row>
          <xdr:rowOff>190500</xdr:rowOff>
        </xdr:to>
        <xdr:sp macro="" textlink="">
          <xdr:nvSpPr>
            <xdr:cNvPr id="17475" name="CommandButton4" hidden="1">
              <a:extLst>
                <a:ext uri="{63B3BB69-23CF-44E3-9099-C40C66FF867C}">
                  <a14:compatExt spid="_x0000_s17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12</xdr:row>
          <xdr:rowOff>47625</xdr:rowOff>
        </xdr:from>
        <xdr:to>
          <xdr:col>24</xdr:col>
          <xdr:colOff>219075</xdr:colOff>
          <xdr:row>12</xdr:row>
          <xdr:rowOff>190500</xdr:rowOff>
        </xdr:to>
        <xdr:sp macro="" textlink="">
          <xdr:nvSpPr>
            <xdr:cNvPr id="17476" name="CommandButton5" hidden="1">
              <a:extLst>
                <a:ext uri="{63B3BB69-23CF-44E3-9099-C40C66FF867C}">
                  <a14:compatExt spid="_x0000_s17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83</xdr:row>
          <xdr:rowOff>47625</xdr:rowOff>
        </xdr:from>
        <xdr:to>
          <xdr:col>24</xdr:col>
          <xdr:colOff>219075</xdr:colOff>
          <xdr:row>83</xdr:row>
          <xdr:rowOff>190500</xdr:rowOff>
        </xdr:to>
        <xdr:sp macro="" textlink="">
          <xdr:nvSpPr>
            <xdr:cNvPr id="17477" name="CommandButton6" hidden="1">
              <a:extLst>
                <a:ext uri="{63B3BB69-23CF-44E3-9099-C40C66FF867C}">
                  <a14:compatExt spid="_x0000_s17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17</xdr:row>
          <xdr:rowOff>47625</xdr:rowOff>
        </xdr:from>
        <xdr:to>
          <xdr:col>24</xdr:col>
          <xdr:colOff>219075</xdr:colOff>
          <xdr:row>17</xdr:row>
          <xdr:rowOff>190500</xdr:rowOff>
        </xdr:to>
        <xdr:sp macro="" textlink="">
          <xdr:nvSpPr>
            <xdr:cNvPr id="17478" name="CommandButton7" hidden="1">
              <a:extLst>
                <a:ext uri="{63B3BB69-23CF-44E3-9099-C40C66FF867C}">
                  <a14:compatExt spid="_x0000_s17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13</xdr:row>
          <xdr:rowOff>47625</xdr:rowOff>
        </xdr:from>
        <xdr:to>
          <xdr:col>24</xdr:col>
          <xdr:colOff>219075</xdr:colOff>
          <xdr:row>13</xdr:row>
          <xdr:rowOff>190500</xdr:rowOff>
        </xdr:to>
        <xdr:sp macro="" textlink="">
          <xdr:nvSpPr>
            <xdr:cNvPr id="17479" name="CommandButton8" hidden="1">
              <a:extLst>
                <a:ext uri="{63B3BB69-23CF-44E3-9099-C40C66FF867C}">
                  <a14:compatExt spid="_x0000_s17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42</xdr:row>
          <xdr:rowOff>47625</xdr:rowOff>
        </xdr:from>
        <xdr:to>
          <xdr:col>24</xdr:col>
          <xdr:colOff>219075</xdr:colOff>
          <xdr:row>42</xdr:row>
          <xdr:rowOff>190500</xdr:rowOff>
        </xdr:to>
        <xdr:sp macro="" textlink="">
          <xdr:nvSpPr>
            <xdr:cNvPr id="17480" name="CommandButton9" hidden="1">
              <a:extLst>
                <a:ext uri="{63B3BB69-23CF-44E3-9099-C40C66FF867C}">
                  <a14:compatExt spid="_x0000_s17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41</xdr:row>
          <xdr:rowOff>47625</xdr:rowOff>
        </xdr:from>
        <xdr:to>
          <xdr:col>24</xdr:col>
          <xdr:colOff>219075</xdr:colOff>
          <xdr:row>41</xdr:row>
          <xdr:rowOff>190500</xdr:rowOff>
        </xdr:to>
        <xdr:sp macro="" textlink="">
          <xdr:nvSpPr>
            <xdr:cNvPr id="17481" name="CommandButton10" hidden="1">
              <a:extLst>
                <a:ext uri="{63B3BB69-23CF-44E3-9099-C40C66FF867C}">
                  <a14:compatExt spid="_x0000_s17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51</xdr:row>
          <xdr:rowOff>47625</xdr:rowOff>
        </xdr:from>
        <xdr:to>
          <xdr:col>24</xdr:col>
          <xdr:colOff>219075</xdr:colOff>
          <xdr:row>51</xdr:row>
          <xdr:rowOff>190500</xdr:rowOff>
        </xdr:to>
        <xdr:sp macro="" textlink="">
          <xdr:nvSpPr>
            <xdr:cNvPr id="17483" name="CommandButton12" hidden="1">
              <a:extLst>
                <a:ext uri="{63B3BB69-23CF-44E3-9099-C40C66FF867C}">
                  <a14:compatExt spid="_x0000_s17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66</xdr:row>
          <xdr:rowOff>47625</xdr:rowOff>
        </xdr:from>
        <xdr:to>
          <xdr:col>24</xdr:col>
          <xdr:colOff>219075</xdr:colOff>
          <xdr:row>66</xdr:row>
          <xdr:rowOff>190500</xdr:rowOff>
        </xdr:to>
        <xdr:sp macro="" textlink="">
          <xdr:nvSpPr>
            <xdr:cNvPr id="17484" name="CommandButton13" hidden="1">
              <a:extLst>
                <a:ext uri="{63B3BB69-23CF-44E3-9099-C40C66FF867C}">
                  <a14:compatExt spid="_x0000_s17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75</xdr:row>
          <xdr:rowOff>47625</xdr:rowOff>
        </xdr:from>
        <xdr:to>
          <xdr:col>24</xdr:col>
          <xdr:colOff>219075</xdr:colOff>
          <xdr:row>75</xdr:row>
          <xdr:rowOff>190500</xdr:rowOff>
        </xdr:to>
        <xdr:sp macro="" textlink="">
          <xdr:nvSpPr>
            <xdr:cNvPr id="17486" name="CommandButton14" hidden="1">
              <a:extLst>
                <a:ext uri="{63B3BB69-23CF-44E3-9099-C40C66FF867C}">
                  <a14:compatExt spid="_x0000_s17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112</xdr:row>
          <xdr:rowOff>47625</xdr:rowOff>
        </xdr:from>
        <xdr:to>
          <xdr:col>24</xdr:col>
          <xdr:colOff>219075</xdr:colOff>
          <xdr:row>112</xdr:row>
          <xdr:rowOff>190500</xdr:rowOff>
        </xdr:to>
        <xdr:sp macro="" textlink="">
          <xdr:nvSpPr>
            <xdr:cNvPr id="17487" name="CommandButton15" hidden="1">
              <a:extLst>
                <a:ext uri="{63B3BB69-23CF-44E3-9099-C40C66FF867C}">
                  <a14:compatExt spid="_x0000_s17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78</xdr:row>
          <xdr:rowOff>47625</xdr:rowOff>
        </xdr:from>
        <xdr:to>
          <xdr:col>24</xdr:col>
          <xdr:colOff>219075</xdr:colOff>
          <xdr:row>78</xdr:row>
          <xdr:rowOff>190500</xdr:rowOff>
        </xdr:to>
        <xdr:sp macro="" textlink="">
          <xdr:nvSpPr>
            <xdr:cNvPr id="17489" name="CommandButton16" hidden="1">
              <a:extLst>
                <a:ext uri="{63B3BB69-23CF-44E3-9099-C40C66FF867C}">
                  <a14:compatExt spid="_x0000_s17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79</xdr:row>
          <xdr:rowOff>47625</xdr:rowOff>
        </xdr:from>
        <xdr:to>
          <xdr:col>24</xdr:col>
          <xdr:colOff>219075</xdr:colOff>
          <xdr:row>79</xdr:row>
          <xdr:rowOff>190500</xdr:rowOff>
        </xdr:to>
        <xdr:sp macro="" textlink="">
          <xdr:nvSpPr>
            <xdr:cNvPr id="17490" name="CommandButton17" hidden="1">
              <a:extLst>
                <a:ext uri="{63B3BB69-23CF-44E3-9099-C40C66FF867C}">
                  <a14:compatExt spid="_x0000_s17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113</xdr:row>
          <xdr:rowOff>28575</xdr:rowOff>
        </xdr:from>
        <xdr:to>
          <xdr:col>3</xdr:col>
          <xdr:colOff>190500</xdr:colOff>
          <xdr:row>113</xdr:row>
          <xdr:rowOff>190500</xdr:rowOff>
        </xdr:to>
        <xdr:sp macro="" textlink="">
          <xdr:nvSpPr>
            <xdr:cNvPr id="17491" name="OptionButton1" hidden="1">
              <a:extLst>
                <a:ext uri="{63B3BB69-23CF-44E3-9099-C40C66FF867C}">
                  <a14:compatExt spid="_x0000_s17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114</xdr:row>
          <xdr:rowOff>28575</xdr:rowOff>
        </xdr:from>
        <xdr:to>
          <xdr:col>3</xdr:col>
          <xdr:colOff>190500</xdr:colOff>
          <xdr:row>114</xdr:row>
          <xdr:rowOff>190500</xdr:rowOff>
        </xdr:to>
        <xdr:sp macro="" textlink="">
          <xdr:nvSpPr>
            <xdr:cNvPr id="17492" name="OptionButton2" hidden="1">
              <a:extLst>
                <a:ext uri="{63B3BB69-23CF-44E3-9099-C40C66FF867C}">
                  <a14:compatExt spid="_x0000_s17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96</xdr:row>
          <xdr:rowOff>47625</xdr:rowOff>
        </xdr:from>
        <xdr:to>
          <xdr:col>24</xdr:col>
          <xdr:colOff>219075</xdr:colOff>
          <xdr:row>96</xdr:row>
          <xdr:rowOff>190500</xdr:rowOff>
        </xdr:to>
        <xdr:sp macro="" textlink="">
          <xdr:nvSpPr>
            <xdr:cNvPr id="17493" name="CommandButton18" hidden="1">
              <a:extLst>
                <a:ext uri="{63B3BB69-23CF-44E3-9099-C40C66FF867C}">
                  <a14:compatExt spid="_x0000_s17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100</xdr:row>
          <xdr:rowOff>47625</xdr:rowOff>
        </xdr:from>
        <xdr:to>
          <xdr:col>24</xdr:col>
          <xdr:colOff>219075</xdr:colOff>
          <xdr:row>100</xdr:row>
          <xdr:rowOff>190500</xdr:rowOff>
        </xdr:to>
        <xdr:sp macro="" textlink="">
          <xdr:nvSpPr>
            <xdr:cNvPr id="17494" name="CommandButton19" hidden="1">
              <a:extLst>
                <a:ext uri="{63B3BB69-23CF-44E3-9099-C40C66FF867C}">
                  <a14:compatExt spid="_x0000_s17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104</xdr:row>
          <xdr:rowOff>47625</xdr:rowOff>
        </xdr:from>
        <xdr:to>
          <xdr:col>24</xdr:col>
          <xdr:colOff>219075</xdr:colOff>
          <xdr:row>104</xdr:row>
          <xdr:rowOff>190500</xdr:rowOff>
        </xdr:to>
        <xdr:sp macro="" textlink="">
          <xdr:nvSpPr>
            <xdr:cNvPr id="17495" name="CommandButton20" hidden="1">
              <a:extLst>
                <a:ext uri="{63B3BB69-23CF-44E3-9099-C40C66FF867C}">
                  <a14:compatExt spid="_x0000_s17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119</xdr:row>
          <xdr:rowOff>47625</xdr:rowOff>
        </xdr:from>
        <xdr:to>
          <xdr:col>24</xdr:col>
          <xdr:colOff>219075</xdr:colOff>
          <xdr:row>119</xdr:row>
          <xdr:rowOff>190500</xdr:rowOff>
        </xdr:to>
        <xdr:sp macro="" textlink="">
          <xdr:nvSpPr>
            <xdr:cNvPr id="17496" name="CommandButton21" hidden="1">
              <a:extLst>
                <a:ext uri="{63B3BB69-23CF-44E3-9099-C40C66FF867C}">
                  <a14:compatExt spid="_x0000_s17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123</xdr:row>
          <xdr:rowOff>47625</xdr:rowOff>
        </xdr:from>
        <xdr:to>
          <xdr:col>24</xdr:col>
          <xdr:colOff>219075</xdr:colOff>
          <xdr:row>123</xdr:row>
          <xdr:rowOff>190500</xdr:rowOff>
        </xdr:to>
        <xdr:sp macro="" textlink="">
          <xdr:nvSpPr>
            <xdr:cNvPr id="17497" name="CommandButton11" hidden="1">
              <a:extLst>
                <a:ext uri="{63B3BB69-23CF-44E3-9099-C40C66FF867C}">
                  <a14:compatExt spid="_x0000_s17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130</xdr:row>
          <xdr:rowOff>47625</xdr:rowOff>
        </xdr:from>
        <xdr:to>
          <xdr:col>24</xdr:col>
          <xdr:colOff>219075</xdr:colOff>
          <xdr:row>130</xdr:row>
          <xdr:rowOff>190500</xdr:rowOff>
        </xdr:to>
        <xdr:sp macro="" textlink="">
          <xdr:nvSpPr>
            <xdr:cNvPr id="17498" name="CommandButton22" hidden="1">
              <a:extLst>
                <a:ext uri="{63B3BB69-23CF-44E3-9099-C40C66FF867C}">
                  <a14:compatExt spid="_x0000_s17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121</xdr:row>
          <xdr:rowOff>47625</xdr:rowOff>
        </xdr:from>
        <xdr:to>
          <xdr:col>24</xdr:col>
          <xdr:colOff>219075</xdr:colOff>
          <xdr:row>121</xdr:row>
          <xdr:rowOff>190500</xdr:rowOff>
        </xdr:to>
        <xdr:sp macro="" textlink="">
          <xdr:nvSpPr>
            <xdr:cNvPr id="17499" name="CommandButton23" hidden="1">
              <a:extLst>
                <a:ext uri="{63B3BB69-23CF-44E3-9099-C40C66FF867C}">
                  <a14:compatExt spid="_x0000_s17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149</xdr:row>
          <xdr:rowOff>47625</xdr:rowOff>
        </xdr:from>
        <xdr:to>
          <xdr:col>24</xdr:col>
          <xdr:colOff>219075</xdr:colOff>
          <xdr:row>149</xdr:row>
          <xdr:rowOff>190500</xdr:rowOff>
        </xdr:to>
        <xdr:sp macro="" textlink="">
          <xdr:nvSpPr>
            <xdr:cNvPr id="17500" name="CommandButton24" hidden="1">
              <a:extLst>
                <a:ext uri="{63B3BB69-23CF-44E3-9099-C40C66FF867C}">
                  <a14:compatExt spid="_x0000_s17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152</xdr:row>
          <xdr:rowOff>47625</xdr:rowOff>
        </xdr:from>
        <xdr:to>
          <xdr:col>24</xdr:col>
          <xdr:colOff>219075</xdr:colOff>
          <xdr:row>152</xdr:row>
          <xdr:rowOff>190500</xdr:rowOff>
        </xdr:to>
        <xdr:sp macro="" textlink="">
          <xdr:nvSpPr>
            <xdr:cNvPr id="17501" name="CommandButton25" hidden="1">
              <a:extLst>
                <a:ext uri="{63B3BB69-23CF-44E3-9099-C40C66FF867C}">
                  <a14:compatExt spid="_x0000_s17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153</xdr:row>
          <xdr:rowOff>47625</xdr:rowOff>
        </xdr:from>
        <xdr:to>
          <xdr:col>24</xdr:col>
          <xdr:colOff>219075</xdr:colOff>
          <xdr:row>153</xdr:row>
          <xdr:rowOff>190500</xdr:rowOff>
        </xdr:to>
        <xdr:sp macro="" textlink="">
          <xdr:nvSpPr>
            <xdr:cNvPr id="17502" name="CommandButton26" hidden="1">
              <a:extLst>
                <a:ext uri="{63B3BB69-23CF-44E3-9099-C40C66FF867C}">
                  <a14:compatExt spid="_x0000_s17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151</xdr:row>
          <xdr:rowOff>47625</xdr:rowOff>
        </xdr:from>
        <xdr:to>
          <xdr:col>24</xdr:col>
          <xdr:colOff>219075</xdr:colOff>
          <xdr:row>151</xdr:row>
          <xdr:rowOff>190500</xdr:rowOff>
        </xdr:to>
        <xdr:sp macro="" textlink="">
          <xdr:nvSpPr>
            <xdr:cNvPr id="17503" name="CommandButton27" hidden="1">
              <a:extLst>
                <a:ext uri="{63B3BB69-23CF-44E3-9099-C40C66FF867C}">
                  <a14:compatExt spid="_x0000_s17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163</xdr:row>
          <xdr:rowOff>47625</xdr:rowOff>
        </xdr:from>
        <xdr:to>
          <xdr:col>24</xdr:col>
          <xdr:colOff>219075</xdr:colOff>
          <xdr:row>163</xdr:row>
          <xdr:rowOff>190500</xdr:rowOff>
        </xdr:to>
        <xdr:sp macro="" textlink="">
          <xdr:nvSpPr>
            <xdr:cNvPr id="17504" name="CommandButton28" hidden="1">
              <a:extLst>
                <a:ext uri="{63B3BB69-23CF-44E3-9099-C40C66FF867C}">
                  <a14:compatExt spid="_x0000_s17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164</xdr:row>
          <xdr:rowOff>47625</xdr:rowOff>
        </xdr:from>
        <xdr:to>
          <xdr:col>24</xdr:col>
          <xdr:colOff>219075</xdr:colOff>
          <xdr:row>164</xdr:row>
          <xdr:rowOff>190500</xdr:rowOff>
        </xdr:to>
        <xdr:sp macro="" textlink="">
          <xdr:nvSpPr>
            <xdr:cNvPr id="17505" name="CommandButton29" hidden="1">
              <a:extLst>
                <a:ext uri="{63B3BB69-23CF-44E3-9099-C40C66FF867C}">
                  <a14:compatExt spid="_x0000_s1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162</xdr:row>
          <xdr:rowOff>47625</xdr:rowOff>
        </xdr:from>
        <xdr:to>
          <xdr:col>24</xdr:col>
          <xdr:colOff>219075</xdr:colOff>
          <xdr:row>162</xdr:row>
          <xdr:rowOff>190500</xdr:rowOff>
        </xdr:to>
        <xdr:sp macro="" textlink="">
          <xdr:nvSpPr>
            <xdr:cNvPr id="17506" name="CommandButton30" hidden="1">
              <a:extLst>
                <a:ext uri="{63B3BB69-23CF-44E3-9099-C40C66FF867C}">
                  <a14:compatExt spid="_x0000_s1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170</xdr:row>
          <xdr:rowOff>47625</xdr:rowOff>
        </xdr:from>
        <xdr:to>
          <xdr:col>24</xdr:col>
          <xdr:colOff>219075</xdr:colOff>
          <xdr:row>170</xdr:row>
          <xdr:rowOff>190500</xdr:rowOff>
        </xdr:to>
        <xdr:sp macro="" textlink="">
          <xdr:nvSpPr>
            <xdr:cNvPr id="17507" name="CommandButton31" hidden="1">
              <a:extLst>
                <a:ext uri="{63B3BB69-23CF-44E3-9099-C40C66FF867C}">
                  <a14:compatExt spid="_x0000_s1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175</xdr:row>
          <xdr:rowOff>47625</xdr:rowOff>
        </xdr:from>
        <xdr:to>
          <xdr:col>24</xdr:col>
          <xdr:colOff>219075</xdr:colOff>
          <xdr:row>175</xdr:row>
          <xdr:rowOff>190500</xdr:rowOff>
        </xdr:to>
        <xdr:sp macro="" textlink="">
          <xdr:nvSpPr>
            <xdr:cNvPr id="17508" name="CommandButton32" hidden="1">
              <a:extLst>
                <a:ext uri="{63B3BB69-23CF-44E3-9099-C40C66FF867C}">
                  <a14:compatExt spid="_x0000_s1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176</xdr:row>
          <xdr:rowOff>47625</xdr:rowOff>
        </xdr:from>
        <xdr:to>
          <xdr:col>24</xdr:col>
          <xdr:colOff>219075</xdr:colOff>
          <xdr:row>176</xdr:row>
          <xdr:rowOff>190500</xdr:rowOff>
        </xdr:to>
        <xdr:sp macro="" textlink="">
          <xdr:nvSpPr>
            <xdr:cNvPr id="17509" name="CommandButton33" hidden="1">
              <a:extLst>
                <a:ext uri="{63B3BB69-23CF-44E3-9099-C40C66FF867C}">
                  <a14:compatExt spid="_x0000_s1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180</xdr:row>
          <xdr:rowOff>47625</xdr:rowOff>
        </xdr:from>
        <xdr:to>
          <xdr:col>24</xdr:col>
          <xdr:colOff>219075</xdr:colOff>
          <xdr:row>180</xdr:row>
          <xdr:rowOff>190500</xdr:rowOff>
        </xdr:to>
        <xdr:sp macro="" textlink="">
          <xdr:nvSpPr>
            <xdr:cNvPr id="17510" name="CommandButton34" hidden="1">
              <a:extLst>
                <a:ext uri="{63B3BB69-23CF-44E3-9099-C40C66FF867C}">
                  <a14:compatExt spid="_x0000_s1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183</xdr:row>
          <xdr:rowOff>47625</xdr:rowOff>
        </xdr:from>
        <xdr:to>
          <xdr:col>24</xdr:col>
          <xdr:colOff>219075</xdr:colOff>
          <xdr:row>183</xdr:row>
          <xdr:rowOff>190500</xdr:rowOff>
        </xdr:to>
        <xdr:sp macro="" textlink="">
          <xdr:nvSpPr>
            <xdr:cNvPr id="17511" name="CommandButton35" hidden="1">
              <a:extLst>
                <a:ext uri="{63B3BB69-23CF-44E3-9099-C40C66FF867C}">
                  <a14:compatExt spid="_x0000_s1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184</xdr:row>
          <xdr:rowOff>47625</xdr:rowOff>
        </xdr:from>
        <xdr:to>
          <xdr:col>24</xdr:col>
          <xdr:colOff>219075</xdr:colOff>
          <xdr:row>184</xdr:row>
          <xdr:rowOff>190500</xdr:rowOff>
        </xdr:to>
        <xdr:sp macro="" textlink="">
          <xdr:nvSpPr>
            <xdr:cNvPr id="17512" name="CommandButton36" hidden="1">
              <a:extLst>
                <a:ext uri="{63B3BB69-23CF-44E3-9099-C40C66FF867C}">
                  <a14:compatExt spid="_x0000_s1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187</xdr:row>
          <xdr:rowOff>47625</xdr:rowOff>
        </xdr:from>
        <xdr:to>
          <xdr:col>24</xdr:col>
          <xdr:colOff>219075</xdr:colOff>
          <xdr:row>187</xdr:row>
          <xdr:rowOff>190500</xdr:rowOff>
        </xdr:to>
        <xdr:sp macro="" textlink="">
          <xdr:nvSpPr>
            <xdr:cNvPr id="17513" name="CommandButton37" hidden="1">
              <a:extLst>
                <a:ext uri="{63B3BB69-23CF-44E3-9099-C40C66FF867C}">
                  <a14:compatExt spid="_x0000_s1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189</xdr:row>
          <xdr:rowOff>47625</xdr:rowOff>
        </xdr:from>
        <xdr:to>
          <xdr:col>24</xdr:col>
          <xdr:colOff>219075</xdr:colOff>
          <xdr:row>189</xdr:row>
          <xdr:rowOff>190500</xdr:rowOff>
        </xdr:to>
        <xdr:sp macro="" textlink="">
          <xdr:nvSpPr>
            <xdr:cNvPr id="17514" name="CommandButton38" hidden="1">
              <a:extLst>
                <a:ext uri="{63B3BB69-23CF-44E3-9099-C40C66FF867C}">
                  <a14:compatExt spid="_x0000_s1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4</xdr:row>
          <xdr:rowOff>47625</xdr:rowOff>
        </xdr:from>
        <xdr:to>
          <xdr:col>24</xdr:col>
          <xdr:colOff>219075</xdr:colOff>
          <xdr:row>4</xdr:row>
          <xdr:rowOff>190500</xdr:rowOff>
        </xdr:to>
        <xdr:sp macro="" textlink="">
          <xdr:nvSpPr>
            <xdr:cNvPr id="17515" name="CommandButton39" hidden="1">
              <a:extLst>
                <a:ext uri="{63B3BB69-23CF-44E3-9099-C40C66FF867C}">
                  <a14:compatExt spid="_x0000_s1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5</xdr:row>
          <xdr:rowOff>47625</xdr:rowOff>
        </xdr:from>
        <xdr:to>
          <xdr:col>24</xdr:col>
          <xdr:colOff>219075</xdr:colOff>
          <xdr:row>5</xdr:row>
          <xdr:rowOff>190500</xdr:rowOff>
        </xdr:to>
        <xdr:sp macro="" textlink="">
          <xdr:nvSpPr>
            <xdr:cNvPr id="17516" name="CommandButton40" hidden="1">
              <a:extLst>
                <a:ext uri="{63B3BB69-23CF-44E3-9099-C40C66FF867C}">
                  <a14:compatExt spid="_x0000_s1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6</xdr:row>
          <xdr:rowOff>47625</xdr:rowOff>
        </xdr:from>
        <xdr:to>
          <xdr:col>24</xdr:col>
          <xdr:colOff>219075</xdr:colOff>
          <xdr:row>6</xdr:row>
          <xdr:rowOff>190500</xdr:rowOff>
        </xdr:to>
        <xdr:sp macro="" textlink="">
          <xdr:nvSpPr>
            <xdr:cNvPr id="17517" name="CommandButton41" hidden="1">
              <a:extLst>
                <a:ext uri="{63B3BB69-23CF-44E3-9099-C40C66FF867C}">
                  <a14:compatExt spid="_x0000_s1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186</xdr:row>
          <xdr:rowOff>47625</xdr:rowOff>
        </xdr:from>
        <xdr:to>
          <xdr:col>24</xdr:col>
          <xdr:colOff>219075</xdr:colOff>
          <xdr:row>186</xdr:row>
          <xdr:rowOff>190500</xdr:rowOff>
        </xdr:to>
        <xdr:sp macro="" textlink="">
          <xdr:nvSpPr>
            <xdr:cNvPr id="17518" name="CommandButton42" hidden="1">
              <a:extLst>
                <a:ext uri="{63B3BB69-23CF-44E3-9099-C40C66FF867C}">
                  <a14:compatExt spid="_x0000_s1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161925</xdr:rowOff>
        </xdr:from>
        <xdr:to>
          <xdr:col>3</xdr:col>
          <xdr:colOff>200025</xdr:colOff>
          <xdr:row>4</xdr:row>
          <xdr:rowOff>85725</xdr:rowOff>
        </xdr:to>
        <xdr:sp macro="" textlink="">
          <xdr:nvSpPr>
            <xdr:cNvPr id="18433" name="Object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161925</xdr:rowOff>
        </xdr:from>
        <xdr:to>
          <xdr:col>6</xdr:col>
          <xdr:colOff>190500</xdr:colOff>
          <xdr:row>4</xdr:row>
          <xdr:rowOff>76200</xdr:rowOff>
        </xdr:to>
        <xdr:sp macro="" textlink="">
          <xdr:nvSpPr>
            <xdr:cNvPr id="18434" name="Object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161925</xdr:rowOff>
        </xdr:from>
        <xdr:to>
          <xdr:col>9</xdr:col>
          <xdr:colOff>209550</xdr:colOff>
          <xdr:row>4</xdr:row>
          <xdr:rowOff>76200</xdr:rowOff>
        </xdr:to>
        <xdr:sp macro="" textlink="">
          <xdr:nvSpPr>
            <xdr:cNvPr id="18435" name="Object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</xdr:row>
          <xdr:rowOff>161925</xdr:rowOff>
        </xdr:from>
        <xdr:to>
          <xdr:col>12</xdr:col>
          <xdr:colOff>200025</xdr:colOff>
          <xdr:row>4</xdr:row>
          <xdr:rowOff>76200</xdr:rowOff>
        </xdr:to>
        <xdr:sp macro="" textlink="">
          <xdr:nvSpPr>
            <xdr:cNvPr id="18436" name="Object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</xdr:row>
          <xdr:rowOff>161925</xdr:rowOff>
        </xdr:from>
        <xdr:to>
          <xdr:col>15</xdr:col>
          <xdr:colOff>209550</xdr:colOff>
          <xdr:row>4</xdr:row>
          <xdr:rowOff>76200</xdr:rowOff>
        </xdr:to>
        <xdr:sp macro="" textlink="">
          <xdr:nvSpPr>
            <xdr:cNvPr id="18437" name="Object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</xdr:row>
          <xdr:rowOff>171450</xdr:rowOff>
        </xdr:from>
        <xdr:to>
          <xdr:col>18</xdr:col>
          <xdr:colOff>209550</xdr:colOff>
          <xdr:row>4</xdr:row>
          <xdr:rowOff>85725</xdr:rowOff>
        </xdr:to>
        <xdr:sp macro="" textlink="">
          <xdr:nvSpPr>
            <xdr:cNvPr id="18438" name="Object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</xdr:colOff>
          <xdr:row>1</xdr:row>
          <xdr:rowOff>180975</xdr:rowOff>
        </xdr:from>
        <xdr:to>
          <xdr:col>21</xdr:col>
          <xdr:colOff>200025</xdr:colOff>
          <xdr:row>4</xdr:row>
          <xdr:rowOff>95250</xdr:rowOff>
        </xdr:to>
        <xdr:sp macro="" textlink="">
          <xdr:nvSpPr>
            <xdr:cNvPr id="18439" name="Object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</xdr:colOff>
          <xdr:row>1</xdr:row>
          <xdr:rowOff>171450</xdr:rowOff>
        </xdr:from>
        <xdr:to>
          <xdr:col>24</xdr:col>
          <xdr:colOff>200025</xdr:colOff>
          <xdr:row>4</xdr:row>
          <xdr:rowOff>85725</xdr:rowOff>
        </xdr:to>
        <xdr:sp macro="" textlink="">
          <xdr:nvSpPr>
            <xdr:cNvPr id="18440" name="Object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66675</xdr:colOff>
          <xdr:row>1</xdr:row>
          <xdr:rowOff>180975</xdr:rowOff>
        </xdr:from>
        <xdr:to>
          <xdr:col>27</xdr:col>
          <xdr:colOff>200025</xdr:colOff>
          <xdr:row>4</xdr:row>
          <xdr:rowOff>95250</xdr:rowOff>
        </xdr:to>
        <xdr:sp macro="" textlink="">
          <xdr:nvSpPr>
            <xdr:cNvPr id="18441" name="Object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66675</xdr:colOff>
          <xdr:row>1</xdr:row>
          <xdr:rowOff>180975</xdr:rowOff>
        </xdr:from>
        <xdr:to>
          <xdr:col>30</xdr:col>
          <xdr:colOff>200025</xdr:colOff>
          <xdr:row>4</xdr:row>
          <xdr:rowOff>95250</xdr:rowOff>
        </xdr:to>
        <xdr:sp macro="" textlink="">
          <xdr:nvSpPr>
            <xdr:cNvPr id="18442" name="Object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57150</xdr:colOff>
          <xdr:row>1</xdr:row>
          <xdr:rowOff>180975</xdr:rowOff>
        </xdr:from>
        <xdr:to>
          <xdr:col>33</xdr:col>
          <xdr:colOff>190500</xdr:colOff>
          <xdr:row>4</xdr:row>
          <xdr:rowOff>95250</xdr:rowOff>
        </xdr:to>
        <xdr:sp macro="" textlink="">
          <xdr:nvSpPr>
            <xdr:cNvPr id="18443" name="Object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57150</xdr:colOff>
          <xdr:row>1</xdr:row>
          <xdr:rowOff>180975</xdr:rowOff>
        </xdr:from>
        <xdr:to>
          <xdr:col>36</xdr:col>
          <xdr:colOff>190500</xdr:colOff>
          <xdr:row>4</xdr:row>
          <xdr:rowOff>95250</xdr:rowOff>
        </xdr:to>
        <xdr:sp macro="" textlink="">
          <xdr:nvSpPr>
            <xdr:cNvPr id="18444" name="Object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57150</xdr:colOff>
          <xdr:row>1</xdr:row>
          <xdr:rowOff>180975</xdr:rowOff>
        </xdr:from>
        <xdr:to>
          <xdr:col>39</xdr:col>
          <xdr:colOff>190500</xdr:colOff>
          <xdr:row>4</xdr:row>
          <xdr:rowOff>104775</xdr:rowOff>
        </xdr:to>
        <xdr:sp macro="" textlink="">
          <xdr:nvSpPr>
            <xdr:cNvPr id="18445" name="Object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1</xdr:row>
          <xdr:rowOff>180975</xdr:rowOff>
        </xdr:from>
        <xdr:to>
          <xdr:col>42</xdr:col>
          <xdr:colOff>190500</xdr:colOff>
          <xdr:row>4</xdr:row>
          <xdr:rowOff>95250</xdr:rowOff>
        </xdr:to>
        <xdr:sp macro="" textlink="">
          <xdr:nvSpPr>
            <xdr:cNvPr id="18446" name="Object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91" Type="http://schemas.openxmlformats.org/officeDocument/2006/relationships/image" Target="../media/image4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49.emf"/><Relationship Id="rId18" Type="http://schemas.openxmlformats.org/officeDocument/2006/relationships/oleObject" Target="../embeddings/oleObject8.bin"/><Relationship Id="rId26" Type="http://schemas.openxmlformats.org/officeDocument/2006/relationships/oleObject" Target="../embeddings/oleObject12.bin"/><Relationship Id="rId3" Type="http://schemas.openxmlformats.org/officeDocument/2006/relationships/vmlDrawing" Target="../drawings/vmlDrawing2.vml"/><Relationship Id="rId21" Type="http://schemas.openxmlformats.org/officeDocument/2006/relationships/image" Target="../media/image53.emf"/><Relationship Id="rId7" Type="http://schemas.openxmlformats.org/officeDocument/2006/relationships/image" Target="../media/image46.e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9.bin"/><Relationship Id="rId29" Type="http://schemas.openxmlformats.org/officeDocument/2006/relationships/image" Target="../media/image57.emf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8.emf"/><Relationship Id="rId24" Type="http://schemas.openxmlformats.org/officeDocument/2006/relationships/oleObject" Target="../embeddings/oleObject11.bin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28" Type="http://schemas.openxmlformats.org/officeDocument/2006/relationships/oleObject" Target="../embeddings/oleObject13.bin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52.emf"/><Relationship Id="rId31" Type="http://schemas.openxmlformats.org/officeDocument/2006/relationships/image" Target="../media/image58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47.e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0.bin"/><Relationship Id="rId27" Type="http://schemas.openxmlformats.org/officeDocument/2006/relationships/image" Target="../media/image56.emf"/><Relationship Id="rId30" Type="http://schemas.openxmlformats.org/officeDocument/2006/relationships/oleObject" Target="../embeddings/oleObject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575"/>
  <sheetViews>
    <sheetView showGridLines="0" tabSelected="1" zoomScale="120" zoomScaleNormal="120" zoomScaleSheetLayoutView="120" workbookViewId="0">
      <pane ySplit="3" topLeftCell="A4" activePane="bottomLeft" state="frozen"/>
      <selection pane="bottomLeft" activeCell="J6" sqref="J6:V6"/>
    </sheetView>
  </sheetViews>
  <sheetFormatPr defaultRowHeight="12.75" x14ac:dyDescent="0.25"/>
  <cols>
    <col min="1" max="1" width="1.28515625" style="2" customWidth="1"/>
    <col min="2" max="2" width="7.7109375" style="2" customWidth="1"/>
    <col min="3" max="3" width="1.85546875" style="2" customWidth="1"/>
    <col min="4" max="19" width="3.5703125" style="2" customWidth="1"/>
    <col min="20" max="23" width="4.85546875" style="2" customWidth="1"/>
    <col min="24" max="24" width="3.140625" style="2" customWidth="1"/>
    <col min="25" max="38" width="3.5703125" style="17" customWidth="1"/>
    <col min="39" max="356" width="3.5703125" style="2" customWidth="1"/>
    <col min="357" max="16384" width="9.140625" style="2"/>
  </cols>
  <sheetData>
    <row r="1" spans="1:46" ht="12.75" customHeight="1" x14ac:dyDescent="0.25">
      <c r="B1" s="132" t="s">
        <v>247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</row>
    <row r="2" spans="1:46" ht="12.75" customHeight="1" thickBot="1" x14ac:dyDescent="0.3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</row>
    <row r="3" spans="1:46" ht="16.5" customHeight="1" x14ac:dyDescent="0.25">
      <c r="B3" s="3" t="s">
        <v>205</v>
      </c>
      <c r="C3" s="3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111"/>
      <c r="Y3" s="4" t="s">
        <v>25</v>
      </c>
      <c r="Z3" s="57"/>
      <c r="AA3" s="57"/>
      <c r="AB3" s="57"/>
      <c r="AC3" s="57"/>
      <c r="AD3" s="57"/>
      <c r="AE3" s="58"/>
      <c r="AF3" s="58"/>
      <c r="AG3" s="58"/>
      <c r="AH3" s="58"/>
      <c r="AI3" s="58"/>
      <c r="AJ3" s="58"/>
      <c r="AK3" s="58"/>
      <c r="AL3" s="59"/>
    </row>
    <row r="4" spans="1:46" ht="16.5" customHeight="1" x14ac:dyDescent="0.25">
      <c r="B4" s="229" t="s">
        <v>299</v>
      </c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29"/>
      <c r="W4" s="230"/>
      <c r="X4" s="6"/>
      <c r="Y4" s="123"/>
      <c r="Z4" s="56"/>
      <c r="AA4" s="56"/>
      <c r="AB4" s="56"/>
      <c r="AC4" s="56"/>
      <c r="AD4" s="60"/>
      <c r="AE4" s="60"/>
      <c r="AF4" s="60"/>
      <c r="AG4" s="60"/>
      <c r="AH4" s="60"/>
      <c r="AI4" s="60"/>
      <c r="AJ4" s="60"/>
      <c r="AK4" s="60"/>
      <c r="AL4" s="60"/>
    </row>
    <row r="5" spans="1:46" ht="16.5" customHeight="1" x14ac:dyDescent="0.25">
      <c r="B5" s="24">
        <v>1</v>
      </c>
      <c r="C5" s="25"/>
      <c r="D5" s="25" t="s">
        <v>40</v>
      </c>
      <c r="E5" s="26"/>
      <c r="F5" s="26"/>
      <c r="G5" s="26"/>
      <c r="H5" s="26"/>
      <c r="I5" s="26"/>
      <c r="J5" s="26"/>
      <c r="K5" s="26"/>
      <c r="L5" s="26"/>
      <c r="M5" s="26"/>
      <c r="N5" s="27"/>
      <c r="O5" s="27"/>
      <c r="P5" s="27"/>
      <c r="Q5" s="26"/>
      <c r="R5" s="26"/>
      <c r="S5" s="26"/>
      <c r="T5" s="26"/>
      <c r="U5" s="26"/>
      <c r="V5" s="26"/>
      <c r="W5" s="28"/>
      <c r="X5" s="6" t="s">
        <v>49</v>
      </c>
      <c r="Y5" s="124"/>
      <c r="Z5" s="121" t="s">
        <v>297</v>
      </c>
      <c r="AA5" s="56"/>
      <c r="AB5" s="56"/>
      <c r="AC5" s="56"/>
      <c r="AD5" s="60"/>
      <c r="AE5" s="60"/>
      <c r="AF5" s="60"/>
      <c r="AG5" s="60"/>
      <c r="AH5" s="60"/>
      <c r="AI5" s="60"/>
      <c r="AJ5" s="60"/>
      <c r="AK5" s="60"/>
      <c r="AL5" s="60"/>
    </row>
    <row r="6" spans="1:46" ht="16.5" customHeight="1" x14ac:dyDescent="0.25">
      <c r="A6" s="7"/>
      <c r="B6" s="8">
        <v>1.1000000000000001</v>
      </c>
      <c r="C6" s="9"/>
      <c r="D6" s="10" t="s">
        <v>12</v>
      </c>
      <c r="E6" s="11"/>
      <c r="F6" s="11"/>
      <c r="G6" s="11"/>
      <c r="H6" s="11"/>
      <c r="I6" s="11"/>
      <c r="J6" s="147" t="s">
        <v>17</v>
      </c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9"/>
      <c r="W6" s="12"/>
      <c r="X6" s="6" t="s">
        <v>49</v>
      </c>
      <c r="Y6" s="124"/>
      <c r="Z6" s="121" t="s">
        <v>298</v>
      </c>
      <c r="AA6" s="56"/>
      <c r="AB6" s="56"/>
      <c r="AC6" s="56"/>
      <c r="AD6" s="60"/>
      <c r="AE6" s="60"/>
      <c r="AF6" s="60"/>
      <c r="AG6" s="60"/>
      <c r="AH6" s="60"/>
      <c r="AI6" s="60"/>
      <c r="AJ6" s="60"/>
      <c r="AK6" s="60"/>
      <c r="AL6" s="60"/>
    </row>
    <row r="7" spans="1:46" ht="16.5" customHeight="1" x14ac:dyDescent="0.25">
      <c r="A7" s="7"/>
      <c r="B7" s="8">
        <v>1.2</v>
      </c>
      <c r="C7" s="9"/>
      <c r="D7" s="10" t="s">
        <v>30</v>
      </c>
      <c r="E7" s="11"/>
      <c r="F7" s="11"/>
      <c r="G7" s="11"/>
      <c r="H7" s="11"/>
      <c r="I7" s="11"/>
      <c r="J7" s="147" t="s">
        <v>352</v>
      </c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9"/>
      <c r="W7" s="12"/>
      <c r="X7" s="6" t="s">
        <v>49</v>
      </c>
      <c r="Y7" s="124"/>
      <c r="Z7" s="121" t="s">
        <v>351</v>
      </c>
      <c r="AA7" s="56"/>
      <c r="AB7" s="56"/>
      <c r="AC7" s="56"/>
      <c r="AD7" s="60"/>
      <c r="AE7" s="60"/>
      <c r="AF7" s="60"/>
      <c r="AG7" s="60"/>
      <c r="AH7" s="60"/>
      <c r="AI7" s="60"/>
      <c r="AJ7" s="60"/>
      <c r="AK7" s="60"/>
      <c r="AL7" s="60"/>
    </row>
    <row r="8" spans="1:46" ht="16.5" customHeight="1" x14ac:dyDescent="0.25">
      <c r="A8" s="7"/>
      <c r="B8" s="8"/>
      <c r="C8" s="9"/>
      <c r="D8" s="10"/>
      <c r="E8" s="11"/>
      <c r="F8" s="11"/>
      <c r="G8" s="11"/>
      <c r="H8" s="11"/>
      <c r="I8" s="11"/>
      <c r="J8" s="11"/>
      <c r="K8" s="11"/>
      <c r="L8" s="33"/>
      <c r="M8" s="33"/>
      <c r="N8" s="33"/>
      <c r="O8" s="33"/>
      <c r="P8" s="33"/>
      <c r="Q8" s="33"/>
      <c r="R8" s="33"/>
      <c r="S8" s="33"/>
      <c r="T8" s="38"/>
      <c r="U8" s="38"/>
      <c r="V8" s="14"/>
      <c r="W8" s="12"/>
      <c r="X8" s="13"/>
      <c r="Y8" s="123"/>
      <c r="Z8" s="56"/>
      <c r="AA8" s="56"/>
      <c r="AB8" s="56"/>
      <c r="AC8" s="56"/>
      <c r="AD8" s="60"/>
      <c r="AE8" s="60"/>
      <c r="AF8" s="60"/>
      <c r="AG8" s="60"/>
      <c r="AH8" s="60"/>
      <c r="AI8" s="60"/>
      <c r="AJ8" s="60"/>
      <c r="AK8" s="60"/>
      <c r="AL8" s="60"/>
      <c r="AO8"/>
      <c r="AP8"/>
      <c r="AQ8"/>
      <c r="AR8"/>
      <c r="AS8"/>
      <c r="AT8"/>
    </row>
    <row r="9" spans="1:46" ht="16.5" customHeight="1" x14ac:dyDescent="0.25">
      <c r="A9" s="7"/>
      <c r="B9" s="70">
        <v>1.3</v>
      </c>
      <c r="C9" s="9"/>
      <c r="D9" s="72" t="s">
        <v>15</v>
      </c>
      <c r="E9" s="11"/>
      <c r="F9" s="11"/>
      <c r="G9" s="15"/>
      <c r="H9" s="15"/>
      <c r="I9" s="15"/>
      <c r="J9" s="206"/>
      <c r="K9" s="206"/>
      <c r="L9" s="39"/>
      <c r="M9" s="39"/>
      <c r="N9" s="39"/>
      <c r="O9" s="39"/>
      <c r="P9" s="224" t="s">
        <v>182</v>
      </c>
      <c r="Q9" s="224"/>
      <c r="R9" s="224"/>
      <c r="S9" s="224"/>
      <c r="T9" s="152" t="s">
        <v>183</v>
      </c>
      <c r="U9" s="152"/>
      <c r="V9" s="152" t="s">
        <v>0</v>
      </c>
      <c r="W9" s="152"/>
      <c r="X9" s="6" t="s">
        <v>49</v>
      </c>
      <c r="Y9" s="123" t="s">
        <v>187</v>
      </c>
      <c r="Z9" s="56"/>
      <c r="AA9" s="56"/>
      <c r="AB9" s="56"/>
      <c r="AC9" s="56"/>
      <c r="AD9" s="60"/>
      <c r="AE9" s="60"/>
      <c r="AF9" s="60"/>
      <c r="AG9" s="60"/>
      <c r="AH9" s="60"/>
      <c r="AI9" s="60"/>
      <c r="AJ9" s="60"/>
      <c r="AK9" s="60"/>
      <c r="AL9" s="60"/>
      <c r="AO9"/>
      <c r="AP9"/>
      <c r="AQ9"/>
      <c r="AR9"/>
      <c r="AS9"/>
      <c r="AT9"/>
    </row>
    <row r="10" spans="1:46" ht="16.5" customHeight="1" x14ac:dyDescent="0.25">
      <c r="A10" s="7"/>
      <c r="B10" s="8"/>
      <c r="C10" s="9"/>
      <c r="D10" s="16"/>
      <c r="E10" s="11"/>
      <c r="F10" s="11"/>
      <c r="G10" s="15"/>
      <c r="H10" s="15"/>
      <c r="I10" s="15"/>
      <c r="J10" s="152" t="s">
        <v>50</v>
      </c>
      <c r="K10" s="152"/>
      <c r="L10" s="152" t="s">
        <v>51</v>
      </c>
      <c r="M10" s="152"/>
      <c r="N10" s="152" t="s">
        <v>52</v>
      </c>
      <c r="O10" s="152"/>
      <c r="P10" s="152" t="s">
        <v>135</v>
      </c>
      <c r="Q10" s="152"/>
      <c r="R10" s="152" t="s">
        <v>136</v>
      </c>
      <c r="S10" s="152"/>
      <c r="T10" s="152" t="s">
        <v>137</v>
      </c>
      <c r="U10" s="152"/>
      <c r="V10" s="152" t="s">
        <v>138</v>
      </c>
      <c r="W10" s="152"/>
      <c r="X10" s="13"/>
      <c r="Y10" s="124"/>
      <c r="Z10" s="65" t="s">
        <v>188</v>
      </c>
      <c r="AA10" s="56"/>
      <c r="AB10" s="56"/>
      <c r="AC10" s="56"/>
      <c r="AD10" s="60"/>
      <c r="AE10" s="60"/>
      <c r="AF10" s="60"/>
      <c r="AG10" s="60"/>
      <c r="AH10" s="60"/>
      <c r="AI10" s="60"/>
      <c r="AJ10" s="60"/>
      <c r="AK10" s="60"/>
      <c r="AL10" s="60"/>
      <c r="AO10"/>
      <c r="AP10"/>
      <c r="AQ10"/>
      <c r="AR10"/>
      <c r="AS10"/>
      <c r="AT10"/>
    </row>
    <row r="11" spans="1:46" ht="16.5" customHeight="1" x14ac:dyDescent="0.25">
      <c r="A11" s="7"/>
      <c r="B11" s="18" t="s">
        <v>3</v>
      </c>
      <c r="C11" s="9"/>
      <c r="D11" s="95"/>
      <c r="E11" s="96"/>
      <c r="F11" s="89"/>
      <c r="G11" s="90"/>
      <c r="H11" s="90"/>
      <c r="I11" s="97" t="s">
        <v>181</v>
      </c>
      <c r="J11" s="146"/>
      <c r="K11" s="146"/>
      <c r="L11" s="150">
        <v>28.966000000000001</v>
      </c>
      <c r="M11" s="151"/>
      <c r="N11" s="153"/>
      <c r="O11" s="153"/>
      <c r="P11" s="143"/>
      <c r="Q11" s="143"/>
      <c r="R11" s="143"/>
      <c r="S11" s="143"/>
      <c r="T11" s="228">
        <v>574</v>
      </c>
      <c r="U11" s="225"/>
      <c r="V11" s="225">
        <v>239</v>
      </c>
      <c r="W11" s="225"/>
      <c r="X11" s="19"/>
      <c r="Y11" s="124"/>
      <c r="Z11" s="65" t="s">
        <v>189</v>
      </c>
      <c r="AA11" s="56"/>
      <c r="AB11" s="56"/>
      <c r="AC11" s="56"/>
      <c r="AD11" s="60"/>
      <c r="AE11" s="60"/>
      <c r="AF11" s="60"/>
      <c r="AG11" s="60"/>
      <c r="AH11" s="60"/>
      <c r="AI11" s="60"/>
      <c r="AJ11" s="60"/>
      <c r="AK11" s="60"/>
      <c r="AL11" s="60"/>
      <c r="AO11"/>
      <c r="AP11"/>
      <c r="AQ11"/>
      <c r="AR11"/>
      <c r="AS11"/>
      <c r="AT11"/>
    </row>
    <row r="12" spans="1:46" ht="16.5" customHeight="1" x14ac:dyDescent="0.25">
      <c r="A12" s="7"/>
      <c r="B12" s="18" t="s">
        <v>4</v>
      </c>
      <c r="C12" s="9"/>
      <c r="D12" s="95"/>
      <c r="E12" s="96"/>
      <c r="F12" s="89"/>
      <c r="G12" s="90"/>
      <c r="H12" s="90"/>
      <c r="I12" s="97" t="s">
        <v>67</v>
      </c>
      <c r="J12" s="146" t="s">
        <v>83</v>
      </c>
      <c r="K12" s="146"/>
      <c r="L12" s="150">
        <v>32</v>
      </c>
      <c r="M12" s="151"/>
      <c r="N12" s="139"/>
      <c r="O12" s="139"/>
      <c r="P12" s="141"/>
      <c r="Q12" s="141"/>
      <c r="R12" s="141"/>
      <c r="S12" s="141"/>
      <c r="T12" s="208">
        <v>732</v>
      </c>
      <c r="U12" s="146"/>
      <c r="V12" s="146">
        <v>278</v>
      </c>
      <c r="W12" s="146"/>
      <c r="X12" s="19"/>
      <c r="Y12" s="124"/>
      <c r="Z12" s="56"/>
      <c r="AA12" s="56"/>
      <c r="AB12" s="56"/>
      <c r="AC12" s="56"/>
      <c r="AD12" s="60"/>
      <c r="AE12" s="60"/>
      <c r="AF12" s="60"/>
      <c r="AG12" s="60"/>
      <c r="AH12" s="60"/>
      <c r="AI12" s="60"/>
      <c r="AJ12" s="60"/>
      <c r="AK12" s="60"/>
      <c r="AL12" s="60"/>
      <c r="AO12"/>
      <c r="AP12"/>
      <c r="AQ12"/>
      <c r="AR12"/>
      <c r="AS12"/>
      <c r="AT12"/>
    </row>
    <row r="13" spans="1:46" ht="16.5" customHeight="1" x14ac:dyDescent="0.25">
      <c r="A13" s="7"/>
      <c r="B13" s="18" t="s">
        <v>6</v>
      </c>
      <c r="C13" s="9"/>
      <c r="D13" s="95"/>
      <c r="E13" s="96"/>
      <c r="F13" s="89"/>
      <c r="G13" s="90"/>
      <c r="H13" s="90"/>
      <c r="I13" s="97" t="s">
        <v>68</v>
      </c>
      <c r="J13" s="146" t="s">
        <v>84</v>
      </c>
      <c r="K13" s="146"/>
      <c r="L13" s="150">
        <v>28.015999999999998</v>
      </c>
      <c r="M13" s="151"/>
      <c r="N13" s="139"/>
      <c r="O13" s="139"/>
      <c r="P13" s="141"/>
      <c r="Q13" s="141"/>
      <c r="R13" s="141"/>
      <c r="S13" s="141"/>
      <c r="T13" s="208">
        <v>492</v>
      </c>
      <c r="U13" s="146"/>
      <c r="V13" s="146">
        <v>227</v>
      </c>
      <c r="W13" s="146"/>
      <c r="X13" s="6" t="s">
        <v>49</v>
      </c>
      <c r="Y13" s="124"/>
      <c r="Z13" s="56" t="s">
        <v>193</v>
      </c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O13"/>
      <c r="AP13"/>
      <c r="AQ13"/>
      <c r="AR13"/>
      <c r="AS13"/>
      <c r="AT13"/>
    </row>
    <row r="14" spans="1:46" ht="16.5" customHeight="1" x14ac:dyDescent="0.25">
      <c r="A14" s="7"/>
      <c r="B14" s="18" t="s">
        <v>7</v>
      </c>
      <c r="C14" s="9"/>
      <c r="D14" s="95"/>
      <c r="E14" s="96"/>
      <c r="F14" s="89"/>
      <c r="G14" s="90"/>
      <c r="H14" s="90"/>
      <c r="I14" s="97" t="s">
        <v>69</v>
      </c>
      <c r="J14" s="146" t="s">
        <v>85</v>
      </c>
      <c r="K14" s="146"/>
      <c r="L14" s="150">
        <v>18.015999999999998</v>
      </c>
      <c r="M14" s="151"/>
      <c r="N14" s="139"/>
      <c r="O14" s="139"/>
      <c r="P14" s="141"/>
      <c r="Q14" s="141"/>
      <c r="R14" s="141"/>
      <c r="S14" s="141"/>
      <c r="T14" s="208">
        <v>3187</v>
      </c>
      <c r="U14" s="146"/>
      <c r="V14" s="146">
        <v>1165</v>
      </c>
      <c r="W14" s="146"/>
      <c r="X14" s="6" t="s">
        <v>49</v>
      </c>
      <c r="Y14" s="124"/>
      <c r="Z14" s="56" t="s">
        <v>193</v>
      </c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O14"/>
      <c r="AP14"/>
      <c r="AQ14"/>
      <c r="AR14"/>
      <c r="AS14"/>
      <c r="AT14"/>
    </row>
    <row r="15" spans="1:46" ht="16.5" customHeight="1" x14ac:dyDescent="0.25">
      <c r="B15" s="18" t="s">
        <v>21</v>
      </c>
      <c r="C15" s="9"/>
      <c r="D15" s="95"/>
      <c r="E15" s="96"/>
      <c r="F15" s="89"/>
      <c r="G15" s="90"/>
      <c r="H15" s="90"/>
      <c r="I15" s="97" t="s">
        <v>70</v>
      </c>
      <c r="J15" s="146" t="s">
        <v>86</v>
      </c>
      <c r="K15" s="146"/>
      <c r="L15" s="150">
        <v>28.01</v>
      </c>
      <c r="M15" s="151"/>
      <c r="N15" s="139"/>
      <c r="O15" s="139"/>
      <c r="P15" s="141"/>
      <c r="Q15" s="141"/>
      <c r="R15" s="141"/>
      <c r="S15" s="141"/>
      <c r="T15" s="208">
        <v>507</v>
      </c>
      <c r="U15" s="146"/>
      <c r="V15" s="146">
        <v>242</v>
      </c>
      <c r="W15" s="146"/>
      <c r="X15" s="19"/>
      <c r="Y15" s="128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O15"/>
      <c r="AP15"/>
      <c r="AQ15"/>
      <c r="AR15"/>
      <c r="AS15"/>
      <c r="AT15"/>
    </row>
    <row r="16" spans="1:46" ht="16.5" customHeight="1" x14ac:dyDescent="0.25">
      <c r="B16" s="18" t="s">
        <v>22</v>
      </c>
      <c r="C16" s="9"/>
      <c r="D16" s="95"/>
      <c r="E16" s="96"/>
      <c r="F16" s="89"/>
      <c r="G16" s="90"/>
      <c r="H16" s="90"/>
      <c r="I16" s="97" t="s">
        <v>71</v>
      </c>
      <c r="J16" s="146" t="s">
        <v>87</v>
      </c>
      <c r="K16" s="146"/>
      <c r="L16" s="150">
        <v>44.01</v>
      </c>
      <c r="M16" s="151"/>
      <c r="N16" s="139"/>
      <c r="O16" s="139"/>
      <c r="P16" s="141"/>
      <c r="Q16" s="141"/>
      <c r="R16" s="141"/>
      <c r="S16" s="141"/>
      <c r="T16" s="208">
        <v>1073</v>
      </c>
      <c r="U16" s="146"/>
      <c r="V16" s="146">
        <v>548</v>
      </c>
      <c r="W16" s="146"/>
      <c r="X16" s="19"/>
      <c r="Y16" s="128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O16"/>
      <c r="AP16"/>
      <c r="AQ16"/>
      <c r="AR16"/>
      <c r="AS16"/>
      <c r="AT16"/>
    </row>
    <row r="17" spans="2:46" ht="16.5" customHeight="1" x14ac:dyDescent="0.25">
      <c r="B17" s="18" t="s">
        <v>53</v>
      </c>
      <c r="C17" s="9"/>
      <c r="D17" s="95"/>
      <c r="E17" s="96"/>
      <c r="F17" s="89"/>
      <c r="G17" s="90"/>
      <c r="H17" s="90"/>
      <c r="I17" s="97" t="s">
        <v>72</v>
      </c>
      <c r="J17" s="146" t="s">
        <v>88</v>
      </c>
      <c r="K17" s="146"/>
      <c r="L17" s="150">
        <v>34.076000000000001</v>
      </c>
      <c r="M17" s="151"/>
      <c r="N17" s="139"/>
      <c r="O17" s="139"/>
      <c r="P17" s="141"/>
      <c r="Q17" s="141"/>
      <c r="R17" s="141"/>
      <c r="S17" s="141"/>
      <c r="T17" s="208">
        <v>1306</v>
      </c>
      <c r="U17" s="146"/>
      <c r="V17" s="146">
        <v>673</v>
      </c>
      <c r="W17" s="146"/>
      <c r="X17" s="19"/>
      <c r="Y17" s="123"/>
      <c r="Z17" s="56"/>
      <c r="AA17" s="56"/>
      <c r="AB17" s="56"/>
      <c r="AC17" s="56"/>
      <c r="AD17" s="60"/>
      <c r="AE17" s="60"/>
      <c r="AF17" s="60"/>
      <c r="AG17" s="60"/>
      <c r="AH17" s="60"/>
      <c r="AI17" s="60"/>
      <c r="AJ17" s="60"/>
      <c r="AK17" s="60"/>
      <c r="AL17" s="60"/>
      <c r="AO17"/>
      <c r="AP17"/>
      <c r="AQ17"/>
      <c r="AR17"/>
      <c r="AS17"/>
      <c r="AT17"/>
    </row>
    <row r="18" spans="2:46" ht="16.5" customHeight="1" x14ac:dyDescent="0.25">
      <c r="B18" s="18" t="s">
        <v>54</v>
      </c>
      <c r="C18" s="9"/>
      <c r="D18" s="95"/>
      <c r="E18" s="96"/>
      <c r="F18" s="89"/>
      <c r="G18" s="90"/>
      <c r="H18" s="90"/>
      <c r="I18" s="97" t="s">
        <v>73</v>
      </c>
      <c r="J18" s="146" t="s">
        <v>89</v>
      </c>
      <c r="K18" s="146"/>
      <c r="L18" s="150">
        <v>2.016</v>
      </c>
      <c r="M18" s="151"/>
      <c r="N18" s="139"/>
      <c r="O18" s="139"/>
      <c r="P18" s="141"/>
      <c r="Q18" s="141"/>
      <c r="R18" s="141"/>
      <c r="S18" s="141"/>
      <c r="T18" s="208">
        <v>327</v>
      </c>
      <c r="U18" s="146"/>
      <c r="V18" s="146">
        <v>83</v>
      </c>
      <c r="W18" s="146"/>
      <c r="X18" s="6" t="s">
        <v>49</v>
      </c>
      <c r="Y18" s="124"/>
      <c r="Z18" s="56" t="s">
        <v>190</v>
      </c>
      <c r="AA18" s="56"/>
      <c r="AB18" s="56"/>
      <c r="AC18" s="56"/>
      <c r="AD18" s="60"/>
      <c r="AE18" s="60"/>
      <c r="AF18" s="60"/>
      <c r="AG18" s="60"/>
      <c r="AH18" s="60"/>
      <c r="AI18" s="60"/>
      <c r="AJ18" s="60"/>
      <c r="AK18" s="60"/>
      <c r="AL18" s="60"/>
      <c r="AO18"/>
      <c r="AP18"/>
      <c r="AQ18"/>
      <c r="AR18"/>
      <c r="AS18"/>
      <c r="AT18"/>
    </row>
    <row r="19" spans="2:46" ht="16.5" customHeight="1" x14ac:dyDescent="0.25">
      <c r="B19" s="18" t="s">
        <v>55</v>
      </c>
      <c r="C19" s="9"/>
      <c r="D19" s="95"/>
      <c r="E19" s="96"/>
      <c r="F19" s="89"/>
      <c r="G19" s="90"/>
      <c r="H19" s="90"/>
      <c r="I19" s="97" t="s">
        <v>74</v>
      </c>
      <c r="J19" s="146" t="s">
        <v>90</v>
      </c>
      <c r="K19" s="146"/>
      <c r="L19" s="150">
        <v>16.042000000000002</v>
      </c>
      <c r="M19" s="151"/>
      <c r="N19" s="139"/>
      <c r="O19" s="139"/>
      <c r="P19" s="141"/>
      <c r="Q19" s="141"/>
      <c r="R19" s="141"/>
      <c r="S19" s="141"/>
      <c r="T19" s="208">
        <v>673</v>
      </c>
      <c r="U19" s="146"/>
      <c r="V19" s="146">
        <v>344</v>
      </c>
      <c r="W19" s="146"/>
      <c r="X19" s="19"/>
      <c r="Y19" s="123"/>
      <c r="Z19" s="214" t="s">
        <v>195</v>
      </c>
      <c r="AA19" s="214"/>
      <c r="AB19" s="214"/>
      <c r="AC19" s="214"/>
      <c r="AD19" s="214"/>
      <c r="AE19" s="214"/>
      <c r="AF19" s="214" t="s">
        <v>196</v>
      </c>
      <c r="AG19" s="214"/>
      <c r="AH19" s="214"/>
      <c r="AI19" s="214"/>
      <c r="AJ19" s="214"/>
      <c r="AK19" s="214"/>
      <c r="AL19" s="60"/>
      <c r="AO19"/>
      <c r="AP19"/>
      <c r="AQ19"/>
      <c r="AR19"/>
      <c r="AS19"/>
      <c r="AT19"/>
    </row>
    <row r="20" spans="2:46" ht="16.5" customHeight="1" x14ac:dyDescent="0.25">
      <c r="B20" s="18" t="s">
        <v>56</v>
      </c>
      <c r="C20" s="9"/>
      <c r="D20" s="95"/>
      <c r="E20" s="96"/>
      <c r="F20" s="89"/>
      <c r="G20" s="90"/>
      <c r="H20" s="90"/>
      <c r="I20" s="97" t="s">
        <v>75</v>
      </c>
      <c r="J20" s="146" t="s">
        <v>91</v>
      </c>
      <c r="K20" s="146"/>
      <c r="L20" s="150">
        <v>28.052</v>
      </c>
      <c r="M20" s="151"/>
      <c r="N20" s="139"/>
      <c r="O20" s="139"/>
      <c r="P20" s="141"/>
      <c r="Q20" s="141"/>
      <c r="R20" s="141"/>
      <c r="S20" s="141"/>
      <c r="T20" s="208">
        <v>742</v>
      </c>
      <c r="U20" s="146"/>
      <c r="V20" s="146">
        <v>510</v>
      </c>
      <c r="W20" s="146"/>
      <c r="X20" s="19"/>
      <c r="Y20" s="123"/>
      <c r="Z20" s="60"/>
      <c r="AA20" s="215">
        <v>-40</v>
      </c>
      <c r="AB20" s="215"/>
      <c r="AC20" s="215">
        <v>0.33300000000000002</v>
      </c>
      <c r="AD20" s="215"/>
      <c r="AE20" s="60"/>
      <c r="AF20" s="60"/>
      <c r="AG20" s="221">
        <v>60</v>
      </c>
      <c r="AH20" s="221"/>
      <c r="AI20" s="221">
        <v>0.38900000000000001</v>
      </c>
      <c r="AJ20" s="221"/>
      <c r="AK20" s="60"/>
      <c r="AL20" s="60"/>
      <c r="AO20"/>
      <c r="AP20"/>
      <c r="AQ20"/>
      <c r="AR20"/>
      <c r="AS20"/>
      <c r="AT20"/>
    </row>
    <row r="21" spans="2:46" ht="16.5" customHeight="1" x14ac:dyDescent="0.25">
      <c r="B21" s="18" t="s">
        <v>57</v>
      </c>
      <c r="C21" s="9"/>
      <c r="D21" s="95"/>
      <c r="E21" s="96"/>
      <c r="F21" s="89"/>
      <c r="G21" s="90"/>
      <c r="H21" s="90"/>
      <c r="I21" s="97" t="s">
        <v>76</v>
      </c>
      <c r="J21" s="146" t="s">
        <v>92</v>
      </c>
      <c r="K21" s="146"/>
      <c r="L21" s="150">
        <v>30.068000000000001</v>
      </c>
      <c r="M21" s="151"/>
      <c r="N21" s="154">
        <v>0.32</v>
      </c>
      <c r="O21" s="154"/>
      <c r="P21" s="141"/>
      <c r="Q21" s="141"/>
      <c r="R21" s="141"/>
      <c r="S21" s="141"/>
      <c r="T21" s="208">
        <v>708</v>
      </c>
      <c r="U21" s="146"/>
      <c r="V21" s="146">
        <v>550</v>
      </c>
      <c r="W21" s="146"/>
      <c r="X21" s="19"/>
      <c r="Y21" s="123"/>
      <c r="Z21" s="60"/>
      <c r="AA21" s="215">
        <v>21</v>
      </c>
      <c r="AB21" s="215"/>
      <c r="AC21" s="216" t="s">
        <v>175</v>
      </c>
      <c r="AD21" s="217"/>
      <c r="AE21" s="60"/>
      <c r="AF21" s="60"/>
      <c r="AG21" s="221">
        <v>150</v>
      </c>
      <c r="AH21" s="221"/>
      <c r="AI21" s="221">
        <v>0.443</v>
      </c>
      <c r="AJ21" s="221"/>
      <c r="AK21" s="60"/>
      <c r="AL21" s="60"/>
      <c r="AO21"/>
      <c r="AP21"/>
      <c r="AQ21"/>
      <c r="AR21"/>
      <c r="AS21"/>
      <c r="AT21"/>
    </row>
    <row r="22" spans="2:46" ht="16.5" customHeight="1" x14ac:dyDescent="0.25">
      <c r="B22" s="18" t="s">
        <v>58</v>
      </c>
      <c r="C22" s="9"/>
      <c r="D22" s="95"/>
      <c r="E22" s="96"/>
      <c r="F22" s="89"/>
      <c r="G22" s="90"/>
      <c r="H22" s="90"/>
      <c r="I22" s="97" t="s">
        <v>77</v>
      </c>
      <c r="J22" s="146" t="s">
        <v>93</v>
      </c>
      <c r="K22" s="146"/>
      <c r="L22" s="150">
        <v>42.078000000000003</v>
      </c>
      <c r="M22" s="151"/>
      <c r="N22" s="139"/>
      <c r="O22" s="139"/>
      <c r="P22" s="141"/>
      <c r="Q22" s="141"/>
      <c r="R22" s="141"/>
      <c r="S22" s="141"/>
      <c r="T22" s="208">
        <v>667</v>
      </c>
      <c r="U22" s="146"/>
      <c r="V22" s="146">
        <v>657</v>
      </c>
      <c r="W22" s="146"/>
      <c r="X22" s="19"/>
      <c r="Y22" s="123"/>
      <c r="Z22" s="60"/>
      <c r="AA22" s="215">
        <v>60</v>
      </c>
      <c r="AB22" s="215"/>
      <c r="AC22" s="215">
        <v>0.38900000000000001</v>
      </c>
      <c r="AD22" s="215"/>
      <c r="AE22" s="60"/>
      <c r="AF22" s="60"/>
      <c r="AG22" s="221">
        <v>182</v>
      </c>
      <c r="AH22" s="221"/>
      <c r="AI22" s="222" t="s">
        <v>177</v>
      </c>
      <c r="AJ22" s="223"/>
      <c r="AK22" s="60"/>
      <c r="AL22" s="60"/>
      <c r="AO22"/>
      <c r="AP22"/>
      <c r="AQ22"/>
      <c r="AR22"/>
      <c r="AS22"/>
      <c r="AT22"/>
    </row>
    <row r="23" spans="2:46" ht="16.5" customHeight="1" x14ac:dyDescent="0.25">
      <c r="B23" s="18" t="s">
        <v>59</v>
      </c>
      <c r="C23" s="9"/>
      <c r="D23" s="95"/>
      <c r="E23" s="96"/>
      <c r="F23" s="89"/>
      <c r="G23" s="90"/>
      <c r="H23" s="90"/>
      <c r="I23" s="97" t="s">
        <v>78</v>
      </c>
      <c r="J23" s="146" t="s">
        <v>94</v>
      </c>
      <c r="K23" s="146"/>
      <c r="L23" s="150">
        <v>44.094000000000001</v>
      </c>
      <c r="M23" s="151"/>
      <c r="N23" s="139">
        <v>98.74</v>
      </c>
      <c r="O23" s="139"/>
      <c r="P23" s="141">
        <v>0.36699999999999999</v>
      </c>
      <c r="Q23" s="141"/>
      <c r="R23" s="141">
        <v>0.46200000000000002</v>
      </c>
      <c r="S23" s="141"/>
      <c r="T23" s="208">
        <v>617</v>
      </c>
      <c r="U23" s="146"/>
      <c r="V23" s="146">
        <v>666</v>
      </c>
      <c r="W23" s="146"/>
      <c r="X23" s="19"/>
      <c r="Y23" s="123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</row>
    <row r="24" spans="2:46" ht="16.5" customHeight="1" x14ac:dyDescent="0.25">
      <c r="B24" s="18" t="s">
        <v>60</v>
      </c>
      <c r="C24" s="9"/>
      <c r="D24" s="95"/>
      <c r="E24" s="96"/>
      <c r="F24" s="89"/>
      <c r="G24" s="90"/>
      <c r="H24" s="90"/>
      <c r="I24" s="97" t="s">
        <v>79</v>
      </c>
      <c r="J24" s="146" t="s">
        <v>95</v>
      </c>
      <c r="K24" s="146"/>
      <c r="L24" s="150">
        <v>58.12</v>
      </c>
      <c r="M24" s="151"/>
      <c r="N24" s="139">
        <v>0.83</v>
      </c>
      <c r="O24" s="139"/>
      <c r="P24" s="141"/>
      <c r="Q24" s="141"/>
      <c r="R24" s="141"/>
      <c r="S24" s="141"/>
      <c r="T24" s="208">
        <v>529</v>
      </c>
      <c r="U24" s="146"/>
      <c r="V24" s="146">
        <v>735</v>
      </c>
      <c r="W24" s="146"/>
      <c r="X24" s="19"/>
      <c r="Y24" s="123"/>
      <c r="Z24" s="62" t="s">
        <v>176</v>
      </c>
      <c r="AA24" s="218">
        <f>IF(OR(AA20="", AC20="", AA21="", AA22="", AC22=""),"",AC22-((AC22-AC20)*(AA22-AA21)/(AA22-AA20)))</f>
        <v>0.36716000000000004</v>
      </c>
      <c r="AB24" s="219"/>
      <c r="AC24" s="219"/>
      <c r="AD24" s="220"/>
      <c r="AE24" s="60"/>
      <c r="AF24" s="62" t="s">
        <v>178</v>
      </c>
      <c r="AG24" s="218">
        <f>IF(OR(AG20="", AI20="", AG21="", AI21="", AG22=""),"",AI21+(AG22-AG21)*(AI21-AI20)/(AG21-AG20))</f>
        <v>0.4622</v>
      </c>
      <c r="AH24" s="219"/>
      <c r="AI24" s="219"/>
      <c r="AJ24" s="220"/>
      <c r="AK24" s="60"/>
      <c r="AL24" s="60"/>
    </row>
    <row r="25" spans="2:46" ht="16.5" customHeight="1" x14ac:dyDescent="0.25">
      <c r="B25" s="18" t="s">
        <v>61</v>
      </c>
      <c r="C25" s="9"/>
      <c r="D25" s="95"/>
      <c r="E25" s="96"/>
      <c r="F25" s="89"/>
      <c r="G25" s="90"/>
      <c r="H25" s="90"/>
      <c r="I25" s="97" t="s">
        <v>80</v>
      </c>
      <c r="J25" s="146" t="s">
        <v>95</v>
      </c>
      <c r="K25" s="146"/>
      <c r="L25" s="150">
        <v>58.12</v>
      </c>
      <c r="M25" s="151"/>
      <c r="N25" s="139">
        <v>0.09</v>
      </c>
      <c r="O25" s="139"/>
      <c r="P25" s="141"/>
      <c r="Q25" s="141"/>
      <c r="R25" s="141"/>
      <c r="S25" s="141"/>
      <c r="T25" s="208">
        <v>551</v>
      </c>
      <c r="U25" s="146"/>
      <c r="V25" s="146">
        <v>766</v>
      </c>
      <c r="W25" s="146"/>
      <c r="X25" s="19"/>
      <c r="Y25" s="123"/>
      <c r="Z25" s="56"/>
      <c r="AA25" s="56"/>
      <c r="AB25" s="56"/>
      <c r="AC25" s="56"/>
      <c r="AD25" s="60"/>
      <c r="AE25" s="60"/>
      <c r="AF25" s="60"/>
      <c r="AG25" s="60"/>
      <c r="AH25" s="60"/>
      <c r="AI25" s="60"/>
      <c r="AJ25" s="60"/>
      <c r="AK25" s="60"/>
      <c r="AL25" s="60"/>
    </row>
    <row r="26" spans="2:46" ht="16.5" customHeight="1" x14ac:dyDescent="0.25">
      <c r="B26" s="18" t="s">
        <v>62</v>
      </c>
      <c r="C26" s="9"/>
      <c r="D26" s="95"/>
      <c r="E26" s="96"/>
      <c r="F26" s="89"/>
      <c r="G26" s="90"/>
      <c r="H26" s="90"/>
      <c r="I26" s="97" t="s">
        <v>81</v>
      </c>
      <c r="J26" s="146" t="s">
        <v>96</v>
      </c>
      <c r="K26" s="146"/>
      <c r="L26" s="150">
        <v>72.146000000000001</v>
      </c>
      <c r="M26" s="151"/>
      <c r="N26" s="139">
        <v>0.02</v>
      </c>
      <c r="O26" s="139"/>
      <c r="P26" s="141"/>
      <c r="Q26" s="141"/>
      <c r="R26" s="141"/>
      <c r="S26" s="141"/>
      <c r="T26" s="208">
        <v>483</v>
      </c>
      <c r="U26" s="146"/>
      <c r="V26" s="146">
        <v>830</v>
      </c>
      <c r="W26" s="146"/>
      <c r="X26" s="19"/>
      <c r="Y26" s="123"/>
      <c r="Z26" s="56"/>
      <c r="AA26" s="56"/>
      <c r="AB26" s="56"/>
      <c r="AC26" s="56"/>
      <c r="AD26" s="60"/>
      <c r="AE26" s="207"/>
      <c r="AF26" s="207"/>
      <c r="AG26" s="60"/>
      <c r="AH26" s="60"/>
      <c r="AI26" s="60"/>
      <c r="AJ26" s="60"/>
      <c r="AK26" s="60"/>
      <c r="AL26" s="60"/>
    </row>
    <row r="27" spans="2:46" ht="16.5" customHeight="1" x14ac:dyDescent="0.25">
      <c r="B27" s="18" t="s">
        <v>63</v>
      </c>
      <c r="C27" s="9"/>
      <c r="D27" s="95"/>
      <c r="E27" s="96"/>
      <c r="F27" s="89"/>
      <c r="G27" s="90"/>
      <c r="H27" s="90"/>
      <c r="I27" s="97" t="s">
        <v>82</v>
      </c>
      <c r="J27" s="209" t="s">
        <v>96</v>
      </c>
      <c r="K27" s="209"/>
      <c r="L27" s="210">
        <v>72.146000000000001</v>
      </c>
      <c r="M27" s="211"/>
      <c r="N27" s="139"/>
      <c r="O27" s="139"/>
      <c r="P27" s="141"/>
      <c r="Q27" s="141"/>
      <c r="R27" s="141"/>
      <c r="S27" s="141"/>
      <c r="T27" s="208">
        <v>489</v>
      </c>
      <c r="U27" s="146"/>
      <c r="V27" s="146">
        <v>846</v>
      </c>
      <c r="W27" s="146"/>
      <c r="X27" s="19"/>
      <c r="Y27" s="123"/>
      <c r="Z27" s="123"/>
      <c r="AA27" s="123"/>
      <c r="AB27" s="123"/>
      <c r="AC27" s="123"/>
      <c r="AD27" s="100"/>
      <c r="AE27" s="207"/>
      <c r="AF27" s="207"/>
      <c r="AG27" s="60"/>
      <c r="AH27" s="60"/>
      <c r="AI27" s="60"/>
      <c r="AJ27" s="60"/>
      <c r="AK27" s="60"/>
      <c r="AL27" s="60"/>
    </row>
    <row r="28" spans="2:46" ht="16.5" customHeight="1" x14ac:dyDescent="0.25">
      <c r="B28" s="18" t="s">
        <v>64</v>
      </c>
      <c r="C28" s="9"/>
      <c r="D28" s="91"/>
      <c r="E28" s="92"/>
      <c r="F28" s="92"/>
      <c r="G28" s="93"/>
      <c r="H28" s="93"/>
      <c r="I28" s="94"/>
      <c r="J28" s="212"/>
      <c r="K28" s="212"/>
      <c r="L28" s="187"/>
      <c r="M28" s="187"/>
      <c r="N28" s="153"/>
      <c r="O28" s="153"/>
      <c r="P28" s="143"/>
      <c r="Q28" s="143"/>
      <c r="R28" s="143"/>
      <c r="S28" s="143"/>
      <c r="T28" s="213"/>
      <c r="U28" s="213"/>
      <c r="V28" s="213"/>
      <c r="W28" s="213"/>
      <c r="X28" s="19"/>
      <c r="Y28" s="123"/>
      <c r="Z28" s="123"/>
      <c r="AA28" s="123"/>
      <c r="AB28" s="123"/>
      <c r="AC28" s="123"/>
      <c r="AD28" s="100"/>
      <c r="AE28" s="207"/>
      <c r="AF28" s="207"/>
      <c r="AG28" s="60"/>
      <c r="AH28" s="60"/>
      <c r="AI28" s="60"/>
      <c r="AJ28" s="60"/>
      <c r="AK28" s="60"/>
      <c r="AL28" s="60"/>
    </row>
    <row r="29" spans="2:46" ht="16.5" customHeight="1" x14ac:dyDescent="0.25">
      <c r="B29" s="18" t="s">
        <v>65</v>
      </c>
      <c r="C29" s="9"/>
      <c r="D29" s="88"/>
      <c r="E29" s="89"/>
      <c r="F29" s="89"/>
      <c r="G29" s="90"/>
      <c r="H29" s="90"/>
      <c r="I29" s="20"/>
      <c r="J29" s="174"/>
      <c r="K29" s="174"/>
      <c r="L29" s="141"/>
      <c r="M29" s="141"/>
      <c r="N29" s="139"/>
      <c r="O29" s="139"/>
      <c r="P29" s="141"/>
      <c r="Q29" s="141"/>
      <c r="R29" s="141"/>
      <c r="S29" s="141"/>
      <c r="T29" s="174"/>
      <c r="U29" s="174"/>
      <c r="V29" s="174"/>
      <c r="W29" s="174"/>
      <c r="X29" s="19"/>
      <c r="Y29" s="123"/>
      <c r="Z29" s="123"/>
      <c r="AA29" s="123"/>
      <c r="AB29" s="123"/>
      <c r="AC29" s="123"/>
      <c r="AD29" s="100"/>
      <c r="AE29" s="63"/>
      <c r="AF29" s="63"/>
      <c r="AG29" s="60"/>
      <c r="AH29" s="60"/>
      <c r="AI29" s="60"/>
      <c r="AJ29" s="60"/>
      <c r="AK29" s="60"/>
      <c r="AL29" s="60"/>
    </row>
    <row r="30" spans="2:46" ht="16.5" customHeight="1" x14ac:dyDescent="0.25">
      <c r="B30" s="18" t="s">
        <v>66</v>
      </c>
      <c r="C30" s="9"/>
      <c r="D30" s="88"/>
      <c r="E30" s="89"/>
      <c r="F30" s="89"/>
      <c r="G30" s="90"/>
      <c r="H30" s="90"/>
      <c r="I30" s="20"/>
      <c r="J30" s="174"/>
      <c r="K30" s="174"/>
      <c r="L30" s="141"/>
      <c r="M30" s="141"/>
      <c r="N30" s="139"/>
      <c r="O30" s="139"/>
      <c r="P30" s="141"/>
      <c r="Q30" s="141"/>
      <c r="R30" s="141"/>
      <c r="S30" s="141"/>
      <c r="T30" s="174"/>
      <c r="U30" s="174"/>
      <c r="V30" s="174"/>
      <c r="W30" s="174"/>
      <c r="X30" s="19"/>
      <c r="Y30" s="123"/>
      <c r="Z30" s="123"/>
      <c r="AA30" s="123"/>
      <c r="AB30" s="123"/>
      <c r="AC30" s="123"/>
      <c r="AD30" s="100"/>
      <c r="AE30" s="63"/>
      <c r="AF30" s="63"/>
      <c r="AG30" s="60"/>
      <c r="AH30" s="60"/>
      <c r="AI30" s="60"/>
      <c r="AJ30" s="60"/>
      <c r="AK30" s="60"/>
      <c r="AL30" s="60"/>
    </row>
    <row r="31" spans="2:46" ht="16.5" customHeight="1" x14ac:dyDescent="0.25">
      <c r="B31" s="18" t="s">
        <v>174</v>
      </c>
      <c r="C31" s="9"/>
      <c r="D31" s="88"/>
      <c r="E31" s="89"/>
      <c r="F31" s="89"/>
      <c r="G31" s="90"/>
      <c r="H31" s="90"/>
      <c r="I31" s="20"/>
      <c r="J31" s="174"/>
      <c r="K31" s="174"/>
      <c r="L31" s="141"/>
      <c r="M31" s="141"/>
      <c r="N31" s="139"/>
      <c r="O31" s="139"/>
      <c r="P31" s="141"/>
      <c r="Q31" s="141"/>
      <c r="R31" s="141"/>
      <c r="S31" s="141"/>
      <c r="T31" s="174"/>
      <c r="U31" s="174"/>
      <c r="V31" s="174"/>
      <c r="W31" s="174"/>
      <c r="X31" s="19"/>
      <c r="Y31" s="123"/>
      <c r="Z31" s="123"/>
      <c r="AA31" s="123"/>
      <c r="AB31" s="123"/>
      <c r="AC31" s="123"/>
      <c r="AD31" s="100"/>
      <c r="AE31" s="63"/>
      <c r="AF31" s="63"/>
      <c r="AG31" s="60"/>
      <c r="AH31" s="60"/>
      <c r="AI31" s="60"/>
      <c r="AJ31" s="60"/>
      <c r="AK31" s="60"/>
      <c r="AL31" s="60"/>
    </row>
    <row r="32" spans="2:46" ht="16.5" customHeight="1" x14ac:dyDescent="0.25">
      <c r="B32" s="18" t="s">
        <v>179</v>
      </c>
      <c r="C32" s="9"/>
      <c r="D32" s="88"/>
      <c r="E32" s="89"/>
      <c r="F32" s="89"/>
      <c r="G32" s="90"/>
      <c r="H32" s="90"/>
      <c r="I32" s="20"/>
      <c r="J32" s="174"/>
      <c r="K32" s="174"/>
      <c r="L32" s="141"/>
      <c r="M32" s="141"/>
      <c r="N32" s="139"/>
      <c r="O32" s="139"/>
      <c r="P32" s="141"/>
      <c r="Q32" s="141"/>
      <c r="R32" s="141"/>
      <c r="S32" s="141"/>
      <c r="T32" s="174"/>
      <c r="U32" s="174"/>
      <c r="V32" s="174"/>
      <c r="W32" s="174"/>
      <c r="X32" s="19"/>
      <c r="Y32" s="123"/>
      <c r="Z32" s="123"/>
      <c r="AA32" s="123"/>
      <c r="AB32" s="123"/>
      <c r="AC32" s="123"/>
      <c r="AD32" s="100"/>
      <c r="AE32" s="63"/>
      <c r="AF32" s="63"/>
      <c r="AG32" s="60"/>
      <c r="AH32" s="60"/>
      <c r="AI32" s="60"/>
      <c r="AJ32" s="60"/>
      <c r="AK32" s="60"/>
      <c r="AL32" s="60"/>
    </row>
    <row r="33" spans="2:38" ht="16.5" customHeight="1" x14ac:dyDescent="0.25">
      <c r="B33" s="18" t="s">
        <v>180</v>
      </c>
      <c r="C33" s="9"/>
      <c r="D33" s="88"/>
      <c r="E33" s="89"/>
      <c r="F33" s="89"/>
      <c r="G33" s="90"/>
      <c r="H33" s="90"/>
      <c r="I33" s="21"/>
      <c r="J33" s="174"/>
      <c r="K33" s="174"/>
      <c r="L33" s="141"/>
      <c r="M33" s="141"/>
      <c r="N33" s="139"/>
      <c r="O33" s="139"/>
      <c r="P33" s="141"/>
      <c r="Q33" s="141"/>
      <c r="R33" s="141"/>
      <c r="S33" s="141"/>
      <c r="T33" s="174"/>
      <c r="U33" s="174"/>
      <c r="V33" s="174"/>
      <c r="W33" s="174"/>
      <c r="X33" s="19"/>
      <c r="Y33" s="123"/>
      <c r="Z33" s="123"/>
      <c r="AA33" s="123"/>
      <c r="AB33" s="123"/>
      <c r="AC33" s="123"/>
      <c r="AD33" s="100"/>
      <c r="AE33" s="60"/>
      <c r="AF33" s="60"/>
      <c r="AG33" s="60"/>
      <c r="AH33" s="60"/>
      <c r="AI33" s="60"/>
      <c r="AJ33" s="60"/>
      <c r="AK33" s="60"/>
      <c r="AL33" s="60"/>
    </row>
    <row r="34" spans="2:38" ht="16.5" customHeight="1" x14ac:dyDescent="0.25">
      <c r="B34" s="18"/>
      <c r="C34" s="9"/>
      <c r="D34" s="11"/>
      <c r="E34" s="11"/>
      <c r="F34" s="12"/>
      <c r="G34" s="15"/>
      <c r="H34" s="15"/>
      <c r="I34" s="11"/>
      <c r="J34" s="145"/>
      <c r="K34" s="145"/>
      <c r="L34" s="232"/>
      <c r="M34" s="232"/>
      <c r="N34" s="233">
        <f>SUM(N11:O33)</f>
        <v>99.999999999999986</v>
      </c>
      <c r="O34" s="234"/>
      <c r="P34" s="226"/>
      <c r="Q34" s="226"/>
      <c r="R34" s="226"/>
      <c r="S34" s="226"/>
      <c r="T34" s="226"/>
      <c r="U34" s="226"/>
      <c r="V34" s="226"/>
      <c r="W34" s="227"/>
      <c r="X34" s="13"/>
      <c r="Y34" s="123"/>
      <c r="Z34" s="123"/>
      <c r="AA34" s="123"/>
      <c r="AB34" s="123"/>
      <c r="AC34" s="123"/>
      <c r="AD34" s="100"/>
      <c r="AE34" s="60"/>
      <c r="AF34" s="60"/>
      <c r="AG34" s="60"/>
      <c r="AH34" s="60"/>
      <c r="AI34" s="60"/>
      <c r="AJ34" s="60"/>
      <c r="AK34" s="60"/>
      <c r="AL34" s="60"/>
    </row>
    <row r="35" spans="2:38" ht="16.5" customHeight="1" x14ac:dyDescent="0.25">
      <c r="B35" s="18"/>
      <c r="C35" s="9"/>
      <c r="D35" s="11"/>
      <c r="E35" s="11"/>
      <c r="F35" s="11"/>
      <c r="G35" s="11"/>
      <c r="H35" s="11"/>
      <c r="I35" s="32"/>
      <c r="J35" s="33"/>
      <c r="K35" s="33"/>
      <c r="L35" s="42"/>
      <c r="M35" s="42"/>
      <c r="N35" s="43"/>
      <c r="O35" s="43"/>
      <c r="P35" s="36"/>
      <c r="Q35" s="36"/>
      <c r="R35" s="35"/>
      <c r="S35" s="35"/>
      <c r="T35" s="35"/>
      <c r="U35" s="35"/>
      <c r="V35" s="36"/>
      <c r="W35" s="12"/>
      <c r="X35" s="13"/>
      <c r="Y35" s="123"/>
      <c r="Z35" s="123"/>
      <c r="AA35" s="123"/>
      <c r="AB35" s="123"/>
      <c r="AC35" s="123"/>
      <c r="AD35" s="100"/>
      <c r="AE35" s="60"/>
      <c r="AF35" s="60"/>
      <c r="AG35" s="60"/>
      <c r="AH35" s="60"/>
      <c r="AI35" s="60"/>
      <c r="AJ35" s="60"/>
      <c r="AK35" s="60"/>
      <c r="AL35" s="60"/>
    </row>
    <row r="36" spans="2:38" ht="16.5" customHeight="1" x14ac:dyDescent="0.25">
      <c r="B36" s="18"/>
      <c r="C36" s="9"/>
      <c r="D36" s="11"/>
      <c r="E36" s="11"/>
      <c r="F36" s="11"/>
      <c r="G36" s="11"/>
      <c r="H36" s="11"/>
      <c r="I36" s="32"/>
      <c r="J36" s="33"/>
      <c r="K36" s="33"/>
      <c r="L36" s="142" t="s">
        <v>218</v>
      </c>
      <c r="M36" s="142"/>
      <c r="N36" s="142"/>
      <c r="O36" s="142"/>
      <c r="P36" s="142"/>
      <c r="Q36" s="142"/>
      <c r="R36" s="142"/>
      <c r="S36" s="142"/>
      <c r="T36" s="35"/>
      <c r="U36" s="35"/>
      <c r="V36" s="36"/>
      <c r="W36" s="12"/>
      <c r="X36" s="13"/>
      <c r="Y36" s="123"/>
      <c r="Z36" s="123"/>
      <c r="AA36" s="123"/>
      <c r="AB36" s="123"/>
      <c r="AC36" s="123"/>
      <c r="AD36" s="100"/>
      <c r="AE36" s="60"/>
      <c r="AF36" s="60"/>
      <c r="AG36" s="60"/>
      <c r="AH36" s="60"/>
      <c r="AI36" s="60"/>
      <c r="AJ36" s="60"/>
      <c r="AK36" s="60"/>
      <c r="AL36" s="60"/>
    </row>
    <row r="37" spans="2:38" ht="16.5" customHeight="1" x14ac:dyDescent="0.25">
      <c r="B37" s="70">
        <v>1.4</v>
      </c>
      <c r="C37" s="9"/>
      <c r="D37" s="72" t="s">
        <v>16</v>
      </c>
      <c r="E37" s="11"/>
      <c r="F37" s="11"/>
      <c r="G37" s="11"/>
      <c r="H37" s="11"/>
      <c r="I37" s="11"/>
      <c r="J37" s="11"/>
      <c r="K37" s="32"/>
      <c r="L37" s="144" t="s">
        <v>192</v>
      </c>
      <c r="M37" s="144"/>
      <c r="N37" s="144"/>
      <c r="O37" s="144"/>
      <c r="P37" s="144" t="s">
        <v>191</v>
      </c>
      <c r="Q37" s="144"/>
      <c r="R37" s="144"/>
      <c r="S37" s="144"/>
      <c r="T37" s="11"/>
      <c r="U37" s="11"/>
      <c r="V37" s="32"/>
      <c r="W37" s="12"/>
      <c r="X37" s="13"/>
      <c r="Y37" s="123"/>
      <c r="Z37" s="123"/>
      <c r="AA37" s="123"/>
      <c r="AB37" s="123"/>
      <c r="AC37" s="123"/>
      <c r="AD37" s="100"/>
      <c r="AE37" s="60"/>
      <c r="AF37" s="60"/>
      <c r="AG37" s="60"/>
      <c r="AH37" s="60"/>
      <c r="AI37" s="60"/>
      <c r="AJ37" s="60"/>
      <c r="AK37" s="60"/>
      <c r="AL37" s="60"/>
    </row>
    <row r="38" spans="2:38" ht="16.5" customHeight="1" x14ac:dyDescent="0.25">
      <c r="B38" s="30" t="s">
        <v>5</v>
      </c>
      <c r="C38" s="11"/>
      <c r="D38" s="10" t="s">
        <v>31</v>
      </c>
      <c r="E38" s="11"/>
      <c r="F38" s="11"/>
      <c r="G38" s="11"/>
      <c r="H38" s="11"/>
      <c r="I38" s="11"/>
      <c r="J38" s="11"/>
      <c r="K38" s="11"/>
      <c r="L38" s="183"/>
      <c r="M38" s="184"/>
      <c r="N38" s="184"/>
      <c r="O38" s="185"/>
      <c r="P38" s="183">
        <f>734776/3600</f>
        <v>204.10444444444445</v>
      </c>
      <c r="Q38" s="184"/>
      <c r="R38" s="184"/>
      <c r="S38" s="185"/>
      <c r="T38" s="11"/>
      <c r="U38" s="11"/>
      <c r="V38" s="37"/>
      <c r="W38" s="12" t="s">
        <v>44</v>
      </c>
      <c r="X38" s="13"/>
      <c r="Y38" s="123"/>
      <c r="Z38" s="123"/>
      <c r="AA38" s="123"/>
      <c r="AB38" s="123"/>
      <c r="AC38" s="123"/>
      <c r="AD38" s="100"/>
      <c r="AE38" s="60"/>
      <c r="AF38" s="60"/>
      <c r="AG38" s="60"/>
      <c r="AH38" s="60"/>
      <c r="AI38" s="60"/>
      <c r="AJ38" s="60"/>
      <c r="AK38" s="60"/>
      <c r="AL38" s="60"/>
    </row>
    <row r="39" spans="2:38" ht="16.5" customHeight="1" x14ac:dyDescent="0.25">
      <c r="B39" s="30" t="s">
        <v>23</v>
      </c>
      <c r="C39" s="11"/>
      <c r="D39" s="10" t="s">
        <v>34</v>
      </c>
      <c r="E39" s="11"/>
      <c r="F39" s="11"/>
      <c r="G39" s="11"/>
      <c r="H39" s="11"/>
      <c r="I39" s="11"/>
      <c r="J39" s="11"/>
      <c r="K39" s="11"/>
      <c r="L39" s="183"/>
      <c r="M39" s="184"/>
      <c r="N39" s="184"/>
      <c r="O39" s="185"/>
      <c r="P39" s="183"/>
      <c r="Q39" s="184"/>
      <c r="R39" s="184"/>
      <c r="S39" s="185"/>
      <c r="T39" s="11"/>
      <c r="U39" s="11"/>
      <c r="V39" s="37"/>
      <c r="W39" s="12" t="s">
        <v>33</v>
      </c>
      <c r="X39" s="6" t="s">
        <v>49</v>
      </c>
      <c r="Y39" s="124"/>
      <c r="Z39" s="56" t="s">
        <v>193</v>
      </c>
      <c r="AA39" s="56"/>
      <c r="AB39" s="56"/>
      <c r="AC39" s="56"/>
      <c r="AD39" s="60"/>
      <c r="AE39" s="60"/>
      <c r="AF39" s="60"/>
      <c r="AG39" s="60"/>
      <c r="AH39" s="60"/>
      <c r="AI39" s="60"/>
      <c r="AJ39" s="60"/>
      <c r="AK39" s="60"/>
      <c r="AL39" s="60"/>
    </row>
    <row r="40" spans="2:38" ht="16.5" customHeight="1" x14ac:dyDescent="0.25">
      <c r="B40" s="30" t="s">
        <v>24</v>
      </c>
      <c r="C40" s="11"/>
      <c r="D40" s="10" t="s">
        <v>35</v>
      </c>
      <c r="E40" s="11"/>
      <c r="F40" s="11"/>
      <c r="G40" s="11"/>
      <c r="H40" s="11"/>
      <c r="I40" s="11"/>
      <c r="J40" s="11"/>
      <c r="K40" s="11"/>
      <c r="L40" s="183"/>
      <c r="M40" s="184"/>
      <c r="N40" s="184"/>
      <c r="O40" s="185"/>
      <c r="P40" s="183"/>
      <c r="Q40" s="184"/>
      <c r="R40" s="184"/>
      <c r="S40" s="185"/>
      <c r="T40" s="11"/>
      <c r="U40" s="11"/>
      <c r="V40" s="37"/>
      <c r="W40" s="12" t="s">
        <v>184</v>
      </c>
      <c r="X40" s="13"/>
      <c r="Y40" s="123"/>
      <c r="Z40" s="56"/>
      <c r="AA40" s="56"/>
      <c r="AB40" s="56"/>
      <c r="AC40" s="56"/>
      <c r="AD40" s="60"/>
      <c r="AE40" s="60"/>
      <c r="AF40" s="60"/>
      <c r="AG40" s="60"/>
      <c r="AH40" s="60"/>
      <c r="AI40" s="60"/>
      <c r="AJ40" s="60"/>
      <c r="AK40" s="60"/>
      <c r="AL40" s="60"/>
    </row>
    <row r="41" spans="2:38" ht="16.5" customHeight="1" x14ac:dyDescent="0.25">
      <c r="B41" s="30"/>
      <c r="C41" s="11"/>
      <c r="D41" s="10"/>
      <c r="E41" s="11"/>
      <c r="F41" s="11"/>
      <c r="G41" s="11"/>
      <c r="H41" s="11"/>
      <c r="I41" s="11"/>
      <c r="J41" s="11"/>
      <c r="K41" s="11"/>
      <c r="L41" s="44"/>
      <c r="M41" s="44"/>
      <c r="N41" s="44"/>
      <c r="O41" s="44"/>
      <c r="P41" s="44"/>
      <c r="Q41" s="44"/>
      <c r="R41" s="44"/>
      <c r="S41" s="44"/>
      <c r="T41" s="11"/>
      <c r="U41" s="11"/>
      <c r="V41" s="37"/>
      <c r="W41" s="12"/>
      <c r="X41" s="13"/>
      <c r="Y41" s="123"/>
      <c r="Z41" s="56"/>
      <c r="AA41" s="56"/>
      <c r="AB41" s="56"/>
      <c r="AC41" s="56"/>
      <c r="AD41" s="60"/>
      <c r="AE41" s="60"/>
      <c r="AF41" s="60"/>
      <c r="AG41" s="60"/>
      <c r="AH41" s="60"/>
      <c r="AI41" s="60"/>
      <c r="AJ41" s="60"/>
      <c r="AK41" s="60"/>
      <c r="AL41" s="60"/>
    </row>
    <row r="42" spans="2:38" ht="16.5" customHeight="1" x14ac:dyDescent="0.25">
      <c r="B42" s="8">
        <v>1.5</v>
      </c>
      <c r="C42" s="11"/>
      <c r="D42" s="10" t="s">
        <v>36</v>
      </c>
      <c r="E42" s="11"/>
      <c r="F42" s="11"/>
      <c r="G42" s="11"/>
      <c r="H42" s="11"/>
      <c r="I42" s="11"/>
      <c r="J42" s="11"/>
      <c r="K42" s="11"/>
      <c r="L42" s="186"/>
      <c r="M42" s="186"/>
      <c r="N42" s="186"/>
      <c r="O42" s="186"/>
      <c r="P42" s="140">
        <v>2.91</v>
      </c>
      <c r="Q42" s="140"/>
      <c r="R42" s="140"/>
      <c r="S42" s="140"/>
      <c r="T42" s="11"/>
      <c r="U42" s="11"/>
      <c r="V42" s="37"/>
      <c r="W42" s="12" t="s">
        <v>45</v>
      </c>
      <c r="X42" s="6" t="s">
        <v>49</v>
      </c>
      <c r="Y42" s="124"/>
      <c r="Z42" s="56" t="s">
        <v>193</v>
      </c>
      <c r="AA42" s="56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</row>
    <row r="43" spans="2:38" ht="16.5" customHeight="1" x14ac:dyDescent="0.25">
      <c r="B43" s="8">
        <v>1.6</v>
      </c>
      <c r="C43" s="11"/>
      <c r="D43" s="10" t="s">
        <v>37</v>
      </c>
      <c r="E43" s="11"/>
      <c r="F43" s="11"/>
      <c r="G43" s="11"/>
      <c r="H43" s="11"/>
      <c r="I43" s="11"/>
      <c r="J43" s="11"/>
      <c r="K43" s="11"/>
      <c r="L43" s="140"/>
      <c r="M43" s="140"/>
      <c r="N43" s="140"/>
      <c r="O43" s="140"/>
      <c r="P43" s="140">
        <v>267.5</v>
      </c>
      <c r="Q43" s="140"/>
      <c r="R43" s="140"/>
      <c r="S43" s="140"/>
      <c r="T43" s="11"/>
      <c r="U43" s="11"/>
      <c r="V43" s="37"/>
      <c r="W43" s="12" t="s">
        <v>43</v>
      </c>
      <c r="X43" s="6" t="s">
        <v>49</v>
      </c>
      <c r="Y43" s="124"/>
      <c r="Z43" s="56" t="s">
        <v>193</v>
      </c>
      <c r="AA43" s="56"/>
      <c r="AB43" s="56"/>
      <c r="AC43" s="56"/>
      <c r="AD43" s="60"/>
      <c r="AE43" s="60"/>
      <c r="AF43" s="60"/>
      <c r="AG43" s="60"/>
      <c r="AH43" s="60"/>
      <c r="AI43" s="60"/>
      <c r="AJ43" s="60"/>
      <c r="AK43" s="60"/>
      <c r="AL43" s="60"/>
    </row>
    <row r="44" spans="2:38" ht="16.5" customHeight="1" x14ac:dyDescent="0.25">
      <c r="B44" s="8">
        <v>1.7</v>
      </c>
      <c r="C44" s="11"/>
      <c r="D44" s="10" t="s">
        <v>38</v>
      </c>
      <c r="E44" s="11"/>
      <c r="F44" s="11"/>
      <c r="G44" s="11"/>
      <c r="H44" s="11"/>
      <c r="I44" s="11"/>
      <c r="J44" s="11"/>
      <c r="K44" s="11"/>
      <c r="L44" s="140"/>
      <c r="M44" s="140"/>
      <c r="N44" s="140"/>
      <c r="O44" s="140"/>
      <c r="P44" s="140">
        <v>22</v>
      </c>
      <c r="Q44" s="140"/>
      <c r="R44" s="140"/>
      <c r="S44" s="140"/>
      <c r="T44" s="11"/>
      <c r="U44" s="11"/>
      <c r="V44" s="37"/>
      <c r="W44" s="12" t="s">
        <v>45</v>
      </c>
      <c r="X44" s="13"/>
      <c r="Y44" s="123"/>
      <c r="Z44" s="56"/>
      <c r="AA44" s="56"/>
      <c r="AB44" s="56"/>
      <c r="AC44" s="56"/>
      <c r="AD44" s="60"/>
      <c r="AE44" s="60"/>
      <c r="AF44" s="60"/>
      <c r="AG44" s="60"/>
      <c r="AH44" s="60"/>
      <c r="AI44" s="60"/>
      <c r="AJ44" s="60"/>
      <c r="AK44" s="60"/>
      <c r="AL44" s="60"/>
    </row>
    <row r="45" spans="2:38" ht="16.5" customHeight="1" x14ac:dyDescent="0.25">
      <c r="B45" s="8"/>
      <c r="C45" s="11"/>
      <c r="D45" s="10"/>
      <c r="E45" s="11"/>
      <c r="F45" s="11"/>
      <c r="G45" s="11"/>
      <c r="H45" s="11"/>
      <c r="I45" s="11"/>
      <c r="J45" s="11"/>
      <c r="K45" s="11"/>
      <c r="L45" s="40"/>
      <c r="M45" s="40"/>
      <c r="N45" s="40"/>
      <c r="O45" s="40"/>
      <c r="P45" s="40"/>
      <c r="Q45" s="40"/>
      <c r="R45" s="40"/>
      <c r="S45" s="40"/>
      <c r="T45" s="11"/>
      <c r="U45" s="11"/>
      <c r="V45" s="37"/>
      <c r="W45" s="12"/>
      <c r="X45" s="13"/>
      <c r="Y45" s="123"/>
      <c r="Z45" s="56"/>
      <c r="AA45" s="56"/>
      <c r="AB45" s="56"/>
      <c r="AC45" s="56"/>
      <c r="AD45" s="60"/>
      <c r="AE45" s="60"/>
      <c r="AF45" s="60"/>
      <c r="AG45" s="60"/>
      <c r="AH45" s="60"/>
      <c r="AI45" s="60"/>
      <c r="AJ45" s="60"/>
      <c r="AK45" s="60"/>
      <c r="AL45" s="60"/>
    </row>
    <row r="46" spans="2:38" ht="16.5" customHeight="1" x14ac:dyDescent="0.25">
      <c r="B46" s="31">
        <v>1.8</v>
      </c>
      <c r="C46" s="11"/>
      <c r="D46" s="34" t="s">
        <v>115</v>
      </c>
      <c r="E46" s="11"/>
      <c r="F46" s="11"/>
      <c r="G46" s="11"/>
      <c r="H46" s="11"/>
      <c r="I46" s="11"/>
      <c r="J46" s="11"/>
      <c r="K46" s="11"/>
      <c r="L46" s="167">
        <f>IF(OR(L42="", L44=""),IF(OR(P42="", P44=""),"",P44/P42),L44/L42)</f>
        <v>7.5601374570446733</v>
      </c>
      <c r="M46" s="167"/>
      <c r="N46" s="167"/>
      <c r="O46" s="167"/>
      <c r="P46" s="167"/>
      <c r="Q46" s="167"/>
      <c r="R46" s="167"/>
      <c r="S46" s="167"/>
      <c r="T46" s="11"/>
      <c r="U46" s="11"/>
      <c r="V46" s="37"/>
      <c r="W46" s="12" t="s">
        <v>97</v>
      </c>
      <c r="X46" s="13"/>
      <c r="Y46" s="123"/>
      <c r="Z46" s="56"/>
      <c r="AA46" s="56"/>
      <c r="AB46" s="56"/>
      <c r="AC46" s="56"/>
      <c r="AD46" s="60"/>
      <c r="AE46" s="60"/>
      <c r="AF46" s="60"/>
      <c r="AG46" s="60"/>
      <c r="AH46" s="60"/>
      <c r="AI46" s="60"/>
      <c r="AJ46" s="60"/>
      <c r="AK46" s="60"/>
      <c r="AL46" s="60"/>
    </row>
    <row r="47" spans="2:38" ht="16.5" customHeight="1" x14ac:dyDescent="0.25">
      <c r="B47" s="8">
        <v>1.9</v>
      </c>
      <c r="C47" s="11"/>
      <c r="D47" s="10" t="s">
        <v>32</v>
      </c>
      <c r="E47" s="11"/>
      <c r="F47" s="11"/>
      <c r="G47" s="11"/>
      <c r="H47" s="11"/>
      <c r="I47" s="11"/>
      <c r="J47" s="11"/>
      <c r="K47" s="11"/>
      <c r="L47" s="167">
        <f>IF(COUNT(N11:N33)=0,"",SUMPRODUCT(L11:L33,N11:N33)/100)</f>
        <v>44.183766400000003</v>
      </c>
      <c r="M47" s="167"/>
      <c r="N47" s="167"/>
      <c r="O47" s="167"/>
      <c r="P47" s="167"/>
      <c r="Q47" s="167"/>
      <c r="R47" s="167"/>
      <c r="S47" s="167"/>
      <c r="T47" s="11"/>
      <c r="U47" s="11"/>
      <c r="V47" s="37"/>
      <c r="W47" s="12" t="s">
        <v>97</v>
      </c>
      <c r="X47" s="66" t="s">
        <v>49</v>
      </c>
      <c r="Y47" s="122" t="s">
        <v>309</v>
      </c>
      <c r="Z47" s="56"/>
      <c r="AA47" s="56"/>
      <c r="AB47" s="56"/>
      <c r="AC47" s="56"/>
      <c r="AD47" s="60"/>
      <c r="AE47" s="60"/>
      <c r="AF47" s="60"/>
      <c r="AG47" s="60"/>
      <c r="AH47" s="60"/>
      <c r="AI47" s="60"/>
      <c r="AJ47" s="60"/>
      <c r="AK47" s="60"/>
      <c r="AL47" s="60"/>
    </row>
    <row r="48" spans="2:38" ht="16.5" customHeight="1" x14ac:dyDescent="0.25">
      <c r="B48" s="41">
        <v>1.1000000000000001</v>
      </c>
      <c r="C48" s="11"/>
      <c r="D48" s="34" t="s">
        <v>199</v>
      </c>
      <c r="E48" s="11"/>
      <c r="F48" s="11"/>
      <c r="G48" s="11"/>
      <c r="H48" s="46"/>
      <c r="I48" s="47"/>
      <c r="J48" s="11"/>
      <c r="K48" s="11"/>
      <c r="L48" s="167">
        <v>1545.31</v>
      </c>
      <c r="M48" s="167"/>
      <c r="N48" s="167"/>
      <c r="O48" s="167"/>
      <c r="P48" s="231">
        <v>8.3142700000000005</v>
      </c>
      <c r="Q48" s="231"/>
      <c r="R48" s="231"/>
      <c r="S48" s="231"/>
      <c r="T48" s="11"/>
      <c r="U48" s="11"/>
      <c r="V48" s="37"/>
      <c r="W48" s="12" t="s">
        <v>185</v>
      </c>
      <c r="X48" s="6"/>
      <c r="Y48" s="123"/>
      <c r="Z48" s="56"/>
      <c r="AA48" s="56"/>
      <c r="AB48" s="56"/>
      <c r="AC48" s="56"/>
      <c r="AD48" s="60"/>
      <c r="AE48" s="60"/>
      <c r="AF48" s="60"/>
      <c r="AG48" s="60"/>
      <c r="AH48" s="60"/>
      <c r="AI48" s="60"/>
      <c r="AJ48" s="60"/>
      <c r="AK48" s="60"/>
      <c r="AL48" s="60"/>
    </row>
    <row r="49" spans="2:38" ht="16.5" customHeight="1" x14ac:dyDescent="0.25">
      <c r="B49" s="41">
        <v>1.1100000000000001</v>
      </c>
      <c r="C49" s="11"/>
      <c r="D49" s="34" t="s">
        <v>0</v>
      </c>
      <c r="E49" s="11"/>
      <c r="F49" s="11"/>
      <c r="G49" s="11"/>
      <c r="H49" s="11"/>
      <c r="I49" s="11"/>
      <c r="J49" s="11"/>
      <c r="K49" s="11"/>
      <c r="L49" s="167">
        <f>IF(L47="","",L48/L47)</f>
        <v>34.974610041392935</v>
      </c>
      <c r="M49" s="167"/>
      <c r="N49" s="167"/>
      <c r="O49" s="167"/>
      <c r="P49" s="167">
        <f>IF(L47="","",P48/L47)</f>
        <v>0.18817476818816423</v>
      </c>
      <c r="Q49" s="167"/>
      <c r="R49" s="167"/>
      <c r="S49" s="167"/>
      <c r="T49" s="11"/>
      <c r="U49" s="11"/>
      <c r="V49" s="37"/>
      <c r="W49" s="12" t="s">
        <v>186</v>
      </c>
      <c r="X49" s="66" t="s">
        <v>49</v>
      </c>
      <c r="Y49" s="122" t="s">
        <v>308</v>
      </c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60"/>
    </row>
    <row r="50" spans="2:38" ht="16.5" customHeight="1" x14ac:dyDescent="0.25">
      <c r="B50" s="75">
        <v>1.1200000000000001</v>
      </c>
      <c r="C50" s="11"/>
      <c r="D50" s="72" t="s">
        <v>227</v>
      </c>
      <c r="E50" s="11"/>
      <c r="F50" s="11"/>
      <c r="G50" s="11"/>
      <c r="H50" s="11"/>
      <c r="I50" s="11"/>
      <c r="J50" s="11"/>
      <c r="K50" s="11"/>
      <c r="L50" s="40"/>
      <c r="M50" s="40"/>
      <c r="N50" s="40"/>
      <c r="O50" s="40"/>
      <c r="P50" s="45"/>
      <c r="Q50" s="45"/>
      <c r="R50" s="45"/>
      <c r="S50" s="45"/>
      <c r="T50" s="11"/>
      <c r="U50" s="11"/>
      <c r="V50" s="37"/>
      <c r="W50" s="12"/>
      <c r="X50" s="6"/>
      <c r="Y50" s="123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60"/>
    </row>
    <row r="51" spans="2:38" ht="16.5" customHeight="1" x14ac:dyDescent="0.25">
      <c r="B51" s="98" t="s">
        <v>228</v>
      </c>
      <c r="C51" s="11"/>
      <c r="D51" s="34" t="s">
        <v>98</v>
      </c>
      <c r="E51" s="11"/>
      <c r="F51" s="11"/>
      <c r="G51" s="11"/>
      <c r="H51" s="11"/>
      <c r="I51" s="11"/>
      <c r="J51" s="11"/>
      <c r="K51" s="11"/>
      <c r="L51" s="197">
        <f>IF(OR(COUNT(P11:P33)=0,COUNT(N11:N33)=0),"",SUMPRODUCT(N11:N33,P11:P33)/100)</f>
        <v>0.36237579999999991</v>
      </c>
      <c r="M51" s="198"/>
      <c r="N51" s="198"/>
      <c r="O51" s="198"/>
      <c r="P51" s="198"/>
      <c r="Q51" s="198"/>
      <c r="R51" s="198"/>
      <c r="S51" s="199"/>
      <c r="T51" s="11"/>
      <c r="U51" s="11"/>
      <c r="V51" s="37"/>
      <c r="W51" s="12" t="s">
        <v>140</v>
      </c>
      <c r="X51" s="66" t="s">
        <v>49</v>
      </c>
      <c r="Y51" s="122" t="s">
        <v>310</v>
      </c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60"/>
    </row>
    <row r="52" spans="2:38" ht="16.5" customHeight="1" x14ac:dyDescent="0.25">
      <c r="B52" s="98" t="s">
        <v>229</v>
      </c>
      <c r="C52" s="11"/>
      <c r="D52" s="34" t="s">
        <v>123</v>
      </c>
      <c r="E52" s="11"/>
      <c r="F52" s="11"/>
      <c r="G52" s="11"/>
      <c r="H52" s="11"/>
      <c r="I52" s="11"/>
      <c r="J52" s="11"/>
      <c r="K52" s="11"/>
      <c r="L52" s="200"/>
      <c r="M52" s="201"/>
      <c r="N52" s="201"/>
      <c r="O52" s="201"/>
      <c r="P52" s="201"/>
      <c r="Q52" s="201"/>
      <c r="R52" s="201"/>
      <c r="S52" s="202"/>
      <c r="T52" s="11"/>
      <c r="U52" s="11"/>
      <c r="V52" s="37"/>
      <c r="W52" s="12" t="s">
        <v>140</v>
      </c>
      <c r="X52" s="6" t="s">
        <v>49</v>
      </c>
      <c r="Y52" s="124"/>
      <c r="Z52" s="56" t="s">
        <v>200</v>
      </c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60"/>
    </row>
    <row r="53" spans="2:38" ht="16.5" customHeight="1" x14ac:dyDescent="0.25">
      <c r="B53" s="98" t="s">
        <v>230</v>
      </c>
      <c r="C53" s="11"/>
      <c r="D53" s="34" t="s">
        <v>99</v>
      </c>
      <c r="E53" s="11"/>
      <c r="F53" s="11"/>
      <c r="G53" s="11"/>
      <c r="H53" s="11"/>
      <c r="I53" s="11"/>
      <c r="J53" s="11"/>
      <c r="K53" s="11"/>
      <c r="L53" s="180">
        <f>IF(OR(COUNT(R11:R33)=0, COUNT(N11:N33)=0),"",SUMPRODUCT(N11:N33,R11:R33)/100)</f>
        <v>0.4561788</v>
      </c>
      <c r="M53" s="181"/>
      <c r="N53" s="181"/>
      <c r="O53" s="181"/>
      <c r="P53" s="181"/>
      <c r="Q53" s="181"/>
      <c r="R53" s="181"/>
      <c r="S53" s="182"/>
      <c r="T53" s="11"/>
      <c r="U53" s="11"/>
      <c r="V53" s="37"/>
      <c r="W53" s="12" t="s">
        <v>140</v>
      </c>
      <c r="X53" s="6"/>
      <c r="Y53" s="123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60"/>
    </row>
    <row r="54" spans="2:38" ht="16.5" customHeight="1" x14ac:dyDescent="0.25">
      <c r="B54" s="98" t="s">
        <v>231</v>
      </c>
      <c r="C54" s="11"/>
      <c r="D54" s="34" t="s">
        <v>124</v>
      </c>
      <c r="E54" s="11"/>
      <c r="F54" s="11"/>
      <c r="G54" s="11"/>
      <c r="H54" s="11"/>
      <c r="I54" s="11"/>
      <c r="J54" s="11"/>
      <c r="K54" s="11"/>
      <c r="L54" s="200"/>
      <c r="M54" s="201"/>
      <c r="N54" s="201"/>
      <c r="O54" s="201"/>
      <c r="P54" s="201"/>
      <c r="Q54" s="201"/>
      <c r="R54" s="201"/>
      <c r="S54" s="202"/>
      <c r="T54" s="11"/>
      <c r="U54" s="11"/>
      <c r="V54" s="37"/>
      <c r="W54" s="12" t="s">
        <v>140</v>
      </c>
      <c r="X54" s="6"/>
      <c r="Y54" s="123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60"/>
    </row>
    <row r="55" spans="2:38" ht="16.5" customHeight="1" x14ac:dyDescent="0.25">
      <c r="B55" s="98" t="s">
        <v>232</v>
      </c>
      <c r="C55" s="11"/>
      <c r="D55" s="34" t="s">
        <v>100</v>
      </c>
      <c r="E55" s="11"/>
      <c r="F55" s="11"/>
      <c r="G55" s="11"/>
      <c r="H55" s="11"/>
      <c r="I55" s="11"/>
      <c r="J55" s="11"/>
      <c r="K55" s="11"/>
      <c r="L55" s="203">
        <f>IF(OR(L52="", L54=""),IF(OR(L51="", L53=""),"",(L51+L53)/2),(L52+L54)/2)</f>
        <v>0.40927729999999996</v>
      </c>
      <c r="M55" s="204"/>
      <c r="N55" s="204"/>
      <c r="O55" s="204"/>
      <c r="P55" s="204"/>
      <c r="Q55" s="204"/>
      <c r="R55" s="204"/>
      <c r="S55" s="205"/>
      <c r="T55" s="11"/>
      <c r="U55" s="11"/>
      <c r="V55" s="37"/>
      <c r="W55" s="12" t="s">
        <v>140</v>
      </c>
      <c r="X55" s="6"/>
      <c r="Y55" s="123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60"/>
    </row>
    <row r="56" spans="2:38" ht="16.5" customHeight="1" x14ac:dyDescent="0.25">
      <c r="B56" s="75">
        <v>1.1299999999999999</v>
      </c>
      <c r="C56" s="11"/>
      <c r="D56" s="72" t="s">
        <v>226</v>
      </c>
      <c r="E56" s="11"/>
      <c r="F56" s="11"/>
      <c r="G56" s="11"/>
      <c r="H56" s="11"/>
      <c r="I56" s="11"/>
      <c r="J56" s="11"/>
      <c r="K56" s="11"/>
      <c r="L56" s="40"/>
      <c r="M56" s="40"/>
      <c r="N56" s="40"/>
      <c r="O56" s="40"/>
      <c r="P56" s="45"/>
      <c r="Q56" s="45"/>
      <c r="R56" s="45"/>
      <c r="S56" s="45"/>
      <c r="T56" s="11"/>
      <c r="U56" s="11"/>
      <c r="V56" s="37"/>
      <c r="W56" s="12"/>
      <c r="X56" s="6"/>
      <c r="Y56" s="123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60"/>
    </row>
    <row r="57" spans="2:38" ht="16.5" customHeight="1" x14ac:dyDescent="0.25">
      <c r="B57" s="98" t="s">
        <v>219</v>
      </c>
      <c r="C57" s="11"/>
      <c r="D57" s="34" t="s">
        <v>101</v>
      </c>
      <c r="E57" s="11"/>
      <c r="F57" s="11"/>
      <c r="G57" s="11"/>
      <c r="H57" s="11"/>
      <c r="I57" s="11"/>
      <c r="J57" s="11"/>
      <c r="K57" s="11"/>
      <c r="L57" s="180">
        <f>IF(OR(L47="", AND(L51="", L52="")),"",IF(L52="",(L47*L51-1.987)/L47,(L47*L52-1.987)/L47))</f>
        <v>0.31740453200053842</v>
      </c>
      <c r="M57" s="181"/>
      <c r="N57" s="181"/>
      <c r="O57" s="181"/>
      <c r="P57" s="181"/>
      <c r="Q57" s="181"/>
      <c r="R57" s="181"/>
      <c r="S57" s="182"/>
      <c r="T57" s="11"/>
      <c r="U57" s="11"/>
      <c r="V57" s="37"/>
      <c r="W57" s="12" t="s">
        <v>140</v>
      </c>
      <c r="X57" s="66" t="s">
        <v>49</v>
      </c>
      <c r="Y57" s="122" t="s">
        <v>311</v>
      </c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60"/>
    </row>
    <row r="58" spans="2:38" ht="16.5" customHeight="1" x14ac:dyDescent="0.25">
      <c r="B58" s="98" t="s">
        <v>220</v>
      </c>
      <c r="C58" s="11"/>
      <c r="D58" s="34" t="s">
        <v>102</v>
      </c>
      <c r="E58" s="11"/>
      <c r="F58" s="11"/>
      <c r="G58" s="11"/>
      <c r="H58" s="11"/>
      <c r="I58" s="11"/>
      <c r="J58" s="11"/>
      <c r="K58" s="11"/>
      <c r="L58" s="180">
        <f>IF(OR(L47="", AND(L53="", L54="")),"",IF(L54="",(L47*L53-1.987)/L47,(L47*L54-1.987)/L47))</f>
        <v>0.41120753200053856</v>
      </c>
      <c r="M58" s="181"/>
      <c r="N58" s="181"/>
      <c r="O58" s="181"/>
      <c r="P58" s="181"/>
      <c r="Q58" s="181"/>
      <c r="R58" s="181"/>
      <c r="S58" s="182"/>
      <c r="T58" s="11"/>
      <c r="U58" s="11"/>
      <c r="V58" s="37"/>
      <c r="W58" s="12" t="s">
        <v>140</v>
      </c>
      <c r="X58" s="6"/>
      <c r="Y58" s="123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60"/>
    </row>
    <row r="59" spans="2:38" ht="16.5" customHeight="1" x14ac:dyDescent="0.25">
      <c r="B59" s="98" t="s">
        <v>221</v>
      </c>
      <c r="C59" s="11"/>
      <c r="D59" s="34" t="s">
        <v>103</v>
      </c>
      <c r="E59" s="11"/>
      <c r="F59" s="11"/>
      <c r="G59" s="11"/>
      <c r="H59" s="11"/>
      <c r="I59" s="11"/>
      <c r="J59" s="11"/>
      <c r="K59" s="11"/>
      <c r="L59" s="180">
        <f>IF(OR(L57="", L58=""),"",(L57+L58)/2)</f>
        <v>0.36430603200053846</v>
      </c>
      <c r="M59" s="181"/>
      <c r="N59" s="181"/>
      <c r="O59" s="181"/>
      <c r="P59" s="181"/>
      <c r="Q59" s="181"/>
      <c r="R59" s="181"/>
      <c r="S59" s="182"/>
      <c r="T59" s="11"/>
      <c r="U59" s="11"/>
      <c r="V59" s="37"/>
      <c r="W59" s="12" t="s">
        <v>140</v>
      </c>
      <c r="X59" s="6"/>
      <c r="Y59" s="123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60"/>
    </row>
    <row r="60" spans="2:38" ht="16.5" customHeight="1" x14ac:dyDescent="0.25">
      <c r="B60" s="70">
        <v>1.1399999999999999</v>
      </c>
      <c r="C60" s="11"/>
      <c r="D60" s="72" t="s">
        <v>225</v>
      </c>
      <c r="E60" s="11"/>
      <c r="F60" s="11"/>
      <c r="G60" s="11"/>
      <c r="H60" s="11"/>
      <c r="I60" s="11"/>
      <c r="J60" s="11"/>
      <c r="K60" s="11"/>
      <c r="L60" s="40"/>
      <c r="M60" s="40"/>
      <c r="N60" s="40"/>
      <c r="O60" s="40"/>
      <c r="P60" s="45"/>
      <c r="Q60" s="45"/>
      <c r="R60" s="45"/>
      <c r="S60" s="45"/>
      <c r="T60" s="11"/>
      <c r="U60" s="11"/>
      <c r="V60" s="37"/>
      <c r="W60" s="12"/>
      <c r="X60" s="6"/>
      <c r="Y60" s="123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60"/>
    </row>
    <row r="61" spans="2:38" ht="16.5" customHeight="1" x14ac:dyDescent="0.25">
      <c r="B61" s="99" t="s">
        <v>222</v>
      </c>
      <c r="C61" s="11"/>
      <c r="D61" s="34" t="s">
        <v>105</v>
      </c>
      <c r="E61" s="11"/>
      <c r="F61" s="11"/>
      <c r="G61" s="11"/>
      <c r="H61" s="11"/>
      <c r="I61" s="11"/>
      <c r="J61" s="11"/>
      <c r="K61" s="11"/>
      <c r="L61" s="191">
        <f>IF(OR(L51="", L57=""),"",L51/L57)</f>
        <v>1.1416843915744253</v>
      </c>
      <c r="M61" s="192"/>
      <c r="N61" s="192"/>
      <c r="O61" s="192"/>
      <c r="P61" s="192"/>
      <c r="Q61" s="192"/>
      <c r="R61" s="192"/>
      <c r="S61" s="193"/>
      <c r="T61" s="11"/>
      <c r="U61" s="11"/>
      <c r="V61" s="11"/>
      <c r="W61" s="12" t="s">
        <v>97</v>
      </c>
      <c r="X61" s="66" t="s">
        <v>49</v>
      </c>
      <c r="Y61" s="122" t="s">
        <v>312</v>
      </c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60"/>
    </row>
    <row r="62" spans="2:38" ht="16.5" customHeight="1" x14ac:dyDescent="0.25">
      <c r="B62" s="99" t="s">
        <v>223</v>
      </c>
      <c r="C62" s="11"/>
      <c r="D62" s="34" t="s">
        <v>104</v>
      </c>
      <c r="E62" s="11"/>
      <c r="F62" s="11"/>
      <c r="G62" s="11"/>
      <c r="H62" s="11"/>
      <c r="I62" s="11"/>
      <c r="J62" s="11"/>
      <c r="K62" s="11"/>
      <c r="L62" s="134"/>
      <c r="M62" s="135"/>
      <c r="N62" s="135"/>
      <c r="O62" s="135"/>
      <c r="P62" s="135"/>
      <c r="Q62" s="135"/>
      <c r="R62" s="135"/>
      <c r="S62" s="136"/>
      <c r="T62" s="11"/>
      <c r="U62" s="11"/>
      <c r="V62" s="11"/>
      <c r="W62" s="12" t="s">
        <v>97</v>
      </c>
      <c r="X62" s="6"/>
      <c r="Y62" s="123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60"/>
    </row>
    <row r="63" spans="2:38" ht="16.5" customHeight="1" x14ac:dyDescent="0.25">
      <c r="B63" s="99" t="s">
        <v>224</v>
      </c>
      <c r="C63" s="11"/>
      <c r="D63" s="34" t="s">
        <v>106</v>
      </c>
      <c r="E63" s="11"/>
      <c r="F63" s="11"/>
      <c r="G63" s="11"/>
      <c r="H63" s="11"/>
      <c r="I63" s="11"/>
      <c r="J63" s="11"/>
      <c r="K63" s="11"/>
      <c r="L63" s="194">
        <f>IF(OR(L53="", L58=""),"",L53/L58)</f>
        <v>1.1093639208909298</v>
      </c>
      <c r="M63" s="195"/>
      <c r="N63" s="195"/>
      <c r="O63" s="195"/>
      <c r="P63" s="195"/>
      <c r="Q63" s="195"/>
      <c r="R63" s="195"/>
      <c r="S63" s="196"/>
      <c r="T63" s="11"/>
      <c r="U63" s="11"/>
      <c r="V63" s="11"/>
      <c r="W63" s="12" t="s">
        <v>97</v>
      </c>
      <c r="X63" s="6"/>
      <c r="Y63" s="123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60"/>
    </row>
    <row r="64" spans="2:38" ht="16.5" customHeight="1" x14ac:dyDescent="0.25">
      <c r="B64" s="99" t="s">
        <v>233</v>
      </c>
      <c r="C64" s="11"/>
      <c r="D64" s="34" t="s">
        <v>107</v>
      </c>
      <c r="E64" s="11"/>
      <c r="F64" s="11"/>
      <c r="G64" s="11"/>
      <c r="H64" s="11"/>
      <c r="I64" s="11"/>
      <c r="J64" s="11"/>
      <c r="K64" s="11"/>
      <c r="L64" s="188"/>
      <c r="M64" s="189"/>
      <c r="N64" s="189"/>
      <c r="O64" s="189"/>
      <c r="P64" s="189"/>
      <c r="Q64" s="189"/>
      <c r="R64" s="189"/>
      <c r="S64" s="190"/>
      <c r="T64" s="11"/>
      <c r="U64" s="11"/>
      <c r="V64" s="11"/>
      <c r="W64" s="12" t="s">
        <v>97</v>
      </c>
      <c r="X64" s="6"/>
      <c r="Y64" s="123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60"/>
    </row>
    <row r="65" spans="2:38" ht="16.5" customHeight="1" x14ac:dyDescent="0.25">
      <c r="B65" s="99" t="s">
        <v>234</v>
      </c>
      <c r="C65" s="11"/>
      <c r="D65" s="34" t="s">
        <v>108</v>
      </c>
      <c r="E65" s="11"/>
      <c r="F65" s="11"/>
      <c r="G65" s="11"/>
      <c r="H65" s="11"/>
      <c r="I65" s="11"/>
      <c r="J65" s="11"/>
      <c r="K65" s="11"/>
      <c r="L65" s="191">
        <f>IF(OR(L62="", L64=""),IF(OR(L61="", L63=""),"",(L61+L63)/2),(L62+L64)/2)</f>
        <v>1.1255241562326774</v>
      </c>
      <c r="M65" s="192"/>
      <c r="N65" s="192"/>
      <c r="O65" s="192"/>
      <c r="P65" s="192"/>
      <c r="Q65" s="192"/>
      <c r="R65" s="192"/>
      <c r="S65" s="193"/>
      <c r="T65" s="11"/>
      <c r="U65" s="11"/>
      <c r="V65" s="11"/>
      <c r="W65" s="12" t="s">
        <v>97</v>
      </c>
      <c r="X65" s="6"/>
      <c r="Y65" s="123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60"/>
    </row>
    <row r="66" spans="2:38" ht="16.5" customHeight="1" x14ac:dyDescent="0.25">
      <c r="B66" s="8"/>
      <c r="C66" s="11"/>
      <c r="D66" s="34"/>
      <c r="E66" s="11"/>
      <c r="F66" s="11"/>
      <c r="G66" s="11"/>
      <c r="H66" s="11"/>
      <c r="I66" s="11"/>
      <c r="J66" s="11"/>
      <c r="K66" s="11"/>
      <c r="L66" s="40"/>
      <c r="M66" s="40"/>
      <c r="N66" s="40"/>
      <c r="O66" s="40"/>
      <c r="P66" s="45"/>
      <c r="Q66" s="45"/>
      <c r="R66" s="45"/>
      <c r="S66" s="45"/>
      <c r="T66" s="11"/>
      <c r="U66" s="11"/>
      <c r="V66" s="11"/>
      <c r="W66" s="12"/>
      <c r="X66" s="6"/>
      <c r="Y66" s="123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60"/>
    </row>
    <row r="67" spans="2:38" ht="16.5" customHeight="1" x14ac:dyDescent="0.25">
      <c r="B67" s="8">
        <v>1.1499999999999999</v>
      </c>
      <c r="C67" s="11"/>
      <c r="D67" s="34" t="s">
        <v>119</v>
      </c>
      <c r="E67" s="11"/>
      <c r="F67" s="11"/>
      <c r="G67" s="11"/>
      <c r="H67" s="11"/>
      <c r="I67" s="11"/>
      <c r="J67" s="11"/>
      <c r="K67" s="11"/>
      <c r="L67" s="138"/>
      <c r="M67" s="138"/>
      <c r="N67" s="138"/>
      <c r="O67" s="138"/>
      <c r="P67" s="138">
        <v>356.5</v>
      </c>
      <c r="Q67" s="138"/>
      <c r="R67" s="138"/>
      <c r="S67" s="138"/>
      <c r="T67" s="11"/>
      <c r="U67" s="11"/>
      <c r="V67" s="11"/>
      <c r="W67" s="12" t="s">
        <v>43</v>
      </c>
      <c r="X67" s="6" t="s">
        <v>49</v>
      </c>
      <c r="Y67" s="124"/>
      <c r="Z67" s="56" t="s">
        <v>193</v>
      </c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60"/>
    </row>
    <row r="68" spans="2:38" ht="16.5" customHeight="1" x14ac:dyDescent="0.25">
      <c r="B68" s="8">
        <v>1.1599999999999999</v>
      </c>
      <c r="C68" s="11"/>
      <c r="D68" s="34" t="s">
        <v>201</v>
      </c>
      <c r="E68" s="11"/>
      <c r="F68" s="11"/>
      <c r="G68" s="11"/>
      <c r="H68" s="11"/>
      <c r="I68" s="11"/>
      <c r="J68" s="11"/>
      <c r="K68" s="11"/>
      <c r="L68" s="167">
        <f>IF(COUNT(N11:N33)=0,"",SUMPRODUCT(N11:N33,T11:T33)/100)</f>
        <v>616.4745999999999</v>
      </c>
      <c r="M68" s="167"/>
      <c r="N68" s="167"/>
      <c r="O68" s="167"/>
      <c r="P68" s="167">
        <f>IF(L68="","",0.0689475729317*L68)</f>
        <v>42.504427444040573</v>
      </c>
      <c r="Q68" s="167"/>
      <c r="R68" s="167"/>
      <c r="S68" s="167"/>
      <c r="T68" s="11"/>
      <c r="U68" s="11"/>
      <c r="V68" s="11"/>
      <c r="W68" s="12" t="s">
        <v>45</v>
      </c>
      <c r="X68" s="66" t="s">
        <v>49</v>
      </c>
      <c r="Y68" s="122" t="s">
        <v>313</v>
      </c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60"/>
    </row>
    <row r="69" spans="2:38" ht="16.5" customHeight="1" x14ac:dyDescent="0.25">
      <c r="B69" s="8">
        <v>1.17</v>
      </c>
      <c r="C69" s="11"/>
      <c r="D69" s="34" t="s">
        <v>202</v>
      </c>
      <c r="E69" s="11"/>
      <c r="F69" s="11"/>
      <c r="G69" s="11"/>
      <c r="H69" s="11"/>
      <c r="I69" s="11"/>
      <c r="J69" s="11"/>
      <c r="K69" s="11"/>
      <c r="L69" s="167">
        <f>IF(COUNT(N11:N33)=0,"",SUMPRODUCT(N11:N33,V11:V33)/100)</f>
        <v>666.32430000000011</v>
      </c>
      <c r="M69" s="167"/>
      <c r="N69" s="167"/>
      <c r="O69" s="167"/>
      <c r="P69" s="167">
        <f>IF(L69="","",L69*0.555555555555555)</f>
        <v>370.18016666666637</v>
      </c>
      <c r="Q69" s="167"/>
      <c r="R69" s="167"/>
      <c r="S69" s="167"/>
      <c r="T69" s="11"/>
      <c r="U69" s="11"/>
      <c r="V69" s="11"/>
      <c r="W69" s="12" t="s">
        <v>43</v>
      </c>
      <c r="X69" s="66" t="s">
        <v>49</v>
      </c>
      <c r="Y69" s="122" t="s">
        <v>314</v>
      </c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60"/>
    </row>
    <row r="70" spans="2:38" ht="16.5" customHeight="1" x14ac:dyDescent="0.25">
      <c r="B70" s="8">
        <v>1.18</v>
      </c>
      <c r="C70" s="11"/>
      <c r="D70" s="34" t="s">
        <v>203</v>
      </c>
      <c r="E70" s="11"/>
      <c r="F70" s="11"/>
      <c r="G70" s="11"/>
      <c r="H70" s="11"/>
      <c r="I70" s="11"/>
      <c r="J70" s="11"/>
      <c r="K70" s="11"/>
      <c r="L70" s="167">
        <f>IF(OR(AND(L42="", P42=""), AND(L68="", P68="")),"", IF(L42="",P42/P68,L42/L68))</f>
        <v>6.8463456044224477E-2</v>
      </c>
      <c r="M70" s="167"/>
      <c r="N70" s="167"/>
      <c r="O70" s="167"/>
      <c r="P70" s="167"/>
      <c r="Q70" s="167"/>
      <c r="R70" s="167"/>
      <c r="S70" s="167"/>
      <c r="T70" s="11"/>
      <c r="U70" s="11"/>
      <c r="V70" s="11"/>
      <c r="W70" s="12" t="s">
        <v>97</v>
      </c>
      <c r="X70" s="66" t="s">
        <v>49</v>
      </c>
      <c r="Y70" s="122" t="s">
        <v>315</v>
      </c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60"/>
    </row>
    <row r="71" spans="2:38" ht="16.5" customHeight="1" x14ac:dyDescent="0.25">
      <c r="B71" s="8">
        <v>1.19</v>
      </c>
      <c r="C71" s="11"/>
      <c r="D71" s="34" t="s">
        <v>204</v>
      </c>
      <c r="E71" s="11"/>
      <c r="F71" s="11"/>
      <c r="G71" s="11"/>
      <c r="H71" s="11"/>
      <c r="I71" s="11"/>
      <c r="J71" s="11"/>
      <c r="K71" s="11"/>
      <c r="L71" s="167">
        <f>IF(OR(AND(L43="", P43=""), AND(L69="", P69="")),"", IF(L43="",P43/P69,L43/L69))</f>
        <v>0.72262110206696706</v>
      </c>
      <c r="M71" s="167"/>
      <c r="N71" s="167"/>
      <c r="O71" s="167"/>
      <c r="P71" s="167"/>
      <c r="Q71" s="167"/>
      <c r="R71" s="167"/>
      <c r="S71" s="167"/>
      <c r="T71" s="11"/>
      <c r="U71" s="11"/>
      <c r="V71" s="11"/>
      <c r="W71" s="12" t="s">
        <v>97</v>
      </c>
      <c r="X71" s="66" t="s">
        <v>49</v>
      </c>
      <c r="Y71" s="122" t="s">
        <v>316</v>
      </c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60"/>
    </row>
    <row r="72" spans="2:38" ht="16.5" customHeight="1" x14ac:dyDescent="0.25">
      <c r="B72" s="41">
        <v>1.2</v>
      </c>
      <c r="C72" s="11"/>
      <c r="D72" s="34" t="s">
        <v>117</v>
      </c>
      <c r="E72" s="11"/>
      <c r="F72" s="11"/>
      <c r="G72" s="11"/>
      <c r="H72" s="11"/>
      <c r="I72" s="11"/>
      <c r="J72" s="11"/>
      <c r="K72" s="11"/>
      <c r="L72" s="167">
        <f>IF(OR(AND(L44="", P44=""), AND(L68="", P68="")),"", IF(L44="",P44/P68,L44/L68))</f>
        <v>0.51759313847867294</v>
      </c>
      <c r="M72" s="167"/>
      <c r="N72" s="167"/>
      <c r="O72" s="167"/>
      <c r="P72" s="167"/>
      <c r="Q72" s="167"/>
      <c r="R72" s="167"/>
      <c r="S72" s="167"/>
      <c r="T72" s="11"/>
      <c r="U72" s="11"/>
      <c r="V72" s="11"/>
      <c r="W72" s="12" t="s">
        <v>97</v>
      </c>
      <c r="X72" s="6"/>
      <c r="Y72" s="123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60"/>
    </row>
    <row r="73" spans="2:38" ht="16.5" customHeight="1" x14ac:dyDescent="0.25">
      <c r="B73" s="8">
        <v>1.21</v>
      </c>
      <c r="C73" s="11"/>
      <c r="D73" s="34" t="s">
        <v>118</v>
      </c>
      <c r="E73" s="11"/>
      <c r="F73" s="11"/>
      <c r="G73" s="11"/>
      <c r="H73" s="11"/>
      <c r="I73" s="11"/>
      <c r="J73" s="11"/>
      <c r="K73" s="11"/>
      <c r="L73" s="167">
        <f>IF(OR(AND(L67="", P67=""), AND(L69="", P69="")),"", IF(L67="",P67/P69,L67/L69))</f>
        <v>0.96304457153971501</v>
      </c>
      <c r="M73" s="167"/>
      <c r="N73" s="167"/>
      <c r="O73" s="167"/>
      <c r="P73" s="167"/>
      <c r="Q73" s="167"/>
      <c r="R73" s="167"/>
      <c r="S73" s="167"/>
      <c r="T73" s="11"/>
      <c r="U73" s="11"/>
      <c r="V73" s="11"/>
      <c r="W73" s="12" t="s">
        <v>97</v>
      </c>
      <c r="X73" s="6"/>
      <c r="Y73" s="123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60"/>
    </row>
    <row r="74" spans="2:38" ht="16.5" customHeight="1" x14ac:dyDescent="0.25">
      <c r="B74" s="41"/>
      <c r="C74" s="11"/>
      <c r="D74" s="34"/>
      <c r="E74" s="11"/>
      <c r="F74" s="11"/>
      <c r="G74" s="11"/>
      <c r="H74" s="11"/>
      <c r="I74" s="11"/>
      <c r="J74" s="11"/>
      <c r="K74" s="11"/>
      <c r="L74" s="40"/>
      <c r="M74" s="40"/>
      <c r="N74" s="40"/>
      <c r="O74" s="40"/>
      <c r="P74" s="40"/>
      <c r="Q74" s="40"/>
      <c r="R74" s="40"/>
      <c r="S74" s="40"/>
      <c r="T74" s="11"/>
      <c r="U74" s="11"/>
      <c r="V74" s="11"/>
      <c r="W74" s="12"/>
      <c r="X74" s="6"/>
      <c r="Y74" s="123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60"/>
    </row>
    <row r="75" spans="2:38" ht="16.5" customHeight="1" x14ac:dyDescent="0.25">
      <c r="B75" s="70">
        <v>1.22</v>
      </c>
      <c r="C75" s="11"/>
      <c r="D75" s="72" t="s">
        <v>109</v>
      </c>
      <c r="E75" s="11"/>
      <c r="F75" s="11"/>
      <c r="G75" s="11"/>
      <c r="H75" s="11"/>
      <c r="I75" s="11"/>
      <c r="J75" s="11"/>
      <c r="K75" s="11"/>
      <c r="L75" s="67"/>
      <c r="M75" s="67"/>
      <c r="N75" s="67"/>
      <c r="O75" s="67"/>
      <c r="P75" s="68"/>
      <c r="Q75" s="68"/>
      <c r="R75" s="68"/>
      <c r="S75" s="68"/>
      <c r="T75" s="11"/>
      <c r="U75" s="11"/>
      <c r="V75" s="11"/>
      <c r="W75" s="12"/>
      <c r="X75" s="6"/>
      <c r="Y75" s="123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60"/>
    </row>
    <row r="76" spans="2:38" ht="16.5" customHeight="1" x14ac:dyDescent="0.25">
      <c r="B76" s="99" t="s">
        <v>235</v>
      </c>
      <c r="C76" s="11"/>
      <c r="D76" s="34" t="s">
        <v>110</v>
      </c>
      <c r="E76" s="11"/>
      <c r="F76" s="11"/>
      <c r="G76" s="11"/>
      <c r="H76" s="11"/>
      <c r="I76" s="11"/>
      <c r="J76" s="11"/>
      <c r="K76" s="11"/>
      <c r="L76" s="134">
        <v>0.92</v>
      </c>
      <c r="M76" s="135"/>
      <c r="N76" s="135"/>
      <c r="O76" s="135"/>
      <c r="P76" s="135"/>
      <c r="Q76" s="135"/>
      <c r="R76" s="135"/>
      <c r="S76" s="136"/>
      <c r="T76" s="11"/>
      <c r="U76" s="11"/>
      <c r="V76" s="11"/>
      <c r="W76" s="12" t="s">
        <v>97</v>
      </c>
      <c r="X76" s="6" t="s">
        <v>49</v>
      </c>
      <c r="Y76" s="124"/>
      <c r="Z76" s="56" t="s">
        <v>193</v>
      </c>
      <c r="AA76" s="56"/>
      <c r="AB76" s="56"/>
      <c r="AC76" s="56"/>
      <c r="AD76" s="60"/>
      <c r="AE76" s="60"/>
      <c r="AF76" s="60"/>
      <c r="AG76" s="60"/>
      <c r="AH76" s="60"/>
      <c r="AI76" s="60"/>
      <c r="AJ76" s="60"/>
      <c r="AK76" s="60"/>
      <c r="AL76" s="60"/>
    </row>
    <row r="77" spans="2:38" ht="16.5" customHeight="1" x14ac:dyDescent="0.25">
      <c r="B77" s="99" t="s">
        <v>236</v>
      </c>
      <c r="C77" s="11"/>
      <c r="D77" s="34" t="s">
        <v>112</v>
      </c>
      <c r="E77" s="11"/>
      <c r="F77" s="11"/>
      <c r="G77" s="11"/>
      <c r="H77" s="11"/>
      <c r="I77" s="11"/>
      <c r="J77" s="11"/>
      <c r="K77" s="11"/>
      <c r="L77" s="134">
        <v>0.77</v>
      </c>
      <c r="M77" s="135"/>
      <c r="N77" s="135"/>
      <c r="O77" s="135"/>
      <c r="P77" s="135"/>
      <c r="Q77" s="135"/>
      <c r="R77" s="135"/>
      <c r="S77" s="136"/>
      <c r="T77" s="11"/>
      <c r="U77" s="11"/>
      <c r="V77" s="11"/>
      <c r="W77" s="12" t="s">
        <v>97</v>
      </c>
      <c r="X77" s="6"/>
      <c r="Y77" s="123"/>
      <c r="Z77" s="56"/>
      <c r="AA77" s="56"/>
      <c r="AB77" s="56"/>
      <c r="AC77" s="56"/>
      <c r="AD77" s="60"/>
      <c r="AE77" s="60"/>
      <c r="AF77" s="60"/>
      <c r="AG77" s="60"/>
      <c r="AH77" s="60"/>
      <c r="AI77" s="60"/>
      <c r="AJ77" s="60"/>
      <c r="AK77" s="60"/>
      <c r="AL77" s="60"/>
    </row>
    <row r="78" spans="2:38" ht="16.5" customHeight="1" x14ac:dyDescent="0.25">
      <c r="B78" s="99" t="s">
        <v>237</v>
      </c>
      <c r="C78" s="11"/>
      <c r="D78" s="34" t="s">
        <v>111</v>
      </c>
      <c r="E78" s="11"/>
      <c r="F78" s="11"/>
      <c r="G78" s="11"/>
      <c r="H78" s="11"/>
      <c r="I78" s="11"/>
      <c r="J78" s="11"/>
      <c r="K78" s="11"/>
      <c r="L78" s="167">
        <f>IF(OR(L76="", L77=""),"",(L76+L77)/2)</f>
        <v>0.84499999999999997</v>
      </c>
      <c r="M78" s="167"/>
      <c r="N78" s="167"/>
      <c r="O78" s="167"/>
      <c r="P78" s="167"/>
      <c r="Q78" s="167"/>
      <c r="R78" s="167"/>
      <c r="S78" s="167"/>
      <c r="T78" s="11"/>
      <c r="U78" s="11"/>
      <c r="V78" s="11"/>
      <c r="W78" s="12" t="s">
        <v>97</v>
      </c>
      <c r="X78" s="6"/>
      <c r="Y78" s="124"/>
      <c r="Z78" s="56"/>
      <c r="AA78" s="56"/>
      <c r="AB78" s="56"/>
      <c r="AC78" s="56"/>
      <c r="AD78" s="60"/>
      <c r="AE78" s="60"/>
      <c r="AF78" s="60"/>
      <c r="AG78" s="60"/>
      <c r="AH78" s="60"/>
      <c r="AI78" s="60"/>
      <c r="AJ78" s="60"/>
      <c r="AK78" s="60"/>
      <c r="AL78" s="60"/>
    </row>
    <row r="79" spans="2:38" ht="16.5" customHeight="1" x14ac:dyDescent="0.25">
      <c r="B79" s="8">
        <v>1.23</v>
      </c>
      <c r="C79" s="11"/>
      <c r="D79" s="34" t="s">
        <v>120</v>
      </c>
      <c r="E79" s="11"/>
      <c r="F79" s="11"/>
      <c r="G79" s="11"/>
      <c r="H79" s="11"/>
      <c r="I79" s="11"/>
      <c r="J79" s="11"/>
      <c r="K79" s="11"/>
      <c r="L79" s="134"/>
      <c r="M79" s="135"/>
      <c r="N79" s="135"/>
      <c r="O79" s="135"/>
      <c r="P79" s="135"/>
      <c r="Q79" s="135"/>
      <c r="R79" s="135"/>
      <c r="S79" s="136"/>
      <c r="T79" s="11"/>
      <c r="U79" s="11"/>
      <c r="V79" s="11"/>
      <c r="W79" s="12" t="s">
        <v>97</v>
      </c>
      <c r="X79" s="6" t="s">
        <v>49</v>
      </c>
      <c r="Y79" s="124"/>
      <c r="Z79" s="69" t="s">
        <v>303</v>
      </c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</row>
    <row r="80" spans="2:38" ht="16.5" customHeight="1" x14ac:dyDescent="0.25">
      <c r="B80" s="8">
        <v>1.24</v>
      </c>
      <c r="C80" s="11"/>
      <c r="D80" s="34" t="s">
        <v>121</v>
      </c>
      <c r="E80" s="11"/>
      <c r="F80" s="11"/>
      <c r="G80" s="11"/>
      <c r="H80" s="11"/>
      <c r="I80" s="11"/>
      <c r="J80" s="11"/>
      <c r="K80" s="11"/>
      <c r="L80" s="134"/>
      <c r="M80" s="135"/>
      <c r="N80" s="135"/>
      <c r="O80" s="135"/>
      <c r="P80" s="135"/>
      <c r="Q80" s="135"/>
      <c r="R80" s="135"/>
      <c r="S80" s="136"/>
      <c r="T80" s="11"/>
      <c r="U80" s="11"/>
      <c r="V80" s="11"/>
      <c r="W80" s="12" t="s">
        <v>97</v>
      </c>
      <c r="X80" s="66"/>
      <c r="Y80" s="124"/>
      <c r="Z80" s="56" t="s">
        <v>193</v>
      </c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</row>
    <row r="81" spans="2:38" ht="16.5" customHeight="1" x14ac:dyDescent="0.25">
      <c r="B81" s="8">
        <v>1.25</v>
      </c>
      <c r="C81" s="11"/>
      <c r="D81" s="34" t="s">
        <v>130</v>
      </c>
      <c r="E81" s="11"/>
      <c r="F81" s="11"/>
      <c r="G81" s="11"/>
      <c r="H81" s="11"/>
      <c r="I81" s="11"/>
      <c r="J81" s="11"/>
      <c r="K81" s="11"/>
      <c r="L81" s="167" t="str">
        <f>IF(OR(L79="", L80=""),"",(L79+L80)/2)</f>
        <v/>
      </c>
      <c r="M81" s="167"/>
      <c r="N81" s="167"/>
      <c r="O81" s="167"/>
      <c r="P81" s="167"/>
      <c r="Q81" s="167"/>
      <c r="R81" s="167"/>
      <c r="S81" s="167"/>
      <c r="T81" s="11"/>
      <c r="U81" s="11"/>
      <c r="V81" s="11"/>
      <c r="W81" s="15"/>
      <c r="X81" s="66" t="s">
        <v>49</v>
      </c>
      <c r="Y81" s="125" t="s">
        <v>317</v>
      </c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</row>
    <row r="82" spans="2:38" ht="16.5" customHeight="1" x14ac:dyDescent="0.25">
      <c r="B82" s="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5"/>
      <c r="X82" s="13"/>
      <c r="Y82" s="10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</row>
    <row r="83" spans="2:38" ht="16.5" customHeight="1" x14ac:dyDescent="0.25">
      <c r="B83" s="41">
        <v>1.26</v>
      </c>
      <c r="C83" s="11"/>
      <c r="D83" s="34" t="s">
        <v>197</v>
      </c>
      <c r="E83" s="11"/>
      <c r="F83" s="11"/>
      <c r="G83" s="11"/>
      <c r="H83" s="11"/>
      <c r="I83" s="11"/>
      <c r="J83" s="11"/>
      <c r="K83" s="11"/>
      <c r="L83" s="137">
        <v>80</v>
      </c>
      <c r="M83" s="137"/>
      <c r="N83" s="137"/>
      <c r="O83" s="137"/>
      <c r="P83" s="137"/>
      <c r="Q83" s="137"/>
      <c r="R83" s="137"/>
      <c r="S83" s="137"/>
      <c r="T83" s="11"/>
      <c r="U83" s="11"/>
      <c r="V83" s="11"/>
      <c r="W83" s="12" t="s">
        <v>116</v>
      </c>
      <c r="X83" s="6" t="s">
        <v>49</v>
      </c>
      <c r="Y83" s="124"/>
      <c r="Z83" s="65" t="s">
        <v>194</v>
      </c>
      <c r="AA83" s="56"/>
      <c r="AB83" s="56"/>
      <c r="AC83" s="56"/>
      <c r="AD83" s="60"/>
      <c r="AE83" s="60"/>
      <c r="AF83" s="60"/>
      <c r="AG83" s="60"/>
      <c r="AH83" s="60"/>
      <c r="AI83" s="60"/>
      <c r="AJ83" s="60"/>
      <c r="AK83" s="60"/>
      <c r="AL83" s="60"/>
    </row>
    <row r="84" spans="2:38" ht="16.5" customHeight="1" x14ac:dyDescent="0.25">
      <c r="B84" s="8">
        <v>1.27</v>
      </c>
      <c r="C84" s="11"/>
      <c r="D84" s="34" t="s">
        <v>198</v>
      </c>
      <c r="E84" s="11"/>
      <c r="F84" s="11"/>
      <c r="G84" s="11"/>
      <c r="H84" s="11"/>
      <c r="I84" s="11"/>
      <c r="J84" s="11"/>
      <c r="K84" s="11"/>
      <c r="L84" s="137"/>
      <c r="M84" s="137"/>
      <c r="N84" s="137"/>
      <c r="O84" s="137"/>
      <c r="P84" s="137"/>
      <c r="Q84" s="137"/>
      <c r="R84" s="137"/>
      <c r="S84" s="137"/>
      <c r="T84" s="11"/>
      <c r="U84" s="11"/>
      <c r="V84" s="11"/>
      <c r="W84" s="12"/>
      <c r="X84" s="6"/>
      <c r="Y84" s="124"/>
      <c r="Z84" s="56" t="s">
        <v>193</v>
      </c>
      <c r="AA84" s="56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</row>
    <row r="85" spans="2:38" ht="16.5" customHeight="1" x14ac:dyDescent="0.25">
      <c r="B85" s="41"/>
      <c r="C85" s="11"/>
      <c r="D85" s="34"/>
      <c r="E85" s="11"/>
      <c r="F85" s="11"/>
      <c r="G85" s="11"/>
      <c r="H85" s="11"/>
      <c r="I85" s="11"/>
      <c r="J85" s="11"/>
      <c r="K85" s="11"/>
      <c r="L85" s="44"/>
      <c r="M85" s="44"/>
      <c r="N85" s="44"/>
      <c r="O85" s="44"/>
      <c r="P85" s="44"/>
      <c r="Q85" s="44"/>
      <c r="R85" s="44"/>
      <c r="S85" s="44"/>
      <c r="T85" s="11"/>
      <c r="U85" s="11"/>
      <c r="V85" s="11"/>
      <c r="W85" s="12"/>
      <c r="X85" s="6"/>
      <c r="Y85" s="100"/>
      <c r="Z85" s="56"/>
      <c r="AA85" s="56"/>
      <c r="AB85" s="56"/>
      <c r="AC85" s="56"/>
      <c r="AD85" s="60"/>
      <c r="AE85" s="60"/>
      <c r="AF85" s="60"/>
      <c r="AG85" s="60"/>
      <c r="AH85" s="60"/>
      <c r="AI85" s="60"/>
      <c r="AJ85" s="60"/>
      <c r="AK85" s="60"/>
      <c r="AL85" s="60"/>
    </row>
    <row r="86" spans="2:38" ht="16.5" customHeight="1" x14ac:dyDescent="0.25">
      <c r="B86" s="24">
        <v>2</v>
      </c>
      <c r="C86" s="25"/>
      <c r="D86" s="25" t="s">
        <v>41</v>
      </c>
      <c r="E86" s="26"/>
      <c r="F86" s="26"/>
      <c r="G86" s="26"/>
      <c r="H86" s="26"/>
      <c r="I86" s="26"/>
      <c r="J86" s="26"/>
      <c r="K86" s="26"/>
      <c r="L86" s="26"/>
      <c r="M86" s="26"/>
      <c r="N86" s="27"/>
      <c r="O86" s="27"/>
      <c r="P86" s="27"/>
      <c r="Q86" s="26"/>
      <c r="R86" s="26"/>
      <c r="S86" s="26"/>
      <c r="T86" s="26"/>
      <c r="U86" s="26"/>
      <c r="V86" s="26"/>
      <c r="W86" s="28"/>
      <c r="X86" s="6"/>
      <c r="Y86" s="10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</row>
    <row r="87" spans="2:38" ht="16.5" customHeight="1" x14ac:dyDescent="0.25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2"/>
      <c r="X87" s="13"/>
      <c r="Y87" s="10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</row>
    <row r="88" spans="2:38" ht="16.5" customHeight="1" x14ac:dyDescent="0.25">
      <c r="B88" s="70">
        <v>2.1</v>
      </c>
      <c r="C88" s="71"/>
      <c r="D88" s="72" t="s">
        <v>153</v>
      </c>
      <c r="E88" s="11"/>
      <c r="F88" s="11"/>
      <c r="G88" s="11"/>
      <c r="H88" s="11"/>
      <c r="I88" s="11"/>
      <c r="J88" s="47"/>
      <c r="K88" s="47"/>
      <c r="L88" s="73"/>
      <c r="M88" s="73"/>
      <c r="N88" s="73"/>
      <c r="O88" s="73"/>
      <c r="P88" s="74"/>
      <c r="Q88" s="74"/>
      <c r="R88" s="74"/>
      <c r="S88" s="74"/>
      <c r="T88" s="11"/>
      <c r="U88" s="11"/>
      <c r="V88" s="11"/>
      <c r="W88" s="12"/>
      <c r="X88" s="6"/>
      <c r="Y88" s="125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</row>
    <row r="89" spans="2:38" ht="16.5" customHeight="1" x14ac:dyDescent="0.25">
      <c r="B89" s="8" t="s">
        <v>1</v>
      </c>
      <c r="C89" s="11"/>
      <c r="D89" s="34" t="s">
        <v>39</v>
      </c>
      <c r="E89" s="11"/>
      <c r="F89" s="11"/>
      <c r="G89" s="11"/>
      <c r="H89" s="11"/>
      <c r="I89" s="11"/>
      <c r="J89" s="11"/>
      <c r="K89" s="11"/>
      <c r="L89" s="175" t="str">
        <f>IF(OR(L49="", L76="", L42="", L43=""),"",(L76*L49*L43)/(144*L42))</f>
        <v/>
      </c>
      <c r="M89" s="175"/>
      <c r="N89" s="175"/>
      <c r="O89" s="175"/>
      <c r="P89" s="175">
        <f>IF(OR(P49="", L76="", P42="", P43=""),"",(L76*P49*P43)/(100*P42))</f>
        <v>0.15914024210002481</v>
      </c>
      <c r="Q89" s="175"/>
      <c r="R89" s="175"/>
      <c r="S89" s="175"/>
      <c r="T89" s="11"/>
      <c r="U89" s="11"/>
      <c r="V89" s="11"/>
      <c r="W89" s="12" t="s">
        <v>144</v>
      </c>
      <c r="X89" s="66" t="s">
        <v>49</v>
      </c>
      <c r="Y89" s="125" t="s">
        <v>318</v>
      </c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</row>
    <row r="90" spans="2:38" ht="16.5" customHeight="1" x14ac:dyDescent="0.25">
      <c r="B90" s="8" t="s">
        <v>2</v>
      </c>
      <c r="C90" s="11"/>
      <c r="D90" s="34" t="s">
        <v>42</v>
      </c>
      <c r="E90" s="11"/>
      <c r="F90" s="11"/>
      <c r="G90" s="11"/>
      <c r="H90" s="11"/>
      <c r="I90" s="11"/>
      <c r="J90" s="11"/>
      <c r="K90" s="11"/>
      <c r="L90" s="175" t="str">
        <f>IF(OR(L49="", L77="", L44="", L114=""),"",(L77*L49*L114)/(144*L44))</f>
        <v/>
      </c>
      <c r="M90" s="175"/>
      <c r="N90" s="175"/>
      <c r="O90" s="175"/>
      <c r="P90" s="175">
        <f>IF(OR(P44="", P49="", L77="", P114=""),"",(L77*P49*P114)/(100*P44))</f>
        <v>2.3357471260397531E-2</v>
      </c>
      <c r="Q90" s="175"/>
      <c r="R90" s="175"/>
      <c r="S90" s="175"/>
      <c r="T90" s="11"/>
      <c r="U90" s="11"/>
      <c r="V90" s="11"/>
      <c r="W90" s="12" t="s">
        <v>144</v>
      </c>
      <c r="X90" s="66" t="s">
        <v>49</v>
      </c>
      <c r="Y90" s="125" t="s">
        <v>319</v>
      </c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</row>
    <row r="91" spans="2:38" ht="16.5" customHeight="1" x14ac:dyDescent="0.25">
      <c r="B91" s="8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2"/>
      <c r="X91" s="13"/>
      <c r="Y91" s="10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</row>
    <row r="92" spans="2:38" ht="16.5" customHeight="1" x14ac:dyDescent="0.25">
      <c r="B92" s="70">
        <v>2.2000000000000002</v>
      </c>
      <c r="C92" s="71"/>
      <c r="D92" s="72" t="s">
        <v>154</v>
      </c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2"/>
      <c r="X92" s="66" t="s">
        <v>49</v>
      </c>
      <c r="Y92" s="125" t="s">
        <v>320</v>
      </c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</row>
    <row r="93" spans="2:38" ht="16.5" customHeight="1" x14ac:dyDescent="0.25">
      <c r="B93" s="18" t="s">
        <v>11</v>
      </c>
      <c r="C93" s="11"/>
      <c r="D93" s="34" t="s">
        <v>46</v>
      </c>
      <c r="E93" s="11"/>
      <c r="F93" s="11"/>
      <c r="G93" s="11"/>
      <c r="H93" s="11"/>
      <c r="I93" s="11"/>
      <c r="J93" s="11"/>
      <c r="K93" s="11"/>
      <c r="L93" s="176" t="str">
        <f>IF(OR(L38="", L89=""),IF(OR(L39="", L47="", L89=""),IF(OR(L40="", L47="", L89=""),"",L89*L47*L40),L89*L47*L39/23.65),3600*L38*L89)</f>
        <v/>
      </c>
      <c r="M93" s="177"/>
      <c r="N93" s="177"/>
      <c r="O93" s="178"/>
      <c r="P93" s="176">
        <f>IF(OR(P38="", P89=""),IF(OR(P39="", L47="", P89=""),IF(OR(P40="", L47="", P89=""),"",P89*L47*P40),P89*L47*P39/23.65),3600*P38*P89)</f>
        <v>116932.43052928783</v>
      </c>
      <c r="Q93" s="177"/>
      <c r="R93" s="177"/>
      <c r="S93" s="178"/>
      <c r="T93" s="11"/>
      <c r="U93" s="11"/>
      <c r="V93" s="11"/>
      <c r="W93" s="12" t="s">
        <v>48</v>
      </c>
      <c r="X93" s="66" t="s">
        <v>49</v>
      </c>
      <c r="Y93" s="125" t="s">
        <v>321</v>
      </c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</row>
    <row r="94" spans="2:38" ht="16.5" customHeight="1" x14ac:dyDescent="0.25">
      <c r="B94" s="18" t="s">
        <v>18</v>
      </c>
      <c r="C94" s="11"/>
      <c r="D94" s="34" t="s">
        <v>47</v>
      </c>
      <c r="E94" s="11"/>
      <c r="F94" s="11"/>
      <c r="G94" s="11"/>
      <c r="H94" s="11"/>
      <c r="I94" s="11"/>
      <c r="J94" s="11"/>
      <c r="K94" s="11"/>
      <c r="L94" s="176" t="str">
        <f>IF(OR(L38="", L90=""),IF(OR(L39="", L47="", L90=""),IF(OR(L40="", L47="", L90=""),"",L90*L47*L40),L90*L47*L39/23.65),3600*L38*L90)</f>
        <v/>
      </c>
      <c r="M94" s="177"/>
      <c r="N94" s="177"/>
      <c r="O94" s="178"/>
      <c r="P94" s="176">
        <f>IF(OR(P38="", P90=""),IF(OR(P39="", L47="", P90=""),IF(OR(P40="", L47="", P90=""),"",P90*L47*P40),P90*L47*P39/23.65),3600*P38*P90)</f>
        <v>17162.509302829858</v>
      </c>
      <c r="Q94" s="177"/>
      <c r="R94" s="177"/>
      <c r="S94" s="178"/>
      <c r="T94" s="11"/>
      <c r="U94" s="11"/>
      <c r="V94" s="11"/>
      <c r="W94" s="12" t="s">
        <v>48</v>
      </c>
      <c r="X94" s="66" t="s">
        <v>49</v>
      </c>
      <c r="Y94" s="125" t="s">
        <v>322</v>
      </c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</row>
    <row r="95" spans="2:38" ht="16.5" customHeight="1" x14ac:dyDescent="0.25">
      <c r="B95" s="8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2"/>
      <c r="X95" s="66" t="s">
        <v>49</v>
      </c>
      <c r="Y95" s="125" t="s">
        <v>323</v>
      </c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</row>
    <row r="96" spans="2:38" ht="16.5" customHeight="1" x14ac:dyDescent="0.25">
      <c r="B96" s="70">
        <v>2.2999999999999998</v>
      </c>
      <c r="C96" s="71"/>
      <c r="D96" s="72" t="s">
        <v>152</v>
      </c>
      <c r="E96" s="7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2"/>
      <c r="X96" s="13"/>
      <c r="Y96" s="10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</row>
    <row r="97" spans="2:38" ht="16.5" customHeight="1" x14ac:dyDescent="0.25">
      <c r="B97" s="30" t="s">
        <v>10</v>
      </c>
      <c r="C97" s="11"/>
      <c r="D97" s="79" t="s">
        <v>113</v>
      </c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37"/>
      <c r="X97" s="6" t="s">
        <v>49</v>
      </c>
      <c r="Y97" s="124"/>
      <c r="Z97" s="56" t="s">
        <v>193</v>
      </c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</row>
    <row r="98" spans="2:38" ht="16.5" customHeight="1" x14ac:dyDescent="0.25">
      <c r="B98" s="30" t="s">
        <v>9</v>
      </c>
      <c r="C98" s="11"/>
      <c r="D98" s="34" t="s">
        <v>211</v>
      </c>
      <c r="E98" s="11"/>
      <c r="F98" s="11"/>
      <c r="G98" s="11"/>
      <c r="H98" s="11"/>
      <c r="I98" s="11"/>
      <c r="J98" s="11"/>
      <c r="K98" s="11"/>
      <c r="L98" s="167">
        <f>IF(L65="","",(L65-1)/L65)</f>
        <v>0.11152506637692107</v>
      </c>
      <c r="M98" s="167"/>
      <c r="N98" s="167"/>
      <c r="O98" s="167"/>
      <c r="P98" s="167"/>
      <c r="Q98" s="167"/>
      <c r="R98" s="167"/>
      <c r="S98" s="167"/>
      <c r="T98" s="11"/>
      <c r="U98" s="11"/>
      <c r="V98" s="11"/>
      <c r="W98" s="82" t="s">
        <v>97</v>
      </c>
      <c r="X98" s="66" t="s">
        <v>49</v>
      </c>
      <c r="Y98" s="125" t="s">
        <v>126</v>
      </c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</row>
    <row r="99" spans="2:38" ht="16.5" customHeight="1" x14ac:dyDescent="0.25">
      <c r="B99" s="80" t="s">
        <v>8</v>
      </c>
      <c r="C99" s="11"/>
      <c r="D99" s="34" t="s">
        <v>114</v>
      </c>
      <c r="E99" s="11"/>
      <c r="F99" s="11"/>
      <c r="G99" s="11"/>
      <c r="H99" s="11"/>
      <c r="I99" s="11"/>
      <c r="J99" s="11"/>
      <c r="K99" s="11"/>
      <c r="L99" s="167" t="str">
        <f>IF(OR(L43="", L46="", L98=""),"",L43*(L46^L98))</f>
        <v/>
      </c>
      <c r="M99" s="167"/>
      <c r="N99" s="167"/>
      <c r="O99" s="167"/>
      <c r="P99" s="167">
        <f>IF(OR(P43="", L46="", L98=""),"",P43*(L46^L98))</f>
        <v>335.19834721101284</v>
      </c>
      <c r="Q99" s="167"/>
      <c r="R99" s="167"/>
      <c r="S99" s="167"/>
      <c r="T99" s="11"/>
      <c r="U99" s="11"/>
      <c r="V99" s="11"/>
      <c r="W99" s="12" t="s">
        <v>43</v>
      </c>
      <c r="X99" s="66" t="s">
        <v>49</v>
      </c>
      <c r="Y99" s="125" t="s">
        <v>324</v>
      </c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</row>
    <row r="100" spans="2:38" ht="16.5" customHeight="1" x14ac:dyDescent="0.25">
      <c r="B100" s="8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32"/>
      <c r="X100" s="13"/>
      <c r="Y100" s="10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</row>
    <row r="101" spans="2:38" ht="16.5" customHeight="1" x14ac:dyDescent="0.25">
      <c r="B101" s="81" t="s">
        <v>13</v>
      </c>
      <c r="C101" s="11"/>
      <c r="D101" s="79" t="s">
        <v>122</v>
      </c>
      <c r="E101" s="11"/>
      <c r="F101" s="11"/>
      <c r="G101" s="11"/>
      <c r="H101" s="11"/>
      <c r="I101" s="11"/>
      <c r="J101" s="11"/>
      <c r="K101" s="11"/>
      <c r="L101" s="83"/>
      <c r="M101" s="83"/>
      <c r="N101" s="83"/>
      <c r="O101" s="83"/>
      <c r="P101" s="83"/>
      <c r="Q101" s="83"/>
      <c r="R101" s="83"/>
      <c r="S101" s="83"/>
      <c r="T101" s="11"/>
      <c r="U101" s="11"/>
      <c r="V101" s="11"/>
      <c r="W101" s="12"/>
      <c r="X101" s="6" t="s">
        <v>49</v>
      </c>
      <c r="Y101" s="124"/>
      <c r="Z101" s="56" t="s">
        <v>193</v>
      </c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</row>
    <row r="102" spans="2:38" ht="16.5" customHeight="1" x14ac:dyDescent="0.25">
      <c r="B102" s="80" t="s">
        <v>19</v>
      </c>
      <c r="C102" s="11"/>
      <c r="D102" s="34" t="s">
        <v>212</v>
      </c>
      <c r="E102" s="11"/>
      <c r="F102" s="11"/>
      <c r="G102" s="11"/>
      <c r="H102" s="11"/>
      <c r="I102" s="11"/>
      <c r="J102" s="11"/>
      <c r="K102" s="11"/>
      <c r="L102" s="167">
        <f>IF(OR(L78="", L55="", L83="", L49=""),"",(L78*L49)/(778.169262268*L55*L83/100))</f>
        <v>0.11599195622512141</v>
      </c>
      <c r="M102" s="167"/>
      <c r="N102" s="167"/>
      <c r="O102" s="167"/>
      <c r="P102" s="167"/>
      <c r="Q102" s="167"/>
      <c r="R102" s="167"/>
      <c r="S102" s="167"/>
      <c r="T102" s="11"/>
      <c r="U102" s="11"/>
      <c r="V102" s="11"/>
      <c r="W102" s="82" t="s">
        <v>97</v>
      </c>
      <c r="X102" s="66" t="s">
        <v>49</v>
      </c>
      <c r="Y102" s="125" t="s">
        <v>325</v>
      </c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</row>
    <row r="103" spans="2:38" ht="16.5" customHeight="1" x14ac:dyDescent="0.25">
      <c r="B103" s="80" t="s">
        <v>20</v>
      </c>
      <c r="C103" s="11"/>
      <c r="D103" s="34" t="s">
        <v>125</v>
      </c>
      <c r="E103" s="11"/>
      <c r="F103" s="11"/>
      <c r="G103" s="11"/>
      <c r="H103" s="11"/>
      <c r="I103" s="11"/>
      <c r="J103" s="11"/>
      <c r="K103" s="11"/>
      <c r="L103" s="167" t="str">
        <f>IF(OR(L43="", L46="", L102=""),"",L43*(L46^L102))</f>
        <v/>
      </c>
      <c r="M103" s="167"/>
      <c r="N103" s="167"/>
      <c r="O103" s="167"/>
      <c r="P103" s="167">
        <f>IF(OR(P43="", L46="", L102=""),"",P43*(L46^L102))</f>
        <v>338.24093325948627</v>
      </c>
      <c r="Q103" s="167"/>
      <c r="R103" s="167"/>
      <c r="S103" s="167"/>
      <c r="T103" s="11"/>
      <c r="U103" s="11"/>
      <c r="V103" s="11"/>
      <c r="W103" s="12" t="s">
        <v>43</v>
      </c>
      <c r="X103" s="66" t="s">
        <v>49</v>
      </c>
      <c r="Y103" s="125" t="s">
        <v>324</v>
      </c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</row>
    <row r="104" spans="2:38" ht="16.5" customHeight="1" x14ac:dyDescent="0.25">
      <c r="B104" s="8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32"/>
      <c r="X104" s="29"/>
      <c r="Y104" s="10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</row>
    <row r="105" spans="2:38" ht="16.5" customHeight="1" x14ac:dyDescent="0.25">
      <c r="B105" s="80" t="s">
        <v>14</v>
      </c>
      <c r="C105" s="11"/>
      <c r="D105" s="79" t="s">
        <v>139</v>
      </c>
      <c r="E105" s="11"/>
      <c r="F105" s="11"/>
      <c r="G105" s="11"/>
      <c r="H105" s="11"/>
      <c r="I105" s="11"/>
      <c r="J105" s="11"/>
      <c r="K105" s="11"/>
      <c r="L105" s="83"/>
      <c r="M105" s="83"/>
      <c r="N105" s="83"/>
      <c r="O105" s="83"/>
      <c r="P105" s="83"/>
      <c r="Q105" s="83"/>
      <c r="R105" s="83"/>
      <c r="S105" s="83"/>
      <c r="T105" s="11"/>
      <c r="U105" s="11"/>
      <c r="V105" s="11"/>
      <c r="W105" s="32"/>
      <c r="X105" s="6" t="s">
        <v>49</v>
      </c>
      <c r="Y105" s="124"/>
      <c r="Z105" s="56" t="s">
        <v>193</v>
      </c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</row>
    <row r="106" spans="2:38" ht="16.5" customHeight="1" x14ac:dyDescent="0.25">
      <c r="B106" s="80" t="s">
        <v>127</v>
      </c>
      <c r="C106" s="11"/>
      <c r="D106" s="34" t="s">
        <v>213</v>
      </c>
      <c r="E106" s="11"/>
      <c r="F106" s="11"/>
      <c r="G106" s="11"/>
      <c r="H106" s="11"/>
      <c r="I106" s="11"/>
      <c r="J106" s="11"/>
      <c r="K106" s="11"/>
      <c r="L106" s="167">
        <f>IF(OR(L83="", L65=""),"",(L65-1)/(L65*L83/100))</f>
        <v>0.13940633297115135</v>
      </c>
      <c r="M106" s="167"/>
      <c r="N106" s="167"/>
      <c r="O106" s="167"/>
      <c r="P106" s="167"/>
      <c r="Q106" s="167"/>
      <c r="R106" s="167"/>
      <c r="S106" s="167"/>
      <c r="T106" s="11"/>
      <c r="U106" s="11"/>
      <c r="V106" s="11"/>
      <c r="W106" s="82" t="s">
        <v>97</v>
      </c>
      <c r="X106" s="66" t="s">
        <v>49</v>
      </c>
      <c r="Y106" s="125" t="s">
        <v>326</v>
      </c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</row>
    <row r="107" spans="2:38" ht="16.5" customHeight="1" x14ac:dyDescent="0.25">
      <c r="B107" s="80" t="s">
        <v>128</v>
      </c>
      <c r="C107" s="11"/>
      <c r="D107" s="34" t="s">
        <v>129</v>
      </c>
      <c r="E107" s="11"/>
      <c r="F107" s="11"/>
      <c r="G107" s="11"/>
      <c r="H107" s="11"/>
      <c r="I107" s="11"/>
      <c r="J107" s="11"/>
      <c r="K107" s="11"/>
      <c r="L107" s="167" t="str">
        <f>IF(OR(L43="", L46="", L106=""),"",L43*(L46^L106))</f>
        <v/>
      </c>
      <c r="M107" s="167"/>
      <c r="N107" s="167"/>
      <c r="O107" s="167"/>
      <c r="P107" s="167">
        <f>IF(OR(P43="", L46="", L106=""),"",P43*(L46^L106))</f>
        <v>354.64708055775276</v>
      </c>
      <c r="Q107" s="167"/>
      <c r="R107" s="167"/>
      <c r="S107" s="167"/>
      <c r="T107" s="11"/>
      <c r="U107" s="11"/>
      <c r="V107" s="11"/>
      <c r="W107" s="12" t="s">
        <v>43</v>
      </c>
      <c r="X107" s="66" t="s">
        <v>49</v>
      </c>
      <c r="Y107" s="125" t="s">
        <v>324</v>
      </c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</row>
    <row r="108" spans="2:38" ht="16.5" customHeight="1" x14ac:dyDescent="0.25">
      <c r="B108" s="8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32"/>
      <c r="X108" s="29"/>
      <c r="Y108" s="10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</row>
    <row r="109" spans="2:38" ht="16.5" customHeight="1" x14ac:dyDescent="0.25">
      <c r="B109" s="80" t="s">
        <v>26</v>
      </c>
      <c r="C109" s="11"/>
      <c r="D109" s="79" t="s">
        <v>134</v>
      </c>
      <c r="E109" s="11"/>
      <c r="F109" s="11"/>
      <c r="G109" s="11"/>
      <c r="H109" s="11"/>
      <c r="I109" s="11"/>
      <c r="J109" s="11"/>
      <c r="K109" s="11"/>
      <c r="L109" s="83"/>
      <c r="M109" s="83"/>
      <c r="N109" s="83"/>
      <c r="O109" s="83"/>
      <c r="P109" s="83"/>
      <c r="Q109" s="83"/>
      <c r="R109" s="83"/>
      <c r="S109" s="83"/>
      <c r="T109" s="11"/>
      <c r="U109" s="11"/>
      <c r="V109" s="11"/>
      <c r="W109" s="32"/>
      <c r="X109" s="29"/>
      <c r="Y109" s="10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</row>
    <row r="110" spans="2:38" ht="16.5" customHeight="1" x14ac:dyDescent="0.25">
      <c r="B110" s="80" t="s">
        <v>132</v>
      </c>
      <c r="C110" s="11"/>
      <c r="D110" s="34" t="s">
        <v>214</v>
      </c>
      <c r="E110" s="11"/>
      <c r="F110" s="11"/>
      <c r="G110" s="11"/>
      <c r="H110" s="11"/>
      <c r="I110" s="11"/>
      <c r="J110" s="11"/>
      <c r="K110" s="11"/>
      <c r="L110" s="167" t="str">
        <f>IF(OR(L83="", L49="", L55="", L78="", L81=""),"",(L78*L49/(L55*778.169262268))*((100/L83)+L81))</f>
        <v/>
      </c>
      <c r="M110" s="167"/>
      <c r="N110" s="167"/>
      <c r="O110" s="167"/>
      <c r="P110" s="167"/>
      <c r="Q110" s="167"/>
      <c r="R110" s="167"/>
      <c r="S110" s="167"/>
      <c r="T110" s="11"/>
      <c r="U110" s="11"/>
      <c r="V110" s="11"/>
      <c r="W110" s="82" t="s">
        <v>97</v>
      </c>
      <c r="X110" s="66" t="s">
        <v>49</v>
      </c>
      <c r="Y110" s="125" t="s">
        <v>327</v>
      </c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</row>
    <row r="111" spans="2:38" ht="16.5" customHeight="1" x14ac:dyDescent="0.25">
      <c r="B111" s="80" t="s">
        <v>133</v>
      </c>
      <c r="C111" s="11"/>
      <c r="D111" s="34" t="s">
        <v>131</v>
      </c>
      <c r="E111" s="11"/>
      <c r="F111" s="11"/>
      <c r="G111" s="11"/>
      <c r="H111" s="11"/>
      <c r="I111" s="11"/>
      <c r="J111" s="11"/>
      <c r="K111" s="11"/>
      <c r="L111" s="167" t="str">
        <f>IF(OR(L43="", L46="", L110=""),"",L43*(L46^L110))</f>
        <v/>
      </c>
      <c r="M111" s="167"/>
      <c r="N111" s="167"/>
      <c r="O111" s="167"/>
      <c r="P111" s="167" t="str">
        <f>IF(OR(P43="", L46="", L110=""),"",P43*(L46^L110))</f>
        <v/>
      </c>
      <c r="Q111" s="167"/>
      <c r="R111" s="167"/>
      <c r="S111" s="167"/>
      <c r="T111" s="11"/>
      <c r="U111" s="11"/>
      <c r="V111" s="11"/>
      <c r="W111" s="12" t="s">
        <v>43</v>
      </c>
      <c r="X111" s="66" t="s">
        <v>49</v>
      </c>
      <c r="Y111" s="125" t="s">
        <v>324</v>
      </c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</row>
    <row r="112" spans="2:38" ht="16.5" customHeight="1" x14ac:dyDescent="0.25">
      <c r="B112" s="80"/>
      <c r="C112" s="11"/>
      <c r="D112" s="34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2"/>
      <c r="X112" s="6"/>
      <c r="Y112" s="10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</row>
    <row r="113" spans="2:38" ht="16.5" customHeight="1" x14ac:dyDescent="0.25">
      <c r="B113" s="70">
        <v>2.4</v>
      </c>
      <c r="C113" s="71"/>
      <c r="D113" s="72" t="s">
        <v>207</v>
      </c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2"/>
      <c r="X113" s="6" t="s">
        <v>49</v>
      </c>
      <c r="Y113" s="124"/>
      <c r="Z113" s="56" t="s">
        <v>193</v>
      </c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</row>
    <row r="114" spans="2:38" ht="16.5" customHeight="1" x14ac:dyDescent="0.25">
      <c r="B114" s="80"/>
      <c r="C114" s="11"/>
      <c r="D114" s="87"/>
      <c r="E114" s="79" t="s">
        <v>208</v>
      </c>
      <c r="F114" s="11"/>
      <c r="G114" s="11"/>
      <c r="H114" s="11"/>
      <c r="I114" s="11"/>
      <c r="J114" s="11"/>
      <c r="K114" s="11"/>
      <c r="L114" s="179" t="str">
        <f>IF(BGC!G4="","",BGC!G4)</f>
        <v/>
      </c>
      <c r="M114" s="179"/>
      <c r="N114" s="179"/>
      <c r="O114" s="179"/>
      <c r="P114" s="179">
        <f>IF(BGC!K4="","",BGC!K4)</f>
        <v>354.64708055775299</v>
      </c>
      <c r="Q114" s="179"/>
      <c r="R114" s="179"/>
      <c r="S114" s="179"/>
      <c r="T114" s="11"/>
      <c r="U114" s="11"/>
      <c r="V114" s="11"/>
      <c r="W114" s="12"/>
      <c r="X114" s="66" t="s">
        <v>49</v>
      </c>
      <c r="Y114" s="125" t="s">
        <v>328</v>
      </c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</row>
    <row r="115" spans="2:38" ht="16.5" customHeight="1" x14ac:dyDescent="0.25">
      <c r="B115" s="80"/>
      <c r="C115" s="11"/>
      <c r="D115" s="87"/>
      <c r="E115" s="79" t="s">
        <v>209</v>
      </c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2"/>
      <c r="X115" s="66" t="s">
        <v>49</v>
      </c>
      <c r="Y115" s="125" t="s">
        <v>329</v>
      </c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</row>
    <row r="116" spans="2:38" ht="16.5" customHeight="1" x14ac:dyDescent="0.25">
      <c r="B116" s="8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2"/>
      <c r="X116" s="66" t="s">
        <v>49</v>
      </c>
      <c r="Y116" s="125" t="s">
        <v>330</v>
      </c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</row>
    <row r="117" spans="2:38" ht="16.5" customHeight="1" x14ac:dyDescent="0.25">
      <c r="B117" s="70">
        <v>2.5</v>
      </c>
      <c r="C117" s="71"/>
      <c r="D117" s="72" t="s">
        <v>151</v>
      </c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2"/>
      <c r="X117" s="66" t="s">
        <v>49</v>
      </c>
      <c r="Y117" s="125" t="s">
        <v>331</v>
      </c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</row>
    <row r="118" spans="2:38" ht="16.5" customHeight="1" x14ac:dyDescent="0.25">
      <c r="B118" s="86" t="s">
        <v>27</v>
      </c>
      <c r="C118" s="11"/>
      <c r="D118" s="34" t="s">
        <v>215</v>
      </c>
      <c r="E118" s="11"/>
      <c r="F118" s="11"/>
      <c r="G118" s="11"/>
      <c r="H118" s="11"/>
      <c r="I118" s="11"/>
      <c r="J118" s="11"/>
      <c r="K118" s="11"/>
      <c r="L118" s="167">
        <f>IF(BGC!G9="","",BGC!G9)</f>
        <v>1.1619885647688299</v>
      </c>
      <c r="M118" s="167"/>
      <c r="N118" s="167"/>
      <c r="O118" s="167"/>
      <c r="P118" s="167"/>
      <c r="Q118" s="167"/>
      <c r="R118" s="167"/>
      <c r="S118" s="167"/>
      <c r="T118" s="11"/>
      <c r="U118" s="11"/>
      <c r="V118" s="11"/>
      <c r="W118" s="12" t="s">
        <v>97</v>
      </c>
      <c r="X118" s="66"/>
      <c r="Y118" s="125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</row>
    <row r="119" spans="2:38" ht="16.5" customHeight="1" x14ac:dyDescent="0.25">
      <c r="B119" s="86" t="s">
        <v>28</v>
      </c>
      <c r="C119" s="11"/>
      <c r="D119" s="34" t="s">
        <v>216</v>
      </c>
      <c r="E119" s="11"/>
      <c r="F119" s="11"/>
      <c r="G119" s="11"/>
      <c r="H119" s="11"/>
      <c r="I119" s="11"/>
      <c r="J119" s="11"/>
      <c r="K119" s="11"/>
      <c r="L119" s="155" t="str">
        <f>IF(OR(L43="", L46="", L49="", L78=""),"",L78*L49*L43*L118*((L46^((L118-1)/L118))-1)/(L118-1))</f>
        <v/>
      </c>
      <c r="M119" s="155"/>
      <c r="N119" s="155"/>
      <c r="O119" s="155"/>
      <c r="P119" s="167">
        <f>IF(OR(P43="", L46="", P49="", L78=""),"",L78*P49*P43*L118*((L46^((L118-1)/L118))-1)/(L118-1))</f>
        <v>99.400470022780155</v>
      </c>
      <c r="Q119" s="167"/>
      <c r="R119" s="167"/>
      <c r="S119" s="167"/>
      <c r="T119" s="11"/>
      <c r="U119" s="11"/>
      <c r="V119" s="11"/>
      <c r="W119" s="12" t="s">
        <v>143</v>
      </c>
      <c r="X119" s="66"/>
      <c r="Y119" s="125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</row>
    <row r="120" spans="2:38" ht="16.5" customHeight="1" x14ac:dyDescent="0.25">
      <c r="B120" s="86" t="s">
        <v>29</v>
      </c>
      <c r="C120" s="11"/>
      <c r="D120" s="34" t="s">
        <v>217</v>
      </c>
      <c r="E120" s="11"/>
      <c r="F120" s="11"/>
      <c r="G120" s="11"/>
      <c r="H120" s="11"/>
      <c r="I120" s="11"/>
      <c r="J120" s="11"/>
      <c r="K120" s="11"/>
      <c r="L120" s="155" t="str">
        <f>IF(L119="","",L119)</f>
        <v/>
      </c>
      <c r="M120" s="155"/>
      <c r="N120" s="155"/>
      <c r="O120" s="155"/>
      <c r="P120" s="155">
        <f>IF(P119="","",P119*1000/9.81)</f>
        <v>10132.565751557609</v>
      </c>
      <c r="Q120" s="155"/>
      <c r="R120" s="155"/>
      <c r="S120" s="155"/>
      <c r="T120" s="11"/>
      <c r="U120" s="11"/>
      <c r="V120" s="11"/>
      <c r="W120" s="12" t="s">
        <v>145</v>
      </c>
      <c r="X120" s="6" t="s">
        <v>49</v>
      </c>
      <c r="Y120" s="124"/>
      <c r="Z120" s="56" t="s">
        <v>193</v>
      </c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</row>
    <row r="121" spans="2:38" ht="16.5" customHeight="1" x14ac:dyDescent="0.25">
      <c r="B121" s="8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2"/>
      <c r="X121" s="29"/>
      <c r="Y121" s="100"/>
      <c r="Z121" s="100"/>
      <c r="AA121" s="100"/>
      <c r="AB121" s="100"/>
      <c r="AC121" s="100"/>
      <c r="AD121" s="100"/>
      <c r="AE121" s="100"/>
      <c r="AF121" s="100"/>
      <c r="AG121" s="100"/>
      <c r="AH121" s="100"/>
      <c r="AI121" s="100"/>
      <c r="AJ121" s="100"/>
      <c r="AK121" s="100"/>
      <c r="AL121" s="100"/>
    </row>
    <row r="122" spans="2:38" ht="16.5" customHeight="1" x14ac:dyDescent="0.25">
      <c r="B122" s="70">
        <v>2.6</v>
      </c>
      <c r="C122" s="71"/>
      <c r="D122" s="72" t="s">
        <v>150</v>
      </c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2"/>
      <c r="X122" s="6" t="s">
        <v>49</v>
      </c>
      <c r="Y122" s="124"/>
      <c r="Z122" s="56" t="s">
        <v>193</v>
      </c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</row>
    <row r="123" spans="2:38" ht="16.5" customHeight="1" x14ac:dyDescent="0.25">
      <c r="B123" s="101" t="s">
        <v>156</v>
      </c>
      <c r="C123" s="71"/>
      <c r="D123" s="102" t="s">
        <v>240</v>
      </c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2"/>
      <c r="X123" s="6"/>
      <c r="Y123" s="10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</row>
    <row r="124" spans="2:38" ht="16.5" customHeight="1" x14ac:dyDescent="0.25">
      <c r="B124" s="102" t="s">
        <v>241</v>
      </c>
      <c r="C124" s="11"/>
      <c r="D124" s="105" t="s">
        <v>146</v>
      </c>
      <c r="E124" s="11"/>
      <c r="F124" s="11"/>
      <c r="G124" s="11"/>
      <c r="H124" s="11"/>
      <c r="I124" s="11"/>
      <c r="J124" s="11"/>
      <c r="K124" s="11"/>
      <c r="L124" s="138"/>
      <c r="M124" s="138"/>
      <c r="N124" s="138"/>
      <c r="O124" s="138"/>
      <c r="P124" s="138">
        <v>380</v>
      </c>
      <c r="Q124" s="138"/>
      <c r="R124" s="138"/>
      <c r="S124" s="138"/>
      <c r="T124" s="11"/>
      <c r="U124" s="11"/>
      <c r="V124" s="11"/>
      <c r="W124" s="12" t="s">
        <v>43</v>
      </c>
      <c r="X124" s="6" t="s">
        <v>49</v>
      </c>
      <c r="Y124" s="124"/>
      <c r="Z124" s="65" t="s">
        <v>248</v>
      </c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</row>
    <row r="125" spans="2:38" ht="16.5" customHeight="1" x14ac:dyDescent="0.25">
      <c r="B125" s="102" t="s">
        <v>242</v>
      </c>
      <c r="C125" s="11"/>
      <c r="D125" s="34" t="s">
        <v>239</v>
      </c>
      <c r="E125" s="11"/>
      <c r="F125" s="11"/>
      <c r="G125" s="11"/>
      <c r="H125" s="11"/>
      <c r="I125" s="11"/>
      <c r="J125" s="11"/>
      <c r="K125" s="11"/>
      <c r="L125" s="166">
        <f>IF(OR(L114="", L124=""),IF(OR(P114="", P124=""),"",ROUNDUP(P114/P124,0)),ROUNDUP(L114/L124,0))</f>
        <v>1</v>
      </c>
      <c r="M125" s="166"/>
      <c r="N125" s="166"/>
      <c r="O125" s="166"/>
      <c r="P125" s="166"/>
      <c r="Q125" s="166"/>
      <c r="R125" s="166"/>
      <c r="S125" s="166"/>
      <c r="T125" s="11"/>
      <c r="U125" s="11"/>
      <c r="V125" s="11"/>
      <c r="W125" s="12" t="s">
        <v>97</v>
      </c>
      <c r="X125" s="6"/>
      <c r="Y125" s="10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</row>
    <row r="126" spans="2:38" ht="16.5" customHeight="1" thickBot="1" x14ac:dyDescent="0.25">
      <c r="B126" s="11"/>
      <c r="C126" s="11"/>
      <c r="D126" s="103"/>
      <c r="E126" s="112" t="s">
        <v>238</v>
      </c>
      <c r="F126" s="103"/>
      <c r="G126" s="103"/>
      <c r="H126" s="103"/>
      <c r="I126" s="103"/>
      <c r="J126" s="103"/>
      <c r="K126" s="103"/>
      <c r="L126" s="104"/>
      <c r="M126" s="104"/>
      <c r="N126" s="104"/>
      <c r="O126" s="104"/>
      <c r="P126" s="104"/>
      <c r="Q126" s="104"/>
      <c r="R126" s="104"/>
      <c r="S126" s="104"/>
      <c r="T126" s="103"/>
      <c r="U126" s="103"/>
      <c r="V126" s="103"/>
      <c r="W126" s="12"/>
      <c r="X126" s="29"/>
      <c r="Y126" s="10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</row>
    <row r="127" spans="2:38" ht="16.5" customHeight="1" thickTop="1" x14ac:dyDescent="0.25">
      <c r="B127" s="11"/>
      <c r="C127" s="11"/>
      <c r="D127" s="156" t="str">
        <f>IF(L125="","",IF(L125=1,"Outlet temperature is in ACCEPTABLE range.","Inter-stage cooling May be required due to high outlet temperature."))</f>
        <v>Outlet temperature is in ACCEPTABLE range.</v>
      </c>
      <c r="E127" s="157"/>
      <c r="F127" s="157"/>
      <c r="G127" s="157"/>
      <c r="H127" s="157"/>
      <c r="I127" s="157"/>
      <c r="J127" s="157"/>
      <c r="K127" s="157"/>
      <c r="L127" s="157"/>
      <c r="M127" s="158"/>
      <c r="N127" s="158"/>
      <c r="O127" s="158"/>
      <c r="P127" s="158"/>
      <c r="Q127" s="158"/>
      <c r="R127" s="158"/>
      <c r="S127" s="158"/>
      <c r="T127" s="158"/>
      <c r="U127" s="159"/>
      <c r="V127" s="103"/>
      <c r="W127" s="12"/>
      <c r="X127" s="29"/>
      <c r="Y127" s="10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</row>
    <row r="128" spans="2:38" ht="16.5" customHeight="1" thickBot="1" x14ac:dyDescent="0.3">
      <c r="B128" s="11"/>
      <c r="C128" s="11"/>
      <c r="D128" s="160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2"/>
      <c r="V128" s="106"/>
      <c r="W128" s="12"/>
      <c r="X128" s="29"/>
      <c r="Y128" s="10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</row>
    <row r="129" spans="2:38" ht="16.5" customHeight="1" thickTop="1" x14ac:dyDescent="0.25">
      <c r="B129" s="11"/>
      <c r="C129" s="11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7"/>
      <c r="Q129" s="107"/>
      <c r="R129" s="107"/>
      <c r="S129" s="107"/>
      <c r="T129" s="107"/>
      <c r="U129" s="107"/>
      <c r="V129" s="11"/>
      <c r="W129" s="12"/>
      <c r="X129" s="29"/>
      <c r="Y129" s="10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</row>
    <row r="130" spans="2:38" ht="16.5" customHeight="1" x14ac:dyDescent="0.25">
      <c r="B130" s="102" t="s">
        <v>158</v>
      </c>
      <c r="C130" s="11"/>
      <c r="D130" s="105" t="s">
        <v>142</v>
      </c>
      <c r="E130" s="11"/>
      <c r="F130" s="11"/>
      <c r="G130" s="11"/>
      <c r="H130" s="11"/>
      <c r="I130" s="11"/>
      <c r="J130" s="11"/>
      <c r="K130" s="11"/>
      <c r="L130" s="108"/>
      <c r="M130" s="108"/>
      <c r="N130" s="108"/>
      <c r="O130" s="108"/>
      <c r="P130" s="108"/>
      <c r="Q130" s="108"/>
      <c r="R130" s="108"/>
      <c r="S130" s="108"/>
      <c r="T130" s="11"/>
      <c r="U130" s="11"/>
      <c r="V130" s="11"/>
      <c r="W130" s="12"/>
      <c r="X130" s="29"/>
      <c r="Y130" s="10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</row>
    <row r="131" spans="2:38" ht="16.5" customHeight="1" x14ac:dyDescent="0.25">
      <c r="B131" s="102" t="s">
        <v>243</v>
      </c>
      <c r="C131" s="11"/>
      <c r="D131" s="105" t="s">
        <v>147</v>
      </c>
      <c r="E131" s="11"/>
      <c r="F131" s="11"/>
      <c r="G131" s="11"/>
      <c r="H131" s="11"/>
      <c r="I131" s="11"/>
      <c r="J131" s="11"/>
      <c r="K131" s="11"/>
      <c r="L131" s="163"/>
      <c r="M131" s="163"/>
      <c r="N131" s="163"/>
      <c r="O131" s="163"/>
      <c r="P131" s="163">
        <v>40000</v>
      </c>
      <c r="Q131" s="163"/>
      <c r="R131" s="163"/>
      <c r="S131" s="163"/>
      <c r="T131" s="11"/>
      <c r="U131" s="11"/>
      <c r="V131" s="11"/>
      <c r="W131" s="12" t="s">
        <v>145</v>
      </c>
      <c r="X131" s="6" t="s">
        <v>49</v>
      </c>
      <c r="Y131" s="124"/>
      <c r="Z131" s="65" t="s">
        <v>249</v>
      </c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</row>
    <row r="132" spans="2:38" ht="16.5" customHeight="1" x14ac:dyDescent="0.25">
      <c r="B132" s="102" t="s">
        <v>244</v>
      </c>
      <c r="C132" s="11"/>
      <c r="D132" s="105" t="s">
        <v>148</v>
      </c>
      <c r="E132" s="11"/>
      <c r="F132" s="11"/>
      <c r="G132" s="11"/>
      <c r="H132" s="11"/>
      <c r="I132" s="11"/>
      <c r="J132" s="11"/>
      <c r="K132" s="11"/>
      <c r="L132" s="171"/>
      <c r="M132" s="171"/>
      <c r="N132" s="171"/>
      <c r="O132" s="171"/>
      <c r="P132" s="171"/>
      <c r="Q132" s="171"/>
      <c r="R132" s="171"/>
      <c r="S132" s="171"/>
      <c r="T132" s="11"/>
      <c r="U132" s="11"/>
      <c r="V132" s="11"/>
      <c r="W132" s="12" t="s">
        <v>97</v>
      </c>
      <c r="X132" s="29"/>
      <c r="Y132" s="10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</row>
    <row r="133" spans="2:38" ht="16.5" customHeight="1" x14ac:dyDescent="0.25">
      <c r="B133" s="102" t="s">
        <v>245</v>
      </c>
      <c r="C133" s="11"/>
      <c r="D133" s="34" t="s">
        <v>246</v>
      </c>
      <c r="E133" s="11"/>
      <c r="F133" s="11"/>
      <c r="G133" s="11"/>
      <c r="H133" s="11"/>
      <c r="I133" s="11"/>
      <c r="J133" s="11"/>
      <c r="K133" s="11"/>
      <c r="L133" s="166">
        <f>IF(OR(L120="", L131=""),IF(OR(P120="",P131=""),IF(OR(L46="", L132=""),"",IF(L132&lt;=1, "Impractical Limitation!", ROUNDUP(LOG(L46)/LOG(L132),0))),ROUNDUP(P120/P131,0)),ROUNDUP(L120/L131,0))</f>
        <v>1</v>
      </c>
      <c r="M133" s="166"/>
      <c r="N133" s="166"/>
      <c r="O133" s="166"/>
      <c r="P133" s="166"/>
      <c r="Q133" s="166"/>
      <c r="R133" s="166"/>
      <c r="S133" s="166"/>
      <c r="T133" s="11"/>
      <c r="U133" s="11"/>
      <c r="V133" s="11"/>
      <c r="W133" s="12" t="s">
        <v>97</v>
      </c>
      <c r="X133" s="29"/>
      <c r="Y133" s="10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</row>
    <row r="134" spans="2:38" ht="16.5" customHeight="1" thickBot="1" x14ac:dyDescent="0.25">
      <c r="B134" s="11"/>
      <c r="C134" s="11"/>
      <c r="D134" s="11"/>
      <c r="E134" s="112" t="s">
        <v>238</v>
      </c>
      <c r="F134" s="38"/>
      <c r="G134" s="38"/>
      <c r="H134" s="38"/>
      <c r="I134" s="38"/>
      <c r="J134" s="38"/>
      <c r="K134" s="38"/>
      <c r="L134" s="38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2"/>
      <c r="X134" s="29"/>
      <c r="Y134" s="10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</row>
    <row r="135" spans="2:38" ht="16.5" customHeight="1" thickTop="1" x14ac:dyDescent="0.25">
      <c r="B135" s="11"/>
      <c r="C135" s="11"/>
      <c r="D135" s="156" t="str">
        <f>IF(L133="","",IF(OR(L133=1, L133="Impractical Limitation!"),"Pressure ratio is in ACCEPTABLE range.","Multi section compressor (process stage) may be required due to high discharge pressure pressure."))</f>
        <v>Pressure ratio is in ACCEPTABLE range.</v>
      </c>
      <c r="E135" s="157"/>
      <c r="F135" s="157"/>
      <c r="G135" s="157"/>
      <c r="H135" s="157"/>
      <c r="I135" s="157"/>
      <c r="J135" s="157"/>
      <c r="K135" s="157"/>
      <c r="L135" s="157"/>
      <c r="M135" s="158"/>
      <c r="N135" s="158"/>
      <c r="O135" s="158"/>
      <c r="P135" s="158"/>
      <c r="Q135" s="158"/>
      <c r="R135" s="158"/>
      <c r="S135" s="158"/>
      <c r="T135" s="158"/>
      <c r="U135" s="159"/>
      <c r="V135" s="11"/>
      <c r="W135" s="12"/>
      <c r="X135" s="29"/>
      <c r="Y135" s="10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</row>
    <row r="136" spans="2:38" ht="16.5" customHeight="1" thickBot="1" x14ac:dyDescent="0.3">
      <c r="B136" s="11"/>
      <c r="C136" s="11"/>
      <c r="D136" s="160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2"/>
      <c r="V136" s="11"/>
      <c r="W136" s="12"/>
      <c r="X136" s="29"/>
      <c r="Y136" s="10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</row>
    <row r="137" spans="2:38" ht="16.5" customHeight="1" thickTop="1" x14ac:dyDescent="0.25">
      <c r="B137" s="11"/>
      <c r="C137" s="11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1"/>
      <c r="W137" s="12"/>
      <c r="X137" s="29"/>
      <c r="Y137" s="10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</row>
    <row r="138" spans="2:38" ht="16.5" customHeight="1" x14ac:dyDescent="0.25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2"/>
      <c r="X138" s="29"/>
      <c r="Y138" s="10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</row>
    <row r="139" spans="2:38" ht="16.5" customHeight="1" x14ac:dyDescent="0.25">
      <c r="B139" s="110" t="s">
        <v>159</v>
      </c>
      <c r="C139" s="11"/>
      <c r="D139" s="34" t="s">
        <v>250</v>
      </c>
      <c r="E139" s="11"/>
      <c r="F139" s="11"/>
      <c r="G139" s="11"/>
      <c r="H139" s="11"/>
      <c r="I139" s="11"/>
      <c r="J139" s="11"/>
      <c r="K139" s="11"/>
      <c r="L139" s="166">
        <f>IF(AND(L125="", L133=""),"",IF(MAX(L125,L133)=0,"",MAX(L125,L133)))</f>
        <v>1</v>
      </c>
      <c r="M139" s="166"/>
      <c r="N139" s="166"/>
      <c r="O139" s="166"/>
      <c r="P139" s="166"/>
      <c r="Q139" s="166"/>
      <c r="R139" s="166"/>
      <c r="S139" s="166"/>
      <c r="T139" s="11"/>
      <c r="U139" s="11"/>
      <c r="V139" s="11"/>
      <c r="W139" s="12" t="s">
        <v>97</v>
      </c>
      <c r="X139" s="6"/>
      <c r="Y139" s="10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</row>
    <row r="140" spans="2:38" ht="16.5" customHeight="1" x14ac:dyDescent="0.25">
      <c r="B140" s="110" t="s">
        <v>160</v>
      </c>
      <c r="C140" s="11"/>
      <c r="D140" s="34" t="s">
        <v>155</v>
      </c>
      <c r="E140" s="11"/>
      <c r="F140" s="11"/>
      <c r="G140" s="11"/>
      <c r="H140" s="11"/>
      <c r="I140" s="11"/>
      <c r="J140" s="11"/>
      <c r="K140" s="11"/>
      <c r="L140" s="167">
        <f>IF(L139="","",L46^(1/L139))</f>
        <v>7.5601374570446733</v>
      </c>
      <c r="M140" s="167"/>
      <c r="N140" s="167"/>
      <c r="O140" s="167"/>
      <c r="P140" s="167"/>
      <c r="Q140" s="167"/>
      <c r="R140" s="167"/>
      <c r="S140" s="167"/>
      <c r="T140" s="11"/>
      <c r="U140" s="11"/>
      <c r="V140" s="11"/>
      <c r="W140" s="12" t="s">
        <v>97</v>
      </c>
      <c r="X140" s="66" t="s">
        <v>49</v>
      </c>
      <c r="Y140" s="125" t="s">
        <v>332</v>
      </c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</row>
    <row r="141" spans="2:38" ht="16.5" customHeight="1" thickBot="1" x14ac:dyDescent="0.25">
      <c r="B141" s="11"/>
      <c r="C141" s="11"/>
      <c r="D141" s="11"/>
      <c r="E141" s="112" t="s">
        <v>238</v>
      </c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2"/>
      <c r="X141" s="29"/>
      <c r="Y141" s="10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</row>
    <row r="142" spans="2:38" ht="16.5" customHeight="1" thickTop="1" x14ac:dyDescent="0.25">
      <c r="B142" s="11"/>
      <c r="C142" s="11"/>
      <c r="D142" s="156" t="str">
        <f>IF(L139="","",IF(L139=1,"A single stage compressor design is expected.", "A multi-stage compressor design might be expected. With respect to worked out stage pressure ratio (rs), calculations shall be redone for each stage separately."))</f>
        <v>A single stage compressor design is expected.</v>
      </c>
      <c r="E142" s="157"/>
      <c r="F142" s="157"/>
      <c r="G142" s="157"/>
      <c r="H142" s="157"/>
      <c r="I142" s="157"/>
      <c r="J142" s="157"/>
      <c r="K142" s="157"/>
      <c r="L142" s="157"/>
      <c r="M142" s="158"/>
      <c r="N142" s="158"/>
      <c r="O142" s="158"/>
      <c r="P142" s="158"/>
      <c r="Q142" s="158"/>
      <c r="R142" s="158"/>
      <c r="S142" s="158"/>
      <c r="T142" s="158"/>
      <c r="U142" s="159"/>
      <c r="V142" s="11"/>
      <c r="W142" s="12"/>
      <c r="X142" s="29"/>
      <c r="Y142" s="10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</row>
    <row r="143" spans="2:38" ht="16.5" customHeight="1" x14ac:dyDescent="0.25">
      <c r="B143" s="11"/>
      <c r="C143" s="11"/>
      <c r="D143" s="172"/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73"/>
      <c r="V143" s="11"/>
      <c r="W143" s="12"/>
      <c r="X143" s="29"/>
      <c r="Y143" s="10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</row>
    <row r="144" spans="2:38" ht="16.5" customHeight="1" thickBot="1" x14ac:dyDescent="0.3">
      <c r="B144" s="11"/>
      <c r="C144" s="11"/>
      <c r="D144" s="160"/>
      <c r="E144" s="161"/>
      <c r="F144" s="161"/>
      <c r="G144" s="161"/>
      <c r="H144" s="161"/>
      <c r="I144" s="161"/>
      <c r="J144" s="161"/>
      <c r="K144" s="161"/>
      <c r="L144" s="161"/>
      <c r="M144" s="161"/>
      <c r="N144" s="161"/>
      <c r="O144" s="161"/>
      <c r="P144" s="161"/>
      <c r="Q144" s="161"/>
      <c r="R144" s="161"/>
      <c r="S144" s="161"/>
      <c r="T144" s="161"/>
      <c r="U144" s="162"/>
      <c r="V144" s="11"/>
      <c r="W144" s="12"/>
      <c r="X144" s="29"/>
      <c r="Y144" s="10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</row>
    <row r="145" spans="2:38" ht="16.5" customHeight="1" thickTop="1" x14ac:dyDescent="0.25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2"/>
      <c r="X145" s="29"/>
      <c r="Y145" s="10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</row>
    <row r="146" spans="2:38" ht="16.5" customHeight="1" x14ac:dyDescent="0.25">
      <c r="B146" s="70">
        <v>2.7</v>
      </c>
      <c r="C146" s="71"/>
      <c r="D146" s="72" t="s">
        <v>149</v>
      </c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2"/>
      <c r="X146" s="6"/>
      <c r="Y146" s="10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</row>
    <row r="147" spans="2:38" ht="16.5" customHeight="1" x14ac:dyDescent="0.25">
      <c r="B147" s="114" t="s">
        <v>166</v>
      </c>
      <c r="C147" s="11"/>
      <c r="D147" s="34" t="s">
        <v>251</v>
      </c>
      <c r="E147" s="11"/>
      <c r="F147" s="11"/>
      <c r="G147" s="11"/>
      <c r="H147" s="11"/>
      <c r="I147" s="11"/>
      <c r="J147" s="11"/>
      <c r="K147" s="11"/>
      <c r="L147" s="164" t="str">
        <f>IF(OR(L38="", L83="", L119=""),"",L38*L119/(33000*L83/100))</f>
        <v/>
      </c>
      <c r="M147" s="164"/>
      <c r="N147" s="164"/>
      <c r="O147" s="164"/>
      <c r="P147" s="164">
        <f>IF(OR(P38="", L83="", P119=""),"",P38*P119/(L83/100))</f>
        <v>25360.097139395246</v>
      </c>
      <c r="Q147" s="164"/>
      <c r="R147" s="164"/>
      <c r="S147" s="164"/>
      <c r="T147" s="11"/>
      <c r="U147" s="11"/>
      <c r="V147" s="11"/>
      <c r="W147" s="12" t="s">
        <v>157</v>
      </c>
      <c r="X147" s="66" t="s">
        <v>49</v>
      </c>
      <c r="Y147" s="125" t="s">
        <v>333</v>
      </c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</row>
    <row r="148" spans="2:38" ht="16.5" customHeight="1" x14ac:dyDescent="0.25">
      <c r="B148" s="114" t="s">
        <v>167</v>
      </c>
      <c r="C148" s="11"/>
      <c r="D148" s="113" t="s">
        <v>252</v>
      </c>
      <c r="E148" s="11"/>
      <c r="F148" s="11"/>
      <c r="G148" s="11"/>
      <c r="H148" s="11"/>
      <c r="I148" s="11"/>
      <c r="J148" s="11"/>
      <c r="K148" s="11"/>
      <c r="L148" s="169"/>
      <c r="M148" s="169"/>
      <c r="N148" s="169"/>
      <c r="O148" s="169"/>
      <c r="P148" s="169">
        <v>4882</v>
      </c>
      <c r="Q148" s="169"/>
      <c r="R148" s="169"/>
      <c r="S148" s="169"/>
      <c r="T148" s="11"/>
      <c r="U148" s="11"/>
      <c r="V148" s="11"/>
      <c r="W148" s="12" t="s">
        <v>157</v>
      </c>
      <c r="X148" s="66" t="s">
        <v>49</v>
      </c>
      <c r="Y148" s="125" t="s">
        <v>334</v>
      </c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</row>
    <row r="149" spans="2:38" ht="16.5" customHeight="1" x14ac:dyDescent="0.25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71"/>
      <c r="M149" s="71"/>
      <c r="N149" s="71"/>
      <c r="O149" s="71"/>
      <c r="P149" s="71"/>
      <c r="Q149" s="71"/>
      <c r="R149" s="71"/>
      <c r="S149" s="71"/>
      <c r="T149" s="11"/>
      <c r="U149" s="11"/>
      <c r="V149" s="11"/>
      <c r="W149" s="12"/>
      <c r="X149" s="29"/>
      <c r="Y149" s="10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</row>
    <row r="150" spans="2:38" ht="16.5" customHeight="1" x14ac:dyDescent="0.25">
      <c r="B150" s="114" t="s">
        <v>255</v>
      </c>
      <c r="C150" s="11"/>
      <c r="D150" s="34" t="s">
        <v>256</v>
      </c>
      <c r="E150" s="11"/>
      <c r="F150" s="11"/>
      <c r="G150" s="11"/>
      <c r="H150" s="11"/>
      <c r="I150" s="11"/>
      <c r="J150" s="11"/>
      <c r="K150" s="11"/>
      <c r="L150" s="170"/>
      <c r="M150" s="170"/>
      <c r="N150" s="170"/>
      <c r="O150" s="170"/>
      <c r="P150" s="170">
        <v>110</v>
      </c>
      <c r="Q150" s="170"/>
      <c r="R150" s="170"/>
      <c r="S150" s="170"/>
      <c r="T150" s="11"/>
      <c r="U150" s="11"/>
      <c r="V150" s="11"/>
      <c r="W150" s="12" t="s">
        <v>157</v>
      </c>
      <c r="X150" s="6" t="s">
        <v>49</v>
      </c>
      <c r="Y150" s="124"/>
      <c r="Z150" s="65" t="s">
        <v>253</v>
      </c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</row>
    <row r="151" spans="2:38" ht="16.5" customHeight="1" x14ac:dyDescent="0.25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71"/>
      <c r="M151" s="71"/>
      <c r="N151" s="71"/>
      <c r="O151" s="71"/>
      <c r="P151" s="71"/>
      <c r="Q151" s="71"/>
      <c r="R151" s="71"/>
      <c r="S151" s="71"/>
      <c r="T151" s="11"/>
      <c r="U151" s="11"/>
      <c r="V151" s="11"/>
      <c r="W151" s="12"/>
      <c r="X151" s="29"/>
      <c r="Y151" s="10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</row>
    <row r="152" spans="2:38" ht="16.5" customHeight="1" x14ac:dyDescent="0.25">
      <c r="B152" s="114" t="s">
        <v>259</v>
      </c>
      <c r="C152" s="11"/>
      <c r="D152" s="115" t="s">
        <v>162</v>
      </c>
      <c r="E152" s="11"/>
      <c r="F152" s="11"/>
      <c r="G152" s="11"/>
      <c r="H152" s="11"/>
      <c r="I152" s="11"/>
      <c r="J152" s="11"/>
      <c r="K152" s="11"/>
      <c r="L152" s="71"/>
      <c r="M152" s="71"/>
      <c r="N152" s="71"/>
      <c r="O152" s="71"/>
      <c r="P152" s="71"/>
      <c r="Q152" s="71"/>
      <c r="R152" s="71"/>
      <c r="S152" s="71"/>
      <c r="T152" s="11"/>
      <c r="U152" s="11"/>
      <c r="V152" s="11"/>
      <c r="W152" s="12"/>
      <c r="X152" s="6" t="s">
        <v>49</v>
      </c>
      <c r="Y152" s="124"/>
      <c r="Z152" s="56" t="s">
        <v>193</v>
      </c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</row>
    <row r="153" spans="2:38" ht="16.5" customHeight="1" x14ac:dyDescent="0.25">
      <c r="B153" s="114" t="s">
        <v>260</v>
      </c>
      <c r="C153" s="11"/>
      <c r="D153" s="34" t="s">
        <v>164</v>
      </c>
      <c r="E153" s="11"/>
      <c r="F153" s="11"/>
      <c r="G153" s="11"/>
      <c r="H153" s="11"/>
      <c r="I153" s="11"/>
      <c r="J153" s="11"/>
      <c r="K153" s="11"/>
      <c r="L153" s="164">
        <f>IF(L93="",IF(P93="","",P93*0.588577778691477),L93)</f>
        <v>68823.830217923678</v>
      </c>
      <c r="M153" s="164"/>
      <c r="N153" s="164"/>
      <c r="O153" s="164"/>
      <c r="P153" s="164"/>
      <c r="Q153" s="164"/>
      <c r="R153" s="164"/>
      <c r="S153" s="164"/>
      <c r="T153" s="11"/>
      <c r="U153" s="11"/>
      <c r="V153" s="11"/>
      <c r="W153" s="12" t="s">
        <v>254</v>
      </c>
      <c r="X153" s="6" t="s">
        <v>49</v>
      </c>
      <c r="Y153" s="124"/>
      <c r="Z153" s="65" t="s">
        <v>257</v>
      </c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</row>
    <row r="154" spans="2:38" ht="16.5" customHeight="1" x14ac:dyDescent="0.25">
      <c r="B154" s="114" t="s">
        <v>261</v>
      </c>
      <c r="C154" s="11"/>
      <c r="D154" s="34" t="s">
        <v>161</v>
      </c>
      <c r="E154" s="11"/>
      <c r="F154" s="11"/>
      <c r="G154" s="11"/>
      <c r="H154" s="11"/>
      <c r="I154" s="11"/>
      <c r="J154" s="11"/>
      <c r="K154" s="11"/>
      <c r="L154" s="168"/>
      <c r="M154" s="168"/>
      <c r="N154" s="168"/>
      <c r="O154" s="168"/>
      <c r="P154" s="168"/>
      <c r="Q154" s="168"/>
      <c r="R154" s="168"/>
      <c r="S154" s="168"/>
      <c r="T154" s="11"/>
      <c r="U154" s="11"/>
      <c r="V154" s="11"/>
      <c r="W154" s="12" t="s">
        <v>116</v>
      </c>
      <c r="X154" s="6" t="s">
        <v>49</v>
      </c>
      <c r="Y154" s="124"/>
      <c r="Z154" s="65" t="s">
        <v>258</v>
      </c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</row>
    <row r="155" spans="2:38" ht="16.5" customHeight="1" x14ac:dyDescent="0.25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71"/>
      <c r="M155" s="71"/>
      <c r="N155" s="71"/>
      <c r="O155" s="71"/>
      <c r="P155" s="71"/>
      <c r="Q155" s="71"/>
      <c r="R155" s="71"/>
      <c r="S155" s="71"/>
      <c r="T155" s="11"/>
      <c r="U155" s="11"/>
      <c r="V155" s="11"/>
      <c r="W155" s="12"/>
      <c r="X155" s="29"/>
      <c r="Y155" s="10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</row>
    <row r="156" spans="2:38" ht="16.5" customHeight="1" x14ac:dyDescent="0.25">
      <c r="B156" s="114" t="s">
        <v>266</v>
      </c>
      <c r="C156" s="11"/>
      <c r="D156" s="34" t="s">
        <v>262</v>
      </c>
      <c r="E156" s="11"/>
      <c r="F156" s="11"/>
      <c r="G156" s="11"/>
      <c r="H156" s="11"/>
      <c r="I156" s="11"/>
      <c r="J156" s="11"/>
      <c r="K156" s="11"/>
      <c r="L156" s="164" t="str">
        <f>IF(AND(L147="", L148="", L150=""),"",SUM(L147:L148,L150))</f>
        <v/>
      </c>
      <c r="M156" s="164"/>
      <c r="N156" s="164"/>
      <c r="O156" s="164"/>
      <c r="P156" s="164">
        <f>IF(AND(P147="", P148="", P150=""),"",SUM(P147,P148,P150))</f>
        <v>30352.097139395246</v>
      </c>
      <c r="Q156" s="164"/>
      <c r="R156" s="164"/>
      <c r="S156" s="164"/>
      <c r="T156" s="11"/>
      <c r="U156" s="11"/>
      <c r="V156" s="11"/>
      <c r="W156" s="12" t="s">
        <v>157</v>
      </c>
      <c r="X156" s="66" t="s">
        <v>49</v>
      </c>
      <c r="Y156" s="125" t="s">
        <v>335</v>
      </c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</row>
    <row r="157" spans="2:38" ht="16.5" customHeight="1" x14ac:dyDescent="0.25">
      <c r="B157" s="114" t="s">
        <v>267</v>
      </c>
      <c r="C157" s="11"/>
      <c r="D157" s="34" t="s">
        <v>263</v>
      </c>
      <c r="E157" s="11"/>
      <c r="F157" s="11"/>
      <c r="G157" s="11"/>
      <c r="H157" s="11"/>
      <c r="I157" s="11"/>
      <c r="J157" s="11"/>
      <c r="K157" s="11"/>
      <c r="L157" s="164" t="str">
        <f>IF(L156="","",IF(L154="",L156,L156/L154*100))</f>
        <v/>
      </c>
      <c r="M157" s="164"/>
      <c r="N157" s="164"/>
      <c r="O157" s="164"/>
      <c r="P157" s="164">
        <f>IF(P156="","",IF(L154="",P156,P156/L154*100))</f>
        <v>30352.097139395246</v>
      </c>
      <c r="Q157" s="164"/>
      <c r="R157" s="164"/>
      <c r="S157" s="164"/>
      <c r="T157" s="11"/>
      <c r="U157" s="11"/>
      <c r="V157" s="11"/>
      <c r="W157" s="12" t="s">
        <v>157</v>
      </c>
      <c r="X157" s="66" t="s">
        <v>49</v>
      </c>
      <c r="Y157" s="125" t="s">
        <v>336</v>
      </c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</row>
    <row r="158" spans="2:38" ht="16.5" customHeight="1" x14ac:dyDescent="0.25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29"/>
      <c r="Y158" s="10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</row>
    <row r="159" spans="2:38" ht="16.5" customHeight="1" x14ac:dyDescent="0.25">
      <c r="B159" s="114" t="s">
        <v>268</v>
      </c>
      <c r="C159" s="11"/>
      <c r="D159" s="34" t="s">
        <v>264</v>
      </c>
      <c r="E159" s="11"/>
      <c r="F159" s="11"/>
      <c r="G159" s="11"/>
      <c r="H159" s="11"/>
      <c r="I159" s="11"/>
      <c r="J159" s="11"/>
      <c r="K159" s="11"/>
      <c r="L159" s="168"/>
      <c r="M159" s="168"/>
      <c r="N159" s="168"/>
      <c r="O159" s="168"/>
      <c r="P159" s="168"/>
      <c r="Q159" s="168"/>
      <c r="R159" s="168"/>
      <c r="S159" s="168"/>
      <c r="T159" s="11"/>
      <c r="U159" s="11"/>
      <c r="V159" s="11"/>
      <c r="W159" s="12" t="s">
        <v>116</v>
      </c>
      <c r="X159" s="6"/>
      <c r="Y159" s="10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</row>
    <row r="160" spans="2:38" ht="16.5" customHeight="1" x14ac:dyDescent="0.25">
      <c r="B160" s="114" t="s">
        <v>269</v>
      </c>
      <c r="C160" s="11"/>
      <c r="D160" s="34" t="s">
        <v>265</v>
      </c>
      <c r="E160" s="11"/>
      <c r="F160" s="11"/>
      <c r="G160" s="11"/>
      <c r="H160" s="11"/>
      <c r="I160" s="11"/>
      <c r="J160" s="11"/>
      <c r="K160" s="11"/>
      <c r="L160" s="164" t="str">
        <f>IF(L157="","",IF(L159="",L157,SUM(L157+L157*L159/100)))</f>
        <v/>
      </c>
      <c r="M160" s="164"/>
      <c r="N160" s="164"/>
      <c r="O160" s="164"/>
      <c r="P160" s="164">
        <f>IF(P157="","",IF(L159="",P157,SUM(P157+P157*L159/100)))</f>
        <v>30352.097139395246</v>
      </c>
      <c r="Q160" s="164"/>
      <c r="R160" s="164"/>
      <c r="S160" s="164"/>
      <c r="T160" s="11"/>
      <c r="U160" s="11"/>
      <c r="V160" s="11"/>
      <c r="W160" s="12" t="s">
        <v>157</v>
      </c>
      <c r="X160" s="66" t="s">
        <v>49</v>
      </c>
      <c r="Y160" s="125" t="s">
        <v>337</v>
      </c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</row>
    <row r="161" spans="2:38" ht="16.5" customHeight="1" x14ac:dyDescent="0.25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29"/>
      <c r="Y161" s="10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</row>
    <row r="162" spans="2:38" ht="16.5" customHeight="1" x14ac:dyDescent="0.25">
      <c r="B162" s="70">
        <v>2.8</v>
      </c>
      <c r="C162" s="71"/>
      <c r="D162" s="72" t="s">
        <v>165</v>
      </c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29"/>
      <c r="Y162" s="10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</row>
    <row r="163" spans="2:38" ht="16.5" customHeight="1" x14ac:dyDescent="0.25">
      <c r="B163" s="71" t="s">
        <v>270</v>
      </c>
      <c r="C163" s="71"/>
      <c r="D163" s="71" t="s">
        <v>169</v>
      </c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6" t="s">
        <v>49</v>
      </c>
      <c r="Y163" s="124"/>
      <c r="Z163" s="56" t="s">
        <v>193</v>
      </c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</row>
    <row r="164" spans="2:38" ht="16.5" customHeight="1" x14ac:dyDescent="0.25">
      <c r="B164" s="114" t="s">
        <v>273</v>
      </c>
      <c r="C164" s="11"/>
      <c r="D164" s="34" t="s">
        <v>170</v>
      </c>
      <c r="E164" s="11"/>
      <c r="F164" s="11"/>
      <c r="G164" s="11"/>
      <c r="H164" s="11"/>
      <c r="I164" s="11"/>
      <c r="J164" s="11"/>
      <c r="K164" s="11"/>
      <c r="L164" s="168">
        <v>4</v>
      </c>
      <c r="M164" s="168"/>
      <c r="N164" s="168"/>
      <c r="O164" s="168"/>
      <c r="P164" s="168"/>
      <c r="Q164" s="168"/>
      <c r="R164" s="168"/>
      <c r="S164" s="168"/>
      <c r="T164" s="11"/>
      <c r="U164" s="11"/>
      <c r="V164" s="11"/>
      <c r="W164" s="12" t="s">
        <v>97</v>
      </c>
      <c r="X164" s="6" t="s">
        <v>49</v>
      </c>
      <c r="Y164" s="124"/>
      <c r="Z164" s="65" t="s">
        <v>304</v>
      </c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</row>
    <row r="165" spans="2:38" ht="16.5" customHeight="1" x14ac:dyDescent="0.25">
      <c r="B165" s="114" t="s">
        <v>274</v>
      </c>
      <c r="C165" s="11"/>
      <c r="D165" s="34" t="s">
        <v>168</v>
      </c>
      <c r="E165" s="11"/>
      <c r="F165" s="11"/>
      <c r="G165" s="11"/>
      <c r="H165" s="11"/>
      <c r="I165" s="11"/>
      <c r="J165" s="11"/>
      <c r="K165" s="11"/>
      <c r="L165" s="163">
        <v>4500</v>
      </c>
      <c r="M165" s="163"/>
      <c r="N165" s="163"/>
      <c r="O165" s="163"/>
      <c r="P165" s="163"/>
      <c r="Q165" s="163"/>
      <c r="R165" s="163"/>
      <c r="S165" s="163"/>
      <c r="T165" s="11"/>
      <c r="U165" s="11"/>
      <c r="V165" s="11"/>
      <c r="W165" s="12" t="s">
        <v>163</v>
      </c>
      <c r="X165" s="6" t="s">
        <v>49</v>
      </c>
      <c r="Y165" s="124"/>
      <c r="Z165" s="65" t="s">
        <v>305</v>
      </c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  <c r="AK165" s="60"/>
      <c r="AL165" s="60"/>
    </row>
    <row r="166" spans="2:38" ht="16.5" customHeight="1" x14ac:dyDescent="0.25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2"/>
      <c r="X166" s="29"/>
      <c r="Y166" s="10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  <c r="AK166" s="60"/>
      <c r="AL166" s="60"/>
    </row>
    <row r="167" spans="2:38" ht="16.5" customHeight="1" x14ac:dyDescent="0.25">
      <c r="B167" s="114" t="s">
        <v>276</v>
      </c>
      <c r="C167" s="11"/>
      <c r="D167" s="34" t="s">
        <v>272</v>
      </c>
      <c r="E167" s="11"/>
      <c r="F167" s="11"/>
      <c r="G167" s="11"/>
      <c r="H167" s="11"/>
      <c r="I167" s="11"/>
      <c r="J167" s="11"/>
      <c r="K167" s="11"/>
      <c r="L167" s="164">
        <f>IF(L47="","",15000-1500*(L47^0.35))</f>
        <v>9351.4989217891543</v>
      </c>
      <c r="M167" s="164"/>
      <c r="N167" s="164"/>
      <c r="O167" s="164"/>
      <c r="P167" s="164">
        <f>(45000-4500*(L47^0.35))/1000</f>
        <v>28.054496765367464</v>
      </c>
      <c r="Q167" s="164"/>
      <c r="R167" s="164"/>
      <c r="S167" s="164"/>
      <c r="T167" s="11"/>
      <c r="U167" s="11"/>
      <c r="V167" s="11"/>
      <c r="W167" s="12" t="s">
        <v>271</v>
      </c>
      <c r="X167" s="66" t="s">
        <v>49</v>
      </c>
      <c r="Y167" s="125" t="s">
        <v>338</v>
      </c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  <c r="AK167" s="60"/>
      <c r="AL167" s="60"/>
    </row>
    <row r="168" spans="2:38" ht="16.5" customHeight="1" x14ac:dyDescent="0.25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2"/>
      <c r="X168" s="66" t="s">
        <v>49</v>
      </c>
      <c r="Y168" s="125" t="s">
        <v>339</v>
      </c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</row>
    <row r="169" spans="2:38" ht="16.5" customHeight="1" x14ac:dyDescent="0.25">
      <c r="B169" s="114" t="s">
        <v>277</v>
      </c>
      <c r="C169" s="11"/>
      <c r="D169" s="34" t="s">
        <v>275</v>
      </c>
      <c r="E169" s="11"/>
      <c r="F169" s="11"/>
      <c r="G169" s="11"/>
      <c r="H169" s="11"/>
      <c r="I169" s="11"/>
      <c r="J169" s="11"/>
      <c r="K169" s="11"/>
      <c r="L169" s="164">
        <f>IF(OR(L119="", L164="", L165="", L167=""),IF(OR(P119="", L164="", L165="", P167=""),"",L165*SQRT(P119/L164/P167)),L165*SQRT(L119/L164/L167))</f>
        <v>4235.2153274095645</v>
      </c>
      <c r="M169" s="164"/>
      <c r="N169" s="164"/>
      <c r="O169" s="164"/>
      <c r="P169" s="164"/>
      <c r="Q169" s="164"/>
      <c r="R169" s="164"/>
      <c r="S169" s="164"/>
      <c r="T169" s="11"/>
      <c r="U169" s="11"/>
      <c r="V169" s="11"/>
      <c r="W169" s="12" t="s">
        <v>163</v>
      </c>
      <c r="X169" s="66" t="s">
        <v>49</v>
      </c>
      <c r="Y169" s="125" t="s">
        <v>340</v>
      </c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  <c r="AK169" s="60"/>
      <c r="AL169" s="60"/>
    </row>
    <row r="170" spans="2:38" ht="16.5" customHeight="1" x14ac:dyDescent="0.25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2"/>
      <c r="X170" s="29"/>
      <c r="Y170" s="10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</row>
    <row r="171" spans="2:38" ht="16.5" customHeight="1" x14ac:dyDescent="0.25">
      <c r="B171" s="71" t="s">
        <v>283</v>
      </c>
      <c r="C171" s="71"/>
      <c r="D171" s="71" t="s">
        <v>278</v>
      </c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2"/>
      <c r="X171" s="6" t="s">
        <v>49</v>
      </c>
      <c r="Y171" s="124"/>
      <c r="Z171" s="56" t="s">
        <v>193</v>
      </c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0"/>
    </row>
    <row r="172" spans="2:38" ht="16.5" customHeight="1" x14ac:dyDescent="0.25">
      <c r="B172" s="114" t="s">
        <v>284</v>
      </c>
      <c r="C172" s="11"/>
      <c r="D172" s="34" t="s">
        <v>279</v>
      </c>
      <c r="E172" s="11"/>
      <c r="F172" s="11"/>
      <c r="G172" s="11"/>
      <c r="H172" s="11"/>
      <c r="I172" s="11"/>
      <c r="J172" s="11"/>
      <c r="K172" s="11"/>
      <c r="L172" s="168">
        <v>4</v>
      </c>
      <c r="M172" s="168"/>
      <c r="N172" s="168"/>
      <c r="O172" s="168"/>
      <c r="P172" s="168"/>
      <c r="Q172" s="168"/>
      <c r="R172" s="168"/>
      <c r="S172" s="168"/>
      <c r="T172" s="11"/>
      <c r="U172" s="11"/>
      <c r="V172" s="11"/>
      <c r="W172" s="12" t="s">
        <v>97</v>
      </c>
      <c r="X172" s="6"/>
      <c r="Y172" s="10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</row>
    <row r="173" spans="2:38" ht="16.5" customHeight="1" x14ac:dyDescent="0.25">
      <c r="B173" s="114" t="s">
        <v>285</v>
      </c>
      <c r="C173" s="11"/>
      <c r="D173" s="34" t="s">
        <v>280</v>
      </c>
      <c r="E173" s="11"/>
      <c r="F173" s="11"/>
      <c r="G173" s="11"/>
      <c r="H173" s="11"/>
      <c r="I173" s="11"/>
      <c r="J173" s="11"/>
      <c r="K173" s="11"/>
      <c r="L173" s="163">
        <v>4000</v>
      </c>
      <c r="M173" s="163"/>
      <c r="N173" s="163"/>
      <c r="O173" s="163"/>
      <c r="P173" s="163"/>
      <c r="Q173" s="163"/>
      <c r="R173" s="163"/>
      <c r="S173" s="163"/>
      <c r="T173" s="11"/>
      <c r="U173" s="11"/>
      <c r="V173" s="11"/>
      <c r="W173" s="12" t="s">
        <v>163</v>
      </c>
      <c r="X173" s="6"/>
      <c r="Y173" s="10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  <c r="AK173" s="60"/>
      <c r="AL173" s="60"/>
    </row>
    <row r="174" spans="2:38" ht="16.5" customHeight="1" x14ac:dyDescent="0.25">
      <c r="B174" s="114" t="s">
        <v>286</v>
      </c>
      <c r="C174" s="11"/>
      <c r="D174" s="34" t="s">
        <v>281</v>
      </c>
      <c r="E174" s="11"/>
      <c r="F174" s="11"/>
      <c r="G174" s="11"/>
      <c r="H174" s="11"/>
      <c r="I174" s="11"/>
      <c r="J174" s="11"/>
      <c r="K174" s="11"/>
      <c r="L174" s="155" t="str">
        <f>IF(OR(L120="", L172=""),"",L120/L172)</f>
        <v/>
      </c>
      <c r="M174" s="155"/>
      <c r="N174" s="155"/>
      <c r="O174" s="155"/>
      <c r="P174" s="155">
        <f>IF(OR(P120="", L172=""),"",P120/L172)</f>
        <v>2533.1414378894024</v>
      </c>
      <c r="Q174" s="155"/>
      <c r="R174" s="155"/>
      <c r="S174" s="155"/>
      <c r="T174" s="11"/>
      <c r="U174" s="11"/>
      <c r="V174" s="11"/>
      <c r="W174" s="12" t="s">
        <v>145</v>
      </c>
      <c r="X174" s="66" t="s">
        <v>49</v>
      </c>
      <c r="Y174" s="126" t="s">
        <v>341</v>
      </c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</row>
    <row r="175" spans="2:38" ht="16.5" customHeight="1" x14ac:dyDescent="0.25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2"/>
      <c r="X175" s="6"/>
      <c r="Y175" s="127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</row>
    <row r="176" spans="2:38" ht="16.5" customHeight="1" x14ac:dyDescent="0.25">
      <c r="B176" s="114" t="s">
        <v>287</v>
      </c>
      <c r="C176" s="11"/>
      <c r="D176" s="34" t="s">
        <v>282</v>
      </c>
      <c r="E176" s="11"/>
      <c r="F176" s="11"/>
      <c r="G176" s="11"/>
      <c r="H176" s="11"/>
      <c r="I176" s="11"/>
      <c r="J176" s="11"/>
      <c r="K176" s="11"/>
      <c r="L176" s="171">
        <v>0.56999999999999995</v>
      </c>
      <c r="M176" s="171"/>
      <c r="N176" s="171"/>
      <c r="O176" s="171"/>
      <c r="P176" s="171"/>
      <c r="Q176" s="171"/>
      <c r="R176" s="171"/>
      <c r="S176" s="171"/>
      <c r="T176" s="11"/>
      <c r="U176" s="11"/>
      <c r="V176" s="11"/>
      <c r="W176" s="12" t="s">
        <v>97</v>
      </c>
      <c r="X176" s="6" t="s">
        <v>49</v>
      </c>
      <c r="Y176" s="124"/>
      <c r="Z176" s="56" t="s">
        <v>193</v>
      </c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0"/>
    </row>
    <row r="177" spans="2:38" ht="16.5" customHeight="1" x14ac:dyDescent="0.25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3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2"/>
      <c r="X177" s="6" t="s">
        <v>49</v>
      </c>
      <c r="Y177" s="124"/>
      <c r="Z177" s="65" t="s">
        <v>306</v>
      </c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  <c r="AK177" s="60"/>
      <c r="AL177" s="60"/>
    </row>
    <row r="178" spans="2:38" ht="16.5" customHeight="1" x14ac:dyDescent="0.25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2"/>
      <c r="X178" s="66" t="s">
        <v>49</v>
      </c>
      <c r="Y178" s="125" t="s">
        <v>342</v>
      </c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</row>
    <row r="179" spans="2:38" ht="16.5" customHeight="1" x14ac:dyDescent="0.25">
      <c r="B179" s="114" t="s">
        <v>289</v>
      </c>
      <c r="C179" s="11"/>
      <c r="D179" s="34" t="s">
        <v>301</v>
      </c>
      <c r="E179" s="11"/>
      <c r="F179" s="11"/>
      <c r="G179" s="11"/>
      <c r="H179" s="11"/>
      <c r="I179" s="11"/>
      <c r="J179" s="11"/>
      <c r="K179" s="11"/>
      <c r="L179" s="164" t="str">
        <f>IF(OR(L173="", L174="", L176=""),"",(1300/L173)*SQRT(L174/L176))</f>
        <v/>
      </c>
      <c r="M179" s="164"/>
      <c r="N179" s="164"/>
      <c r="O179" s="164"/>
      <c r="P179" s="164">
        <f>IF(OR(L173="", P174="", L176=""),"",1000*(59.82/L173)*SQRT(P174/L176))</f>
        <v>996.96223880642731</v>
      </c>
      <c r="Q179" s="164"/>
      <c r="R179" s="164"/>
      <c r="S179" s="164"/>
      <c r="T179" s="11"/>
      <c r="U179" s="11"/>
      <c r="V179" s="11"/>
      <c r="W179" s="12" t="s">
        <v>171</v>
      </c>
      <c r="X179" s="66" t="s">
        <v>49</v>
      </c>
      <c r="Y179" s="125" t="s">
        <v>343</v>
      </c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</row>
    <row r="180" spans="2:38" ht="16.5" customHeight="1" x14ac:dyDescent="0.25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2"/>
      <c r="X180" s="66" t="s">
        <v>49</v>
      </c>
      <c r="Y180" s="125" t="s">
        <v>344</v>
      </c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</row>
    <row r="181" spans="2:38" ht="16.5" customHeight="1" x14ac:dyDescent="0.25">
      <c r="B181" s="114" t="s">
        <v>290</v>
      </c>
      <c r="C181" s="11"/>
      <c r="D181" s="34" t="s">
        <v>302</v>
      </c>
      <c r="E181" s="11"/>
      <c r="F181" s="11"/>
      <c r="G181" s="11"/>
      <c r="H181" s="11"/>
      <c r="I181" s="11"/>
      <c r="J181" s="11"/>
      <c r="K181" s="11"/>
      <c r="L181" s="155" t="str">
        <f>IF(OR(L173="", L179=""),"",PI()*L179*L173/720)</f>
        <v/>
      </c>
      <c r="M181" s="155"/>
      <c r="N181" s="155"/>
      <c r="O181" s="155"/>
      <c r="P181" s="155">
        <f>IF(OR(L173="", P179=""),"",PI()*P179*L173/60/1000)</f>
        <v>208.80328302271369</v>
      </c>
      <c r="Q181" s="155"/>
      <c r="R181" s="155"/>
      <c r="S181" s="155"/>
      <c r="T181" s="11"/>
      <c r="U181" s="11"/>
      <c r="V181" s="11"/>
      <c r="W181" s="12" t="s">
        <v>172</v>
      </c>
      <c r="X181" s="6" t="s">
        <v>49</v>
      </c>
      <c r="Y181" s="124"/>
      <c r="Z181" s="56" t="s">
        <v>193</v>
      </c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</row>
    <row r="182" spans="2:38" ht="16.5" customHeight="1" x14ac:dyDescent="0.25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2"/>
      <c r="X182" s="66" t="s">
        <v>49</v>
      </c>
      <c r="Y182" s="125" t="s">
        <v>345</v>
      </c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  <c r="AK182" s="60"/>
      <c r="AL182" s="60"/>
    </row>
    <row r="183" spans="2:38" ht="16.5" customHeight="1" x14ac:dyDescent="0.25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2"/>
      <c r="X183" s="66" t="s">
        <v>49</v>
      </c>
      <c r="Y183" s="125" t="s">
        <v>346</v>
      </c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  <c r="AK183" s="60"/>
      <c r="AL183" s="60"/>
    </row>
    <row r="184" spans="2:38" ht="16.5" customHeight="1" x14ac:dyDescent="0.25">
      <c r="B184" s="114" t="s">
        <v>291</v>
      </c>
      <c r="C184" s="11"/>
      <c r="D184" s="34" t="s">
        <v>288</v>
      </c>
      <c r="E184" s="11"/>
      <c r="F184" s="11"/>
      <c r="G184" s="11"/>
      <c r="H184" s="11"/>
      <c r="I184" s="11"/>
      <c r="J184" s="11"/>
      <c r="K184" s="11"/>
      <c r="L184" s="165">
        <f>IF(OR(L93="", L179="", L181=""),IF(OR(P93="", P179="", P181=""),"",((4*P93/3600)/(PI()*(P179/1000)^2*P181))),((4*L93/60)/(PI()*(0.0833333333333333*L179)^2*L181)))</f>
        <v>0.19927272220830278</v>
      </c>
      <c r="M184" s="165"/>
      <c r="N184" s="165"/>
      <c r="O184" s="165"/>
      <c r="P184" s="165"/>
      <c r="Q184" s="165"/>
      <c r="R184" s="165"/>
      <c r="S184" s="165"/>
      <c r="T184" s="11"/>
      <c r="U184" s="11"/>
      <c r="V184" s="11"/>
      <c r="W184" s="12" t="s">
        <v>97</v>
      </c>
      <c r="X184" s="6" t="s">
        <v>49</v>
      </c>
      <c r="Y184" s="124"/>
      <c r="Z184" s="56" t="s">
        <v>193</v>
      </c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  <c r="AK184" s="60"/>
      <c r="AL184" s="60"/>
    </row>
    <row r="185" spans="2:38" ht="16.5" customHeight="1" x14ac:dyDescent="0.25">
      <c r="B185" s="11"/>
      <c r="C185" s="11"/>
      <c r="D185" s="34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2"/>
      <c r="X185" s="6" t="s">
        <v>49</v>
      </c>
      <c r="Y185" s="124"/>
      <c r="Z185" s="65" t="s">
        <v>307</v>
      </c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  <c r="AK185" s="60"/>
      <c r="AL185" s="60"/>
    </row>
    <row r="186" spans="2:38" ht="16.5" customHeight="1" x14ac:dyDescent="0.25">
      <c r="B186" s="11"/>
      <c r="C186" s="11"/>
      <c r="D186" s="34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2"/>
      <c r="X186" s="66" t="s">
        <v>49</v>
      </c>
      <c r="Y186" s="125" t="s">
        <v>347</v>
      </c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  <c r="AK186" s="60"/>
      <c r="AL186" s="60"/>
    </row>
    <row r="187" spans="2:38" ht="16.5" customHeight="1" x14ac:dyDescent="0.25">
      <c r="B187" s="114" t="s">
        <v>292</v>
      </c>
      <c r="C187" s="11"/>
      <c r="D187" s="34" t="s">
        <v>293</v>
      </c>
      <c r="E187" s="11"/>
      <c r="F187" s="11"/>
      <c r="G187" s="11"/>
      <c r="H187" s="11"/>
      <c r="I187" s="11"/>
      <c r="J187" s="11"/>
      <c r="K187" s="11"/>
      <c r="L187" s="164">
        <f>IF(OR(L93="", L173="", L174=""),IF(OR(P93="", L173="", P174=""),"",L173*((P93*0.588577778691477/60)^0.5)/((P174*3.28083989501312)^0.75)),L173*(L93/60)^0.5/(L174^0.75))</f>
        <v>155.6397153803924</v>
      </c>
      <c r="M187" s="164"/>
      <c r="N187" s="164"/>
      <c r="O187" s="164"/>
      <c r="P187" s="164"/>
      <c r="Q187" s="164"/>
      <c r="R187" s="164"/>
      <c r="S187" s="164"/>
      <c r="T187" s="11"/>
      <c r="U187" s="11"/>
      <c r="V187" s="11"/>
      <c r="W187" s="12" t="s">
        <v>97</v>
      </c>
      <c r="X187" s="6" t="s">
        <v>49</v>
      </c>
      <c r="Y187" s="124"/>
      <c r="Z187" s="56" t="s">
        <v>193</v>
      </c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</row>
    <row r="188" spans="2:38" ht="16.5" customHeight="1" x14ac:dyDescent="0.25">
      <c r="B188" s="11"/>
      <c r="C188" s="11"/>
      <c r="D188" s="34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2"/>
      <c r="X188" s="6" t="s">
        <v>49</v>
      </c>
      <c r="Y188" s="124"/>
      <c r="Z188" s="65" t="s">
        <v>296</v>
      </c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</row>
    <row r="189" spans="2:38" ht="16.5" customHeight="1" x14ac:dyDescent="0.25">
      <c r="B189" s="11"/>
      <c r="C189" s="11"/>
      <c r="D189" s="34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2"/>
      <c r="X189" s="66" t="s">
        <v>49</v>
      </c>
      <c r="Y189" s="125" t="s">
        <v>348</v>
      </c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</row>
    <row r="190" spans="2:38" ht="16.5" customHeight="1" x14ac:dyDescent="0.25">
      <c r="B190" s="114" t="s">
        <v>300</v>
      </c>
      <c r="C190" s="11"/>
      <c r="D190" s="34" t="s">
        <v>173</v>
      </c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2"/>
      <c r="X190" s="29"/>
      <c r="Y190" s="124"/>
      <c r="Z190" s="56" t="s">
        <v>193</v>
      </c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  <c r="AK190" s="60"/>
      <c r="AL190" s="60"/>
    </row>
    <row r="191" spans="2:38" ht="16.5" customHeight="1" x14ac:dyDescent="0.25">
      <c r="B191" s="11"/>
      <c r="C191" s="11"/>
      <c r="D191" s="34" t="s">
        <v>294</v>
      </c>
      <c r="E191" s="11"/>
      <c r="F191" s="11"/>
      <c r="G191" s="11"/>
      <c r="H191" s="11"/>
      <c r="I191" s="11"/>
      <c r="J191" s="11"/>
      <c r="K191" s="11"/>
      <c r="L191" s="155" t="str">
        <f>IF(OR(L43="", L49="", L61="", L76=""),"",((L61*32.2*L49*L43*L76)^0.5))</f>
        <v/>
      </c>
      <c r="M191" s="155"/>
      <c r="N191" s="155"/>
      <c r="O191" s="155"/>
      <c r="P191" s="155">
        <f>IF(OR(P43="", P49="", L61="", L76=""),"",((1000*L61*P49*P43*L76)^0.5))</f>
        <v>229.93735618380782</v>
      </c>
      <c r="Q191" s="155"/>
      <c r="R191" s="155"/>
      <c r="S191" s="155"/>
      <c r="T191" s="11"/>
      <c r="U191" s="11"/>
      <c r="V191" s="11"/>
      <c r="W191" s="12" t="s">
        <v>172</v>
      </c>
      <c r="X191" s="66" t="s">
        <v>49</v>
      </c>
      <c r="Y191" s="125" t="s">
        <v>349</v>
      </c>
      <c r="Z191" s="60"/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0"/>
      <c r="AL191" s="60"/>
    </row>
    <row r="192" spans="2:38" ht="16.5" customHeight="1" x14ac:dyDescent="0.25">
      <c r="B192" s="11"/>
      <c r="C192" s="11"/>
      <c r="D192" s="34" t="s">
        <v>295</v>
      </c>
      <c r="E192" s="11"/>
      <c r="F192" s="11"/>
      <c r="G192" s="11"/>
      <c r="H192" s="11"/>
      <c r="I192" s="11"/>
      <c r="J192" s="11"/>
      <c r="K192" s="11"/>
      <c r="L192" s="155">
        <f>IF(OR(L181="", L191=""),IF(OR(P181="", P191=""),"",P181/P191),L181/L191)</f>
        <v>0.90808769174418125</v>
      </c>
      <c r="M192" s="155"/>
      <c r="N192" s="155"/>
      <c r="O192" s="155"/>
      <c r="P192" s="155"/>
      <c r="Q192" s="155"/>
      <c r="R192" s="155"/>
      <c r="S192" s="155"/>
      <c r="T192" s="11"/>
      <c r="U192" s="11"/>
      <c r="V192" s="11"/>
      <c r="W192" s="12" t="s">
        <v>97</v>
      </c>
      <c r="X192" s="66" t="s">
        <v>49</v>
      </c>
      <c r="Y192" s="125" t="s">
        <v>350</v>
      </c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  <c r="AK192" s="60"/>
      <c r="AL192" s="60"/>
    </row>
    <row r="193" spans="2:39" ht="16.5" customHeight="1" thickBot="1" x14ac:dyDescent="0.25">
      <c r="B193" s="11"/>
      <c r="C193" s="11"/>
      <c r="D193" s="34"/>
      <c r="E193" s="112" t="s">
        <v>238</v>
      </c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2"/>
      <c r="X193" s="29"/>
      <c r="Y193" s="128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</row>
    <row r="194" spans="2:39" ht="16.5" customHeight="1" thickTop="1" x14ac:dyDescent="0.25">
      <c r="B194" s="11"/>
      <c r="C194" s="11"/>
      <c r="D194" s="156" t="str">
        <f>IF(L192="","",IF(L192&gt;0.85,"Choking at higher flow and Limited (narrow) operating range might be expected!","Expected to operate safely far enough from choke point."))</f>
        <v>Choking at higher flow and Limited (narrow) operating range might be expected!</v>
      </c>
      <c r="E194" s="157"/>
      <c r="F194" s="157"/>
      <c r="G194" s="157"/>
      <c r="H194" s="157"/>
      <c r="I194" s="157"/>
      <c r="J194" s="157"/>
      <c r="K194" s="157"/>
      <c r="L194" s="157"/>
      <c r="M194" s="158"/>
      <c r="N194" s="158"/>
      <c r="O194" s="158"/>
      <c r="P194" s="158"/>
      <c r="Q194" s="158"/>
      <c r="R194" s="158"/>
      <c r="S194" s="158"/>
      <c r="T194" s="158"/>
      <c r="U194" s="159"/>
      <c r="V194" s="11"/>
      <c r="W194" s="12"/>
      <c r="X194" s="6"/>
      <c r="Y194" s="128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</row>
    <row r="195" spans="2:39" ht="16.5" customHeight="1" thickBot="1" x14ac:dyDescent="0.3">
      <c r="B195" s="11"/>
      <c r="C195" s="11"/>
      <c r="D195" s="160"/>
      <c r="E195" s="161"/>
      <c r="F195" s="161"/>
      <c r="G195" s="161"/>
      <c r="H195" s="161"/>
      <c r="I195" s="161"/>
      <c r="J195" s="161"/>
      <c r="K195" s="161"/>
      <c r="L195" s="161"/>
      <c r="M195" s="161"/>
      <c r="N195" s="161"/>
      <c r="O195" s="161"/>
      <c r="P195" s="161"/>
      <c r="Q195" s="161"/>
      <c r="R195" s="161"/>
      <c r="S195" s="161"/>
      <c r="T195" s="161"/>
      <c r="U195" s="162"/>
      <c r="V195" s="11"/>
      <c r="W195" s="12"/>
      <c r="X195" s="29"/>
      <c r="Y195" s="128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</row>
    <row r="196" spans="2:39" ht="16.5" customHeight="1" thickTop="1" x14ac:dyDescent="0.25">
      <c r="B196" s="118"/>
      <c r="C196" s="118"/>
      <c r="D196" s="120"/>
      <c r="E196" s="120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120"/>
      <c r="Q196" s="120"/>
      <c r="R196" s="120"/>
      <c r="S196" s="120"/>
      <c r="T196" s="120"/>
      <c r="U196" s="120"/>
      <c r="V196" s="118"/>
      <c r="W196" s="119"/>
      <c r="X196" s="29"/>
      <c r="Y196" s="129"/>
      <c r="Z196" s="117"/>
      <c r="AA196" s="117"/>
      <c r="AB196" s="117"/>
      <c r="AC196" s="117"/>
      <c r="AD196" s="117"/>
      <c r="AE196" s="117"/>
      <c r="AF196" s="117"/>
      <c r="AG196" s="117"/>
      <c r="AH196" s="117"/>
      <c r="AI196" s="117"/>
      <c r="AJ196" s="117"/>
      <c r="AK196" s="117"/>
      <c r="AL196" s="117"/>
    </row>
    <row r="197" spans="2:39" ht="16.5" customHeight="1" x14ac:dyDescent="0.25">
      <c r="B197" s="130"/>
      <c r="D197" s="23"/>
      <c r="W197" s="22"/>
      <c r="X197" s="116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</row>
    <row r="198" spans="2:39" ht="16.5" customHeight="1" x14ac:dyDescent="0.2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2:39" ht="16.5" customHeight="1" x14ac:dyDescent="0.2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2:39" ht="16.5" customHeight="1" x14ac:dyDescent="0.2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2:39" ht="16.5" customHeight="1" x14ac:dyDescent="0.2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2:39" ht="16.5" customHeight="1" x14ac:dyDescent="0.2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2:39" ht="16.5" customHeight="1" x14ac:dyDescent="0.2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2:39" ht="16.5" customHeight="1" x14ac:dyDescent="0.2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2:39" ht="16.5" customHeight="1" x14ac:dyDescent="0.2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2:39" ht="16.5" customHeight="1" x14ac:dyDescent="0.2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</row>
    <row r="207" spans="2:39" ht="16.5" customHeight="1" x14ac:dyDescent="0.2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</row>
    <row r="208" spans="2:39" ht="16.5" customHeight="1" x14ac:dyDescent="0.2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</row>
    <row r="209" spans="2:39" ht="16.5" customHeight="1" x14ac:dyDescent="0.2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</row>
    <row r="210" spans="2:39" ht="16.5" customHeight="1" x14ac:dyDescent="0.2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</row>
    <row r="211" spans="2:39" ht="16.5" customHeight="1" x14ac:dyDescent="0.2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</row>
    <row r="212" spans="2:39" ht="16.5" customHeight="1" x14ac:dyDescent="0.2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</row>
    <row r="213" spans="2:39" ht="16.5" customHeight="1" x14ac:dyDescent="0.2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</row>
    <row r="214" spans="2:39" ht="16.5" customHeight="1" x14ac:dyDescent="0.2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</row>
    <row r="215" spans="2:39" ht="16.5" customHeight="1" x14ac:dyDescent="0.2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</row>
    <row r="216" spans="2:39" ht="16.5" customHeight="1" x14ac:dyDescent="0.2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</row>
    <row r="217" spans="2:39" ht="16.5" customHeight="1" x14ac:dyDescent="0.2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</row>
    <row r="218" spans="2:39" ht="16.5" customHeight="1" x14ac:dyDescent="0.2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</row>
    <row r="219" spans="2:39" ht="16.5" customHeight="1" x14ac:dyDescent="0.2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</row>
    <row r="220" spans="2:39" ht="16.5" customHeight="1" x14ac:dyDescent="0.2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</row>
    <row r="221" spans="2:39" ht="16.5" customHeight="1" x14ac:dyDescent="0.2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</row>
    <row r="222" spans="2:39" ht="16.5" customHeight="1" x14ac:dyDescent="0.2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</row>
    <row r="223" spans="2:39" ht="16.5" customHeight="1" x14ac:dyDescent="0.2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</row>
    <row r="224" spans="2:39" ht="16.5" customHeight="1" x14ac:dyDescent="0.2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</row>
    <row r="225" spans="2:39" ht="16.5" customHeight="1" x14ac:dyDescent="0.2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</row>
    <row r="226" spans="2:39" ht="16.5" customHeight="1" x14ac:dyDescent="0.2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</row>
    <row r="227" spans="2:39" ht="16.5" customHeight="1" x14ac:dyDescent="0.2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</row>
    <row r="228" spans="2:39" ht="16.5" customHeight="1" x14ac:dyDescent="0.2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</row>
    <row r="229" spans="2:39" ht="16.5" customHeight="1" x14ac:dyDescent="0.2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</row>
    <row r="230" spans="2:39" ht="16.5" customHeight="1" x14ac:dyDescent="0.2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</row>
    <row r="231" spans="2:39" ht="16.5" customHeight="1" x14ac:dyDescent="0.2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</row>
    <row r="232" spans="2:39" ht="16.5" customHeight="1" x14ac:dyDescent="0.2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</row>
    <row r="233" spans="2:39" ht="16.5" customHeight="1" x14ac:dyDescent="0.2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</row>
    <row r="234" spans="2:39" ht="16.5" customHeight="1" x14ac:dyDescent="0.2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</row>
    <row r="235" spans="2:39" ht="16.5" customHeight="1" x14ac:dyDescent="0.2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</row>
    <row r="236" spans="2:39" ht="16.5" customHeight="1" x14ac:dyDescent="0.2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</row>
    <row r="237" spans="2:39" ht="16.5" customHeight="1" x14ac:dyDescent="0.2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</row>
    <row r="238" spans="2:39" ht="16.5" customHeight="1" x14ac:dyDescent="0.2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</row>
    <row r="239" spans="2:39" ht="16.5" customHeight="1" x14ac:dyDescent="0.2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</row>
    <row r="240" spans="2:39" ht="16.5" customHeight="1" x14ac:dyDescent="0.2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</row>
    <row r="241" spans="2:39" ht="16.5" customHeight="1" x14ac:dyDescent="0.2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</row>
    <row r="242" spans="2:39" ht="16.5" customHeight="1" x14ac:dyDescent="0.2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</row>
    <row r="243" spans="2:39" ht="16.5" customHeight="1" x14ac:dyDescent="0.2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</row>
    <row r="244" spans="2:39" ht="16.5" customHeight="1" x14ac:dyDescent="0.2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</row>
    <row r="245" spans="2:39" ht="16.5" customHeight="1" x14ac:dyDescent="0.2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</row>
    <row r="246" spans="2:39" ht="16.5" customHeight="1" x14ac:dyDescent="0.2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</row>
    <row r="247" spans="2:39" ht="16.5" customHeight="1" x14ac:dyDescent="0.2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</row>
    <row r="248" spans="2:39" ht="16.5" customHeight="1" x14ac:dyDescent="0.2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</row>
    <row r="249" spans="2:39" ht="16.5" customHeight="1" x14ac:dyDescent="0.2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</row>
    <row r="250" spans="2:39" ht="16.5" customHeight="1" x14ac:dyDescent="0.2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</row>
    <row r="251" spans="2:39" ht="16.5" customHeight="1" x14ac:dyDescent="0.2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</row>
    <row r="252" spans="2:39" ht="16.5" customHeight="1" x14ac:dyDescent="0.2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</row>
    <row r="253" spans="2:39" ht="16.5" customHeight="1" x14ac:dyDescent="0.2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</row>
    <row r="254" spans="2:39" ht="16.5" customHeight="1" x14ac:dyDescent="0.2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</row>
    <row r="255" spans="2:39" ht="16.5" customHeight="1" x14ac:dyDescent="0.2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</row>
    <row r="256" spans="2:39" ht="16.5" customHeight="1" x14ac:dyDescent="0.2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</row>
    <row r="257" spans="2:39" ht="16.5" customHeight="1" x14ac:dyDescent="0.2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</row>
    <row r="258" spans="2:39" ht="16.5" customHeight="1" x14ac:dyDescent="0.2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</row>
    <row r="259" spans="2:39" ht="16.5" customHeight="1" x14ac:dyDescent="0.2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</row>
    <row r="260" spans="2:39" ht="16.5" customHeight="1" x14ac:dyDescent="0.2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</row>
    <row r="261" spans="2:39" ht="16.5" customHeight="1" x14ac:dyDescent="0.2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</row>
    <row r="262" spans="2:39" ht="16.5" customHeight="1" x14ac:dyDescent="0.2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</row>
    <row r="263" spans="2:39" ht="16.5" customHeight="1" x14ac:dyDescent="0.2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</row>
    <row r="264" spans="2:39" ht="16.5" customHeight="1" x14ac:dyDescent="0.2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</row>
    <row r="265" spans="2:39" ht="16.5" customHeight="1" x14ac:dyDescent="0.2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</row>
    <row r="266" spans="2:39" ht="16.5" customHeight="1" x14ac:dyDescent="0.2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</row>
    <row r="267" spans="2:39" ht="16.5" customHeight="1" x14ac:dyDescent="0.2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</row>
    <row r="268" spans="2:39" ht="16.5" customHeight="1" x14ac:dyDescent="0.2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</row>
    <row r="269" spans="2:39" ht="16.5" customHeight="1" x14ac:dyDescent="0.2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</row>
    <row r="270" spans="2:39" ht="16.5" customHeight="1" x14ac:dyDescent="0.2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</row>
    <row r="271" spans="2:39" ht="16.5" customHeight="1" x14ac:dyDescent="0.2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</row>
    <row r="272" spans="2:39" ht="16.5" customHeight="1" x14ac:dyDescent="0.2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</row>
    <row r="273" spans="2:39" ht="16.5" customHeight="1" x14ac:dyDescent="0.2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</row>
    <row r="274" spans="2:39" ht="16.5" customHeight="1" x14ac:dyDescent="0.2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</row>
    <row r="275" spans="2:39" ht="16.5" customHeight="1" x14ac:dyDescent="0.2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</row>
    <row r="276" spans="2:39" ht="16.5" customHeight="1" x14ac:dyDescent="0.2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</row>
    <row r="277" spans="2:39" ht="16.5" customHeight="1" x14ac:dyDescent="0.2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</row>
    <row r="278" spans="2:39" ht="16.5" customHeight="1" x14ac:dyDescent="0.2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</row>
    <row r="279" spans="2:39" ht="16.5" customHeight="1" x14ac:dyDescent="0.2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</row>
    <row r="280" spans="2:39" ht="16.5" customHeight="1" x14ac:dyDescent="0.25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</row>
    <row r="281" spans="2:39" ht="16.5" customHeight="1" x14ac:dyDescent="0.25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</row>
    <row r="282" spans="2:39" ht="16.5" customHeight="1" x14ac:dyDescent="0.25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</row>
    <row r="283" spans="2:39" ht="16.5" customHeight="1" x14ac:dyDescent="0.25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</row>
    <row r="284" spans="2:39" ht="16.5" customHeight="1" x14ac:dyDescent="0.25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</row>
    <row r="285" spans="2:39" ht="16.5" customHeight="1" x14ac:dyDescent="0.25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</row>
    <row r="286" spans="2:39" ht="16.5" customHeight="1" x14ac:dyDescent="0.25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</row>
    <row r="287" spans="2:39" ht="16.5" customHeight="1" x14ac:dyDescent="0.25">
      <c r="D287" s="23"/>
      <c r="W287" s="22"/>
      <c r="X287" s="116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  <c r="AK287" s="61"/>
      <c r="AL287" s="61"/>
    </row>
    <row r="288" spans="2:39" ht="16.5" customHeight="1" x14ac:dyDescent="0.25">
      <c r="D288" s="23"/>
      <c r="W288" s="22"/>
      <c r="X288" s="116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  <c r="AL288" s="61"/>
    </row>
    <row r="289" spans="4:38" ht="16.5" customHeight="1" x14ac:dyDescent="0.25">
      <c r="D289" s="23"/>
      <c r="W289" s="22"/>
      <c r="X289" s="116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  <c r="AL289" s="61"/>
    </row>
    <row r="290" spans="4:38" ht="16.5" customHeight="1" x14ac:dyDescent="0.25">
      <c r="D290" s="23"/>
      <c r="W290" s="22"/>
      <c r="X290" s="116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  <c r="AL290" s="61"/>
    </row>
    <row r="291" spans="4:38" ht="16.5" customHeight="1" x14ac:dyDescent="0.25">
      <c r="D291" s="23"/>
      <c r="W291" s="22"/>
      <c r="X291" s="116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  <c r="AL291" s="61"/>
    </row>
    <row r="292" spans="4:38" ht="16.5" customHeight="1" x14ac:dyDescent="0.25">
      <c r="D292" s="23"/>
      <c r="W292" s="22"/>
      <c r="X292" s="116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  <c r="AL292" s="61"/>
    </row>
    <row r="293" spans="4:38" ht="16.5" customHeight="1" x14ac:dyDescent="0.25">
      <c r="D293" s="23"/>
      <c r="W293" s="22"/>
      <c r="X293" s="116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  <c r="AL293" s="61"/>
    </row>
    <row r="294" spans="4:38" ht="16.5" customHeight="1" x14ac:dyDescent="0.25">
      <c r="D294" s="23"/>
      <c r="W294" s="22"/>
      <c r="X294" s="116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  <c r="AL294" s="61"/>
    </row>
    <row r="295" spans="4:38" ht="16.5" customHeight="1" x14ac:dyDescent="0.25">
      <c r="D295" s="23"/>
      <c r="W295" s="22"/>
      <c r="X295" s="116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  <c r="AL295" s="61"/>
    </row>
    <row r="296" spans="4:38" ht="16.5" customHeight="1" x14ac:dyDescent="0.25">
      <c r="D296" s="23"/>
      <c r="W296" s="22"/>
      <c r="X296" s="116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  <c r="AL296" s="61"/>
    </row>
    <row r="297" spans="4:38" ht="16.5" customHeight="1" x14ac:dyDescent="0.25">
      <c r="D297" s="23"/>
      <c r="W297" s="22"/>
      <c r="X297" s="116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  <c r="AL297" s="61"/>
    </row>
    <row r="298" spans="4:38" ht="16.5" customHeight="1" x14ac:dyDescent="0.25">
      <c r="D298" s="23"/>
      <c r="W298" s="22"/>
      <c r="X298" s="116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  <c r="AL298" s="61"/>
    </row>
    <row r="299" spans="4:38" ht="16.5" customHeight="1" x14ac:dyDescent="0.25">
      <c r="D299" s="23"/>
      <c r="W299" s="22"/>
      <c r="X299" s="116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  <c r="AL299" s="61"/>
    </row>
    <row r="300" spans="4:38" ht="16.5" customHeight="1" x14ac:dyDescent="0.25">
      <c r="D300" s="23"/>
      <c r="W300" s="22"/>
      <c r="X300" s="116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  <c r="AL300" s="61"/>
    </row>
    <row r="301" spans="4:38" ht="16.5" customHeight="1" x14ac:dyDescent="0.25">
      <c r="D301" s="23"/>
      <c r="W301" s="22"/>
      <c r="X301" s="116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  <c r="AL301" s="61"/>
    </row>
    <row r="302" spans="4:38" ht="16.5" customHeight="1" x14ac:dyDescent="0.25">
      <c r="D302" s="23"/>
      <c r="W302" s="22"/>
      <c r="X302" s="116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  <c r="AL302" s="61"/>
    </row>
    <row r="303" spans="4:38" ht="16.5" customHeight="1" x14ac:dyDescent="0.25">
      <c r="D303" s="23"/>
      <c r="W303" s="22"/>
      <c r="X303" s="116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  <c r="AL303" s="61"/>
    </row>
    <row r="304" spans="4:38" ht="16.5" customHeight="1" x14ac:dyDescent="0.25">
      <c r="D304" s="23"/>
      <c r="W304" s="22"/>
      <c r="X304" s="116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  <c r="AL304" s="61"/>
    </row>
    <row r="305" spans="4:38" ht="16.5" customHeight="1" x14ac:dyDescent="0.25">
      <c r="D305" s="23"/>
      <c r="W305" s="22"/>
      <c r="X305" s="116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  <c r="AL305" s="61"/>
    </row>
    <row r="306" spans="4:38" ht="16.5" customHeight="1" x14ac:dyDescent="0.25">
      <c r="D306" s="23"/>
      <c r="W306" s="22"/>
      <c r="X306" s="116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  <c r="AL306" s="61"/>
    </row>
    <row r="307" spans="4:38" ht="16.5" customHeight="1" x14ac:dyDescent="0.25">
      <c r="D307" s="23"/>
      <c r="W307" s="22"/>
      <c r="X307" s="116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  <c r="AL307" s="61"/>
    </row>
    <row r="308" spans="4:38" ht="16.5" customHeight="1" x14ac:dyDescent="0.25">
      <c r="D308" s="23"/>
      <c r="W308" s="22"/>
      <c r="X308" s="116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  <c r="AL308" s="61"/>
    </row>
    <row r="309" spans="4:38" ht="16.5" customHeight="1" x14ac:dyDescent="0.25">
      <c r="D309" s="23"/>
      <c r="W309" s="22"/>
      <c r="X309" s="116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  <c r="AL309" s="61"/>
    </row>
    <row r="310" spans="4:38" ht="16.5" customHeight="1" x14ac:dyDescent="0.25">
      <c r="D310" s="23"/>
      <c r="W310" s="22"/>
      <c r="X310" s="116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  <c r="AL310" s="61"/>
    </row>
    <row r="311" spans="4:38" ht="16.5" customHeight="1" x14ac:dyDescent="0.25">
      <c r="D311" s="23"/>
      <c r="W311" s="22"/>
      <c r="X311" s="116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  <c r="AL311" s="61"/>
    </row>
    <row r="312" spans="4:38" ht="16.5" customHeight="1" x14ac:dyDescent="0.25">
      <c r="D312" s="23"/>
      <c r="W312" s="22"/>
      <c r="X312" s="116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  <c r="AL312" s="61"/>
    </row>
    <row r="313" spans="4:38" ht="16.5" customHeight="1" x14ac:dyDescent="0.25">
      <c r="D313" s="23"/>
      <c r="W313" s="22"/>
      <c r="X313" s="116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  <c r="AL313" s="61"/>
    </row>
    <row r="314" spans="4:38" ht="16.5" customHeight="1" x14ac:dyDescent="0.25">
      <c r="D314" s="23"/>
      <c r="W314" s="22"/>
      <c r="X314" s="116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  <c r="AL314" s="61"/>
    </row>
    <row r="315" spans="4:38" ht="16.5" customHeight="1" x14ac:dyDescent="0.25">
      <c r="D315" s="23"/>
      <c r="W315" s="22"/>
      <c r="X315" s="116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  <c r="AL315" s="61"/>
    </row>
    <row r="316" spans="4:38" ht="16.5" customHeight="1" x14ac:dyDescent="0.25">
      <c r="D316" s="23"/>
      <c r="W316" s="22"/>
      <c r="X316" s="116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  <c r="AK316" s="61"/>
      <c r="AL316" s="61"/>
    </row>
    <row r="317" spans="4:38" ht="16.5" customHeight="1" x14ac:dyDescent="0.25">
      <c r="D317" s="23"/>
      <c r="W317" s="22"/>
      <c r="X317" s="116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  <c r="AK317" s="61"/>
      <c r="AL317" s="61"/>
    </row>
    <row r="318" spans="4:38" ht="16.5" customHeight="1" x14ac:dyDescent="0.25">
      <c r="D318" s="23"/>
      <c r="W318" s="22"/>
      <c r="X318" s="116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  <c r="AK318" s="61"/>
      <c r="AL318" s="61"/>
    </row>
    <row r="319" spans="4:38" ht="16.5" customHeight="1" x14ac:dyDescent="0.25">
      <c r="D319" s="23"/>
      <c r="W319" s="22"/>
      <c r="X319" s="116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  <c r="AK319" s="61"/>
      <c r="AL319" s="61"/>
    </row>
    <row r="320" spans="4:38" ht="16.5" customHeight="1" x14ac:dyDescent="0.25">
      <c r="D320" s="23"/>
      <c r="W320" s="22"/>
      <c r="X320" s="116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  <c r="AK320" s="61"/>
      <c r="AL320" s="61"/>
    </row>
    <row r="321" spans="4:38" ht="16.5" customHeight="1" x14ac:dyDescent="0.25">
      <c r="D321" s="23"/>
      <c r="W321" s="22"/>
      <c r="X321" s="116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  <c r="AK321" s="61"/>
      <c r="AL321" s="61"/>
    </row>
    <row r="322" spans="4:38" ht="16.5" customHeight="1" x14ac:dyDescent="0.25">
      <c r="D322" s="23"/>
      <c r="W322" s="22"/>
      <c r="X322" s="116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  <c r="AK322" s="61"/>
      <c r="AL322" s="61"/>
    </row>
    <row r="323" spans="4:38" ht="16.5" customHeight="1" x14ac:dyDescent="0.25">
      <c r="D323" s="23"/>
      <c r="W323" s="22"/>
      <c r="X323" s="116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  <c r="AK323" s="61"/>
      <c r="AL323" s="61"/>
    </row>
    <row r="324" spans="4:38" ht="16.5" customHeight="1" x14ac:dyDescent="0.25">
      <c r="D324" s="23"/>
      <c r="W324" s="22"/>
      <c r="X324" s="116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  <c r="AK324" s="61"/>
      <c r="AL324" s="61"/>
    </row>
    <row r="325" spans="4:38" ht="16.5" customHeight="1" x14ac:dyDescent="0.25">
      <c r="D325" s="23"/>
      <c r="W325" s="22"/>
      <c r="X325" s="116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61"/>
      <c r="AL325" s="61"/>
    </row>
    <row r="326" spans="4:38" ht="16.5" customHeight="1" x14ac:dyDescent="0.25">
      <c r="D326" s="23"/>
      <c r="W326" s="22"/>
      <c r="X326" s="116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  <c r="AK326" s="61"/>
      <c r="AL326" s="61"/>
    </row>
    <row r="327" spans="4:38" ht="16.5" customHeight="1" x14ac:dyDescent="0.25">
      <c r="D327" s="23"/>
      <c r="W327" s="22"/>
      <c r="X327" s="116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61"/>
      <c r="AL327" s="61"/>
    </row>
    <row r="328" spans="4:38" ht="16.5" customHeight="1" x14ac:dyDescent="0.25">
      <c r="D328" s="23"/>
      <c r="W328" s="22"/>
      <c r="X328" s="116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  <c r="AK328" s="61"/>
      <c r="AL328" s="61"/>
    </row>
    <row r="329" spans="4:38" ht="16.5" customHeight="1" x14ac:dyDescent="0.25">
      <c r="D329" s="23"/>
      <c r="W329" s="22"/>
      <c r="X329" s="116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  <c r="AK329" s="61"/>
      <c r="AL329" s="61"/>
    </row>
    <row r="330" spans="4:38" ht="16.5" customHeight="1" x14ac:dyDescent="0.25">
      <c r="D330" s="23"/>
      <c r="W330" s="22"/>
      <c r="X330" s="116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  <c r="AK330" s="61"/>
      <c r="AL330" s="61"/>
    </row>
    <row r="331" spans="4:38" ht="16.5" customHeight="1" x14ac:dyDescent="0.25">
      <c r="D331" s="23"/>
      <c r="W331" s="22"/>
      <c r="X331" s="116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  <c r="AK331" s="61"/>
      <c r="AL331" s="61"/>
    </row>
    <row r="332" spans="4:38" ht="16.5" customHeight="1" x14ac:dyDescent="0.25">
      <c r="D332" s="23"/>
      <c r="W332" s="22"/>
      <c r="X332" s="116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  <c r="AK332" s="61"/>
      <c r="AL332" s="61"/>
    </row>
    <row r="333" spans="4:38" ht="16.5" customHeight="1" x14ac:dyDescent="0.25">
      <c r="D333" s="23"/>
      <c r="W333" s="22"/>
      <c r="X333" s="116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  <c r="AK333" s="61"/>
      <c r="AL333" s="61"/>
    </row>
    <row r="334" spans="4:38" ht="16.5" customHeight="1" x14ac:dyDescent="0.25">
      <c r="D334" s="23"/>
      <c r="W334" s="22"/>
      <c r="X334" s="116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  <c r="AK334" s="61"/>
      <c r="AL334" s="61"/>
    </row>
    <row r="335" spans="4:38" ht="16.5" customHeight="1" x14ac:dyDescent="0.25">
      <c r="D335" s="23"/>
      <c r="W335" s="22"/>
      <c r="X335" s="116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</row>
    <row r="336" spans="4:38" ht="16.5" customHeight="1" x14ac:dyDescent="0.25">
      <c r="D336" s="23"/>
      <c r="W336" s="22"/>
      <c r="X336" s="116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  <c r="AK336" s="61"/>
      <c r="AL336" s="61"/>
    </row>
    <row r="337" spans="4:38" ht="16.5" customHeight="1" x14ac:dyDescent="0.25">
      <c r="D337" s="23"/>
      <c r="W337" s="22"/>
      <c r="X337" s="116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  <c r="AK337" s="61"/>
      <c r="AL337" s="61"/>
    </row>
    <row r="338" spans="4:38" ht="16.5" customHeight="1" x14ac:dyDescent="0.25">
      <c r="D338" s="23"/>
      <c r="W338" s="22"/>
      <c r="X338" s="116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  <c r="AK338" s="61"/>
      <c r="AL338" s="61"/>
    </row>
    <row r="339" spans="4:38" ht="16.5" customHeight="1" x14ac:dyDescent="0.25">
      <c r="D339" s="23"/>
      <c r="W339" s="22"/>
      <c r="X339" s="116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  <c r="AK339" s="61"/>
      <c r="AL339" s="61"/>
    </row>
    <row r="340" spans="4:38" ht="16.5" customHeight="1" x14ac:dyDescent="0.25">
      <c r="D340" s="23"/>
      <c r="W340" s="22"/>
      <c r="X340" s="116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61"/>
      <c r="AL340" s="61"/>
    </row>
    <row r="341" spans="4:38" ht="16.5" customHeight="1" x14ac:dyDescent="0.25">
      <c r="D341" s="23"/>
      <c r="W341" s="22"/>
      <c r="X341" s="116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  <c r="AK341" s="61"/>
      <c r="AL341" s="61"/>
    </row>
    <row r="342" spans="4:38" ht="16.5" customHeight="1" x14ac:dyDescent="0.25">
      <c r="D342" s="23"/>
      <c r="W342" s="22"/>
      <c r="X342" s="116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  <c r="AK342" s="61"/>
      <c r="AL342" s="61"/>
    </row>
    <row r="343" spans="4:38" ht="16.5" customHeight="1" x14ac:dyDescent="0.25">
      <c r="D343" s="23"/>
      <c r="W343" s="22"/>
      <c r="X343" s="116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  <c r="AK343" s="61"/>
      <c r="AL343" s="61"/>
    </row>
    <row r="344" spans="4:38" ht="16.5" customHeight="1" x14ac:dyDescent="0.25">
      <c r="D344" s="23"/>
      <c r="W344" s="22"/>
      <c r="X344" s="116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  <c r="AK344" s="61"/>
      <c r="AL344" s="61"/>
    </row>
    <row r="345" spans="4:38" ht="16.5" customHeight="1" x14ac:dyDescent="0.25">
      <c r="D345" s="23"/>
      <c r="W345" s="22"/>
      <c r="X345" s="116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61"/>
      <c r="AL345" s="61"/>
    </row>
    <row r="346" spans="4:38" ht="16.5" customHeight="1" x14ac:dyDescent="0.25">
      <c r="D346" s="23"/>
      <c r="W346" s="22"/>
      <c r="X346" s="116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  <c r="AK346" s="61"/>
      <c r="AL346" s="61"/>
    </row>
    <row r="347" spans="4:38" ht="16.5" customHeight="1" x14ac:dyDescent="0.25">
      <c r="D347" s="23"/>
      <c r="W347" s="22"/>
      <c r="X347" s="116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  <c r="AK347" s="61"/>
      <c r="AL347" s="61"/>
    </row>
    <row r="348" spans="4:38" ht="16.5" customHeight="1" x14ac:dyDescent="0.25">
      <c r="D348" s="23"/>
      <c r="W348" s="22"/>
      <c r="X348" s="116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  <c r="AK348" s="61"/>
      <c r="AL348" s="61"/>
    </row>
    <row r="349" spans="4:38" ht="16.5" customHeight="1" x14ac:dyDescent="0.25">
      <c r="D349" s="23"/>
      <c r="W349" s="22"/>
      <c r="X349" s="116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  <c r="AK349" s="61"/>
      <c r="AL349" s="61"/>
    </row>
    <row r="350" spans="4:38" ht="16.5" customHeight="1" x14ac:dyDescent="0.25">
      <c r="D350" s="23"/>
      <c r="W350" s="22"/>
      <c r="X350" s="116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  <c r="AK350" s="61"/>
      <c r="AL350" s="61"/>
    </row>
    <row r="351" spans="4:38" ht="16.5" customHeight="1" x14ac:dyDescent="0.25">
      <c r="D351" s="23"/>
      <c r="W351" s="22"/>
      <c r="X351" s="116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  <c r="AK351" s="61"/>
      <c r="AL351" s="61"/>
    </row>
    <row r="352" spans="4:38" ht="16.5" customHeight="1" x14ac:dyDescent="0.25">
      <c r="D352" s="23"/>
      <c r="W352" s="22"/>
      <c r="X352" s="116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  <c r="AK352" s="61"/>
      <c r="AL352" s="61"/>
    </row>
    <row r="353" spans="4:38" ht="16.5" customHeight="1" x14ac:dyDescent="0.25">
      <c r="D353" s="23"/>
      <c r="W353" s="22"/>
      <c r="X353" s="116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  <c r="AK353" s="61"/>
      <c r="AL353" s="61"/>
    </row>
    <row r="354" spans="4:38" ht="16.5" customHeight="1" x14ac:dyDescent="0.25">
      <c r="D354" s="23"/>
      <c r="W354" s="22"/>
      <c r="X354" s="116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  <c r="AK354" s="61"/>
      <c r="AL354" s="61"/>
    </row>
    <row r="355" spans="4:38" ht="16.5" customHeight="1" x14ac:dyDescent="0.25">
      <c r="D355" s="23"/>
      <c r="W355" s="22"/>
      <c r="X355" s="116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  <c r="AK355" s="61"/>
      <c r="AL355" s="61"/>
    </row>
    <row r="356" spans="4:38" ht="16.5" customHeight="1" x14ac:dyDescent="0.25">
      <c r="D356" s="23"/>
      <c r="W356" s="22"/>
      <c r="X356" s="116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  <c r="AK356" s="61"/>
      <c r="AL356" s="61"/>
    </row>
    <row r="357" spans="4:38" ht="16.5" customHeight="1" x14ac:dyDescent="0.25">
      <c r="D357" s="23"/>
      <c r="W357" s="22"/>
      <c r="X357" s="116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  <c r="AK357" s="61"/>
      <c r="AL357" s="61"/>
    </row>
    <row r="358" spans="4:38" ht="16.5" customHeight="1" x14ac:dyDescent="0.25">
      <c r="D358" s="23"/>
      <c r="W358" s="22"/>
      <c r="X358" s="116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  <c r="AK358" s="61"/>
      <c r="AL358" s="61"/>
    </row>
    <row r="359" spans="4:38" ht="16.5" customHeight="1" x14ac:dyDescent="0.25">
      <c r="D359" s="23"/>
      <c r="W359" s="22"/>
      <c r="X359" s="116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  <c r="AK359" s="61"/>
      <c r="AL359" s="61"/>
    </row>
    <row r="360" spans="4:38" ht="16.5" customHeight="1" x14ac:dyDescent="0.25">
      <c r="D360" s="23"/>
      <c r="W360" s="22"/>
      <c r="X360" s="116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61"/>
      <c r="AL360" s="61"/>
    </row>
    <row r="361" spans="4:38" ht="16.5" customHeight="1" x14ac:dyDescent="0.25">
      <c r="D361" s="23"/>
      <c r="W361" s="22"/>
      <c r="X361" s="116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61"/>
      <c r="AL361" s="61"/>
    </row>
    <row r="362" spans="4:38" ht="16.5" customHeight="1" x14ac:dyDescent="0.25">
      <c r="D362" s="23"/>
      <c r="W362" s="22"/>
      <c r="X362" s="116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  <c r="AK362" s="61"/>
      <c r="AL362" s="61"/>
    </row>
    <row r="363" spans="4:38" ht="16.5" customHeight="1" x14ac:dyDescent="0.25">
      <c r="D363" s="23"/>
      <c r="W363" s="22"/>
      <c r="X363" s="116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  <c r="AK363" s="61"/>
      <c r="AL363" s="61"/>
    </row>
    <row r="364" spans="4:38" ht="16.5" customHeight="1" x14ac:dyDescent="0.25">
      <c r="D364" s="23"/>
      <c r="W364" s="22"/>
      <c r="X364" s="116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  <c r="AK364" s="61"/>
      <c r="AL364" s="61"/>
    </row>
    <row r="365" spans="4:38" ht="16.5" customHeight="1" x14ac:dyDescent="0.25">
      <c r="D365" s="23"/>
      <c r="W365" s="22"/>
      <c r="X365" s="116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  <c r="AK365" s="61"/>
      <c r="AL365" s="61"/>
    </row>
    <row r="366" spans="4:38" ht="16.5" customHeight="1" x14ac:dyDescent="0.25">
      <c r="D366" s="23"/>
      <c r="W366" s="22"/>
      <c r="X366" s="116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  <c r="AK366" s="61"/>
      <c r="AL366" s="61"/>
    </row>
    <row r="367" spans="4:38" ht="16.5" customHeight="1" x14ac:dyDescent="0.25">
      <c r="D367" s="23"/>
      <c r="W367" s="22"/>
      <c r="X367" s="116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  <c r="AK367" s="61"/>
      <c r="AL367" s="61"/>
    </row>
    <row r="368" spans="4:38" ht="16.5" customHeight="1" x14ac:dyDescent="0.25">
      <c r="D368" s="23"/>
      <c r="W368" s="22"/>
      <c r="X368" s="116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  <c r="AK368" s="61"/>
      <c r="AL368" s="61"/>
    </row>
    <row r="369" spans="4:38" ht="16.5" customHeight="1" x14ac:dyDescent="0.25">
      <c r="D369" s="23"/>
      <c r="W369" s="22"/>
      <c r="X369" s="116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  <c r="AK369" s="61"/>
      <c r="AL369" s="61"/>
    </row>
    <row r="370" spans="4:38" ht="16.5" customHeight="1" x14ac:dyDescent="0.25">
      <c r="D370" s="23"/>
      <c r="W370" s="22"/>
      <c r="X370" s="116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  <c r="AK370" s="61"/>
      <c r="AL370" s="61"/>
    </row>
    <row r="371" spans="4:38" ht="16.5" customHeight="1" x14ac:dyDescent="0.25">
      <c r="D371" s="23"/>
      <c r="W371" s="22"/>
      <c r="X371" s="116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  <c r="AK371" s="61"/>
      <c r="AL371" s="61"/>
    </row>
    <row r="372" spans="4:38" ht="16.5" customHeight="1" x14ac:dyDescent="0.25">
      <c r="D372" s="23"/>
      <c r="W372" s="22"/>
      <c r="X372" s="116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  <c r="AK372" s="61"/>
      <c r="AL372" s="61"/>
    </row>
    <row r="373" spans="4:38" ht="16.5" customHeight="1" x14ac:dyDescent="0.25">
      <c r="D373" s="23"/>
      <c r="W373" s="22"/>
      <c r="X373" s="116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  <c r="AK373" s="61"/>
      <c r="AL373" s="61"/>
    </row>
    <row r="374" spans="4:38" ht="16.5" customHeight="1" x14ac:dyDescent="0.25">
      <c r="D374" s="23"/>
      <c r="W374" s="22"/>
      <c r="X374" s="116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  <c r="AK374" s="61"/>
      <c r="AL374" s="61"/>
    </row>
    <row r="375" spans="4:38" ht="16.5" customHeight="1" x14ac:dyDescent="0.25">
      <c r="D375" s="23"/>
      <c r="W375" s="22"/>
      <c r="X375" s="116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  <c r="AK375" s="61"/>
      <c r="AL375" s="61"/>
    </row>
    <row r="376" spans="4:38" ht="16.5" customHeight="1" x14ac:dyDescent="0.25">
      <c r="D376" s="23"/>
      <c r="W376" s="22"/>
      <c r="X376" s="116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  <c r="AK376" s="61"/>
      <c r="AL376" s="61"/>
    </row>
    <row r="377" spans="4:38" ht="16.5" customHeight="1" x14ac:dyDescent="0.25">
      <c r="D377" s="23"/>
      <c r="W377" s="22"/>
      <c r="X377" s="116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  <c r="AK377" s="61"/>
      <c r="AL377" s="61"/>
    </row>
    <row r="378" spans="4:38" ht="16.5" customHeight="1" x14ac:dyDescent="0.25">
      <c r="D378" s="23"/>
      <c r="W378" s="22"/>
      <c r="X378" s="116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61"/>
      <c r="AL378" s="61"/>
    </row>
    <row r="379" spans="4:38" ht="16.5" customHeight="1" x14ac:dyDescent="0.25">
      <c r="D379" s="23"/>
      <c r="W379" s="22"/>
      <c r="X379" s="116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61"/>
      <c r="AL379" s="61"/>
    </row>
    <row r="380" spans="4:38" ht="16.5" customHeight="1" x14ac:dyDescent="0.25">
      <c r="D380" s="23"/>
      <c r="W380" s="22"/>
      <c r="X380" s="116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61"/>
      <c r="AL380" s="61"/>
    </row>
    <row r="381" spans="4:38" ht="16.5" customHeight="1" x14ac:dyDescent="0.25">
      <c r="D381" s="23"/>
      <c r="W381" s="22"/>
      <c r="X381" s="116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61"/>
      <c r="AL381" s="61"/>
    </row>
    <row r="382" spans="4:38" ht="16.5" customHeight="1" x14ac:dyDescent="0.25">
      <c r="D382" s="23"/>
      <c r="W382" s="22"/>
      <c r="X382" s="116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61"/>
      <c r="AL382" s="61"/>
    </row>
    <row r="383" spans="4:38" ht="16.5" customHeight="1" x14ac:dyDescent="0.25">
      <c r="D383" s="23"/>
      <c r="W383" s="22"/>
      <c r="X383" s="116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61"/>
      <c r="AL383" s="61"/>
    </row>
    <row r="384" spans="4:38" ht="16.5" customHeight="1" x14ac:dyDescent="0.25">
      <c r="D384" s="23"/>
      <c r="W384" s="22"/>
      <c r="X384" s="116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61"/>
      <c r="AL384" s="61"/>
    </row>
    <row r="385" spans="4:38" ht="16.5" customHeight="1" x14ac:dyDescent="0.25">
      <c r="D385" s="23"/>
      <c r="W385" s="22"/>
      <c r="X385" s="116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61"/>
      <c r="AL385" s="61"/>
    </row>
    <row r="386" spans="4:38" ht="16.5" customHeight="1" x14ac:dyDescent="0.25">
      <c r="D386" s="23"/>
      <c r="W386" s="22"/>
      <c r="X386" s="116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61"/>
      <c r="AL386" s="61"/>
    </row>
    <row r="387" spans="4:38" ht="16.5" customHeight="1" x14ac:dyDescent="0.25">
      <c r="D387" s="23"/>
      <c r="W387" s="22"/>
      <c r="X387" s="116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61"/>
      <c r="AL387" s="61"/>
    </row>
    <row r="388" spans="4:38" ht="16.5" customHeight="1" x14ac:dyDescent="0.25">
      <c r="D388" s="23"/>
      <c r="W388" s="22"/>
      <c r="X388" s="116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</row>
    <row r="389" spans="4:38" ht="16.5" customHeight="1" x14ac:dyDescent="0.25">
      <c r="D389" s="23"/>
      <c r="W389" s="22"/>
      <c r="X389" s="116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61"/>
      <c r="AL389" s="61"/>
    </row>
    <row r="390" spans="4:38" ht="16.5" customHeight="1" x14ac:dyDescent="0.25">
      <c r="D390" s="23"/>
      <c r="W390" s="22"/>
      <c r="X390" s="116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</row>
    <row r="391" spans="4:38" ht="16.5" customHeight="1" x14ac:dyDescent="0.25">
      <c r="D391" s="23"/>
      <c r="W391" s="22"/>
      <c r="X391" s="116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</row>
    <row r="392" spans="4:38" ht="16.5" customHeight="1" x14ac:dyDescent="0.25">
      <c r="D392" s="23"/>
      <c r="W392" s="22"/>
      <c r="X392" s="116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</row>
    <row r="393" spans="4:38" ht="16.5" customHeight="1" x14ac:dyDescent="0.25">
      <c r="D393" s="23"/>
      <c r="W393" s="22"/>
      <c r="X393" s="116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</row>
    <row r="394" spans="4:38" ht="16.5" customHeight="1" x14ac:dyDescent="0.25">
      <c r="D394" s="23"/>
      <c r="W394" s="22"/>
      <c r="X394" s="116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</row>
    <row r="395" spans="4:38" ht="16.5" customHeight="1" x14ac:dyDescent="0.25">
      <c r="D395" s="23"/>
      <c r="W395" s="22"/>
      <c r="X395" s="116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</row>
    <row r="396" spans="4:38" ht="16.5" customHeight="1" x14ac:dyDescent="0.25">
      <c r="D396" s="23"/>
      <c r="W396" s="22"/>
      <c r="X396" s="116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61"/>
      <c r="AL396" s="61"/>
    </row>
    <row r="397" spans="4:38" ht="16.5" customHeight="1" x14ac:dyDescent="0.25">
      <c r="D397" s="23"/>
      <c r="W397" s="22"/>
      <c r="X397" s="116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</row>
    <row r="398" spans="4:38" ht="16.5" customHeight="1" x14ac:dyDescent="0.25">
      <c r="D398" s="23"/>
      <c r="W398" s="22"/>
      <c r="X398" s="116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</row>
    <row r="399" spans="4:38" ht="16.5" customHeight="1" x14ac:dyDescent="0.25">
      <c r="D399" s="23"/>
      <c r="W399" s="22"/>
      <c r="X399" s="116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</row>
    <row r="400" spans="4:38" ht="16.5" customHeight="1" x14ac:dyDescent="0.25">
      <c r="D400" s="23"/>
      <c r="W400" s="22"/>
      <c r="X400" s="116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  <c r="AK400" s="61"/>
      <c r="AL400" s="61"/>
    </row>
    <row r="401" spans="4:38" ht="16.5" customHeight="1" x14ac:dyDescent="0.25">
      <c r="D401" s="23"/>
      <c r="W401" s="22"/>
      <c r="X401" s="116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  <c r="AK401" s="61"/>
      <c r="AL401" s="61"/>
    </row>
    <row r="402" spans="4:38" ht="16.5" customHeight="1" x14ac:dyDescent="0.25">
      <c r="D402" s="23"/>
      <c r="W402" s="22"/>
      <c r="X402" s="116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  <c r="AK402" s="61"/>
      <c r="AL402" s="61"/>
    </row>
    <row r="403" spans="4:38" ht="16.5" customHeight="1" x14ac:dyDescent="0.25">
      <c r="D403" s="23"/>
      <c r="W403" s="22"/>
      <c r="X403" s="116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  <c r="AK403" s="61"/>
      <c r="AL403" s="61"/>
    </row>
    <row r="404" spans="4:38" ht="16.5" customHeight="1" x14ac:dyDescent="0.25">
      <c r="D404" s="23"/>
      <c r="W404" s="22"/>
      <c r="X404" s="116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  <c r="AK404" s="61"/>
      <c r="AL404" s="61"/>
    </row>
    <row r="405" spans="4:38" ht="16.5" customHeight="1" x14ac:dyDescent="0.25">
      <c r="D405" s="23"/>
      <c r="W405" s="22"/>
      <c r="X405" s="116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  <c r="AK405" s="61"/>
      <c r="AL405" s="61"/>
    </row>
    <row r="406" spans="4:38" ht="16.5" customHeight="1" x14ac:dyDescent="0.25">
      <c r="D406" s="23"/>
      <c r="W406" s="22"/>
      <c r="X406" s="116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  <c r="AK406" s="61"/>
      <c r="AL406" s="61"/>
    </row>
    <row r="407" spans="4:38" ht="16.5" customHeight="1" x14ac:dyDescent="0.25">
      <c r="D407" s="23"/>
      <c r="W407" s="22"/>
      <c r="X407" s="116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  <c r="AK407" s="61"/>
      <c r="AL407" s="61"/>
    </row>
    <row r="408" spans="4:38" ht="16.5" customHeight="1" x14ac:dyDescent="0.25">
      <c r="D408" s="23"/>
      <c r="W408" s="22"/>
      <c r="X408" s="116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  <c r="AK408" s="61"/>
      <c r="AL408" s="61"/>
    </row>
    <row r="409" spans="4:38" ht="16.5" customHeight="1" x14ac:dyDescent="0.25">
      <c r="D409" s="23"/>
      <c r="W409" s="22"/>
      <c r="X409" s="116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  <c r="AK409" s="61"/>
      <c r="AL409" s="61"/>
    </row>
    <row r="410" spans="4:38" ht="16.5" customHeight="1" x14ac:dyDescent="0.25">
      <c r="D410" s="23"/>
      <c r="W410" s="22"/>
      <c r="X410" s="116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61"/>
      <c r="AL410" s="61"/>
    </row>
    <row r="411" spans="4:38" ht="16.5" customHeight="1" x14ac:dyDescent="0.25">
      <c r="D411" s="23"/>
      <c r="W411" s="22"/>
      <c r="X411" s="116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61"/>
      <c r="AL411" s="61"/>
    </row>
    <row r="412" spans="4:38" ht="16.5" customHeight="1" x14ac:dyDescent="0.25">
      <c r="D412" s="23"/>
      <c r="W412" s="22"/>
      <c r="X412" s="116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61"/>
      <c r="AL412" s="61"/>
    </row>
    <row r="413" spans="4:38" ht="16.5" customHeight="1" x14ac:dyDescent="0.25">
      <c r="D413" s="23"/>
      <c r="W413" s="22"/>
      <c r="X413" s="116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61"/>
      <c r="AL413" s="61"/>
    </row>
    <row r="414" spans="4:38" ht="16.5" customHeight="1" x14ac:dyDescent="0.25">
      <c r="D414" s="23"/>
      <c r="W414" s="22"/>
      <c r="X414" s="116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</row>
    <row r="415" spans="4:38" ht="16.5" customHeight="1" x14ac:dyDescent="0.25">
      <c r="D415" s="23"/>
      <c r="W415" s="22"/>
      <c r="X415" s="116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</row>
    <row r="416" spans="4:38" ht="16.5" customHeight="1" x14ac:dyDescent="0.25">
      <c r="D416" s="23"/>
      <c r="W416" s="22"/>
      <c r="X416" s="116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61"/>
      <c r="AL416" s="61"/>
    </row>
    <row r="417" spans="4:38" ht="16.5" customHeight="1" x14ac:dyDescent="0.25">
      <c r="D417" s="23"/>
      <c r="W417" s="22"/>
      <c r="X417" s="116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61"/>
      <c r="AL417" s="61"/>
    </row>
    <row r="418" spans="4:38" ht="16.5" customHeight="1" x14ac:dyDescent="0.25">
      <c r="D418" s="23"/>
      <c r="W418" s="22"/>
      <c r="X418" s="116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61"/>
      <c r="AL418" s="61"/>
    </row>
    <row r="419" spans="4:38" ht="16.5" customHeight="1" x14ac:dyDescent="0.25">
      <c r="D419" s="23"/>
      <c r="W419" s="22"/>
      <c r="X419" s="116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  <c r="AK419" s="61"/>
      <c r="AL419" s="61"/>
    </row>
    <row r="420" spans="4:38" ht="16.5" customHeight="1" x14ac:dyDescent="0.25">
      <c r="D420" s="23"/>
      <c r="W420" s="22"/>
      <c r="X420" s="116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  <c r="AK420" s="61"/>
      <c r="AL420" s="61"/>
    </row>
    <row r="421" spans="4:38" ht="16.5" customHeight="1" x14ac:dyDescent="0.25">
      <c r="D421" s="23"/>
      <c r="W421" s="22"/>
      <c r="X421" s="116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  <c r="AK421" s="61"/>
      <c r="AL421" s="61"/>
    </row>
    <row r="422" spans="4:38" ht="16.5" customHeight="1" x14ac:dyDescent="0.25">
      <c r="D422" s="23"/>
      <c r="W422" s="22"/>
      <c r="X422" s="116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  <c r="AK422" s="61"/>
      <c r="AL422" s="61"/>
    </row>
    <row r="423" spans="4:38" ht="16.5" customHeight="1" x14ac:dyDescent="0.25">
      <c r="D423" s="23"/>
      <c r="W423" s="22"/>
      <c r="X423" s="116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  <c r="AK423" s="61"/>
      <c r="AL423" s="61"/>
    </row>
    <row r="424" spans="4:38" ht="16.5" customHeight="1" x14ac:dyDescent="0.25">
      <c r="D424" s="23"/>
      <c r="W424" s="22"/>
      <c r="X424" s="116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  <c r="AK424" s="61"/>
      <c r="AL424" s="61"/>
    </row>
    <row r="425" spans="4:38" ht="16.5" customHeight="1" x14ac:dyDescent="0.25">
      <c r="D425" s="23"/>
      <c r="W425" s="22"/>
      <c r="X425" s="116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61"/>
      <c r="AL425" s="61"/>
    </row>
    <row r="426" spans="4:38" ht="16.5" customHeight="1" x14ac:dyDescent="0.25">
      <c r="D426" s="23"/>
      <c r="W426" s="22"/>
      <c r="X426" s="116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61"/>
      <c r="AL426" s="61"/>
    </row>
    <row r="427" spans="4:38" ht="16.5" customHeight="1" x14ac:dyDescent="0.25">
      <c r="D427" s="23"/>
      <c r="W427" s="22"/>
      <c r="X427" s="116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61"/>
      <c r="AL427" s="61"/>
    </row>
    <row r="428" spans="4:38" ht="16.5" customHeight="1" x14ac:dyDescent="0.25">
      <c r="D428" s="23"/>
      <c r="W428" s="22"/>
      <c r="X428" s="116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  <c r="AK428" s="61"/>
      <c r="AL428" s="61"/>
    </row>
    <row r="429" spans="4:38" ht="16.5" customHeight="1" x14ac:dyDescent="0.25">
      <c r="D429" s="23"/>
      <c r="W429" s="22"/>
      <c r="X429" s="116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  <c r="AK429" s="61"/>
      <c r="AL429" s="61"/>
    </row>
    <row r="430" spans="4:38" ht="16.5" customHeight="1" x14ac:dyDescent="0.25">
      <c r="D430" s="23"/>
      <c r="W430" s="22"/>
      <c r="X430" s="116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  <c r="AK430" s="61"/>
      <c r="AL430" s="61"/>
    </row>
    <row r="431" spans="4:38" ht="16.5" customHeight="1" x14ac:dyDescent="0.25">
      <c r="D431" s="23"/>
      <c r="W431" s="22"/>
      <c r="X431" s="116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  <c r="AK431" s="61"/>
      <c r="AL431" s="61"/>
    </row>
    <row r="432" spans="4:38" ht="16.5" customHeight="1" x14ac:dyDescent="0.25">
      <c r="D432" s="23"/>
      <c r="W432" s="22"/>
      <c r="X432" s="116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61"/>
      <c r="AL432" s="61"/>
    </row>
    <row r="433" spans="4:38" ht="16.5" customHeight="1" x14ac:dyDescent="0.25">
      <c r="D433" s="23"/>
      <c r="W433" s="22"/>
      <c r="X433" s="116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61"/>
      <c r="AL433" s="61"/>
    </row>
    <row r="434" spans="4:38" ht="16.5" customHeight="1" x14ac:dyDescent="0.25">
      <c r="D434" s="23"/>
      <c r="W434" s="22"/>
      <c r="X434" s="116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61"/>
      <c r="AL434" s="61"/>
    </row>
    <row r="435" spans="4:38" ht="16.5" customHeight="1" x14ac:dyDescent="0.25">
      <c r="D435" s="23"/>
      <c r="W435" s="22"/>
      <c r="X435" s="116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  <c r="AK435" s="61"/>
      <c r="AL435" s="61"/>
    </row>
    <row r="436" spans="4:38" ht="16.5" customHeight="1" x14ac:dyDescent="0.25">
      <c r="D436" s="23"/>
      <c r="W436" s="22"/>
      <c r="X436" s="116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  <c r="AK436" s="61"/>
      <c r="AL436" s="61"/>
    </row>
    <row r="437" spans="4:38" ht="16.5" customHeight="1" x14ac:dyDescent="0.25">
      <c r="D437" s="23"/>
      <c r="W437" s="22"/>
      <c r="X437" s="116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  <c r="AK437" s="61"/>
      <c r="AL437" s="61"/>
    </row>
    <row r="438" spans="4:38" ht="16.5" customHeight="1" x14ac:dyDescent="0.25">
      <c r="D438" s="23"/>
      <c r="W438" s="22"/>
      <c r="X438" s="116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  <c r="AK438" s="61"/>
      <c r="AL438" s="61"/>
    </row>
    <row r="439" spans="4:38" ht="16.5" customHeight="1" x14ac:dyDescent="0.25">
      <c r="D439" s="23"/>
      <c r="W439" s="22"/>
      <c r="X439" s="116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61"/>
      <c r="AL439" s="61"/>
    </row>
    <row r="440" spans="4:38" ht="16.5" customHeight="1" x14ac:dyDescent="0.25">
      <c r="D440" s="23"/>
      <c r="W440" s="22"/>
      <c r="X440" s="116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61"/>
      <c r="AL440" s="61"/>
    </row>
    <row r="441" spans="4:38" ht="16.5" customHeight="1" x14ac:dyDescent="0.25">
      <c r="D441" s="23"/>
      <c r="W441" s="22"/>
      <c r="X441" s="116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61"/>
      <c r="AL441" s="61"/>
    </row>
    <row r="442" spans="4:38" ht="16.5" customHeight="1" x14ac:dyDescent="0.25">
      <c r="D442" s="23"/>
      <c r="W442" s="22"/>
      <c r="X442" s="116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  <c r="AK442" s="61"/>
      <c r="AL442" s="61"/>
    </row>
    <row r="443" spans="4:38" ht="16.5" customHeight="1" x14ac:dyDescent="0.25">
      <c r="D443" s="23"/>
      <c r="W443" s="22"/>
      <c r="X443" s="116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  <c r="AK443" s="61"/>
      <c r="AL443" s="61"/>
    </row>
    <row r="444" spans="4:38" ht="16.5" customHeight="1" x14ac:dyDescent="0.25">
      <c r="D444" s="23"/>
      <c r="W444" s="22"/>
      <c r="X444" s="116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  <c r="AK444" s="61"/>
      <c r="AL444" s="61"/>
    </row>
    <row r="445" spans="4:38" ht="16.5" customHeight="1" x14ac:dyDescent="0.25">
      <c r="D445" s="23"/>
      <c r="W445" s="22"/>
      <c r="X445" s="116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</row>
    <row r="446" spans="4:38" ht="16.5" customHeight="1" x14ac:dyDescent="0.25">
      <c r="D446" s="23"/>
      <c r="W446" s="22"/>
      <c r="X446" s="116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</row>
    <row r="447" spans="4:38" ht="16.5" customHeight="1" x14ac:dyDescent="0.25">
      <c r="D447" s="23"/>
      <c r="W447" s="22"/>
      <c r="X447" s="116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</row>
    <row r="448" spans="4:38" ht="16.5" customHeight="1" x14ac:dyDescent="0.25">
      <c r="D448" s="23"/>
      <c r="W448" s="22"/>
      <c r="X448" s="116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</row>
    <row r="449" spans="4:38" ht="16.5" customHeight="1" x14ac:dyDescent="0.25">
      <c r="D449" s="23"/>
      <c r="W449" s="22"/>
      <c r="X449" s="116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</row>
    <row r="450" spans="4:38" ht="16.5" customHeight="1" x14ac:dyDescent="0.25">
      <c r="D450" s="23"/>
      <c r="W450" s="22"/>
      <c r="X450" s="116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</row>
    <row r="451" spans="4:38" ht="16.5" customHeight="1" x14ac:dyDescent="0.25">
      <c r="D451" s="23"/>
      <c r="W451" s="22"/>
      <c r="X451" s="116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</row>
    <row r="452" spans="4:38" ht="16.5" customHeight="1" x14ac:dyDescent="0.25">
      <c r="D452" s="23"/>
      <c r="W452" s="22"/>
      <c r="X452" s="116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</row>
    <row r="453" spans="4:38" ht="16.5" customHeight="1" x14ac:dyDescent="0.25">
      <c r="D453" s="23"/>
      <c r="W453" s="22"/>
      <c r="X453" s="116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</row>
    <row r="454" spans="4:38" ht="16.5" customHeight="1" x14ac:dyDescent="0.25">
      <c r="D454" s="23"/>
      <c r="W454" s="22"/>
      <c r="X454" s="116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</row>
    <row r="455" spans="4:38" ht="16.5" customHeight="1" x14ac:dyDescent="0.25">
      <c r="D455" s="23"/>
      <c r="W455" s="22"/>
      <c r="X455" s="116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</row>
    <row r="456" spans="4:38" ht="16.5" customHeight="1" x14ac:dyDescent="0.25">
      <c r="D456" s="23"/>
      <c r="W456" s="22"/>
      <c r="X456" s="116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</row>
    <row r="457" spans="4:38" ht="16.5" customHeight="1" x14ac:dyDescent="0.25">
      <c r="D457" s="23"/>
      <c r="W457" s="22"/>
      <c r="X457" s="116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</row>
    <row r="458" spans="4:38" ht="16.5" customHeight="1" x14ac:dyDescent="0.25">
      <c r="D458" s="23"/>
      <c r="W458" s="22"/>
      <c r="X458" s="116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</row>
    <row r="459" spans="4:38" ht="16.5" customHeight="1" x14ac:dyDescent="0.25">
      <c r="D459" s="23"/>
      <c r="W459" s="22"/>
      <c r="X459" s="116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</row>
    <row r="460" spans="4:38" ht="16.5" customHeight="1" x14ac:dyDescent="0.25">
      <c r="D460" s="23"/>
      <c r="W460" s="22"/>
      <c r="X460" s="116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</row>
    <row r="461" spans="4:38" ht="16.5" customHeight="1" x14ac:dyDescent="0.25">
      <c r="D461" s="23"/>
      <c r="W461" s="22"/>
      <c r="X461" s="116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</row>
    <row r="462" spans="4:38" ht="16.5" customHeight="1" x14ac:dyDescent="0.25">
      <c r="D462" s="23"/>
      <c r="W462" s="22"/>
      <c r="X462" s="116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</row>
    <row r="463" spans="4:38" ht="16.5" customHeight="1" x14ac:dyDescent="0.25">
      <c r="D463" s="23"/>
      <c r="W463" s="22"/>
      <c r="X463" s="116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</row>
    <row r="464" spans="4:38" ht="16.5" customHeight="1" x14ac:dyDescent="0.25">
      <c r="D464" s="23"/>
      <c r="W464" s="22"/>
      <c r="X464" s="116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</row>
    <row r="465" spans="4:38" ht="16.5" customHeight="1" x14ac:dyDescent="0.25">
      <c r="D465" s="23"/>
      <c r="W465" s="22"/>
      <c r="X465" s="116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</row>
    <row r="466" spans="4:38" ht="16.5" customHeight="1" x14ac:dyDescent="0.25">
      <c r="D466" s="23"/>
      <c r="W466" s="22"/>
      <c r="X466" s="116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</row>
    <row r="467" spans="4:38" ht="16.5" customHeight="1" x14ac:dyDescent="0.25">
      <c r="D467" s="23"/>
      <c r="W467" s="22"/>
      <c r="X467" s="116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</row>
    <row r="468" spans="4:38" ht="16.5" customHeight="1" x14ac:dyDescent="0.25">
      <c r="D468" s="23"/>
      <c r="W468" s="22"/>
      <c r="X468" s="116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</row>
    <row r="469" spans="4:38" ht="16.5" customHeight="1" x14ac:dyDescent="0.25">
      <c r="D469" s="23"/>
      <c r="W469" s="22"/>
      <c r="X469" s="116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</row>
    <row r="470" spans="4:38" ht="16.5" customHeight="1" x14ac:dyDescent="0.25">
      <c r="D470" s="23"/>
      <c r="W470" s="22"/>
      <c r="X470" s="116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</row>
    <row r="471" spans="4:38" ht="16.5" customHeight="1" x14ac:dyDescent="0.25">
      <c r="D471" s="23"/>
      <c r="W471" s="22"/>
      <c r="X471" s="116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</row>
    <row r="472" spans="4:38" ht="16.5" customHeight="1" x14ac:dyDescent="0.25">
      <c r="D472" s="23"/>
      <c r="W472" s="22"/>
      <c r="X472" s="116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</row>
    <row r="473" spans="4:38" ht="16.5" customHeight="1" x14ac:dyDescent="0.25">
      <c r="D473" s="23"/>
      <c r="W473" s="22"/>
      <c r="X473" s="116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</row>
    <row r="474" spans="4:38" ht="16.5" customHeight="1" x14ac:dyDescent="0.25">
      <c r="D474" s="23"/>
      <c r="W474" s="22"/>
      <c r="X474" s="116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</row>
    <row r="475" spans="4:38" ht="16.5" customHeight="1" x14ac:dyDescent="0.25">
      <c r="D475" s="23"/>
      <c r="W475" s="22"/>
      <c r="X475" s="116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</row>
    <row r="476" spans="4:38" ht="16.5" customHeight="1" x14ac:dyDescent="0.25">
      <c r="D476" s="23"/>
      <c r="W476" s="22"/>
      <c r="X476" s="116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</row>
    <row r="477" spans="4:38" ht="16.5" customHeight="1" x14ac:dyDescent="0.25">
      <c r="D477" s="23"/>
      <c r="W477" s="22"/>
      <c r="X477" s="116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</row>
    <row r="478" spans="4:38" ht="16.5" customHeight="1" x14ac:dyDescent="0.25">
      <c r="D478" s="23"/>
      <c r="W478" s="22"/>
      <c r="X478" s="116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</row>
    <row r="479" spans="4:38" ht="16.5" customHeight="1" x14ac:dyDescent="0.25">
      <c r="D479" s="23"/>
      <c r="W479" s="22"/>
      <c r="X479" s="116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</row>
    <row r="480" spans="4:38" ht="16.5" customHeight="1" x14ac:dyDescent="0.25">
      <c r="D480" s="23"/>
      <c r="W480" s="22"/>
      <c r="X480" s="116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</row>
    <row r="481" spans="4:38" ht="16.5" customHeight="1" x14ac:dyDescent="0.25">
      <c r="D481" s="23"/>
      <c r="W481" s="22"/>
      <c r="X481" s="116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</row>
    <row r="482" spans="4:38" ht="16.5" customHeight="1" x14ac:dyDescent="0.25">
      <c r="D482" s="23"/>
      <c r="W482" s="22"/>
      <c r="X482" s="116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</row>
    <row r="483" spans="4:38" ht="16.5" customHeight="1" x14ac:dyDescent="0.25">
      <c r="D483" s="23"/>
      <c r="W483" s="22"/>
      <c r="X483" s="116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</row>
    <row r="484" spans="4:38" ht="16.5" customHeight="1" x14ac:dyDescent="0.25">
      <c r="D484" s="23"/>
      <c r="W484" s="22"/>
      <c r="X484" s="116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</row>
    <row r="485" spans="4:38" ht="16.5" customHeight="1" x14ac:dyDescent="0.25">
      <c r="D485" s="23"/>
      <c r="W485" s="22"/>
      <c r="X485" s="116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</row>
    <row r="486" spans="4:38" ht="16.5" customHeight="1" x14ac:dyDescent="0.25">
      <c r="D486" s="23"/>
      <c r="W486" s="22"/>
      <c r="X486" s="116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</row>
    <row r="487" spans="4:38" ht="16.5" customHeight="1" x14ac:dyDescent="0.25">
      <c r="D487" s="23"/>
      <c r="W487" s="22"/>
      <c r="X487" s="116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</row>
    <row r="488" spans="4:38" ht="16.5" customHeight="1" x14ac:dyDescent="0.25">
      <c r="D488" s="23"/>
      <c r="W488" s="22"/>
      <c r="X488" s="116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</row>
    <row r="489" spans="4:38" ht="16.5" customHeight="1" x14ac:dyDescent="0.25">
      <c r="D489" s="23"/>
      <c r="W489" s="22"/>
      <c r="X489" s="116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</row>
    <row r="490" spans="4:38" ht="16.5" customHeight="1" x14ac:dyDescent="0.25">
      <c r="D490" s="23"/>
      <c r="W490" s="22"/>
      <c r="X490" s="116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</row>
    <row r="491" spans="4:38" ht="16.5" customHeight="1" x14ac:dyDescent="0.25">
      <c r="D491" s="23"/>
      <c r="W491" s="22"/>
      <c r="X491" s="116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</row>
    <row r="492" spans="4:38" ht="16.5" customHeight="1" x14ac:dyDescent="0.25">
      <c r="D492" s="23"/>
      <c r="W492" s="22"/>
      <c r="X492" s="116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</row>
    <row r="493" spans="4:38" ht="16.5" customHeight="1" x14ac:dyDescent="0.25">
      <c r="D493" s="23"/>
      <c r="W493" s="22"/>
      <c r="X493" s="116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</row>
    <row r="494" spans="4:38" ht="16.5" customHeight="1" x14ac:dyDescent="0.25">
      <c r="D494" s="23"/>
      <c r="W494" s="22"/>
      <c r="X494" s="116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</row>
    <row r="495" spans="4:38" ht="16.5" customHeight="1" x14ac:dyDescent="0.25">
      <c r="D495" s="23"/>
      <c r="W495" s="22"/>
      <c r="X495" s="116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</row>
    <row r="496" spans="4:38" ht="16.5" customHeight="1" x14ac:dyDescent="0.25">
      <c r="D496" s="23"/>
      <c r="W496" s="22"/>
      <c r="X496" s="116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</row>
    <row r="497" spans="4:38" ht="16.5" customHeight="1" x14ac:dyDescent="0.25">
      <c r="D497" s="23"/>
      <c r="W497" s="22"/>
      <c r="X497" s="116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</row>
    <row r="498" spans="4:38" ht="16.5" customHeight="1" x14ac:dyDescent="0.25">
      <c r="D498" s="23"/>
      <c r="W498" s="22"/>
      <c r="X498" s="116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</row>
    <row r="499" spans="4:38" ht="16.5" customHeight="1" x14ac:dyDescent="0.25">
      <c r="D499" s="23"/>
      <c r="W499" s="22"/>
      <c r="X499" s="116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</row>
    <row r="500" spans="4:38" ht="16.5" customHeight="1" x14ac:dyDescent="0.25">
      <c r="D500" s="23"/>
      <c r="W500" s="22"/>
      <c r="X500" s="116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</row>
    <row r="501" spans="4:38" ht="16.5" customHeight="1" x14ac:dyDescent="0.25">
      <c r="D501" s="23"/>
      <c r="W501" s="22"/>
      <c r="X501" s="116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</row>
    <row r="502" spans="4:38" ht="16.5" customHeight="1" x14ac:dyDescent="0.25">
      <c r="D502" s="23"/>
      <c r="W502" s="22"/>
      <c r="X502" s="116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</row>
    <row r="503" spans="4:38" ht="16.5" customHeight="1" x14ac:dyDescent="0.25">
      <c r="D503" s="23"/>
      <c r="W503" s="22"/>
      <c r="X503" s="116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</row>
    <row r="504" spans="4:38" ht="16.5" customHeight="1" x14ac:dyDescent="0.25">
      <c r="D504" s="23"/>
      <c r="W504" s="22"/>
      <c r="X504" s="116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</row>
    <row r="505" spans="4:38" ht="16.5" customHeight="1" x14ac:dyDescent="0.25">
      <c r="D505" s="23"/>
      <c r="W505" s="22"/>
      <c r="X505" s="116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</row>
    <row r="506" spans="4:38" ht="16.5" customHeight="1" x14ac:dyDescent="0.25">
      <c r="D506" s="23"/>
      <c r="W506" s="22"/>
      <c r="X506" s="116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</row>
    <row r="507" spans="4:38" ht="16.5" customHeight="1" x14ac:dyDescent="0.25">
      <c r="D507" s="23"/>
      <c r="W507" s="22"/>
      <c r="X507" s="116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</row>
    <row r="508" spans="4:38" ht="16.5" customHeight="1" x14ac:dyDescent="0.25">
      <c r="D508" s="23"/>
      <c r="W508" s="22"/>
      <c r="X508" s="116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</row>
    <row r="509" spans="4:38" ht="16.5" customHeight="1" x14ac:dyDescent="0.25">
      <c r="D509" s="23"/>
      <c r="W509" s="22"/>
      <c r="X509" s="116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</row>
    <row r="510" spans="4:38" ht="16.5" customHeight="1" x14ac:dyDescent="0.25">
      <c r="D510" s="23"/>
      <c r="W510" s="22"/>
      <c r="X510" s="116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</row>
    <row r="511" spans="4:38" ht="16.5" customHeight="1" x14ac:dyDescent="0.25">
      <c r="D511" s="23"/>
      <c r="W511" s="22"/>
      <c r="X511" s="116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</row>
    <row r="512" spans="4:38" ht="16.5" customHeight="1" x14ac:dyDescent="0.25">
      <c r="D512" s="23"/>
      <c r="W512" s="22"/>
      <c r="X512" s="116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</row>
    <row r="513" spans="4:38" ht="16.5" customHeight="1" x14ac:dyDescent="0.25">
      <c r="D513" s="23"/>
      <c r="W513" s="22"/>
      <c r="X513" s="116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</row>
    <row r="514" spans="4:38" ht="16.5" customHeight="1" x14ac:dyDescent="0.25">
      <c r="D514" s="23"/>
      <c r="W514" s="22"/>
      <c r="X514" s="116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</row>
    <row r="515" spans="4:38" ht="16.5" customHeight="1" x14ac:dyDescent="0.25">
      <c r="D515" s="23"/>
      <c r="W515" s="22"/>
      <c r="X515" s="116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</row>
    <row r="516" spans="4:38" ht="16.5" customHeight="1" x14ac:dyDescent="0.25">
      <c r="D516" s="23"/>
      <c r="W516" s="22"/>
      <c r="X516" s="116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</row>
    <row r="517" spans="4:38" ht="16.5" customHeight="1" x14ac:dyDescent="0.25">
      <c r="D517" s="23"/>
      <c r="W517" s="22"/>
      <c r="X517" s="116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</row>
    <row r="518" spans="4:38" ht="16.5" customHeight="1" x14ac:dyDescent="0.25">
      <c r="D518" s="23"/>
      <c r="W518" s="22"/>
      <c r="X518" s="116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</row>
    <row r="519" spans="4:38" ht="16.5" customHeight="1" x14ac:dyDescent="0.25">
      <c r="D519" s="23"/>
      <c r="W519" s="22"/>
      <c r="X519" s="116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</row>
    <row r="520" spans="4:38" ht="16.5" customHeight="1" x14ac:dyDescent="0.25">
      <c r="D520" s="23"/>
      <c r="W520" s="22"/>
      <c r="X520" s="116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</row>
    <row r="521" spans="4:38" ht="16.5" customHeight="1" x14ac:dyDescent="0.25">
      <c r="D521" s="23"/>
      <c r="W521" s="22"/>
      <c r="X521" s="116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</row>
    <row r="522" spans="4:38" ht="16.5" customHeight="1" x14ac:dyDescent="0.25">
      <c r="D522" s="23"/>
      <c r="W522" s="22"/>
      <c r="X522" s="116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</row>
    <row r="523" spans="4:38" ht="16.5" customHeight="1" x14ac:dyDescent="0.25">
      <c r="D523" s="23"/>
      <c r="W523" s="22"/>
      <c r="X523" s="116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</row>
    <row r="524" spans="4:38" ht="16.5" customHeight="1" x14ac:dyDescent="0.25">
      <c r="D524" s="23"/>
      <c r="W524" s="22"/>
      <c r="X524" s="116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</row>
    <row r="525" spans="4:38" ht="16.5" customHeight="1" x14ac:dyDescent="0.25">
      <c r="D525" s="23"/>
      <c r="W525" s="22"/>
      <c r="X525" s="116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</row>
    <row r="526" spans="4:38" ht="16.5" customHeight="1" x14ac:dyDescent="0.25">
      <c r="D526" s="23"/>
      <c r="W526" s="22"/>
      <c r="X526" s="116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</row>
    <row r="527" spans="4:38" ht="16.5" customHeight="1" x14ac:dyDescent="0.25">
      <c r="D527" s="23"/>
      <c r="W527" s="22"/>
      <c r="X527" s="116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</row>
    <row r="528" spans="4:38" ht="16.5" customHeight="1" x14ac:dyDescent="0.25">
      <c r="D528" s="23"/>
      <c r="W528" s="22"/>
      <c r="X528" s="116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</row>
    <row r="529" spans="4:38" ht="16.5" customHeight="1" x14ac:dyDescent="0.25">
      <c r="D529" s="23"/>
      <c r="W529" s="22"/>
      <c r="X529" s="116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</row>
    <row r="530" spans="4:38" ht="16.5" customHeight="1" x14ac:dyDescent="0.25">
      <c r="D530" s="23"/>
      <c r="W530" s="22"/>
      <c r="X530" s="116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</row>
    <row r="531" spans="4:38" ht="16.5" customHeight="1" x14ac:dyDescent="0.25">
      <c r="D531" s="23"/>
      <c r="W531" s="22"/>
      <c r="X531" s="116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</row>
    <row r="532" spans="4:38" ht="16.5" customHeight="1" x14ac:dyDescent="0.25">
      <c r="D532" s="23"/>
      <c r="W532" s="22"/>
      <c r="X532" s="116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</row>
    <row r="533" spans="4:38" ht="16.5" customHeight="1" x14ac:dyDescent="0.25">
      <c r="D533" s="23"/>
      <c r="W533" s="22"/>
      <c r="X533" s="116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</row>
    <row r="534" spans="4:38" ht="16.5" customHeight="1" x14ac:dyDescent="0.25">
      <c r="D534" s="23"/>
      <c r="W534" s="22"/>
      <c r="X534" s="116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</row>
    <row r="535" spans="4:38" ht="16.5" customHeight="1" x14ac:dyDescent="0.25">
      <c r="D535" s="23"/>
      <c r="W535" s="22"/>
      <c r="X535" s="116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</row>
    <row r="536" spans="4:38" ht="16.5" customHeight="1" x14ac:dyDescent="0.25">
      <c r="D536" s="23"/>
      <c r="W536" s="22"/>
      <c r="X536" s="116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</row>
    <row r="537" spans="4:38" ht="16.5" customHeight="1" x14ac:dyDescent="0.25">
      <c r="D537" s="23"/>
      <c r="W537" s="22"/>
      <c r="X537" s="116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</row>
    <row r="538" spans="4:38" ht="16.5" customHeight="1" x14ac:dyDescent="0.25">
      <c r="D538" s="23"/>
      <c r="W538" s="22"/>
      <c r="X538" s="116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</row>
    <row r="539" spans="4:38" ht="16.5" customHeight="1" x14ac:dyDescent="0.25">
      <c r="D539" s="23"/>
      <c r="W539" s="22"/>
      <c r="X539" s="116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</row>
    <row r="540" spans="4:38" ht="16.5" customHeight="1" x14ac:dyDescent="0.25">
      <c r="D540" s="23"/>
      <c r="W540" s="22"/>
      <c r="X540" s="116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</row>
    <row r="541" spans="4:38" ht="16.5" customHeight="1" x14ac:dyDescent="0.25">
      <c r="D541" s="23"/>
      <c r="W541" s="22"/>
      <c r="X541" s="116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</row>
    <row r="542" spans="4:38" ht="16.5" customHeight="1" x14ac:dyDescent="0.25">
      <c r="D542" s="23"/>
      <c r="W542" s="22"/>
      <c r="X542" s="116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</row>
    <row r="543" spans="4:38" ht="16.5" customHeight="1" x14ac:dyDescent="0.25">
      <c r="D543" s="23"/>
      <c r="W543" s="22"/>
      <c r="X543" s="116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</row>
    <row r="544" spans="4:38" ht="16.5" customHeight="1" x14ac:dyDescent="0.25">
      <c r="D544" s="23"/>
      <c r="W544" s="22"/>
      <c r="X544" s="116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</row>
    <row r="545" spans="4:38" ht="16.5" customHeight="1" x14ac:dyDescent="0.25">
      <c r="D545" s="23"/>
      <c r="W545" s="22"/>
      <c r="X545" s="116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</row>
    <row r="546" spans="4:38" ht="16.5" customHeight="1" x14ac:dyDescent="0.25">
      <c r="D546" s="23"/>
      <c r="W546" s="22"/>
      <c r="X546" s="116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</row>
    <row r="547" spans="4:38" ht="16.5" customHeight="1" x14ac:dyDescent="0.25">
      <c r="D547" s="23"/>
      <c r="W547" s="22"/>
      <c r="X547" s="116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</row>
    <row r="548" spans="4:38" ht="16.5" customHeight="1" x14ac:dyDescent="0.25">
      <c r="D548" s="23"/>
      <c r="W548" s="22"/>
      <c r="X548" s="116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</row>
    <row r="549" spans="4:38" ht="16.5" customHeight="1" x14ac:dyDescent="0.25">
      <c r="D549" s="23"/>
      <c r="W549" s="22"/>
      <c r="X549" s="116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</row>
    <row r="550" spans="4:38" ht="16.5" customHeight="1" x14ac:dyDescent="0.25">
      <c r="D550" s="23"/>
      <c r="W550" s="22"/>
      <c r="X550" s="116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</row>
    <row r="551" spans="4:38" ht="16.5" customHeight="1" x14ac:dyDescent="0.25">
      <c r="D551" s="23"/>
      <c r="W551" s="22"/>
      <c r="X551" s="116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</row>
    <row r="552" spans="4:38" ht="16.5" customHeight="1" x14ac:dyDescent="0.25">
      <c r="D552" s="23"/>
      <c r="W552" s="22"/>
      <c r="X552" s="116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</row>
    <row r="553" spans="4:38" ht="16.5" customHeight="1" x14ac:dyDescent="0.25">
      <c r="D553" s="23"/>
      <c r="W553" s="22"/>
      <c r="X553" s="116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</row>
    <row r="554" spans="4:38" ht="16.5" customHeight="1" x14ac:dyDescent="0.25">
      <c r="D554" s="23"/>
      <c r="W554" s="22"/>
      <c r="X554" s="116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</row>
    <row r="555" spans="4:38" ht="16.5" customHeight="1" x14ac:dyDescent="0.25">
      <c r="D555" s="23"/>
      <c r="W555" s="22"/>
      <c r="X555" s="116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</row>
    <row r="556" spans="4:38" ht="16.5" customHeight="1" x14ac:dyDescent="0.25">
      <c r="D556" s="23"/>
      <c r="W556" s="22"/>
      <c r="X556" s="116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</row>
    <row r="557" spans="4:38" ht="16.5" customHeight="1" x14ac:dyDescent="0.25">
      <c r="D557" s="23"/>
      <c r="W557" s="22"/>
      <c r="X557" s="116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</row>
    <row r="558" spans="4:38" ht="16.5" customHeight="1" x14ac:dyDescent="0.25">
      <c r="D558" s="23"/>
      <c r="W558" s="22"/>
      <c r="X558" s="116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</row>
    <row r="559" spans="4:38" ht="16.5" customHeight="1" x14ac:dyDescent="0.25">
      <c r="D559" s="23"/>
      <c r="W559" s="22"/>
      <c r="X559" s="116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</row>
    <row r="560" spans="4:38" ht="16.5" customHeight="1" x14ac:dyDescent="0.25">
      <c r="D560" s="23"/>
      <c r="W560" s="22"/>
      <c r="X560" s="116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</row>
    <row r="561" spans="4:38" ht="16.5" customHeight="1" x14ac:dyDescent="0.25">
      <c r="D561" s="23"/>
      <c r="W561" s="22"/>
      <c r="X561" s="116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</row>
    <row r="562" spans="4:38" ht="16.5" customHeight="1" x14ac:dyDescent="0.25">
      <c r="D562" s="23"/>
      <c r="W562" s="22"/>
      <c r="X562" s="116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</row>
    <row r="563" spans="4:38" ht="16.5" customHeight="1" x14ac:dyDescent="0.25">
      <c r="D563" s="23"/>
      <c r="W563" s="22"/>
      <c r="X563" s="116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</row>
    <row r="564" spans="4:38" ht="16.5" customHeight="1" x14ac:dyDescent="0.25">
      <c r="D564" s="23"/>
      <c r="W564" s="22"/>
      <c r="X564" s="116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</row>
    <row r="565" spans="4:38" ht="16.5" customHeight="1" x14ac:dyDescent="0.25">
      <c r="D565" s="23"/>
      <c r="W565" s="22"/>
      <c r="X565" s="116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</row>
    <row r="566" spans="4:38" ht="16.5" customHeight="1" x14ac:dyDescent="0.25">
      <c r="D566" s="23"/>
      <c r="W566" s="22"/>
      <c r="X566" s="116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</row>
    <row r="567" spans="4:38" ht="16.5" customHeight="1" x14ac:dyDescent="0.25">
      <c r="D567" s="23"/>
      <c r="W567" s="22"/>
      <c r="X567" s="116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</row>
    <row r="568" spans="4:38" ht="16.5" customHeight="1" x14ac:dyDescent="0.25"/>
    <row r="569" spans="4:38" ht="16.5" customHeight="1" x14ac:dyDescent="0.25"/>
    <row r="570" spans="4:38" ht="16.5" customHeight="1" x14ac:dyDescent="0.25"/>
    <row r="571" spans="4:38" ht="16.5" customHeight="1" x14ac:dyDescent="0.25"/>
    <row r="572" spans="4:38" ht="16.5" customHeight="1" x14ac:dyDescent="0.25"/>
    <row r="573" spans="4:38" ht="16.5" customHeight="1" x14ac:dyDescent="0.25"/>
    <row r="574" spans="4:38" ht="16.5" customHeight="1" x14ac:dyDescent="0.25"/>
    <row r="575" spans="4:38" ht="16.5" customHeight="1" x14ac:dyDescent="0.25"/>
  </sheetData>
  <sheetProtection algorithmName="SHA-512" hashValue="3Dwuki5UupKfGkyyO1ZcmkVhboOND8xdmAHHc0fKBu/xguN3gEMdZfaGyip9TVDVgDO8IfYsxZe/iz5yEqTeQw==" saltValue="vOkbUfZOXdGZZyNNb+cZWA==" spinCount="100000" sheet="1" objects="1" scenarios="1" selectLockedCells="1"/>
  <mergeCells count="328">
    <mergeCell ref="B4:W4"/>
    <mergeCell ref="T33:U33"/>
    <mergeCell ref="P34:Q34"/>
    <mergeCell ref="L48:O48"/>
    <mergeCell ref="P48:S48"/>
    <mergeCell ref="L43:O43"/>
    <mergeCell ref="P43:S43"/>
    <mergeCell ref="L22:M22"/>
    <mergeCell ref="L12:M12"/>
    <mergeCell ref="L13:M13"/>
    <mergeCell ref="L14:M14"/>
    <mergeCell ref="T14:U14"/>
    <mergeCell ref="T15:U15"/>
    <mergeCell ref="T34:U34"/>
    <mergeCell ref="L33:M33"/>
    <mergeCell ref="L34:M34"/>
    <mergeCell ref="N34:O34"/>
    <mergeCell ref="P33:Q33"/>
    <mergeCell ref="R34:S34"/>
    <mergeCell ref="R33:S33"/>
    <mergeCell ref="N29:O29"/>
    <mergeCell ref="T10:U10"/>
    <mergeCell ref="P27:Q27"/>
    <mergeCell ref="R22:S22"/>
    <mergeCell ref="R10:S10"/>
    <mergeCell ref="R11:S11"/>
    <mergeCell ref="R12:S12"/>
    <mergeCell ref="T11:U11"/>
    <mergeCell ref="T12:U12"/>
    <mergeCell ref="T13:U13"/>
    <mergeCell ref="P19:Q19"/>
    <mergeCell ref="P18:Q18"/>
    <mergeCell ref="T23:U23"/>
    <mergeCell ref="R23:S23"/>
    <mergeCell ref="T21:U21"/>
    <mergeCell ref="V15:W15"/>
    <mergeCell ref="V16:W16"/>
    <mergeCell ref="V17:W17"/>
    <mergeCell ref="V18:W18"/>
    <mergeCell ref="T18:U18"/>
    <mergeCell ref="R17:S17"/>
    <mergeCell ref="R18:S18"/>
    <mergeCell ref="V19:W19"/>
    <mergeCell ref="V20:W20"/>
    <mergeCell ref="R16:S16"/>
    <mergeCell ref="T19:U19"/>
    <mergeCell ref="R19:S19"/>
    <mergeCell ref="R20:S20"/>
    <mergeCell ref="T20:U20"/>
    <mergeCell ref="T16:U16"/>
    <mergeCell ref="T17:U17"/>
    <mergeCell ref="J6:V6"/>
    <mergeCell ref="P49:S49"/>
    <mergeCell ref="L62:S62"/>
    <mergeCell ref="T25:U25"/>
    <mergeCell ref="T26:U26"/>
    <mergeCell ref="T27:U27"/>
    <mergeCell ref="P9:S9"/>
    <mergeCell ref="V10:W10"/>
    <mergeCell ref="V11:W11"/>
    <mergeCell ref="V12:W12"/>
    <mergeCell ref="V13:W13"/>
    <mergeCell ref="V14:W14"/>
    <mergeCell ref="T9:U9"/>
    <mergeCell ref="V9:W9"/>
    <mergeCell ref="R13:S13"/>
    <mergeCell ref="R14:S14"/>
    <mergeCell ref="R15:S15"/>
    <mergeCell ref="V32:W32"/>
    <mergeCell ref="P29:Q29"/>
    <mergeCell ref="L44:O44"/>
    <mergeCell ref="P44:S44"/>
    <mergeCell ref="V28:W28"/>
    <mergeCell ref="V33:W33"/>
    <mergeCell ref="V34:W34"/>
    <mergeCell ref="Z19:AE19"/>
    <mergeCell ref="AF19:AK19"/>
    <mergeCell ref="AA20:AB20"/>
    <mergeCell ref="AC20:AD20"/>
    <mergeCell ref="AA21:AB21"/>
    <mergeCell ref="AC21:AD21"/>
    <mergeCell ref="AA22:AB22"/>
    <mergeCell ref="AC22:AD22"/>
    <mergeCell ref="AA24:AD24"/>
    <mergeCell ref="AG20:AH20"/>
    <mergeCell ref="AI20:AJ20"/>
    <mergeCell ref="AG21:AH21"/>
    <mergeCell ref="AI21:AJ21"/>
    <mergeCell ref="AG22:AH22"/>
    <mergeCell ref="AI22:AJ22"/>
    <mergeCell ref="AG24:AJ24"/>
    <mergeCell ref="V30:W30"/>
    <mergeCell ref="T32:U32"/>
    <mergeCell ref="V31:W31"/>
    <mergeCell ref="R31:S31"/>
    <mergeCell ref="V21:W21"/>
    <mergeCell ref="V22:W22"/>
    <mergeCell ref="V23:W23"/>
    <mergeCell ref="V24:W24"/>
    <mergeCell ref="V25:W25"/>
    <mergeCell ref="V26:W26"/>
    <mergeCell ref="V27:W27"/>
    <mergeCell ref="T30:U30"/>
    <mergeCell ref="V29:W29"/>
    <mergeCell ref="R30:S30"/>
    <mergeCell ref="T31:U31"/>
    <mergeCell ref="T24:U24"/>
    <mergeCell ref="T28:U28"/>
    <mergeCell ref="R29:S29"/>
    <mergeCell ref="T29:U29"/>
    <mergeCell ref="R26:S26"/>
    <mergeCell ref="R27:S27"/>
    <mergeCell ref="J21:K21"/>
    <mergeCell ref="J22:K22"/>
    <mergeCell ref="J23:K23"/>
    <mergeCell ref="N28:O28"/>
    <mergeCell ref="AE27:AF27"/>
    <mergeCell ref="AE28:AF28"/>
    <mergeCell ref="AE26:AF26"/>
    <mergeCell ref="R25:S25"/>
    <mergeCell ref="T22:U22"/>
    <mergeCell ref="J27:K27"/>
    <mergeCell ref="L25:M25"/>
    <mergeCell ref="P26:Q26"/>
    <mergeCell ref="L23:M23"/>
    <mergeCell ref="L24:M24"/>
    <mergeCell ref="L26:M26"/>
    <mergeCell ref="L27:M27"/>
    <mergeCell ref="J28:K28"/>
    <mergeCell ref="N26:O26"/>
    <mergeCell ref="P25:Q25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L15:M15"/>
    <mergeCell ref="L16:M16"/>
    <mergeCell ref="N18:O18"/>
    <mergeCell ref="N12:O12"/>
    <mergeCell ref="N13:O13"/>
    <mergeCell ref="N14:O14"/>
    <mergeCell ref="N15:O15"/>
    <mergeCell ref="N16:O16"/>
    <mergeCell ref="L17:M17"/>
    <mergeCell ref="L78:S78"/>
    <mergeCell ref="L64:S64"/>
    <mergeCell ref="L65:S65"/>
    <mergeCell ref="L63:S63"/>
    <mergeCell ref="L49:O49"/>
    <mergeCell ref="L51:S51"/>
    <mergeCell ref="L52:S52"/>
    <mergeCell ref="L53:S53"/>
    <mergeCell ref="L54:S54"/>
    <mergeCell ref="P68:S68"/>
    <mergeCell ref="L68:O68"/>
    <mergeCell ref="L69:O69"/>
    <mergeCell ref="L55:S55"/>
    <mergeCell ref="L73:S73"/>
    <mergeCell ref="L76:S76"/>
    <mergeCell ref="L61:S61"/>
    <mergeCell ref="L58:S58"/>
    <mergeCell ref="L57:S57"/>
    <mergeCell ref="L70:S70"/>
    <mergeCell ref="L71:S71"/>
    <mergeCell ref="L67:O67"/>
    <mergeCell ref="L72:S72"/>
    <mergeCell ref="P69:S69"/>
    <mergeCell ref="L46:S46"/>
    <mergeCell ref="L59:S59"/>
    <mergeCell ref="N27:O27"/>
    <mergeCell ref="L37:O37"/>
    <mergeCell ref="P40:S40"/>
    <mergeCell ref="N31:O31"/>
    <mergeCell ref="P31:Q31"/>
    <mergeCell ref="N33:O33"/>
    <mergeCell ref="L77:S77"/>
    <mergeCell ref="N32:O32"/>
    <mergeCell ref="P32:Q32"/>
    <mergeCell ref="L38:O38"/>
    <mergeCell ref="P38:S38"/>
    <mergeCell ref="L42:O42"/>
    <mergeCell ref="R28:S28"/>
    <mergeCell ref="L47:S47"/>
    <mergeCell ref="L39:O39"/>
    <mergeCell ref="P39:S39"/>
    <mergeCell ref="L40:O40"/>
    <mergeCell ref="L30:M30"/>
    <mergeCell ref="L28:M28"/>
    <mergeCell ref="R32:S32"/>
    <mergeCell ref="P30:Q30"/>
    <mergeCell ref="N30:O30"/>
    <mergeCell ref="L81:S81"/>
    <mergeCell ref="L98:S98"/>
    <mergeCell ref="L102:S102"/>
    <mergeCell ref="L106:S106"/>
    <mergeCell ref="L110:S110"/>
    <mergeCell ref="L103:O103"/>
    <mergeCell ref="P107:S107"/>
    <mergeCell ref="L119:O119"/>
    <mergeCell ref="P119:S119"/>
    <mergeCell ref="L93:O93"/>
    <mergeCell ref="P90:S90"/>
    <mergeCell ref="P89:S89"/>
    <mergeCell ref="L84:S84"/>
    <mergeCell ref="L89:O89"/>
    <mergeCell ref="P111:S111"/>
    <mergeCell ref="L107:O107"/>
    <mergeCell ref="L118:S118"/>
    <mergeCell ref="J33:K33"/>
    <mergeCell ref="J32:K32"/>
    <mergeCell ref="L32:M32"/>
    <mergeCell ref="J31:K31"/>
    <mergeCell ref="L31:M31"/>
    <mergeCell ref="J29:K29"/>
    <mergeCell ref="L29:M29"/>
    <mergeCell ref="J30:K30"/>
    <mergeCell ref="D194:U195"/>
    <mergeCell ref="L172:S172"/>
    <mergeCell ref="L169:S169"/>
    <mergeCell ref="L191:O191"/>
    <mergeCell ref="P191:S191"/>
    <mergeCell ref="L192:S192"/>
    <mergeCell ref="P103:S103"/>
    <mergeCell ref="L90:O90"/>
    <mergeCell ref="P93:S93"/>
    <mergeCell ref="L114:O114"/>
    <mergeCell ref="P114:S114"/>
    <mergeCell ref="L99:O99"/>
    <mergeCell ref="P99:S99"/>
    <mergeCell ref="L94:O94"/>
    <mergeCell ref="P94:S94"/>
    <mergeCell ref="L111:O111"/>
    <mergeCell ref="L174:O174"/>
    <mergeCell ref="P174:S174"/>
    <mergeCell ref="L179:O179"/>
    <mergeCell ref="P179:S179"/>
    <mergeCell ref="L181:O181"/>
    <mergeCell ref="P181:S181"/>
    <mergeCell ref="L173:S173"/>
    <mergeCell ref="L176:S176"/>
    <mergeCell ref="D127:U128"/>
    <mergeCell ref="D142:U144"/>
    <mergeCell ref="L132:S132"/>
    <mergeCell ref="L139:S139"/>
    <mergeCell ref="L164:S164"/>
    <mergeCell ref="L165:S165"/>
    <mergeCell ref="P147:S147"/>
    <mergeCell ref="L159:S159"/>
    <mergeCell ref="L156:O156"/>
    <mergeCell ref="P150:S150"/>
    <mergeCell ref="P156:S156"/>
    <mergeCell ref="L124:O124"/>
    <mergeCell ref="P124:S124"/>
    <mergeCell ref="L120:O120"/>
    <mergeCell ref="P120:S120"/>
    <mergeCell ref="D135:U136"/>
    <mergeCell ref="L131:O131"/>
    <mergeCell ref="P131:S131"/>
    <mergeCell ref="L187:S187"/>
    <mergeCell ref="L184:S184"/>
    <mergeCell ref="L167:O167"/>
    <mergeCell ref="L125:S125"/>
    <mergeCell ref="P167:S167"/>
    <mergeCell ref="L140:S140"/>
    <mergeCell ref="L154:S154"/>
    <mergeCell ref="L157:O157"/>
    <mergeCell ref="P157:S157"/>
    <mergeCell ref="L133:S133"/>
    <mergeCell ref="L160:O160"/>
    <mergeCell ref="P160:S160"/>
    <mergeCell ref="L153:S153"/>
    <mergeCell ref="L147:O147"/>
    <mergeCell ref="L148:O148"/>
    <mergeCell ref="P148:S148"/>
    <mergeCell ref="L150:O150"/>
    <mergeCell ref="J7:V7"/>
    <mergeCell ref="L18:M18"/>
    <mergeCell ref="N17:O17"/>
    <mergeCell ref="N19:O19"/>
    <mergeCell ref="L21:M21"/>
    <mergeCell ref="J18:K18"/>
    <mergeCell ref="N10:O10"/>
    <mergeCell ref="N11:O11"/>
    <mergeCell ref="N21:O21"/>
    <mergeCell ref="P17:Q17"/>
    <mergeCell ref="P20:Q20"/>
    <mergeCell ref="L19:M19"/>
    <mergeCell ref="L20:M20"/>
    <mergeCell ref="P10:Q10"/>
    <mergeCell ref="P11:Q11"/>
    <mergeCell ref="P12:Q12"/>
    <mergeCell ref="P13:Q13"/>
    <mergeCell ref="P14:Q14"/>
    <mergeCell ref="P15:Q15"/>
    <mergeCell ref="P16:Q16"/>
    <mergeCell ref="J19:K19"/>
    <mergeCell ref="J20:K20"/>
    <mergeCell ref="L11:M11"/>
    <mergeCell ref="L10:M10"/>
    <mergeCell ref="B1:AL2"/>
    <mergeCell ref="L79:S79"/>
    <mergeCell ref="L83:S83"/>
    <mergeCell ref="P67:S67"/>
    <mergeCell ref="L80:S80"/>
    <mergeCell ref="N20:O20"/>
    <mergeCell ref="P42:S42"/>
    <mergeCell ref="P21:Q21"/>
    <mergeCell ref="R21:S21"/>
    <mergeCell ref="L36:S36"/>
    <mergeCell ref="N22:O22"/>
    <mergeCell ref="N23:O23"/>
    <mergeCell ref="P22:Q22"/>
    <mergeCell ref="P23:Q23"/>
    <mergeCell ref="P28:Q28"/>
    <mergeCell ref="N24:O24"/>
    <mergeCell ref="N25:O25"/>
    <mergeCell ref="P24:Q24"/>
    <mergeCell ref="R24:S24"/>
    <mergeCell ref="P37:S37"/>
    <mergeCell ref="J34:K34"/>
    <mergeCell ref="J24:K24"/>
    <mergeCell ref="J25:K25"/>
    <mergeCell ref="J26:K26"/>
  </mergeCells>
  <pageMargins left="0.25" right="0.25" top="0.75" bottom="0.75" header="0.3" footer="0.3"/>
  <pageSetup paperSize="9" scale="71" orientation="portrait" cellComments="asDisplayed" r:id="rId1"/>
  <drawing r:id="rId2"/>
  <legacyDrawing r:id="rId3"/>
  <controls>
    <mc:AlternateContent xmlns:mc="http://schemas.openxmlformats.org/markup-compatibility/2006">
      <mc:Choice Requires="x14">
        <control shapeId="17518" r:id="rId4" name="CommandButton42">
          <controlPr defaultSize="0" autoLine="0" r:id="rId5">
            <anchor moveWithCells="1">
              <from>
                <xdr:col>24</xdr:col>
                <xdr:colOff>57150</xdr:colOff>
                <xdr:row>186</xdr:row>
                <xdr:rowOff>47625</xdr:rowOff>
              </from>
              <to>
                <xdr:col>24</xdr:col>
                <xdr:colOff>219075</xdr:colOff>
                <xdr:row>186</xdr:row>
                <xdr:rowOff>190500</xdr:rowOff>
              </to>
            </anchor>
          </controlPr>
        </control>
      </mc:Choice>
      <mc:Fallback>
        <control shapeId="17518" r:id="rId4" name="CommandButton42"/>
      </mc:Fallback>
    </mc:AlternateContent>
    <mc:AlternateContent xmlns:mc="http://schemas.openxmlformats.org/markup-compatibility/2006">
      <mc:Choice Requires="x14">
        <control shapeId="17517" r:id="rId6" name="CommandButton41">
          <controlPr defaultSize="0" autoLine="0" r:id="rId7">
            <anchor moveWithCells="1">
              <from>
                <xdr:col>24</xdr:col>
                <xdr:colOff>57150</xdr:colOff>
                <xdr:row>6</xdr:row>
                <xdr:rowOff>47625</xdr:rowOff>
              </from>
              <to>
                <xdr:col>24</xdr:col>
                <xdr:colOff>219075</xdr:colOff>
                <xdr:row>6</xdr:row>
                <xdr:rowOff>190500</xdr:rowOff>
              </to>
            </anchor>
          </controlPr>
        </control>
      </mc:Choice>
      <mc:Fallback>
        <control shapeId="17517" r:id="rId6" name="CommandButton41"/>
      </mc:Fallback>
    </mc:AlternateContent>
    <mc:AlternateContent xmlns:mc="http://schemas.openxmlformats.org/markup-compatibility/2006">
      <mc:Choice Requires="x14">
        <control shapeId="17516" r:id="rId8" name="CommandButton40">
          <controlPr defaultSize="0" autoLine="0" r:id="rId9">
            <anchor moveWithCells="1">
              <from>
                <xdr:col>24</xdr:col>
                <xdr:colOff>57150</xdr:colOff>
                <xdr:row>5</xdr:row>
                <xdr:rowOff>47625</xdr:rowOff>
              </from>
              <to>
                <xdr:col>24</xdr:col>
                <xdr:colOff>219075</xdr:colOff>
                <xdr:row>5</xdr:row>
                <xdr:rowOff>190500</xdr:rowOff>
              </to>
            </anchor>
          </controlPr>
        </control>
      </mc:Choice>
      <mc:Fallback>
        <control shapeId="17516" r:id="rId8" name="CommandButton40"/>
      </mc:Fallback>
    </mc:AlternateContent>
    <mc:AlternateContent xmlns:mc="http://schemas.openxmlformats.org/markup-compatibility/2006">
      <mc:Choice Requires="x14">
        <control shapeId="17515" r:id="rId10" name="CommandButton39">
          <controlPr defaultSize="0" autoLine="0" r:id="rId11">
            <anchor moveWithCells="1">
              <from>
                <xdr:col>24</xdr:col>
                <xdr:colOff>57150</xdr:colOff>
                <xdr:row>4</xdr:row>
                <xdr:rowOff>47625</xdr:rowOff>
              </from>
              <to>
                <xdr:col>24</xdr:col>
                <xdr:colOff>219075</xdr:colOff>
                <xdr:row>4</xdr:row>
                <xdr:rowOff>190500</xdr:rowOff>
              </to>
            </anchor>
          </controlPr>
        </control>
      </mc:Choice>
      <mc:Fallback>
        <control shapeId="17515" r:id="rId10" name="CommandButton39"/>
      </mc:Fallback>
    </mc:AlternateContent>
    <mc:AlternateContent xmlns:mc="http://schemas.openxmlformats.org/markup-compatibility/2006">
      <mc:Choice Requires="x14">
        <control shapeId="17500" r:id="rId12" name="CommandButton24">
          <controlPr defaultSize="0" autoLine="0" autoPict="0" r:id="rId13">
            <anchor moveWithCells="1">
              <from>
                <xdr:col>24</xdr:col>
                <xdr:colOff>57150</xdr:colOff>
                <xdr:row>149</xdr:row>
                <xdr:rowOff>47625</xdr:rowOff>
              </from>
              <to>
                <xdr:col>24</xdr:col>
                <xdr:colOff>219075</xdr:colOff>
                <xdr:row>149</xdr:row>
                <xdr:rowOff>190500</xdr:rowOff>
              </to>
            </anchor>
          </controlPr>
        </control>
      </mc:Choice>
      <mc:Fallback>
        <control shapeId="17500" r:id="rId12" name="CommandButton24"/>
      </mc:Fallback>
    </mc:AlternateContent>
    <mc:AlternateContent xmlns:mc="http://schemas.openxmlformats.org/markup-compatibility/2006">
      <mc:Choice Requires="x14">
        <control shapeId="17499" r:id="rId14" name="CommandButton23">
          <controlPr defaultSize="0" autoLine="0" autoPict="0" r:id="rId15">
            <anchor moveWithCells="1">
              <from>
                <xdr:col>24</xdr:col>
                <xdr:colOff>57150</xdr:colOff>
                <xdr:row>121</xdr:row>
                <xdr:rowOff>47625</xdr:rowOff>
              </from>
              <to>
                <xdr:col>24</xdr:col>
                <xdr:colOff>219075</xdr:colOff>
                <xdr:row>121</xdr:row>
                <xdr:rowOff>190500</xdr:rowOff>
              </to>
            </anchor>
          </controlPr>
        </control>
      </mc:Choice>
      <mc:Fallback>
        <control shapeId="17499" r:id="rId14" name="CommandButton23"/>
      </mc:Fallback>
    </mc:AlternateContent>
    <mc:AlternateContent xmlns:mc="http://schemas.openxmlformats.org/markup-compatibility/2006">
      <mc:Choice Requires="x14">
        <control shapeId="17498" r:id="rId16" name="CommandButton22">
          <controlPr defaultSize="0" autoLine="0" autoPict="0" r:id="rId17">
            <anchor moveWithCells="1">
              <from>
                <xdr:col>24</xdr:col>
                <xdr:colOff>57150</xdr:colOff>
                <xdr:row>130</xdr:row>
                <xdr:rowOff>47625</xdr:rowOff>
              </from>
              <to>
                <xdr:col>24</xdr:col>
                <xdr:colOff>219075</xdr:colOff>
                <xdr:row>130</xdr:row>
                <xdr:rowOff>190500</xdr:rowOff>
              </to>
            </anchor>
          </controlPr>
        </control>
      </mc:Choice>
      <mc:Fallback>
        <control shapeId="17498" r:id="rId16" name="CommandButton22"/>
      </mc:Fallback>
    </mc:AlternateContent>
    <mc:AlternateContent xmlns:mc="http://schemas.openxmlformats.org/markup-compatibility/2006">
      <mc:Choice Requires="x14">
        <control shapeId="17497" r:id="rId18" name="CommandButton11">
          <controlPr defaultSize="0" autoLine="0" autoPict="0" r:id="rId19">
            <anchor moveWithCells="1">
              <from>
                <xdr:col>24</xdr:col>
                <xdr:colOff>57150</xdr:colOff>
                <xdr:row>123</xdr:row>
                <xdr:rowOff>47625</xdr:rowOff>
              </from>
              <to>
                <xdr:col>24</xdr:col>
                <xdr:colOff>219075</xdr:colOff>
                <xdr:row>123</xdr:row>
                <xdr:rowOff>190500</xdr:rowOff>
              </to>
            </anchor>
          </controlPr>
        </control>
      </mc:Choice>
      <mc:Fallback>
        <control shapeId="17497" r:id="rId18" name="CommandButton11"/>
      </mc:Fallback>
    </mc:AlternateContent>
    <mc:AlternateContent xmlns:mc="http://schemas.openxmlformats.org/markup-compatibility/2006">
      <mc:Choice Requires="x14">
        <control shapeId="17492" r:id="rId20" name="OptionButton2">
          <controlPr defaultSize="0" autoLine="0" r:id="rId21">
            <anchor moveWithCells="1">
              <from>
                <xdr:col>3</xdr:col>
                <xdr:colOff>38100</xdr:colOff>
                <xdr:row>114</xdr:row>
                <xdr:rowOff>28575</xdr:rowOff>
              </from>
              <to>
                <xdr:col>3</xdr:col>
                <xdr:colOff>190500</xdr:colOff>
                <xdr:row>114</xdr:row>
                <xdr:rowOff>190500</xdr:rowOff>
              </to>
            </anchor>
          </controlPr>
        </control>
      </mc:Choice>
      <mc:Fallback>
        <control shapeId="17492" r:id="rId20" name="OptionButton2"/>
      </mc:Fallback>
    </mc:AlternateContent>
    <mc:AlternateContent xmlns:mc="http://schemas.openxmlformats.org/markup-compatibility/2006">
      <mc:Choice Requires="x14">
        <control shapeId="17491" r:id="rId22" name="OptionButton1">
          <controlPr defaultSize="0" autoLine="0" r:id="rId23">
            <anchor moveWithCells="1">
              <from>
                <xdr:col>3</xdr:col>
                <xdr:colOff>38100</xdr:colOff>
                <xdr:row>113</xdr:row>
                <xdr:rowOff>28575</xdr:rowOff>
              </from>
              <to>
                <xdr:col>3</xdr:col>
                <xdr:colOff>190500</xdr:colOff>
                <xdr:row>113</xdr:row>
                <xdr:rowOff>190500</xdr:rowOff>
              </to>
            </anchor>
          </controlPr>
        </control>
      </mc:Choice>
      <mc:Fallback>
        <control shapeId="17491" r:id="rId22" name="OptionButton1"/>
      </mc:Fallback>
    </mc:AlternateContent>
    <mc:AlternateContent xmlns:mc="http://schemas.openxmlformats.org/markup-compatibility/2006">
      <mc:Choice Requires="x14">
        <control shapeId="17490" r:id="rId24" name="CommandButton17">
          <controlPr defaultSize="0" autoLine="0" autoPict="0" r:id="rId25">
            <anchor moveWithCells="1">
              <from>
                <xdr:col>24</xdr:col>
                <xdr:colOff>57150</xdr:colOff>
                <xdr:row>79</xdr:row>
                <xdr:rowOff>47625</xdr:rowOff>
              </from>
              <to>
                <xdr:col>24</xdr:col>
                <xdr:colOff>219075</xdr:colOff>
                <xdr:row>79</xdr:row>
                <xdr:rowOff>190500</xdr:rowOff>
              </to>
            </anchor>
          </controlPr>
        </control>
      </mc:Choice>
      <mc:Fallback>
        <control shapeId="17490" r:id="rId24" name="CommandButton17"/>
      </mc:Fallback>
    </mc:AlternateContent>
    <mc:AlternateContent xmlns:mc="http://schemas.openxmlformats.org/markup-compatibility/2006">
      <mc:Choice Requires="x14">
        <control shapeId="17489" r:id="rId26" name="CommandButton16">
          <controlPr defaultSize="0" autoLine="0" autoPict="0" r:id="rId27">
            <anchor moveWithCells="1">
              <from>
                <xdr:col>24</xdr:col>
                <xdr:colOff>57150</xdr:colOff>
                <xdr:row>78</xdr:row>
                <xdr:rowOff>47625</xdr:rowOff>
              </from>
              <to>
                <xdr:col>24</xdr:col>
                <xdr:colOff>219075</xdr:colOff>
                <xdr:row>78</xdr:row>
                <xdr:rowOff>190500</xdr:rowOff>
              </to>
            </anchor>
          </controlPr>
        </control>
      </mc:Choice>
      <mc:Fallback>
        <control shapeId="17489" r:id="rId26" name="CommandButton16"/>
      </mc:Fallback>
    </mc:AlternateContent>
    <mc:AlternateContent xmlns:mc="http://schemas.openxmlformats.org/markup-compatibility/2006">
      <mc:Choice Requires="x14">
        <control shapeId="17487" r:id="rId28" name="CommandButton15">
          <controlPr defaultSize="0" autoLine="0" autoPict="0" r:id="rId29">
            <anchor moveWithCells="1">
              <from>
                <xdr:col>24</xdr:col>
                <xdr:colOff>57150</xdr:colOff>
                <xdr:row>112</xdr:row>
                <xdr:rowOff>47625</xdr:rowOff>
              </from>
              <to>
                <xdr:col>24</xdr:col>
                <xdr:colOff>219075</xdr:colOff>
                <xdr:row>112</xdr:row>
                <xdr:rowOff>190500</xdr:rowOff>
              </to>
            </anchor>
          </controlPr>
        </control>
      </mc:Choice>
      <mc:Fallback>
        <control shapeId="17487" r:id="rId28" name="CommandButton15"/>
      </mc:Fallback>
    </mc:AlternateContent>
    <mc:AlternateContent xmlns:mc="http://schemas.openxmlformats.org/markup-compatibility/2006">
      <mc:Choice Requires="x14">
        <control shapeId="17486" r:id="rId30" name="CommandButton14">
          <controlPr defaultSize="0" autoLine="0" autoPict="0" r:id="rId31">
            <anchor moveWithCells="1">
              <from>
                <xdr:col>24</xdr:col>
                <xdr:colOff>57150</xdr:colOff>
                <xdr:row>75</xdr:row>
                <xdr:rowOff>47625</xdr:rowOff>
              </from>
              <to>
                <xdr:col>24</xdr:col>
                <xdr:colOff>219075</xdr:colOff>
                <xdr:row>75</xdr:row>
                <xdr:rowOff>190500</xdr:rowOff>
              </to>
            </anchor>
          </controlPr>
        </control>
      </mc:Choice>
      <mc:Fallback>
        <control shapeId="17486" r:id="rId30" name="CommandButton14"/>
      </mc:Fallback>
    </mc:AlternateContent>
    <mc:AlternateContent xmlns:mc="http://schemas.openxmlformats.org/markup-compatibility/2006">
      <mc:Choice Requires="x14">
        <control shapeId="17484" r:id="rId32" name="CommandButton13">
          <controlPr defaultSize="0" autoLine="0" autoPict="0" r:id="rId33">
            <anchor moveWithCells="1">
              <from>
                <xdr:col>24</xdr:col>
                <xdr:colOff>57150</xdr:colOff>
                <xdr:row>66</xdr:row>
                <xdr:rowOff>47625</xdr:rowOff>
              </from>
              <to>
                <xdr:col>24</xdr:col>
                <xdr:colOff>219075</xdr:colOff>
                <xdr:row>66</xdr:row>
                <xdr:rowOff>190500</xdr:rowOff>
              </to>
            </anchor>
          </controlPr>
        </control>
      </mc:Choice>
      <mc:Fallback>
        <control shapeId="17484" r:id="rId32" name="CommandButton13"/>
      </mc:Fallback>
    </mc:AlternateContent>
    <mc:AlternateContent xmlns:mc="http://schemas.openxmlformats.org/markup-compatibility/2006">
      <mc:Choice Requires="x14">
        <control shapeId="17481" r:id="rId34" name="CommandButton10">
          <controlPr defaultSize="0" autoLine="0" autoPict="0" r:id="rId35">
            <anchor moveWithCells="1">
              <from>
                <xdr:col>24</xdr:col>
                <xdr:colOff>57150</xdr:colOff>
                <xdr:row>41</xdr:row>
                <xdr:rowOff>47625</xdr:rowOff>
              </from>
              <to>
                <xdr:col>24</xdr:col>
                <xdr:colOff>219075</xdr:colOff>
                <xdr:row>41</xdr:row>
                <xdr:rowOff>190500</xdr:rowOff>
              </to>
            </anchor>
          </controlPr>
        </control>
      </mc:Choice>
      <mc:Fallback>
        <control shapeId="17481" r:id="rId34" name="CommandButton10"/>
      </mc:Fallback>
    </mc:AlternateContent>
    <mc:AlternateContent xmlns:mc="http://schemas.openxmlformats.org/markup-compatibility/2006">
      <mc:Choice Requires="x14">
        <control shapeId="17480" r:id="rId36" name="CommandButton9">
          <controlPr defaultSize="0" autoLine="0" autoPict="0" r:id="rId37">
            <anchor moveWithCells="1">
              <from>
                <xdr:col>24</xdr:col>
                <xdr:colOff>57150</xdr:colOff>
                <xdr:row>42</xdr:row>
                <xdr:rowOff>47625</xdr:rowOff>
              </from>
              <to>
                <xdr:col>24</xdr:col>
                <xdr:colOff>219075</xdr:colOff>
                <xdr:row>42</xdr:row>
                <xdr:rowOff>190500</xdr:rowOff>
              </to>
            </anchor>
          </controlPr>
        </control>
      </mc:Choice>
      <mc:Fallback>
        <control shapeId="17480" r:id="rId36" name="CommandButton9"/>
      </mc:Fallback>
    </mc:AlternateContent>
    <mc:AlternateContent xmlns:mc="http://schemas.openxmlformats.org/markup-compatibility/2006">
      <mc:Choice Requires="x14">
        <control shapeId="17479" r:id="rId38" name="CommandButton8">
          <controlPr defaultSize="0" autoLine="0" autoPict="0" r:id="rId39">
            <anchor moveWithCells="1">
              <from>
                <xdr:col>24</xdr:col>
                <xdr:colOff>57150</xdr:colOff>
                <xdr:row>13</xdr:row>
                <xdr:rowOff>47625</xdr:rowOff>
              </from>
              <to>
                <xdr:col>24</xdr:col>
                <xdr:colOff>219075</xdr:colOff>
                <xdr:row>13</xdr:row>
                <xdr:rowOff>190500</xdr:rowOff>
              </to>
            </anchor>
          </controlPr>
        </control>
      </mc:Choice>
      <mc:Fallback>
        <control shapeId="17479" r:id="rId38" name="CommandButton8"/>
      </mc:Fallback>
    </mc:AlternateContent>
    <mc:AlternateContent xmlns:mc="http://schemas.openxmlformats.org/markup-compatibility/2006">
      <mc:Choice Requires="x14">
        <control shapeId="17475" r:id="rId40" name="CommandButton4">
          <controlPr defaultSize="0" autoLine="0" autoPict="0" r:id="rId41">
            <anchor moveWithCells="1">
              <from>
                <xdr:col>24</xdr:col>
                <xdr:colOff>57150</xdr:colOff>
                <xdr:row>82</xdr:row>
                <xdr:rowOff>47625</xdr:rowOff>
              </from>
              <to>
                <xdr:col>24</xdr:col>
                <xdr:colOff>219075</xdr:colOff>
                <xdr:row>82</xdr:row>
                <xdr:rowOff>190500</xdr:rowOff>
              </to>
            </anchor>
          </controlPr>
        </control>
      </mc:Choice>
      <mc:Fallback>
        <control shapeId="17475" r:id="rId40" name="CommandButton4"/>
      </mc:Fallback>
    </mc:AlternateContent>
    <mc:AlternateContent xmlns:mc="http://schemas.openxmlformats.org/markup-compatibility/2006">
      <mc:Choice Requires="x14">
        <control shapeId="17474" r:id="rId42" name="CommandButton3">
          <controlPr defaultSize="0" autoLine="0" autoPict="0" r:id="rId43">
            <anchor moveWithCells="1">
              <from>
                <xdr:col>24</xdr:col>
                <xdr:colOff>57150</xdr:colOff>
                <xdr:row>38</xdr:row>
                <xdr:rowOff>47625</xdr:rowOff>
              </from>
              <to>
                <xdr:col>24</xdr:col>
                <xdr:colOff>219075</xdr:colOff>
                <xdr:row>38</xdr:row>
                <xdr:rowOff>190500</xdr:rowOff>
              </to>
            </anchor>
          </controlPr>
        </control>
      </mc:Choice>
      <mc:Fallback>
        <control shapeId="17474" r:id="rId42" name="CommandButton3"/>
      </mc:Fallback>
    </mc:AlternateContent>
    <mc:AlternateContent xmlns:mc="http://schemas.openxmlformats.org/markup-compatibility/2006">
      <mc:Choice Requires="x14">
        <control shapeId="17473" r:id="rId44" name="CommandButton2">
          <controlPr defaultSize="0" autoLine="0" autoPict="0" r:id="rId45">
            <anchor moveWithCells="1">
              <from>
                <xdr:col>24</xdr:col>
                <xdr:colOff>57150</xdr:colOff>
                <xdr:row>10</xdr:row>
                <xdr:rowOff>47625</xdr:rowOff>
              </from>
              <to>
                <xdr:col>24</xdr:col>
                <xdr:colOff>219075</xdr:colOff>
                <xdr:row>10</xdr:row>
                <xdr:rowOff>190500</xdr:rowOff>
              </to>
            </anchor>
          </controlPr>
        </control>
      </mc:Choice>
      <mc:Fallback>
        <control shapeId="17473" r:id="rId44" name="CommandButton2"/>
      </mc:Fallback>
    </mc:AlternateContent>
    <mc:AlternateContent xmlns:mc="http://schemas.openxmlformats.org/markup-compatibility/2006">
      <mc:Choice Requires="x14">
        <control shapeId="17472" r:id="rId46" name="CommandButton1">
          <controlPr defaultSize="0" autoLine="0" autoPict="0" r:id="rId47">
            <anchor moveWithCells="1">
              <from>
                <xdr:col>24</xdr:col>
                <xdr:colOff>57150</xdr:colOff>
                <xdr:row>9</xdr:row>
                <xdr:rowOff>47625</xdr:rowOff>
              </from>
              <to>
                <xdr:col>24</xdr:col>
                <xdr:colOff>219075</xdr:colOff>
                <xdr:row>9</xdr:row>
                <xdr:rowOff>190500</xdr:rowOff>
              </to>
            </anchor>
          </controlPr>
        </control>
      </mc:Choice>
      <mc:Fallback>
        <control shapeId="17472" r:id="rId46" name="CommandButton1"/>
      </mc:Fallback>
    </mc:AlternateContent>
    <mc:AlternateContent xmlns:mc="http://schemas.openxmlformats.org/markup-compatibility/2006">
      <mc:Choice Requires="x14">
        <control shapeId="17476" r:id="rId48" name="CommandButton5">
          <controlPr defaultSize="0" autoLine="0" autoPict="0" r:id="rId49">
            <anchor moveWithCells="1">
              <from>
                <xdr:col>24</xdr:col>
                <xdr:colOff>57150</xdr:colOff>
                <xdr:row>12</xdr:row>
                <xdr:rowOff>47625</xdr:rowOff>
              </from>
              <to>
                <xdr:col>24</xdr:col>
                <xdr:colOff>219075</xdr:colOff>
                <xdr:row>12</xdr:row>
                <xdr:rowOff>190500</xdr:rowOff>
              </to>
            </anchor>
          </controlPr>
        </control>
      </mc:Choice>
      <mc:Fallback>
        <control shapeId="17476" r:id="rId48" name="CommandButton5"/>
      </mc:Fallback>
    </mc:AlternateContent>
    <mc:AlternateContent xmlns:mc="http://schemas.openxmlformats.org/markup-compatibility/2006">
      <mc:Choice Requires="x14">
        <control shapeId="17477" r:id="rId50" name="CommandButton6">
          <controlPr defaultSize="0" autoLine="0" autoPict="0" r:id="rId51">
            <anchor moveWithCells="1">
              <from>
                <xdr:col>24</xdr:col>
                <xdr:colOff>57150</xdr:colOff>
                <xdr:row>83</xdr:row>
                <xdr:rowOff>47625</xdr:rowOff>
              </from>
              <to>
                <xdr:col>24</xdr:col>
                <xdr:colOff>219075</xdr:colOff>
                <xdr:row>83</xdr:row>
                <xdr:rowOff>190500</xdr:rowOff>
              </to>
            </anchor>
          </controlPr>
        </control>
      </mc:Choice>
      <mc:Fallback>
        <control shapeId="17477" r:id="rId50" name="CommandButton6"/>
      </mc:Fallback>
    </mc:AlternateContent>
    <mc:AlternateContent xmlns:mc="http://schemas.openxmlformats.org/markup-compatibility/2006">
      <mc:Choice Requires="x14">
        <control shapeId="17478" r:id="rId52" name="CommandButton7">
          <controlPr defaultSize="0" autoLine="0" autoPict="0" r:id="rId53">
            <anchor moveWithCells="1">
              <from>
                <xdr:col>24</xdr:col>
                <xdr:colOff>57150</xdr:colOff>
                <xdr:row>17</xdr:row>
                <xdr:rowOff>47625</xdr:rowOff>
              </from>
              <to>
                <xdr:col>24</xdr:col>
                <xdr:colOff>219075</xdr:colOff>
                <xdr:row>17</xdr:row>
                <xdr:rowOff>190500</xdr:rowOff>
              </to>
            </anchor>
          </controlPr>
        </control>
      </mc:Choice>
      <mc:Fallback>
        <control shapeId="17478" r:id="rId52" name="CommandButton7"/>
      </mc:Fallback>
    </mc:AlternateContent>
    <mc:AlternateContent xmlns:mc="http://schemas.openxmlformats.org/markup-compatibility/2006">
      <mc:Choice Requires="x14">
        <control shapeId="17483" r:id="rId54" name="CommandButton12">
          <controlPr defaultSize="0" autoLine="0" autoPict="0" r:id="rId55">
            <anchor moveWithCells="1">
              <from>
                <xdr:col>24</xdr:col>
                <xdr:colOff>57150</xdr:colOff>
                <xdr:row>51</xdr:row>
                <xdr:rowOff>47625</xdr:rowOff>
              </from>
              <to>
                <xdr:col>24</xdr:col>
                <xdr:colOff>219075</xdr:colOff>
                <xdr:row>51</xdr:row>
                <xdr:rowOff>190500</xdr:rowOff>
              </to>
            </anchor>
          </controlPr>
        </control>
      </mc:Choice>
      <mc:Fallback>
        <control shapeId="17483" r:id="rId54" name="CommandButton12"/>
      </mc:Fallback>
    </mc:AlternateContent>
    <mc:AlternateContent xmlns:mc="http://schemas.openxmlformats.org/markup-compatibility/2006">
      <mc:Choice Requires="x14">
        <control shapeId="17493" r:id="rId56" name="CommandButton18">
          <controlPr defaultSize="0" autoLine="0" autoPict="0" r:id="rId57">
            <anchor moveWithCells="1">
              <from>
                <xdr:col>24</xdr:col>
                <xdr:colOff>57150</xdr:colOff>
                <xdr:row>96</xdr:row>
                <xdr:rowOff>47625</xdr:rowOff>
              </from>
              <to>
                <xdr:col>24</xdr:col>
                <xdr:colOff>219075</xdr:colOff>
                <xdr:row>96</xdr:row>
                <xdr:rowOff>190500</xdr:rowOff>
              </to>
            </anchor>
          </controlPr>
        </control>
      </mc:Choice>
      <mc:Fallback>
        <control shapeId="17493" r:id="rId56" name="CommandButton18"/>
      </mc:Fallback>
    </mc:AlternateContent>
    <mc:AlternateContent xmlns:mc="http://schemas.openxmlformats.org/markup-compatibility/2006">
      <mc:Choice Requires="x14">
        <control shapeId="17494" r:id="rId58" name="CommandButton19">
          <controlPr defaultSize="0" autoLine="0" autoPict="0" r:id="rId59">
            <anchor moveWithCells="1">
              <from>
                <xdr:col>24</xdr:col>
                <xdr:colOff>57150</xdr:colOff>
                <xdr:row>100</xdr:row>
                <xdr:rowOff>47625</xdr:rowOff>
              </from>
              <to>
                <xdr:col>24</xdr:col>
                <xdr:colOff>219075</xdr:colOff>
                <xdr:row>100</xdr:row>
                <xdr:rowOff>190500</xdr:rowOff>
              </to>
            </anchor>
          </controlPr>
        </control>
      </mc:Choice>
      <mc:Fallback>
        <control shapeId="17494" r:id="rId58" name="CommandButton19"/>
      </mc:Fallback>
    </mc:AlternateContent>
    <mc:AlternateContent xmlns:mc="http://schemas.openxmlformats.org/markup-compatibility/2006">
      <mc:Choice Requires="x14">
        <control shapeId="17495" r:id="rId60" name="CommandButton20">
          <controlPr defaultSize="0" autoLine="0" autoPict="0" r:id="rId61">
            <anchor moveWithCells="1">
              <from>
                <xdr:col>24</xdr:col>
                <xdr:colOff>57150</xdr:colOff>
                <xdr:row>104</xdr:row>
                <xdr:rowOff>47625</xdr:rowOff>
              </from>
              <to>
                <xdr:col>24</xdr:col>
                <xdr:colOff>219075</xdr:colOff>
                <xdr:row>104</xdr:row>
                <xdr:rowOff>190500</xdr:rowOff>
              </to>
            </anchor>
          </controlPr>
        </control>
      </mc:Choice>
      <mc:Fallback>
        <control shapeId="17495" r:id="rId60" name="CommandButton20"/>
      </mc:Fallback>
    </mc:AlternateContent>
    <mc:AlternateContent xmlns:mc="http://schemas.openxmlformats.org/markup-compatibility/2006">
      <mc:Choice Requires="x14">
        <control shapeId="17496" r:id="rId62" name="CommandButton21">
          <controlPr defaultSize="0" autoLine="0" autoPict="0" r:id="rId63">
            <anchor moveWithCells="1">
              <from>
                <xdr:col>24</xdr:col>
                <xdr:colOff>57150</xdr:colOff>
                <xdr:row>119</xdr:row>
                <xdr:rowOff>47625</xdr:rowOff>
              </from>
              <to>
                <xdr:col>24</xdr:col>
                <xdr:colOff>219075</xdr:colOff>
                <xdr:row>119</xdr:row>
                <xdr:rowOff>190500</xdr:rowOff>
              </to>
            </anchor>
          </controlPr>
        </control>
      </mc:Choice>
      <mc:Fallback>
        <control shapeId="17496" r:id="rId62" name="CommandButton21"/>
      </mc:Fallback>
    </mc:AlternateContent>
    <mc:AlternateContent xmlns:mc="http://schemas.openxmlformats.org/markup-compatibility/2006">
      <mc:Choice Requires="x14">
        <control shapeId="17501" r:id="rId64" name="CommandButton25">
          <controlPr defaultSize="0" autoLine="0" autoPict="0" r:id="rId65">
            <anchor moveWithCells="1">
              <from>
                <xdr:col>24</xdr:col>
                <xdr:colOff>57150</xdr:colOff>
                <xdr:row>152</xdr:row>
                <xdr:rowOff>47625</xdr:rowOff>
              </from>
              <to>
                <xdr:col>24</xdr:col>
                <xdr:colOff>219075</xdr:colOff>
                <xdr:row>152</xdr:row>
                <xdr:rowOff>190500</xdr:rowOff>
              </to>
            </anchor>
          </controlPr>
        </control>
      </mc:Choice>
      <mc:Fallback>
        <control shapeId="17501" r:id="rId64" name="CommandButton25"/>
      </mc:Fallback>
    </mc:AlternateContent>
    <mc:AlternateContent xmlns:mc="http://schemas.openxmlformats.org/markup-compatibility/2006">
      <mc:Choice Requires="x14">
        <control shapeId="17502" r:id="rId66" name="CommandButton26">
          <controlPr defaultSize="0" autoLine="0" autoPict="0" r:id="rId67">
            <anchor moveWithCells="1">
              <from>
                <xdr:col>24</xdr:col>
                <xdr:colOff>57150</xdr:colOff>
                <xdr:row>153</xdr:row>
                <xdr:rowOff>47625</xdr:rowOff>
              </from>
              <to>
                <xdr:col>24</xdr:col>
                <xdr:colOff>219075</xdr:colOff>
                <xdr:row>153</xdr:row>
                <xdr:rowOff>190500</xdr:rowOff>
              </to>
            </anchor>
          </controlPr>
        </control>
      </mc:Choice>
      <mc:Fallback>
        <control shapeId="17502" r:id="rId66" name="CommandButton26"/>
      </mc:Fallback>
    </mc:AlternateContent>
    <mc:AlternateContent xmlns:mc="http://schemas.openxmlformats.org/markup-compatibility/2006">
      <mc:Choice Requires="x14">
        <control shapeId="17503" r:id="rId68" name="CommandButton27">
          <controlPr defaultSize="0" autoLine="0" autoPict="0" r:id="rId69">
            <anchor moveWithCells="1">
              <from>
                <xdr:col>24</xdr:col>
                <xdr:colOff>57150</xdr:colOff>
                <xdr:row>151</xdr:row>
                <xdr:rowOff>47625</xdr:rowOff>
              </from>
              <to>
                <xdr:col>24</xdr:col>
                <xdr:colOff>219075</xdr:colOff>
                <xdr:row>151</xdr:row>
                <xdr:rowOff>190500</xdr:rowOff>
              </to>
            </anchor>
          </controlPr>
        </control>
      </mc:Choice>
      <mc:Fallback>
        <control shapeId="17503" r:id="rId68" name="CommandButton27"/>
      </mc:Fallback>
    </mc:AlternateContent>
    <mc:AlternateContent xmlns:mc="http://schemas.openxmlformats.org/markup-compatibility/2006">
      <mc:Choice Requires="x14">
        <control shapeId="17504" r:id="rId70" name="CommandButton28">
          <controlPr defaultSize="0" autoLine="0" r:id="rId71">
            <anchor moveWithCells="1">
              <from>
                <xdr:col>24</xdr:col>
                <xdr:colOff>57150</xdr:colOff>
                <xdr:row>163</xdr:row>
                <xdr:rowOff>47625</xdr:rowOff>
              </from>
              <to>
                <xdr:col>24</xdr:col>
                <xdr:colOff>219075</xdr:colOff>
                <xdr:row>163</xdr:row>
                <xdr:rowOff>190500</xdr:rowOff>
              </to>
            </anchor>
          </controlPr>
        </control>
      </mc:Choice>
      <mc:Fallback>
        <control shapeId="17504" r:id="rId70" name="CommandButton28"/>
      </mc:Fallback>
    </mc:AlternateContent>
    <mc:AlternateContent xmlns:mc="http://schemas.openxmlformats.org/markup-compatibility/2006">
      <mc:Choice Requires="x14">
        <control shapeId="17505" r:id="rId72" name="CommandButton29">
          <controlPr defaultSize="0" autoLine="0" r:id="rId73">
            <anchor moveWithCells="1">
              <from>
                <xdr:col>24</xdr:col>
                <xdr:colOff>57150</xdr:colOff>
                <xdr:row>164</xdr:row>
                <xdr:rowOff>47625</xdr:rowOff>
              </from>
              <to>
                <xdr:col>24</xdr:col>
                <xdr:colOff>219075</xdr:colOff>
                <xdr:row>164</xdr:row>
                <xdr:rowOff>190500</xdr:rowOff>
              </to>
            </anchor>
          </controlPr>
        </control>
      </mc:Choice>
      <mc:Fallback>
        <control shapeId="17505" r:id="rId72" name="CommandButton29"/>
      </mc:Fallback>
    </mc:AlternateContent>
    <mc:AlternateContent xmlns:mc="http://schemas.openxmlformats.org/markup-compatibility/2006">
      <mc:Choice Requires="x14">
        <control shapeId="17506" r:id="rId74" name="CommandButton30">
          <controlPr defaultSize="0" autoLine="0" r:id="rId75">
            <anchor moveWithCells="1">
              <from>
                <xdr:col>24</xdr:col>
                <xdr:colOff>57150</xdr:colOff>
                <xdr:row>162</xdr:row>
                <xdr:rowOff>47625</xdr:rowOff>
              </from>
              <to>
                <xdr:col>24</xdr:col>
                <xdr:colOff>219075</xdr:colOff>
                <xdr:row>162</xdr:row>
                <xdr:rowOff>190500</xdr:rowOff>
              </to>
            </anchor>
          </controlPr>
        </control>
      </mc:Choice>
      <mc:Fallback>
        <control shapeId="17506" r:id="rId74" name="CommandButton30"/>
      </mc:Fallback>
    </mc:AlternateContent>
    <mc:AlternateContent xmlns:mc="http://schemas.openxmlformats.org/markup-compatibility/2006">
      <mc:Choice Requires="x14">
        <control shapeId="17507" r:id="rId76" name="CommandButton31">
          <controlPr defaultSize="0" autoLine="0" r:id="rId77">
            <anchor moveWithCells="1">
              <from>
                <xdr:col>24</xdr:col>
                <xdr:colOff>57150</xdr:colOff>
                <xdr:row>170</xdr:row>
                <xdr:rowOff>47625</xdr:rowOff>
              </from>
              <to>
                <xdr:col>24</xdr:col>
                <xdr:colOff>219075</xdr:colOff>
                <xdr:row>170</xdr:row>
                <xdr:rowOff>190500</xdr:rowOff>
              </to>
            </anchor>
          </controlPr>
        </control>
      </mc:Choice>
      <mc:Fallback>
        <control shapeId="17507" r:id="rId76" name="CommandButton31"/>
      </mc:Fallback>
    </mc:AlternateContent>
    <mc:AlternateContent xmlns:mc="http://schemas.openxmlformats.org/markup-compatibility/2006">
      <mc:Choice Requires="x14">
        <control shapeId="17508" r:id="rId78" name="CommandButton32">
          <controlPr defaultSize="0" autoLine="0" r:id="rId79">
            <anchor moveWithCells="1">
              <from>
                <xdr:col>24</xdr:col>
                <xdr:colOff>57150</xdr:colOff>
                <xdr:row>175</xdr:row>
                <xdr:rowOff>47625</xdr:rowOff>
              </from>
              <to>
                <xdr:col>24</xdr:col>
                <xdr:colOff>219075</xdr:colOff>
                <xdr:row>175</xdr:row>
                <xdr:rowOff>190500</xdr:rowOff>
              </to>
            </anchor>
          </controlPr>
        </control>
      </mc:Choice>
      <mc:Fallback>
        <control shapeId="17508" r:id="rId78" name="CommandButton32"/>
      </mc:Fallback>
    </mc:AlternateContent>
    <mc:AlternateContent xmlns:mc="http://schemas.openxmlformats.org/markup-compatibility/2006">
      <mc:Choice Requires="x14">
        <control shapeId="17509" r:id="rId80" name="CommandButton33">
          <controlPr defaultSize="0" autoLine="0" r:id="rId81">
            <anchor moveWithCells="1">
              <from>
                <xdr:col>24</xdr:col>
                <xdr:colOff>57150</xdr:colOff>
                <xdr:row>176</xdr:row>
                <xdr:rowOff>47625</xdr:rowOff>
              </from>
              <to>
                <xdr:col>24</xdr:col>
                <xdr:colOff>219075</xdr:colOff>
                <xdr:row>176</xdr:row>
                <xdr:rowOff>190500</xdr:rowOff>
              </to>
            </anchor>
          </controlPr>
        </control>
      </mc:Choice>
      <mc:Fallback>
        <control shapeId="17509" r:id="rId80" name="CommandButton33"/>
      </mc:Fallback>
    </mc:AlternateContent>
    <mc:AlternateContent xmlns:mc="http://schemas.openxmlformats.org/markup-compatibility/2006">
      <mc:Choice Requires="x14">
        <control shapeId="17510" r:id="rId82" name="CommandButton34">
          <controlPr defaultSize="0" autoLine="0" r:id="rId83">
            <anchor moveWithCells="1">
              <from>
                <xdr:col>24</xdr:col>
                <xdr:colOff>57150</xdr:colOff>
                <xdr:row>180</xdr:row>
                <xdr:rowOff>47625</xdr:rowOff>
              </from>
              <to>
                <xdr:col>24</xdr:col>
                <xdr:colOff>219075</xdr:colOff>
                <xdr:row>180</xdr:row>
                <xdr:rowOff>190500</xdr:rowOff>
              </to>
            </anchor>
          </controlPr>
        </control>
      </mc:Choice>
      <mc:Fallback>
        <control shapeId="17510" r:id="rId82" name="CommandButton34"/>
      </mc:Fallback>
    </mc:AlternateContent>
    <mc:AlternateContent xmlns:mc="http://schemas.openxmlformats.org/markup-compatibility/2006">
      <mc:Choice Requires="x14">
        <control shapeId="17511" r:id="rId84" name="CommandButton35">
          <controlPr defaultSize="0" autoLine="0" r:id="rId85">
            <anchor moveWithCells="1">
              <from>
                <xdr:col>24</xdr:col>
                <xdr:colOff>57150</xdr:colOff>
                <xdr:row>183</xdr:row>
                <xdr:rowOff>47625</xdr:rowOff>
              </from>
              <to>
                <xdr:col>24</xdr:col>
                <xdr:colOff>219075</xdr:colOff>
                <xdr:row>183</xdr:row>
                <xdr:rowOff>190500</xdr:rowOff>
              </to>
            </anchor>
          </controlPr>
        </control>
      </mc:Choice>
      <mc:Fallback>
        <control shapeId="17511" r:id="rId84" name="CommandButton35"/>
      </mc:Fallback>
    </mc:AlternateContent>
    <mc:AlternateContent xmlns:mc="http://schemas.openxmlformats.org/markup-compatibility/2006">
      <mc:Choice Requires="x14">
        <control shapeId="17512" r:id="rId86" name="CommandButton36">
          <controlPr defaultSize="0" autoLine="0" r:id="rId87">
            <anchor moveWithCells="1">
              <from>
                <xdr:col>24</xdr:col>
                <xdr:colOff>57150</xdr:colOff>
                <xdr:row>184</xdr:row>
                <xdr:rowOff>47625</xdr:rowOff>
              </from>
              <to>
                <xdr:col>24</xdr:col>
                <xdr:colOff>219075</xdr:colOff>
                <xdr:row>184</xdr:row>
                <xdr:rowOff>190500</xdr:rowOff>
              </to>
            </anchor>
          </controlPr>
        </control>
      </mc:Choice>
      <mc:Fallback>
        <control shapeId="17512" r:id="rId86" name="CommandButton36"/>
      </mc:Fallback>
    </mc:AlternateContent>
    <mc:AlternateContent xmlns:mc="http://schemas.openxmlformats.org/markup-compatibility/2006">
      <mc:Choice Requires="x14">
        <control shapeId="17513" r:id="rId88" name="CommandButton37">
          <controlPr defaultSize="0" autoLine="0" r:id="rId89">
            <anchor moveWithCells="1">
              <from>
                <xdr:col>24</xdr:col>
                <xdr:colOff>57150</xdr:colOff>
                <xdr:row>187</xdr:row>
                <xdr:rowOff>47625</xdr:rowOff>
              </from>
              <to>
                <xdr:col>24</xdr:col>
                <xdr:colOff>219075</xdr:colOff>
                <xdr:row>187</xdr:row>
                <xdr:rowOff>190500</xdr:rowOff>
              </to>
            </anchor>
          </controlPr>
        </control>
      </mc:Choice>
      <mc:Fallback>
        <control shapeId="17513" r:id="rId88" name="CommandButton37"/>
      </mc:Fallback>
    </mc:AlternateContent>
    <mc:AlternateContent xmlns:mc="http://schemas.openxmlformats.org/markup-compatibility/2006">
      <mc:Choice Requires="x14">
        <control shapeId="17514" r:id="rId90" name="CommandButton38">
          <controlPr defaultSize="0" autoLine="0" r:id="rId91">
            <anchor moveWithCells="1">
              <from>
                <xdr:col>24</xdr:col>
                <xdr:colOff>57150</xdr:colOff>
                <xdr:row>189</xdr:row>
                <xdr:rowOff>47625</xdr:rowOff>
              </from>
              <to>
                <xdr:col>24</xdr:col>
                <xdr:colOff>219075</xdr:colOff>
                <xdr:row>189</xdr:row>
                <xdr:rowOff>190500</xdr:rowOff>
              </to>
            </anchor>
          </controlPr>
        </control>
      </mc:Choice>
      <mc:Fallback>
        <control shapeId="17514" r:id="rId90" name="CommandButton3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:N416"/>
  <sheetViews>
    <sheetView showGridLines="0" workbookViewId="0">
      <selection activeCell="G9" sqref="G9:N9"/>
    </sheetView>
  </sheetViews>
  <sheetFormatPr defaultRowHeight="12.75" x14ac:dyDescent="0.2"/>
  <cols>
    <col min="1" max="5" width="4.140625" style="76" customWidth="1"/>
    <col min="6" max="6" width="4.140625" style="77" customWidth="1"/>
    <col min="7" max="43" width="4.140625" style="76" customWidth="1"/>
    <col min="44" max="16384" width="9.140625" style="76"/>
  </cols>
  <sheetData>
    <row r="1" spans="6:14" ht="16.5" customHeight="1" x14ac:dyDescent="0.2"/>
    <row r="2" spans="6:14" ht="16.5" customHeight="1" x14ac:dyDescent="0.2"/>
    <row r="3" spans="6:14" ht="16.5" customHeight="1" x14ac:dyDescent="0.2">
      <c r="G3" s="85" t="s">
        <v>206</v>
      </c>
      <c r="H3" s="84"/>
      <c r="I3" s="84"/>
      <c r="J3" s="84"/>
      <c r="K3" s="84"/>
      <c r="L3" s="84"/>
      <c r="M3" s="84"/>
      <c r="N3" s="84"/>
    </row>
    <row r="4" spans="6:14" ht="16.5" customHeight="1" x14ac:dyDescent="0.2">
      <c r="G4" s="235"/>
      <c r="H4" s="235"/>
      <c r="I4" s="235"/>
      <c r="J4" s="235"/>
      <c r="K4" s="235">
        <v>354.64708055775299</v>
      </c>
      <c r="L4" s="235"/>
      <c r="M4" s="235"/>
      <c r="N4" s="235"/>
    </row>
    <row r="5" spans="6:14" ht="16.5" customHeight="1" x14ac:dyDescent="0.2"/>
    <row r="6" spans="6:14" ht="16.5" customHeight="1" x14ac:dyDescent="0.2">
      <c r="G6" s="85" t="s">
        <v>210</v>
      </c>
      <c r="H6" s="84"/>
      <c r="I6" s="84"/>
      <c r="J6" s="84"/>
      <c r="K6" s="84"/>
      <c r="L6" s="84"/>
      <c r="M6" s="84"/>
      <c r="N6" s="84"/>
    </row>
    <row r="7" spans="6:14" ht="16.5" customHeight="1" x14ac:dyDescent="0.2">
      <c r="F7" s="77" t="s">
        <v>141</v>
      </c>
      <c r="G7" s="167">
        <f>IF('Calc. Sheet'!L106="","",1/(1-'Calc. Sheet'!L106))</f>
        <v>1.1619885647688344</v>
      </c>
      <c r="H7" s="167"/>
      <c r="I7" s="167"/>
      <c r="J7" s="167"/>
      <c r="K7" s="167"/>
      <c r="L7" s="167"/>
      <c r="M7" s="167"/>
      <c r="N7" s="167"/>
    </row>
    <row r="8" spans="6:14" ht="16.5" customHeight="1" x14ac:dyDescent="0.2">
      <c r="F8" s="78" t="s">
        <v>134</v>
      </c>
      <c r="G8" s="167" t="str">
        <f>IF(OR('Calc. Sheet'!L46="", 'Calc. Sheet'!L78="", 'Calc. Sheet'!L110=""),"",LOG('Calc. Sheet'!L46)/((1-'Calc. Sheet'!L110)*LOG('Calc. Sheet'!L46)-LOG('Calc. Sheet'!L77/'Calc. Sheet'!L76)))</f>
        <v/>
      </c>
      <c r="H8" s="167"/>
      <c r="I8" s="167"/>
      <c r="J8" s="167"/>
      <c r="K8" s="167"/>
      <c r="L8" s="167"/>
      <c r="M8" s="167"/>
      <c r="N8" s="167"/>
    </row>
    <row r="9" spans="6:14" ht="16.5" customHeight="1" x14ac:dyDescent="0.2">
      <c r="G9" s="235">
        <v>1.1619885647688299</v>
      </c>
      <c r="H9" s="235"/>
      <c r="I9" s="235"/>
      <c r="J9" s="235"/>
      <c r="K9" s="235"/>
      <c r="L9" s="235"/>
      <c r="M9" s="235"/>
      <c r="N9" s="235"/>
    </row>
    <row r="10" spans="6:14" ht="16.5" customHeight="1" x14ac:dyDescent="0.2"/>
    <row r="11" spans="6:14" ht="16.5" customHeight="1" x14ac:dyDescent="0.2"/>
    <row r="12" spans="6:14" ht="16.5" customHeight="1" x14ac:dyDescent="0.2"/>
    <row r="13" spans="6:14" ht="16.5" customHeight="1" x14ac:dyDescent="0.2"/>
    <row r="14" spans="6:14" ht="16.5" customHeight="1" x14ac:dyDescent="0.2"/>
    <row r="15" spans="6:14" ht="16.5" customHeight="1" x14ac:dyDescent="0.2"/>
    <row r="16" spans="6:14" ht="16.5" customHeight="1" x14ac:dyDescent="0.2"/>
    <row r="17" ht="16.5" customHeight="1" x14ac:dyDescent="0.2"/>
    <row r="18" ht="16.5" customHeight="1" x14ac:dyDescent="0.2"/>
    <row r="19" ht="16.5" customHeight="1" x14ac:dyDescent="0.2"/>
    <row r="20" ht="16.5" customHeight="1" x14ac:dyDescent="0.2"/>
    <row r="21" ht="16.5" customHeight="1" x14ac:dyDescent="0.2"/>
    <row r="22" ht="16.5" customHeight="1" x14ac:dyDescent="0.2"/>
    <row r="23" ht="16.5" customHeight="1" x14ac:dyDescent="0.2"/>
    <row r="24" ht="16.5" customHeight="1" x14ac:dyDescent="0.2"/>
    <row r="25" ht="16.5" customHeight="1" x14ac:dyDescent="0.2"/>
    <row r="26" ht="16.5" customHeight="1" x14ac:dyDescent="0.2"/>
    <row r="27" ht="16.5" customHeight="1" x14ac:dyDescent="0.2"/>
    <row r="28" ht="16.5" customHeight="1" x14ac:dyDescent="0.2"/>
    <row r="29" ht="16.5" customHeight="1" x14ac:dyDescent="0.2"/>
    <row r="30" ht="16.5" customHeight="1" x14ac:dyDescent="0.2"/>
    <row r="31" ht="16.5" customHeight="1" x14ac:dyDescent="0.2"/>
    <row r="32" ht="16.5" customHeight="1" x14ac:dyDescent="0.2"/>
    <row r="33" ht="16.5" customHeight="1" x14ac:dyDescent="0.2"/>
    <row r="34" ht="16.5" customHeight="1" x14ac:dyDescent="0.2"/>
    <row r="35" ht="16.5" customHeight="1" x14ac:dyDescent="0.2"/>
    <row r="36" ht="16.5" customHeight="1" x14ac:dyDescent="0.2"/>
    <row r="37" ht="16.5" customHeight="1" x14ac:dyDescent="0.2"/>
    <row r="38" ht="16.5" customHeight="1" x14ac:dyDescent="0.2"/>
    <row r="39" ht="16.5" customHeight="1" x14ac:dyDescent="0.2"/>
    <row r="40" ht="16.5" customHeight="1" x14ac:dyDescent="0.2"/>
    <row r="41" ht="16.5" customHeight="1" x14ac:dyDescent="0.2"/>
    <row r="42" ht="16.5" customHeight="1" x14ac:dyDescent="0.2"/>
    <row r="43" ht="16.5" customHeight="1" x14ac:dyDescent="0.2"/>
    <row r="44" ht="16.5" customHeight="1" x14ac:dyDescent="0.2"/>
    <row r="45" ht="16.5" customHeight="1" x14ac:dyDescent="0.2"/>
    <row r="46" ht="16.5" customHeight="1" x14ac:dyDescent="0.2"/>
    <row r="47" ht="16.5" customHeight="1" x14ac:dyDescent="0.2"/>
    <row r="48" ht="16.5" customHeight="1" x14ac:dyDescent="0.2"/>
    <row r="49" ht="16.5" customHeight="1" x14ac:dyDescent="0.2"/>
    <row r="50" ht="16.5" customHeight="1" x14ac:dyDescent="0.2"/>
    <row r="51" ht="16.5" customHeight="1" x14ac:dyDescent="0.2"/>
    <row r="52" ht="16.5" customHeight="1" x14ac:dyDescent="0.2"/>
    <row r="53" ht="16.5" customHeight="1" x14ac:dyDescent="0.2"/>
    <row r="54" ht="16.5" customHeight="1" x14ac:dyDescent="0.2"/>
    <row r="55" ht="16.5" customHeight="1" x14ac:dyDescent="0.2"/>
    <row r="56" ht="16.5" customHeight="1" x14ac:dyDescent="0.2"/>
    <row r="57" ht="16.5" customHeight="1" x14ac:dyDescent="0.2"/>
    <row r="58" ht="16.5" customHeight="1" x14ac:dyDescent="0.2"/>
    <row r="59" ht="16.5" customHeight="1" x14ac:dyDescent="0.2"/>
    <row r="60" ht="16.5" customHeight="1" x14ac:dyDescent="0.2"/>
    <row r="61" ht="16.5" customHeight="1" x14ac:dyDescent="0.2"/>
    <row r="62" ht="16.5" customHeight="1" x14ac:dyDescent="0.2"/>
    <row r="63" ht="16.5" customHeight="1" x14ac:dyDescent="0.2"/>
    <row r="64" ht="16.5" customHeight="1" x14ac:dyDescent="0.2"/>
    <row r="65" ht="16.5" customHeight="1" x14ac:dyDescent="0.2"/>
    <row r="66" ht="16.5" customHeight="1" x14ac:dyDescent="0.2"/>
    <row r="67" ht="16.5" customHeight="1" x14ac:dyDescent="0.2"/>
    <row r="68" ht="16.5" customHeight="1" x14ac:dyDescent="0.2"/>
    <row r="69" ht="16.5" customHeight="1" x14ac:dyDescent="0.2"/>
    <row r="70" ht="16.5" customHeight="1" x14ac:dyDescent="0.2"/>
    <row r="71" ht="16.5" customHeight="1" x14ac:dyDescent="0.2"/>
    <row r="72" ht="16.5" customHeight="1" x14ac:dyDescent="0.2"/>
    <row r="73" ht="16.5" customHeight="1" x14ac:dyDescent="0.2"/>
    <row r="74" ht="16.5" customHeight="1" x14ac:dyDescent="0.2"/>
    <row r="75" ht="16.5" customHeight="1" x14ac:dyDescent="0.2"/>
    <row r="76" ht="16.5" customHeight="1" x14ac:dyDescent="0.2"/>
    <row r="77" ht="16.5" customHeight="1" x14ac:dyDescent="0.2"/>
    <row r="78" ht="16.5" customHeight="1" x14ac:dyDescent="0.2"/>
    <row r="79" ht="16.5" customHeight="1" x14ac:dyDescent="0.2"/>
    <row r="80" ht="16.5" customHeight="1" x14ac:dyDescent="0.2"/>
    <row r="81" ht="16.5" customHeight="1" x14ac:dyDescent="0.2"/>
    <row r="82" ht="16.5" customHeight="1" x14ac:dyDescent="0.2"/>
    <row r="83" ht="16.5" customHeight="1" x14ac:dyDescent="0.2"/>
    <row r="84" ht="16.5" customHeight="1" x14ac:dyDescent="0.2"/>
    <row r="85" ht="16.5" customHeight="1" x14ac:dyDescent="0.2"/>
    <row r="86" ht="16.5" customHeight="1" x14ac:dyDescent="0.2"/>
    <row r="87" ht="16.5" customHeight="1" x14ac:dyDescent="0.2"/>
    <row r="88" ht="16.5" customHeight="1" x14ac:dyDescent="0.2"/>
    <row r="89" ht="16.5" customHeight="1" x14ac:dyDescent="0.2"/>
    <row r="90" ht="16.5" customHeight="1" x14ac:dyDescent="0.2"/>
    <row r="91" ht="16.5" customHeight="1" x14ac:dyDescent="0.2"/>
    <row r="92" ht="16.5" customHeight="1" x14ac:dyDescent="0.2"/>
    <row r="93" ht="16.5" customHeight="1" x14ac:dyDescent="0.2"/>
    <row r="94" ht="16.5" customHeight="1" x14ac:dyDescent="0.2"/>
    <row r="95" ht="16.5" customHeight="1" x14ac:dyDescent="0.2"/>
    <row r="96" ht="16.5" customHeight="1" x14ac:dyDescent="0.2"/>
    <row r="97" ht="16.5" customHeight="1" x14ac:dyDescent="0.2"/>
    <row r="98" ht="16.5" customHeight="1" x14ac:dyDescent="0.2"/>
    <row r="99" ht="16.5" customHeight="1" x14ac:dyDescent="0.2"/>
    <row r="100" ht="16.5" customHeight="1" x14ac:dyDescent="0.2"/>
    <row r="101" ht="16.5" customHeight="1" x14ac:dyDescent="0.2"/>
    <row r="102" ht="16.5" customHeight="1" x14ac:dyDescent="0.2"/>
    <row r="103" ht="16.5" customHeight="1" x14ac:dyDescent="0.2"/>
    <row r="104" ht="16.5" customHeight="1" x14ac:dyDescent="0.2"/>
    <row r="105" ht="16.5" customHeight="1" x14ac:dyDescent="0.2"/>
    <row r="106" ht="16.5" customHeight="1" x14ac:dyDescent="0.2"/>
    <row r="107" ht="16.5" customHeight="1" x14ac:dyDescent="0.2"/>
    <row r="108" ht="16.5" customHeight="1" x14ac:dyDescent="0.2"/>
    <row r="109" ht="16.5" customHeight="1" x14ac:dyDescent="0.2"/>
    <row r="110" ht="16.5" customHeight="1" x14ac:dyDescent="0.2"/>
    <row r="111" ht="16.5" customHeight="1" x14ac:dyDescent="0.2"/>
    <row r="112" ht="16.5" customHeight="1" x14ac:dyDescent="0.2"/>
    <row r="113" ht="16.5" customHeight="1" x14ac:dyDescent="0.2"/>
    <row r="114" ht="16.5" customHeight="1" x14ac:dyDescent="0.2"/>
    <row r="115" ht="16.5" customHeight="1" x14ac:dyDescent="0.2"/>
    <row r="116" ht="16.5" customHeight="1" x14ac:dyDescent="0.2"/>
    <row r="117" ht="16.5" customHeight="1" x14ac:dyDescent="0.2"/>
    <row r="118" ht="16.5" customHeight="1" x14ac:dyDescent="0.2"/>
    <row r="119" ht="16.5" customHeight="1" x14ac:dyDescent="0.2"/>
    <row r="120" ht="16.5" customHeight="1" x14ac:dyDescent="0.2"/>
    <row r="121" ht="16.5" customHeight="1" x14ac:dyDescent="0.2"/>
    <row r="122" ht="16.5" customHeight="1" x14ac:dyDescent="0.2"/>
    <row r="123" ht="16.5" customHeight="1" x14ac:dyDescent="0.2"/>
    <row r="124" ht="16.5" customHeight="1" x14ac:dyDescent="0.2"/>
    <row r="125" ht="16.5" customHeight="1" x14ac:dyDescent="0.2"/>
    <row r="126" ht="16.5" customHeight="1" x14ac:dyDescent="0.2"/>
    <row r="127" ht="16.5" customHeight="1" x14ac:dyDescent="0.2"/>
    <row r="128" ht="16.5" customHeight="1" x14ac:dyDescent="0.2"/>
    <row r="129" ht="16.5" customHeight="1" x14ac:dyDescent="0.2"/>
    <row r="130" ht="16.5" customHeight="1" x14ac:dyDescent="0.2"/>
    <row r="131" ht="16.5" customHeight="1" x14ac:dyDescent="0.2"/>
    <row r="132" ht="16.5" customHeight="1" x14ac:dyDescent="0.2"/>
    <row r="133" ht="16.5" customHeight="1" x14ac:dyDescent="0.2"/>
    <row r="134" ht="16.5" customHeight="1" x14ac:dyDescent="0.2"/>
    <row r="135" ht="16.5" customHeight="1" x14ac:dyDescent="0.2"/>
    <row r="136" ht="16.5" customHeight="1" x14ac:dyDescent="0.2"/>
    <row r="137" ht="16.5" customHeight="1" x14ac:dyDescent="0.2"/>
    <row r="138" ht="16.5" customHeight="1" x14ac:dyDescent="0.2"/>
    <row r="139" ht="16.5" customHeight="1" x14ac:dyDescent="0.2"/>
    <row r="140" ht="16.5" customHeight="1" x14ac:dyDescent="0.2"/>
    <row r="141" ht="16.5" customHeight="1" x14ac:dyDescent="0.2"/>
    <row r="142" ht="16.5" customHeight="1" x14ac:dyDescent="0.2"/>
    <row r="143" ht="16.5" customHeight="1" x14ac:dyDescent="0.2"/>
    <row r="144" ht="16.5" customHeight="1" x14ac:dyDescent="0.2"/>
    <row r="145" ht="16.5" customHeight="1" x14ac:dyDescent="0.2"/>
    <row r="146" ht="16.5" customHeight="1" x14ac:dyDescent="0.2"/>
    <row r="147" ht="16.5" customHeight="1" x14ac:dyDescent="0.2"/>
    <row r="148" ht="16.5" customHeight="1" x14ac:dyDescent="0.2"/>
    <row r="149" ht="16.5" customHeight="1" x14ac:dyDescent="0.2"/>
    <row r="150" ht="16.5" customHeight="1" x14ac:dyDescent="0.2"/>
    <row r="151" ht="16.5" customHeight="1" x14ac:dyDescent="0.2"/>
    <row r="152" ht="16.5" customHeight="1" x14ac:dyDescent="0.2"/>
    <row r="153" ht="16.5" customHeight="1" x14ac:dyDescent="0.2"/>
    <row r="154" ht="16.5" customHeight="1" x14ac:dyDescent="0.2"/>
    <row r="155" ht="16.5" customHeight="1" x14ac:dyDescent="0.2"/>
    <row r="156" ht="16.5" customHeight="1" x14ac:dyDescent="0.2"/>
    <row r="157" ht="16.5" customHeight="1" x14ac:dyDescent="0.2"/>
    <row r="158" ht="16.5" customHeight="1" x14ac:dyDescent="0.2"/>
    <row r="159" ht="16.5" customHeight="1" x14ac:dyDescent="0.2"/>
    <row r="160" ht="16.5" customHeight="1" x14ac:dyDescent="0.2"/>
    <row r="161" ht="16.5" customHeight="1" x14ac:dyDescent="0.2"/>
    <row r="162" ht="16.5" customHeight="1" x14ac:dyDescent="0.2"/>
    <row r="163" ht="16.5" customHeight="1" x14ac:dyDescent="0.2"/>
    <row r="164" ht="16.5" customHeight="1" x14ac:dyDescent="0.2"/>
    <row r="165" ht="16.5" customHeight="1" x14ac:dyDescent="0.2"/>
    <row r="166" ht="16.5" customHeight="1" x14ac:dyDescent="0.2"/>
    <row r="167" ht="16.5" customHeight="1" x14ac:dyDescent="0.2"/>
    <row r="168" ht="16.5" customHeight="1" x14ac:dyDescent="0.2"/>
    <row r="169" ht="16.5" customHeight="1" x14ac:dyDescent="0.2"/>
    <row r="170" ht="16.5" customHeight="1" x14ac:dyDescent="0.2"/>
    <row r="171" ht="16.5" customHeight="1" x14ac:dyDescent="0.2"/>
    <row r="172" ht="16.5" customHeight="1" x14ac:dyDescent="0.2"/>
    <row r="173" ht="16.5" customHeight="1" x14ac:dyDescent="0.2"/>
    <row r="174" ht="16.5" customHeight="1" x14ac:dyDescent="0.2"/>
    <row r="175" ht="16.5" customHeight="1" x14ac:dyDescent="0.2"/>
    <row r="176" ht="16.5" customHeight="1" x14ac:dyDescent="0.2"/>
    <row r="177" ht="16.5" customHeight="1" x14ac:dyDescent="0.2"/>
    <row r="178" ht="16.5" customHeight="1" x14ac:dyDescent="0.2"/>
    <row r="179" ht="16.5" customHeight="1" x14ac:dyDescent="0.2"/>
    <row r="180" ht="16.5" customHeight="1" x14ac:dyDescent="0.2"/>
    <row r="181" ht="16.5" customHeight="1" x14ac:dyDescent="0.2"/>
    <row r="182" ht="16.5" customHeight="1" x14ac:dyDescent="0.2"/>
    <row r="183" ht="16.5" customHeight="1" x14ac:dyDescent="0.2"/>
    <row r="184" ht="16.5" customHeight="1" x14ac:dyDescent="0.2"/>
    <row r="185" ht="16.5" customHeight="1" x14ac:dyDescent="0.2"/>
    <row r="186" ht="16.5" customHeight="1" x14ac:dyDescent="0.2"/>
    <row r="187" ht="16.5" customHeight="1" x14ac:dyDescent="0.2"/>
    <row r="188" ht="16.5" customHeight="1" x14ac:dyDescent="0.2"/>
    <row r="189" ht="16.5" customHeight="1" x14ac:dyDescent="0.2"/>
    <row r="190" ht="16.5" customHeight="1" x14ac:dyDescent="0.2"/>
    <row r="191" ht="16.5" customHeight="1" x14ac:dyDescent="0.2"/>
    <row r="192" ht="16.5" customHeight="1" x14ac:dyDescent="0.2"/>
    <row r="193" ht="16.5" customHeight="1" x14ac:dyDescent="0.2"/>
    <row r="194" ht="16.5" customHeight="1" x14ac:dyDescent="0.2"/>
    <row r="195" ht="16.5" customHeight="1" x14ac:dyDescent="0.2"/>
    <row r="196" ht="16.5" customHeight="1" x14ac:dyDescent="0.2"/>
    <row r="197" ht="16.5" customHeight="1" x14ac:dyDescent="0.2"/>
    <row r="198" ht="16.5" customHeight="1" x14ac:dyDescent="0.2"/>
    <row r="199" ht="16.5" customHeight="1" x14ac:dyDescent="0.2"/>
    <row r="200" ht="16.5" customHeight="1" x14ac:dyDescent="0.2"/>
    <row r="201" ht="16.5" customHeight="1" x14ac:dyDescent="0.2"/>
    <row r="202" ht="16.5" customHeight="1" x14ac:dyDescent="0.2"/>
    <row r="203" ht="16.5" customHeight="1" x14ac:dyDescent="0.2"/>
    <row r="204" ht="16.5" customHeight="1" x14ac:dyDescent="0.2"/>
    <row r="205" ht="16.5" customHeight="1" x14ac:dyDescent="0.2"/>
    <row r="206" ht="16.5" customHeight="1" x14ac:dyDescent="0.2"/>
    <row r="207" ht="16.5" customHeight="1" x14ac:dyDescent="0.2"/>
    <row r="208" ht="16.5" customHeight="1" x14ac:dyDescent="0.2"/>
    <row r="209" ht="16.5" customHeight="1" x14ac:dyDescent="0.2"/>
    <row r="210" ht="16.5" customHeight="1" x14ac:dyDescent="0.2"/>
    <row r="211" ht="16.5" customHeight="1" x14ac:dyDescent="0.2"/>
    <row r="212" ht="16.5" customHeight="1" x14ac:dyDescent="0.2"/>
    <row r="213" ht="16.5" customHeight="1" x14ac:dyDescent="0.2"/>
    <row r="214" ht="16.5" customHeight="1" x14ac:dyDescent="0.2"/>
    <row r="215" ht="16.5" customHeight="1" x14ac:dyDescent="0.2"/>
    <row r="216" ht="16.5" customHeight="1" x14ac:dyDescent="0.2"/>
    <row r="217" ht="16.5" customHeight="1" x14ac:dyDescent="0.2"/>
    <row r="218" ht="16.5" customHeight="1" x14ac:dyDescent="0.2"/>
    <row r="219" ht="16.5" customHeight="1" x14ac:dyDescent="0.2"/>
    <row r="220" ht="16.5" customHeight="1" x14ac:dyDescent="0.2"/>
    <row r="221" ht="16.5" customHeight="1" x14ac:dyDescent="0.2"/>
    <row r="222" ht="16.5" customHeight="1" x14ac:dyDescent="0.2"/>
    <row r="223" ht="16.5" customHeight="1" x14ac:dyDescent="0.2"/>
    <row r="224" ht="16.5" customHeight="1" x14ac:dyDescent="0.2"/>
    <row r="225" ht="16.5" customHeight="1" x14ac:dyDescent="0.2"/>
    <row r="226" ht="16.5" customHeight="1" x14ac:dyDescent="0.2"/>
    <row r="227" ht="16.5" customHeight="1" x14ac:dyDescent="0.2"/>
    <row r="228" ht="16.5" customHeight="1" x14ac:dyDescent="0.2"/>
    <row r="229" ht="16.5" customHeight="1" x14ac:dyDescent="0.2"/>
    <row r="230" ht="16.5" customHeight="1" x14ac:dyDescent="0.2"/>
    <row r="231" ht="16.5" customHeight="1" x14ac:dyDescent="0.2"/>
    <row r="232" ht="16.5" customHeight="1" x14ac:dyDescent="0.2"/>
    <row r="233" ht="16.5" customHeight="1" x14ac:dyDescent="0.2"/>
    <row r="234" ht="16.5" customHeight="1" x14ac:dyDescent="0.2"/>
    <row r="235" ht="16.5" customHeight="1" x14ac:dyDescent="0.2"/>
    <row r="236" ht="16.5" customHeight="1" x14ac:dyDescent="0.2"/>
    <row r="237" ht="16.5" customHeight="1" x14ac:dyDescent="0.2"/>
    <row r="238" ht="16.5" customHeight="1" x14ac:dyDescent="0.2"/>
    <row r="239" ht="16.5" customHeight="1" x14ac:dyDescent="0.2"/>
    <row r="240" ht="16.5" customHeight="1" x14ac:dyDescent="0.2"/>
    <row r="241" ht="16.5" customHeight="1" x14ac:dyDescent="0.2"/>
    <row r="242" ht="16.5" customHeight="1" x14ac:dyDescent="0.2"/>
    <row r="243" ht="16.5" customHeight="1" x14ac:dyDescent="0.2"/>
    <row r="244" ht="16.5" customHeight="1" x14ac:dyDescent="0.2"/>
    <row r="245" ht="16.5" customHeight="1" x14ac:dyDescent="0.2"/>
    <row r="246" ht="16.5" customHeight="1" x14ac:dyDescent="0.2"/>
    <row r="247" ht="16.5" customHeight="1" x14ac:dyDescent="0.2"/>
    <row r="248" ht="16.5" customHeight="1" x14ac:dyDescent="0.2"/>
    <row r="249" ht="16.5" customHeight="1" x14ac:dyDescent="0.2"/>
    <row r="250" ht="16.5" customHeight="1" x14ac:dyDescent="0.2"/>
    <row r="251" ht="16.5" customHeight="1" x14ac:dyDescent="0.2"/>
    <row r="252" ht="16.5" customHeight="1" x14ac:dyDescent="0.2"/>
    <row r="253" ht="16.5" customHeight="1" x14ac:dyDescent="0.2"/>
    <row r="254" ht="16.5" customHeight="1" x14ac:dyDescent="0.2"/>
    <row r="255" ht="16.5" customHeight="1" x14ac:dyDescent="0.2"/>
    <row r="256" ht="16.5" customHeight="1" x14ac:dyDescent="0.2"/>
    <row r="257" ht="16.5" customHeight="1" x14ac:dyDescent="0.2"/>
    <row r="258" ht="16.5" customHeight="1" x14ac:dyDescent="0.2"/>
    <row r="259" ht="16.5" customHeight="1" x14ac:dyDescent="0.2"/>
    <row r="260" ht="16.5" customHeight="1" x14ac:dyDescent="0.2"/>
    <row r="261" ht="16.5" customHeight="1" x14ac:dyDescent="0.2"/>
    <row r="262" ht="16.5" customHeight="1" x14ac:dyDescent="0.2"/>
    <row r="263" ht="16.5" customHeight="1" x14ac:dyDescent="0.2"/>
    <row r="264" ht="16.5" customHeight="1" x14ac:dyDescent="0.2"/>
    <row r="265" ht="16.5" customHeight="1" x14ac:dyDescent="0.2"/>
    <row r="266" ht="16.5" customHeight="1" x14ac:dyDescent="0.2"/>
    <row r="267" ht="16.5" customHeight="1" x14ac:dyDescent="0.2"/>
    <row r="268" ht="16.5" customHeight="1" x14ac:dyDescent="0.2"/>
    <row r="269" ht="16.5" customHeight="1" x14ac:dyDescent="0.2"/>
    <row r="270" ht="16.5" customHeight="1" x14ac:dyDescent="0.2"/>
    <row r="271" ht="16.5" customHeight="1" x14ac:dyDescent="0.2"/>
    <row r="272" ht="16.5" customHeight="1" x14ac:dyDescent="0.2"/>
    <row r="273" ht="16.5" customHeight="1" x14ac:dyDescent="0.2"/>
    <row r="274" ht="16.5" customHeight="1" x14ac:dyDescent="0.2"/>
    <row r="275" ht="16.5" customHeight="1" x14ac:dyDescent="0.2"/>
    <row r="276" ht="16.5" customHeight="1" x14ac:dyDescent="0.2"/>
    <row r="277" ht="16.5" customHeight="1" x14ac:dyDescent="0.2"/>
    <row r="278" ht="16.5" customHeight="1" x14ac:dyDescent="0.2"/>
    <row r="279" ht="16.5" customHeight="1" x14ac:dyDescent="0.2"/>
    <row r="280" ht="16.5" customHeight="1" x14ac:dyDescent="0.2"/>
    <row r="281" ht="16.5" customHeight="1" x14ac:dyDescent="0.2"/>
    <row r="282" ht="16.5" customHeight="1" x14ac:dyDescent="0.2"/>
    <row r="283" ht="16.5" customHeight="1" x14ac:dyDescent="0.2"/>
    <row r="284" ht="16.5" customHeight="1" x14ac:dyDescent="0.2"/>
    <row r="285" ht="16.5" customHeight="1" x14ac:dyDescent="0.2"/>
    <row r="286" ht="16.5" customHeight="1" x14ac:dyDescent="0.2"/>
    <row r="287" ht="16.5" customHeight="1" x14ac:dyDescent="0.2"/>
    <row r="288" ht="16.5" customHeight="1" x14ac:dyDescent="0.2"/>
    <row r="289" ht="16.5" customHeight="1" x14ac:dyDescent="0.2"/>
    <row r="290" ht="16.5" customHeight="1" x14ac:dyDescent="0.2"/>
    <row r="291" ht="16.5" customHeight="1" x14ac:dyDescent="0.2"/>
    <row r="292" ht="16.5" customHeight="1" x14ac:dyDescent="0.2"/>
    <row r="293" ht="16.5" customHeight="1" x14ac:dyDescent="0.2"/>
    <row r="294" ht="16.5" customHeight="1" x14ac:dyDescent="0.2"/>
    <row r="295" ht="16.5" customHeight="1" x14ac:dyDescent="0.2"/>
    <row r="296" ht="16.5" customHeight="1" x14ac:dyDescent="0.2"/>
    <row r="297" ht="16.5" customHeight="1" x14ac:dyDescent="0.2"/>
    <row r="298" ht="16.5" customHeight="1" x14ac:dyDescent="0.2"/>
    <row r="299" ht="16.5" customHeight="1" x14ac:dyDescent="0.2"/>
    <row r="300" ht="16.5" customHeight="1" x14ac:dyDescent="0.2"/>
    <row r="301" ht="16.5" customHeight="1" x14ac:dyDescent="0.2"/>
    <row r="302" ht="16.5" customHeight="1" x14ac:dyDescent="0.2"/>
    <row r="303" ht="16.5" customHeight="1" x14ac:dyDescent="0.2"/>
    <row r="304" ht="16.5" customHeight="1" x14ac:dyDescent="0.2"/>
    <row r="305" ht="16.5" customHeight="1" x14ac:dyDescent="0.2"/>
    <row r="306" ht="16.5" customHeight="1" x14ac:dyDescent="0.2"/>
    <row r="307" ht="16.5" customHeight="1" x14ac:dyDescent="0.2"/>
    <row r="308" ht="16.5" customHeight="1" x14ac:dyDescent="0.2"/>
    <row r="309" ht="16.5" customHeight="1" x14ac:dyDescent="0.2"/>
    <row r="310" ht="16.5" customHeight="1" x14ac:dyDescent="0.2"/>
    <row r="311" ht="16.5" customHeight="1" x14ac:dyDescent="0.2"/>
    <row r="312" ht="16.5" customHeight="1" x14ac:dyDescent="0.2"/>
    <row r="313" ht="16.5" customHeight="1" x14ac:dyDescent="0.2"/>
    <row r="314" ht="16.5" customHeight="1" x14ac:dyDescent="0.2"/>
    <row r="315" ht="16.5" customHeight="1" x14ac:dyDescent="0.2"/>
    <row r="316" ht="16.5" customHeight="1" x14ac:dyDescent="0.2"/>
    <row r="317" ht="16.5" customHeight="1" x14ac:dyDescent="0.2"/>
    <row r="318" ht="16.5" customHeight="1" x14ac:dyDescent="0.2"/>
    <row r="319" ht="16.5" customHeight="1" x14ac:dyDescent="0.2"/>
    <row r="320" ht="16.5" customHeight="1" x14ac:dyDescent="0.2"/>
    <row r="321" ht="16.5" customHeight="1" x14ac:dyDescent="0.2"/>
    <row r="322" ht="16.5" customHeight="1" x14ac:dyDescent="0.2"/>
    <row r="323" ht="16.5" customHeight="1" x14ac:dyDescent="0.2"/>
    <row r="324" ht="16.5" customHeight="1" x14ac:dyDescent="0.2"/>
    <row r="325" ht="16.5" customHeight="1" x14ac:dyDescent="0.2"/>
    <row r="326" ht="16.5" customHeight="1" x14ac:dyDescent="0.2"/>
    <row r="327" ht="16.5" customHeight="1" x14ac:dyDescent="0.2"/>
    <row r="328" ht="16.5" customHeight="1" x14ac:dyDescent="0.2"/>
    <row r="329" ht="16.5" customHeight="1" x14ac:dyDescent="0.2"/>
    <row r="330" ht="16.5" customHeight="1" x14ac:dyDescent="0.2"/>
    <row r="331" ht="16.5" customHeight="1" x14ac:dyDescent="0.2"/>
    <row r="332" ht="16.5" customHeight="1" x14ac:dyDescent="0.2"/>
    <row r="333" ht="16.5" customHeight="1" x14ac:dyDescent="0.2"/>
    <row r="334" ht="16.5" customHeight="1" x14ac:dyDescent="0.2"/>
    <row r="335" ht="16.5" customHeight="1" x14ac:dyDescent="0.2"/>
    <row r="336" ht="16.5" customHeight="1" x14ac:dyDescent="0.2"/>
    <row r="337" ht="16.5" customHeight="1" x14ac:dyDescent="0.2"/>
    <row r="338" ht="16.5" customHeight="1" x14ac:dyDescent="0.2"/>
    <row r="339" ht="16.5" customHeight="1" x14ac:dyDescent="0.2"/>
    <row r="340" ht="16.5" customHeight="1" x14ac:dyDescent="0.2"/>
    <row r="341" ht="16.5" customHeight="1" x14ac:dyDescent="0.2"/>
    <row r="342" ht="16.5" customHeight="1" x14ac:dyDescent="0.2"/>
    <row r="343" ht="16.5" customHeight="1" x14ac:dyDescent="0.2"/>
    <row r="344" ht="16.5" customHeight="1" x14ac:dyDescent="0.2"/>
    <row r="345" ht="16.5" customHeight="1" x14ac:dyDescent="0.2"/>
    <row r="346" ht="16.5" customHeight="1" x14ac:dyDescent="0.2"/>
    <row r="347" ht="16.5" customHeight="1" x14ac:dyDescent="0.2"/>
    <row r="348" ht="16.5" customHeight="1" x14ac:dyDescent="0.2"/>
    <row r="349" ht="16.5" customHeight="1" x14ac:dyDescent="0.2"/>
    <row r="350" ht="16.5" customHeight="1" x14ac:dyDescent="0.2"/>
    <row r="351" ht="16.5" customHeight="1" x14ac:dyDescent="0.2"/>
    <row r="352" ht="16.5" customHeight="1" x14ac:dyDescent="0.2"/>
    <row r="353" ht="16.5" customHeight="1" x14ac:dyDescent="0.2"/>
    <row r="354" ht="16.5" customHeight="1" x14ac:dyDescent="0.2"/>
    <row r="355" ht="16.5" customHeight="1" x14ac:dyDescent="0.2"/>
    <row r="356" ht="16.5" customHeight="1" x14ac:dyDescent="0.2"/>
    <row r="357" ht="16.5" customHeight="1" x14ac:dyDescent="0.2"/>
    <row r="358" ht="16.5" customHeight="1" x14ac:dyDescent="0.2"/>
    <row r="359" ht="16.5" customHeight="1" x14ac:dyDescent="0.2"/>
    <row r="360" ht="16.5" customHeight="1" x14ac:dyDescent="0.2"/>
    <row r="361" ht="16.5" customHeight="1" x14ac:dyDescent="0.2"/>
    <row r="362" ht="16.5" customHeight="1" x14ac:dyDescent="0.2"/>
    <row r="363" ht="16.5" customHeight="1" x14ac:dyDescent="0.2"/>
    <row r="364" ht="16.5" customHeight="1" x14ac:dyDescent="0.2"/>
    <row r="365" ht="16.5" customHeight="1" x14ac:dyDescent="0.2"/>
    <row r="366" ht="16.5" customHeight="1" x14ac:dyDescent="0.2"/>
    <row r="367" ht="16.5" customHeight="1" x14ac:dyDescent="0.2"/>
    <row r="368" ht="16.5" customHeight="1" x14ac:dyDescent="0.2"/>
    <row r="369" ht="16.5" customHeight="1" x14ac:dyDescent="0.2"/>
    <row r="370" ht="16.5" customHeight="1" x14ac:dyDescent="0.2"/>
    <row r="371" ht="16.5" customHeight="1" x14ac:dyDescent="0.2"/>
    <row r="372" ht="16.5" customHeight="1" x14ac:dyDescent="0.2"/>
    <row r="373" ht="16.5" customHeight="1" x14ac:dyDescent="0.2"/>
    <row r="374" ht="16.5" customHeight="1" x14ac:dyDescent="0.2"/>
    <row r="375" ht="16.5" customHeight="1" x14ac:dyDescent="0.2"/>
    <row r="376" ht="16.5" customHeight="1" x14ac:dyDescent="0.2"/>
    <row r="377" ht="16.5" customHeight="1" x14ac:dyDescent="0.2"/>
    <row r="378" ht="16.5" customHeight="1" x14ac:dyDescent="0.2"/>
    <row r="379" ht="16.5" customHeight="1" x14ac:dyDescent="0.2"/>
    <row r="380" ht="16.5" customHeight="1" x14ac:dyDescent="0.2"/>
    <row r="381" ht="16.5" customHeight="1" x14ac:dyDescent="0.2"/>
    <row r="382" ht="16.5" customHeight="1" x14ac:dyDescent="0.2"/>
    <row r="383" ht="16.5" customHeight="1" x14ac:dyDescent="0.2"/>
    <row r="384" ht="16.5" customHeight="1" x14ac:dyDescent="0.2"/>
    <row r="385" ht="16.5" customHeight="1" x14ac:dyDescent="0.2"/>
    <row r="386" ht="16.5" customHeight="1" x14ac:dyDescent="0.2"/>
    <row r="387" ht="16.5" customHeight="1" x14ac:dyDescent="0.2"/>
    <row r="388" ht="16.5" customHeight="1" x14ac:dyDescent="0.2"/>
    <row r="389" ht="16.5" customHeight="1" x14ac:dyDescent="0.2"/>
    <row r="390" ht="16.5" customHeight="1" x14ac:dyDescent="0.2"/>
    <row r="391" ht="16.5" customHeight="1" x14ac:dyDescent="0.2"/>
    <row r="392" ht="16.5" customHeight="1" x14ac:dyDescent="0.2"/>
    <row r="393" ht="16.5" customHeight="1" x14ac:dyDescent="0.2"/>
    <row r="394" ht="16.5" customHeight="1" x14ac:dyDescent="0.2"/>
    <row r="395" ht="16.5" customHeight="1" x14ac:dyDescent="0.2"/>
    <row r="396" ht="16.5" customHeight="1" x14ac:dyDescent="0.2"/>
    <row r="397" ht="16.5" customHeight="1" x14ac:dyDescent="0.2"/>
    <row r="398" ht="16.5" customHeight="1" x14ac:dyDescent="0.2"/>
    <row r="399" ht="16.5" customHeight="1" x14ac:dyDescent="0.2"/>
    <row r="400" ht="16.5" customHeight="1" x14ac:dyDescent="0.2"/>
    <row r="401" ht="16.5" customHeight="1" x14ac:dyDescent="0.2"/>
    <row r="402" ht="16.5" customHeight="1" x14ac:dyDescent="0.2"/>
    <row r="403" ht="16.5" customHeight="1" x14ac:dyDescent="0.2"/>
    <row r="404" ht="16.5" customHeight="1" x14ac:dyDescent="0.2"/>
    <row r="405" ht="16.5" customHeight="1" x14ac:dyDescent="0.2"/>
    <row r="406" ht="16.5" customHeight="1" x14ac:dyDescent="0.2"/>
    <row r="407" ht="16.5" customHeight="1" x14ac:dyDescent="0.2"/>
    <row r="408" ht="16.5" customHeight="1" x14ac:dyDescent="0.2"/>
    <row r="409" ht="16.5" customHeight="1" x14ac:dyDescent="0.2"/>
    <row r="410" ht="16.5" customHeight="1" x14ac:dyDescent="0.2"/>
    <row r="411" ht="16.5" customHeight="1" x14ac:dyDescent="0.2"/>
    <row r="412" ht="16.5" customHeight="1" x14ac:dyDescent="0.2"/>
    <row r="413" ht="16.5" customHeight="1" x14ac:dyDescent="0.2"/>
    <row r="414" ht="16.5" customHeight="1" x14ac:dyDescent="0.2"/>
    <row r="415" ht="16.5" customHeight="1" x14ac:dyDescent="0.2"/>
    <row r="416" ht="16.5" customHeight="1" x14ac:dyDescent="0.2"/>
  </sheetData>
  <mergeCells count="5">
    <mergeCell ref="G4:J4"/>
    <mergeCell ref="K4:N4"/>
    <mergeCell ref="G7:N7"/>
    <mergeCell ref="G8:N8"/>
    <mergeCell ref="G9:N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2:AT26"/>
  <sheetViews>
    <sheetView showGridLines="0" workbookViewId="0">
      <selection activeCell="AN9" sqref="AN9"/>
    </sheetView>
  </sheetViews>
  <sheetFormatPr defaultRowHeight="15" x14ac:dyDescent="0.25"/>
  <cols>
    <col min="1" max="46" width="3.85546875" customWidth="1"/>
  </cols>
  <sheetData>
    <row r="2" spans="2:46" x14ac:dyDescent="0.25">
      <c r="B2" s="48"/>
      <c r="C2" s="49"/>
      <c r="D2" s="50"/>
      <c r="E2" s="48"/>
      <c r="F2" s="49"/>
      <c r="G2" s="50"/>
      <c r="H2" s="48"/>
      <c r="I2" s="49"/>
      <c r="J2" s="50"/>
      <c r="K2" s="48"/>
      <c r="L2" s="49"/>
      <c r="M2" s="50"/>
      <c r="N2" s="48"/>
      <c r="O2" s="49"/>
      <c r="P2" s="50"/>
      <c r="Q2" s="48"/>
      <c r="R2" s="49"/>
      <c r="S2" s="50"/>
      <c r="T2" s="48"/>
      <c r="U2" s="49"/>
      <c r="V2" s="50"/>
      <c r="W2" s="48"/>
      <c r="X2" s="49"/>
      <c r="Y2" s="50"/>
      <c r="Z2" s="48"/>
      <c r="AA2" s="49"/>
      <c r="AB2" s="50"/>
      <c r="AC2" s="48"/>
      <c r="AD2" s="49"/>
      <c r="AE2" s="50"/>
      <c r="AF2" s="48"/>
      <c r="AG2" s="49"/>
      <c r="AH2" s="50"/>
      <c r="AI2" s="48"/>
      <c r="AJ2" s="49"/>
      <c r="AK2" s="50"/>
      <c r="AL2" s="48"/>
      <c r="AM2" s="49"/>
      <c r="AN2" s="50"/>
      <c r="AO2" s="48"/>
      <c r="AP2" s="49"/>
      <c r="AQ2" s="50"/>
      <c r="AR2" s="48"/>
      <c r="AS2" s="49"/>
      <c r="AT2" s="50"/>
    </row>
    <row r="3" spans="2:46" x14ac:dyDescent="0.25">
      <c r="B3" s="51"/>
      <c r="C3" s="1"/>
      <c r="D3" s="52"/>
      <c r="E3" s="51"/>
      <c r="F3" s="1"/>
      <c r="G3" s="52"/>
      <c r="H3" s="51"/>
      <c r="I3" s="1"/>
      <c r="J3" s="52"/>
      <c r="K3" s="51"/>
      <c r="L3" s="1"/>
      <c r="M3" s="52"/>
      <c r="N3" s="51"/>
      <c r="O3" s="1"/>
      <c r="P3" s="52"/>
      <c r="Q3" s="51"/>
      <c r="R3" s="1"/>
      <c r="S3" s="52"/>
      <c r="T3" s="51"/>
      <c r="U3" s="1"/>
      <c r="V3" s="52"/>
      <c r="W3" s="51"/>
      <c r="X3" s="1"/>
      <c r="Y3" s="52"/>
      <c r="Z3" s="51"/>
      <c r="AA3" s="1"/>
      <c r="AB3" s="52"/>
      <c r="AC3" s="51"/>
      <c r="AD3" s="1"/>
      <c r="AE3" s="52"/>
      <c r="AF3" s="51"/>
      <c r="AG3" s="1"/>
      <c r="AH3" s="52"/>
      <c r="AI3" s="51"/>
      <c r="AJ3" s="1"/>
      <c r="AK3" s="52"/>
      <c r="AL3" s="51"/>
      <c r="AM3" s="1"/>
      <c r="AN3" s="52"/>
      <c r="AO3" s="51"/>
      <c r="AP3" s="1"/>
      <c r="AQ3" s="52"/>
      <c r="AR3" s="51"/>
      <c r="AS3" s="1"/>
      <c r="AT3" s="52"/>
    </row>
    <row r="4" spans="2:46" x14ac:dyDescent="0.25">
      <c r="B4" s="51"/>
      <c r="C4" s="1"/>
      <c r="D4" s="52"/>
      <c r="E4" s="51"/>
      <c r="F4" s="1"/>
      <c r="G4" s="52"/>
      <c r="H4" s="51"/>
      <c r="I4" s="1"/>
      <c r="J4" s="52"/>
      <c r="K4" s="51"/>
      <c r="L4" s="1"/>
      <c r="M4" s="52"/>
      <c r="N4" s="51"/>
      <c r="O4" s="1"/>
      <c r="P4" s="52"/>
      <c r="Q4" s="51"/>
      <c r="R4" s="1"/>
      <c r="S4" s="52"/>
      <c r="T4" s="51"/>
      <c r="U4" s="1"/>
      <c r="V4" s="52"/>
      <c r="W4" s="51"/>
      <c r="X4" s="1"/>
      <c r="Y4" s="52"/>
      <c r="Z4" s="51"/>
      <c r="AA4" s="1"/>
      <c r="AB4" s="52"/>
      <c r="AC4" s="51"/>
      <c r="AD4" s="1"/>
      <c r="AE4" s="52"/>
      <c r="AF4" s="51"/>
      <c r="AG4" s="1"/>
      <c r="AH4" s="52"/>
      <c r="AI4" s="51"/>
      <c r="AJ4" s="1"/>
      <c r="AK4" s="52"/>
      <c r="AL4" s="51"/>
      <c r="AM4" s="1"/>
      <c r="AN4" s="52"/>
      <c r="AO4" s="51"/>
      <c r="AP4" s="1"/>
      <c r="AQ4" s="52"/>
      <c r="AR4" s="51"/>
      <c r="AS4" s="1"/>
      <c r="AT4" s="52"/>
    </row>
    <row r="5" spans="2:46" x14ac:dyDescent="0.25">
      <c r="B5" s="53"/>
      <c r="C5" s="54"/>
      <c r="D5" s="55"/>
      <c r="E5" s="53"/>
      <c r="F5" s="54"/>
      <c r="G5" s="55"/>
      <c r="H5" s="53"/>
      <c r="I5" s="54"/>
      <c r="J5" s="55"/>
      <c r="K5" s="53"/>
      <c r="L5" s="54"/>
      <c r="M5" s="55"/>
      <c r="N5" s="53"/>
      <c r="O5" s="54"/>
      <c r="P5" s="55"/>
      <c r="Q5" s="53"/>
      <c r="R5" s="54"/>
      <c r="S5" s="55"/>
      <c r="T5" s="53"/>
      <c r="U5" s="54"/>
      <c r="V5" s="55"/>
      <c r="W5" s="53"/>
      <c r="X5" s="54"/>
      <c r="Y5" s="55"/>
      <c r="Z5" s="53"/>
      <c r="AA5" s="54"/>
      <c r="AB5" s="55"/>
      <c r="AC5" s="53"/>
      <c r="AD5" s="54"/>
      <c r="AE5" s="55"/>
      <c r="AF5" s="53"/>
      <c r="AG5" s="54"/>
      <c r="AH5" s="55"/>
      <c r="AI5" s="53"/>
      <c r="AJ5" s="54"/>
      <c r="AK5" s="55"/>
      <c r="AL5" s="53"/>
      <c r="AM5" s="54"/>
      <c r="AN5" s="55"/>
      <c r="AO5" s="53"/>
      <c r="AP5" s="54"/>
      <c r="AQ5" s="55"/>
      <c r="AR5" s="53"/>
      <c r="AS5" s="54"/>
      <c r="AT5" s="55"/>
    </row>
    <row r="6" spans="2:46" x14ac:dyDescent="0.25">
      <c r="B6" s="48"/>
      <c r="C6" s="49"/>
      <c r="D6" s="50"/>
      <c r="E6" s="48"/>
      <c r="F6" s="49"/>
      <c r="G6" s="50"/>
      <c r="H6" s="48"/>
      <c r="I6" s="49"/>
      <c r="J6" s="50"/>
      <c r="K6" s="48"/>
      <c r="L6" s="49"/>
      <c r="M6" s="50"/>
      <c r="N6" s="48"/>
      <c r="O6" s="49"/>
      <c r="P6" s="50"/>
      <c r="Q6" s="48"/>
      <c r="R6" s="49"/>
      <c r="S6" s="50"/>
      <c r="T6" s="48"/>
      <c r="U6" s="49"/>
      <c r="V6" s="50"/>
      <c r="W6" s="48"/>
      <c r="X6" s="49"/>
      <c r="Y6" s="50"/>
      <c r="Z6" s="48"/>
      <c r="AA6" s="49"/>
      <c r="AB6" s="50"/>
      <c r="AC6" s="48"/>
      <c r="AD6" s="49"/>
      <c r="AE6" s="50"/>
      <c r="AF6" s="48"/>
      <c r="AG6" s="49"/>
      <c r="AH6" s="50"/>
      <c r="AI6" s="48"/>
      <c r="AJ6" s="49"/>
      <c r="AK6" s="50"/>
      <c r="AL6" s="48"/>
      <c r="AM6" s="49"/>
      <c r="AN6" s="50"/>
      <c r="AO6" s="48"/>
      <c r="AP6" s="49"/>
      <c r="AQ6" s="50"/>
      <c r="AR6" s="48"/>
      <c r="AS6" s="49"/>
      <c r="AT6" s="50"/>
    </row>
    <row r="7" spans="2:46" x14ac:dyDescent="0.25">
      <c r="B7" s="51"/>
      <c r="C7" s="1"/>
      <c r="D7" s="52"/>
      <c r="E7" s="51"/>
      <c r="F7" s="1"/>
      <c r="G7" s="52"/>
      <c r="H7" s="51"/>
      <c r="I7" s="1"/>
      <c r="J7" s="52"/>
      <c r="K7" s="51"/>
      <c r="L7" s="1"/>
      <c r="M7" s="52"/>
      <c r="N7" s="51"/>
      <c r="O7" s="1"/>
      <c r="P7" s="52"/>
      <c r="Q7" s="51"/>
      <c r="R7" s="1"/>
      <c r="S7" s="52"/>
      <c r="T7" s="51"/>
      <c r="U7" s="1"/>
      <c r="V7" s="52"/>
      <c r="W7" s="51"/>
      <c r="X7" s="1"/>
      <c r="Y7" s="52"/>
      <c r="Z7" s="51"/>
      <c r="AA7" s="1"/>
      <c r="AB7" s="52"/>
      <c r="AC7" s="51"/>
      <c r="AD7" s="1"/>
      <c r="AE7" s="52"/>
      <c r="AF7" s="51"/>
      <c r="AG7" s="1"/>
      <c r="AH7" s="52"/>
      <c r="AI7" s="51"/>
      <c r="AJ7" s="1"/>
      <c r="AK7" s="52"/>
      <c r="AL7" s="51"/>
      <c r="AM7" s="1"/>
      <c r="AN7" s="52"/>
      <c r="AO7" s="51"/>
      <c r="AP7" s="1"/>
      <c r="AQ7" s="52"/>
      <c r="AR7" s="51"/>
      <c r="AS7" s="1"/>
      <c r="AT7" s="52"/>
    </row>
    <row r="8" spans="2:46" x14ac:dyDescent="0.25">
      <c r="B8" s="51"/>
      <c r="C8" s="1"/>
      <c r="D8" s="52"/>
      <c r="E8" s="51"/>
      <c r="F8" s="1"/>
      <c r="G8" s="52"/>
      <c r="H8" s="51"/>
      <c r="I8" s="1"/>
      <c r="J8" s="52"/>
      <c r="K8" s="51"/>
      <c r="L8" s="1"/>
      <c r="M8" s="52"/>
      <c r="N8" s="51"/>
      <c r="O8" s="1"/>
      <c r="P8" s="52"/>
      <c r="Q8" s="51"/>
      <c r="R8" s="1"/>
      <c r="S8" s="52"/>
      <c r="T8" s="51"/>
      <c r="U8" s="1"/>
      <c r="V8" s="52"/>
      <c r="W8" s="51"/>
      <c r="X8" s="1"/>
      <c r="Y8" s="52"/>
      <c r="Z8" s="51"/>
      <c r="AA8" s="1"/>
      <c r="AB8" s="52"/>
      <c r="AC8" s="51"/>
      <c r="AD8" s="1"/>
      <c r="AE8" s="52"/>
      <c r="AF8" s="51"/>
      <c r="AG8" s="1"/>
      <c r="AH8" s="52"/>
      <c r="AI8" s="51"/>
      <c r="AJ8" s="1"/>
      <c r="AK8" s="52"/>
      <c r="AL8" s="51"/>
      <c r="AM8" s="1"/>
      <c r="AN8" s="52"/>
      <c r="AO8" s="51"/>
      <c r="AP8" s="1"/>
      <c r="AQ8" s="52"/>
      <c r="AR8" s="51"/>
      <c r="AS8" s="1"/>
      <c r="AT8" s="52"/>
    </row>
    <row r="9" spans="2:46" x14ac:dyDescent="0.25">
      <c r="B9" s="53"/>
      <c r="C9" s="54"/>
      <c r="D9" s="55"/>
      <c r="E9" s="53"/>
      <c r="F9" s="54"/>
      <c r="G9" s="55"/>
      <c r="H9" s="53"/>
      <c r="I9" s="54"/>
      <c r="J9" s="55"/>
      <c r="K9" s="53"/>
      <c r="L9" s="54"/>
      <c r="M9" s="55"/>
      <c r="N9" s="53"/>
      <c r="O9" s="54"/>
      <c r="P9" s="55"/>
      <c r="Q9" s="53"/>
      <c r="R9" s="54"/>
      <c r="S9" s="55"/>
      <c r="T9" s="53"/>
      <c r="U9" s="54"/>
      <c r="V9" s="55"/>
      <c r="W9" s="53"/>
      <c r="X9" s="54"/>
      <c r="Y9" s="55"/>
      <c r="Z9" s="53"/>
      <c r="AA9" s="54"/>
      <c r="AB9" s="55"/>
      <c r="AC9" s="53"/>
      <c r="AD9" s="54"/>
      <c r="AE9" s="55"/>
      <c r="AF9" s="53"/>
      <c r="AG9" s="54"/>
      <c r="AH9" s="55"/>
      <c r="AI9" s="53"/>
      <c r="AJ9" s="54"/>
      <c r="AK9" s="55"/>
      <c r="AL9" s="53"/>
      <c r="AM9" s="54"/>
      <c r="AN9" s="55"/>
      <c r="AO9" s="53"/>
      <c r="AP9" s="54"/>
      <c r="AQ9" s="55"/>
      <c r="AR9" s="53"/>
      <c r="AS9" s="54"/>
      <c r="AT9" s="55"/>
    </row>
    <row r="10" spans="2:46" x14ac:dyDescent="0.25">
      <c r="B10" s="48"/>
      <c r="C10" s="49"/>
      <c r="D10" s="50"/>
      <c r="E10" s="48"/>
      <c r="F10" s="49"/>
      <c r="G10" s="50"/>
      <c r="H10" s="48"/>
      <c r="I10" s="49"/>
      <c r="J10" s="50"/>
      <c r="K10" s="48"/>
      <c r="L10" s="49"/>
      <c r="M10" s="50"/>
      <c r="N10" s="48"/>
      <c r="O10" s="49"/>
      <c r="P10" s="50"/>
      <c r="Q10" s="48"/>
      <c r="R10" s="49"/>
      <c r="S10" s="50"/>
      <c r="T10" s="48"/>
      <c r="U10" s="49"/>
      <c r="V10" s="50"/>
      <c r="W10" s="48"/>
      <c r="X10" s="49"/>
      <c r="Y10" s="50"/>
      <c r="Z10" s="48"/>
      <c r="AA10" s="49"/>
      <c r="AB10" s="50"/>
      <c r="AC10" s="48"/>
      <c r="AD10" s="49"/>
      <c r="AE10" s="50"/>
      <c r="AF10" s="48"/>
      <c r="AG10" s="49"/>
      <c r="AH10" s="50"/>
      <c r="AI10" s="48"/>
      <c r="AJ10" s="49"/>
      <c r="AK10" s="50"/>
      <c r="AL10" s="48"/>
      <c r="AM10" s="49"/>
      <c r="AN10" s="50"/>
      <c r="AO10" s="48"/>
      <c r="AP10" s="49"/>
      <c r="AQ10" s="50"/>
      <c r="AR10" s="48"/>
      <c r="AS10" s="49"/>
      <c r="AT10" s="50"/>
    </row>
    <row r="11" spans="2:46" x14ac:dyDescent="0.25">
      <c r="B11" s="51"/>
      <c r="C11" s="1"/>
      <c r="D11" s="52"/>
      <c r="E11" s="51"/>
      <c r="F11" s="1"/>
      <c r="G11" s="52"/>
      <c r="H11" s="51"/>
      <c r="I11" s="1"/>
      <c r="J11" s="52"/>
      <c r="K11" s="51"/>
      <c r="L11" s="1"/>
      <c r="M11" s="52"/>
      <c r="N11" s="51"/>
      <c r="O11" s="1"/>
      <c r="P11" s="52"/>
      <c r="Q11" s="51"/>
      <c r="R11" s="1"/>
      <c r="S11" s="52"/>
      <c r="T11" s="51"/>
      <c r="U11" s="1"/>
      <c r="V11" s="52"/>
      <c r="W11" s="51"/>
      <c r="X11" s="1"/>
      <c r="Y11" s="52"/>
      <c r="Z11" s="51"/>
      <c r="AA11" s="1"/>
      <c r="AB11" s="52"/>
      <c r="AC11" s="51"/>
      <c r="AD11" s="1"/>
      <c r="AE11" s="52"/>
      <c r="AF11" s="51"/>
      <c r="AG11" s="1"/>
      <c r="AH11" s="52"/>
      <c r="AI11" s="51"/>
      <c r="AJ11" s="1"/>
      <c r="AK11" s="52"/>
      <c r="AL11" s="51"/>
      <c r="AM11" s="1"/>
      <c r="AN11" s="52"/>
      <c r="AO11" s="51"/>
      <c r="AP11" s="1"/>
      <c r="AQ11" s="52"/>
      <c r="AR11" s="51"/>
      <c r="AS11" s="1"/>
      <c r="AT11" s="52"/>
    </row>
    <row r="12" spans="2:46" x14ac:dyDescent="0.25">
      <c r="B12" s="51"/>
      <c r="C12" s="1"/>
      <c r="D12" s="52"/>
      <c r="E12" s="51"/>
      <c r="F12" s="1"/>
      <c r="G12" s="52"/>
      <c r="H12" s="51"/>
      <c r="I12" s="1"/>
      <c r="J12" s="52"/>
      <c r="K12" s="51"/>
      <c r="L12" s="1"/>
      <c r="M12" s="52"/>
      <c r="N12" s="51"/>
      <c r="O12" s="1"/>
      <c r="P12" s="52"/>
      <c r="Q12" s="51"/>
      <c r="R12" s="1"/>
      <c r="S12" s="52"/>
      <c r="T12" s="51"/>
      <c r="U12" s="1"/>
      <c r="V12" s="52"/>
      <c r="W12" s="51"/>
      <c r="X12" s="1"/>
      <c r="Y12" s="52"/>
      <c r="Z12" s="51"/>
      <c r="AA12" s="1"/>
      <c r="AB12" s="52"/>
      <c r="AC12" s="51"/>
      <c r="AD12" s="1"/>
      <c r="AE12" s="52"/>
      <c r="AF12" s="51"/>
      <c r="AG12" s="1"/>
      <c r="AH12" s="52"/>
      <c r="AI12" s="51"/>
      <c r="AJ12" s="1"/>
      <c r="AK12" s="52"/>
      <c r="AL12" s="51"/>
      <c r="AM12" s="1"/>
      <c r="AN12" s="52"/>
      <c r="AO12" s="51"/>
      <c r="AP12" s="1"/>
      <c r="AQ12" s="52"/>
      <c r="AR12" s="51"/>
      <c r="AS12" s="1"/>
      <c r="AT12" s="52"/>
    </row>
    <row r="13" spans="2:46" x14ac:dyDescent="0.25">
      <c r="B13" s="53"/>
      <c r="C13" s="54"/>
      <c r="D13" s="55"/>
      <c r="E13" s="53"/>
      <c r="F13" s="54"/>
      <c r="G13" s="55"/>
      <c r="H13" s="53"/>
      <c r="I13" s="54"/>
      <c r="J13" s="55"/>
      <c r="K13" s="53"/>
      <c r="L13" s="54"/>
      <c r="M13" s="55"/>
      <c r="N13" s="53"/>
      <c r="O13" s="54"/>
      <c r="P13" s="55"/>
      <c r="Q13" s="53"/>
      <c r="R13" s="54"/>
      <c r="S13" s="55"/>
      <c r="T13" s="53"/>
      <c r="U13" s="54"/>
      <c r="V13" s="55"/>
      <c r="W13" s="53"/>
      <c r="X13" s="54"/>
      <c r="Y13" s="55"/>
      <c r="Z13" s="53"/>
      <c r="AA13" s="54"/>
      <c r="AB13" s="55"/>
      <c r="AC13" s="53"/>
      <c r="AD13" s="54"/>
      <c r="AE13" s="55"/>
      <c r="AF13" s="53"/>
      <c r="AG13" s="54"/>
      <c r="AH13" s="55"/>
      <c r="AI13" s="53"/>
      <c r="AJ13" s="54"/>
      <c r="AK13" s="55"/>
      <c r="AL13" s="53"/>
      <c r="AM13" s="54"/>
      <c r="AN13" s="55"/>
      <c r="AO13" s="53"/>
      <c r="AP13" s="54"/>
      <c r="AQ13" s="55"/>
      <c r="AR13" s="53"/>
      <c r="AS13" s="54"/>
      <c r="AT13" s="55"/>
    </row>
    <row r="14" spans="2:46" x14ac:dyDescent="0.25">
      <c r="B14" s="48"/>
      <c r="C14" s="49"/>
      <c r="D14" s="50"/>
      <c r="E14" s="48"/>
      <c r="F14" s="49"/>
      <c r="G14" s="50"/>
      <c r="H14" s="48"/>
      <c r="I14" s="49"/>
      <c r="J14" s="50"/>
      <c r="K14" s="48"/>
      <c r="L14" s="49"/>
      <c r="M14" s="50"/>
      <c r="N14" s="48"/>
      <c r="O14" s="49"/>
      <c r="P14" s="50"/>
      <c r="Q14" s="48"/>
      <c r="R14" s="49"/>
      <c r="S14" s="50"/>
      <c r="T14" s="48"/>
      <c r="U14" s="49"/>
      <c r="V14" s="50"/>
      <c r="W14" s="48"/>
      <c r="X14" s="49"/>
      <c r="Y14" s="50"/>
      <c r="Z14" s="48"/>
      <c r="AA14" s="49"/>
      <c r="AB14" s="50"/>
      <c r="AC14" s="48"/>
      <c r="AD14" s="49"/>
      <c r="AE14" s="50"/>
      <c r="AF14" s="48"/>
      <c r="AG14" s="49"/>
      <c r="AH14" s="50"/>
      <c r="AI14" s="48"/>
      <c r="AJ14" s="49"/>
      <c r="AK14" s="50"/>
      <c r="AL14" s="48"/>
      <c r="AM14" s="49"/>
      <c r="AN14" s="50"/>
      <c r="AO14" s="48"/>
      <c r="AP14" s="49"/>
      <c r="AQ14" s="50"/>
      <c r="AR14" s="48"/>
      <c r="AS14" s="49"/>
      <c r="AT14" s="50"/>
    </row>
    <row r="15" spans="2:46" x14ac:dyDescent="0.25">
      <c r="B15" s="51"/>
      <c r="C15" s="1"/>
      <c r="D15" s="52"/>
      <c r="E15" s="51"/>
      <c r="F15" s="1"/>
      <c r="G15" s="52"/>
      <c r="H15" s="51"/>
      <c r="I15" s="1"/>
      <c r="J15" s="52"/>
      <c r="K15" s="51"/>
      <c r="L15" s="1"/>
      <c r="M15" s="52"/>
      <c r="N15" s="51"/>
      <c r="O15" s="1"/>
      <c r="P15" s="52"/>
      <c r="Q15" s="51"/>
      <c r="R15" s="1"/>
      <c r="S15" s="52"/>
      <c r="T15" s="51"/>
      <c r="U15" s="1"/>
      <c r="V15" s="52"/>
      <c r="W15" s="51"/>
      <c r="X15" s="1"/>
      <c r="Y15" s="52"/>
      <c r="Z15" s="51"/>
      <c r="AA15" s="1"/>
      <c r="AB15" s="52"/>
      <c r="AC15" s="51"/>
      <c r="AD15" s="1"/>
      <c r="AE15" s="52"/>
      <c r="AF15" s="51"/>
      <c r="AG15" s="1"/>
      <c r="AH15" s="52"/>
      <c r="AI15" s="51"/>
      <c r="AJ15" s="1"/>
      <c r="AK15" s="52"/>
      <c r="AL15" s="51"/>
      <c r="AM15" s="1"/>
      <c r="AN15" s="52"/>
      <c r="AO15" s="51"/>
      <c r="AP15" s="1"/>
      <c r="AQ15" s="52"/>
      <c r="AR15" s="51"/>
      <c r="AS15" s="1"/>
      <c r="AT15" s="52"/>
    </row>
    <row r="16" spans="2:46" x14ac:dyDescent="0.25">
      <c r="B16" s="51"/>
      <c r="C16" s="1"/>
      <c r="D16" s="52"/>
      <c r="E16" s="51"/>
      <c r="F16" s="1"/>
      <c r="G16" s="52"/>
      <c r="H16" s="51"/>
      <c r="I16" s="1"/>
      <c r="J16" s="52"/>
      <c r="K16" s="51"/>
      <c r="L16" s="1"/>
      <c r="M16" s="52"/>
      <c r="N16" s="51"/>
      <c r="O16" s="1"/>
      <c r="P16" s="52"/>
      <c r="Q16" s="51"/>
      <c r="R16" s="1"/>
      <c r="S16" s="52"/>
      <c r="T16" s="51"/>
      <c r="U16" s="1"/>
      <c r="V16" s="52"/>
      <c r="W16" s="51"/>
      <c r="X16" s="1"/>
      <c r="Y16" s="52"/>
      <c r="Z16" s="51"/>
      <c r="AA16" s="1"/>
      <c r="AB16" s="52"/>
      <c r="AC16" s="51"/>
      <c r="AD16" s="1"/>
      <c r="AE16" s="52"/>
      <c r="AF16" s="51"/>
      <c r="AG16" s="1"/>
      <c r="AH16" s="52"/>
      <c r="AI16" s="51"/>
      <c r="AJ16" s="1"/>
      <c r="AK16" s="52"/>
      <c r="AL16" s="51"/>
      <c r="AM16" s="1"/>
      <c r="AN16" s="52"/>
      <c r="AO16" s="51"/>
      <c r="AP16" s="1"/>
      <c r="AQ16" s="52"/>
      <c r="AR16" s="51"/>
      <c r="AS16" s="1"/>
      <c r="AT16" s="52"/>
    </row>
    <row r="17" spans="2:46" x14ac:dyDescent="0.25">
      <c r="B17" s="53"/>
      <c r="C17" s="54"/>
      <c r="D17" s="55"/>
      <c r="E17" s="53"/>
      <c r="F17" s="54"/>
      <c r="G17" s="55"/>
      <c r="H17" s="53"/>
      <c r="I17" s="54"/>
      <c r="J17" s="55"/>
      <c r="K17" s="53"/>
      <c r="L17" s="54"/>
      <c r="M17" s="55"/>
      <c r="N17" s="53"/>
      <c r="O17" s="54"/>
      <c r="P17" s="55"/>
      <c r="Q17" s="53"/>
      <c r="R17" s="54"/>
      <c r="S17" s="55"/>
      <c r="T17" s="53"/>
      <c r="U17" s="54"/>
      <c r="V17" s="55"/>
      <c r="W17" s="53"/>
      <c r="X17" s="54"/>
      <c r="Y17" s="55"/>
      <c r="Z17" s="53"/>
      <c r="AA17" s="54"/>
      <c r="AB17" s="55"/>
      <c r="AC17" s="53"/>
      <c r="AD17" s="54"/>
      <c r="AE17" s="55"/>
      <c r="AF17" s="53"/>
      <c r="AG17" s="54"/>
      <c r="AH17" s="55"/>
      <c r="AI17" s="53"/>
      <c r="AJ17" s="54"/>
      <c r="AK17" s="55"/>
      <c r="AL17" s="53"/>
      <c r="AM17" s="54"/>
      <c r="AN17" s="55"/>
      <c r="AO17" s="53"/>
      <c r="AP17" s="54"/>
      <c r="AQ17" s="55"/>
      <c r="AR17" s="53"/>
      <c r="AS17" s="54"/>
      <c r="AT17" s="55"/>
    </row>
    <row r="18" spans="2:46" x14ac:dyDescent="0.25">
      <c r="B18" s="48"/>
      <c r="C18" s="49"/>
      <c r="D18" s="50"/>
      <c r="E18" s="48"/>
      <c r="F18" s="49"/>
      <c r="G18" s="50"/>
      <c r="H18" s="48"/>
      <c r="I18" s="49"/>
      <c r="J18" s="50"/>
      <c r="K18" s="48"/>
      <c r="L18" s="49"/>
      <c r="M18" s="50"/>
      <c r="N18" s="48"/>
      <c r="O18" s="49"/>
      <c r="P18" s="50"/>
      <c r="Q18" s="48"/>
      <c r="R18" s="49"/>
      <c r="S18" s="50"/>
      <c r="T18" s="48"/>
      <c r="U18" s="49"/>
      <c r="V18" s="50"/>
      <c r="W18" s="48"/>
      <c r="X18" s="49"/>
      <c r="Y18" s="50"/>
      <c r="Z18" s="48"/>
      <c r="AA18" s="49"/>
      <c r="AB18" s="50"/>
      <c r="AC18" s="48"/>
      <c r="AD18" s="49"/>
      <c r="AE18" s="50"/>
      <c r="AF18" s="48"/>
      <c r="AG18" s="49"/>
      <c r="AH18" s="50"/>
      <c r="AI18" s="48"/>
      <c r="AJ18" s="49"/>
      <c r="AK18" s="50"/>
      <c r="AL18" s="48"/>
      <c r="AM18" s="49"/>
      <c r="AN18" s="50"/>
      <c r="AO18" s="48"/>
      <c r="AP18" s="49"/>
      <c r="AQ18" s="50"/>
      <c r="AR18" s="48"/>
      <c r="AS18" s="49"/>
      <c r="AT18" s="50"/>
    </row>
    <row r="19" spans="2:46" x14ac:dyDescent="0.25">
      <c r="B19" s="51"/>
      <c r="C19" s="1"/>
      <c r="D19" s="52"/>
      <c r="E19" s="51"/>
      <c r="F19" s="1"/>
      <c r="G19" s="52"/>
      <c r="H19" s="51"/>
      <c r="I19" s="1"/>
      <c r="J19" s="52"/>
      <c r="K19" s="51"/>
      <c r="L19" s="1"/>
      <c r="M19" s="52"/>
      <c r="N19" s="51"/>
      <c r="O19" s="1"/>
      <c r="P19" s="52"/>
      <c r="Q19" s="51"/>
      <c r="R19" s="1"/>
      <c r="S19" s="52"/>
      <c r="T19" s="51"/>
      <c r="U19" s="1"/>
      <c r="V19" s="52"/>
      <c r="W19" s="51"/>
      <c r="X19" s="1"/>
      <c r="Y19" s="52"/>
      <c r="Z19" s="51"/>
      <c r="AA19" s="1"/>
      <c r="AB19" s="52"/>
      <c r="AC19" s="51"/>
      <c r="AD19" s="1"/>
      <c r="AE19" s="52"/>
      <c r="AF19" s="51"/>
      <c r="AG19" s="1"/>
      <c r="AH19" s="52"/>
      <c r="AI19" s="51"/>
      <c r="AJ19" s="1"/>
      <c r="AK19" s="52"/>
      <c r="AL19" s="51"/>
      <c r="AM19" s="1"/>
      <c r="AN19" s="52"/>
      <c r="AO19" s="51"/>
      <c r="AP19" s="1"/>
      <c r="AQ19" s="52"/>
      <c r="AR19" s="51"/>
      <c r="AS19" s="1"/>
      <c r="AT19" s="52"/>
    </row>
    <row r="20" spans="2:46" x14ac:dyDescent="0.25">
      <c r="B20" s="51"/>
      <c r="C20" s="1"/>
      <c r="D20" s="52"/>
      <c r="E20" s="51"/>
      <c r="F20" s="1"/>
      <c r="G20" s="52"/>
      <c r="H20" s="51"/>
      <c r="I20" s="1"/>
      <c r="J20" s="52"/>
      <c r="K20" s="51"/>
      <c r="L20" s="1"/>
      <c r="M20" s="52"/>
      <c r="N20" s="51"/>
      <c r="O20" s="1"/>
      <c r="P20" s="52"/>
      <c r="Q20" s="51"/>
      <c r="R20" s="1"/>
      <c r="S20" s="52"/>
      <c r="T20" s="51"/>
      <c r="U20" s="1"/>
      <c r="V20" s="52"/>
      <c r="W20" s="51"/>
      <c r="X20" s="1"/>
      <c r="Y20" s="52"/>
      <c r="Z20" s="51"/>
      <c r="AA20" s="1"/>
      <c r="AB20" s="52"/>
      <c r="AC20" s="51"/>
      <c r="AD20" s="1"/>
      <c r="AE20" s="52"/>
      <c r="AF20" s="51"/>
      <c r="AG20" s="1"/>
      <c r="AH20" s="52"/>
      <c r="AI20" s="51"/>
      <c r="AJ20" s="1"/>
      <c r="AK20" s="52"/>
      <c r="AL20" s="51"/>
      <c r="AM20" s="1"/>
      <c r="AN20" s="52"/>
      <c r="AO20" s="51"/>
      <c r="AP20" s="1"/>
      <c r="AQ20" s="52"/>
      <c r="AR20" s="51"/>
      <c r="AS20" s="1"/>
      <c r="AT20" s="52"/>
    </row>
    <row r="21" spans="2:46" x14ac:dyDescent="0.25">
      <c r="B21" s="53"/>
      <c r="C21" s="54"/>
      <c r="D21" s="55"/>
      <c r="E21" s="53"/>
      <c r="F21" s="54"/>
      <c r="G21" s="55"/>
      <c r="H21" s="53"/>
      <c r="I21" s="54"/>
      <c r="J21" s="55"/>
      <c r="K21" s="53"/>
      <c r="L21" s="54"/>
      <c r="M21" s="55"/>
      <c r="N21" s="53"/>
      <c r="O21" s="54"/>
      <c r="P21" s="55"/>
      <c r="Q21" s="53"/>
      <c r="R21" s="54"/>
      <c r="S21" s="55"/>
      <c r="T21" s="53"/>
      <c r="U21" s="54"/>
      <c r="V21" s="55"/>
      <c r="W21" s="53"/>
      <c r="X21" s="54"/>
      <c r="Y21" s="55"/>
      <c r="Z21" s="53"/>
      <c r="AA21" s="54"/>
      <c r="AB21" s="55"/>
      <c r="AC21" s="53"/>
      <c r="AD21" s="54"/>
      <c r="AE21" s="55"/>
      <c r="AF21" s="53"/>
      <c r="AG21" s="54"/>
      <c r="AH21" s="55"/>
      <c r="AI21" s="53"/>
      <c r="AJ21" s="54"/>
      <c r="AK21" s="55"/>
      <c r="AL21" s="53"/>
      <c r="AM21" s="54"/>
      <c r="AN21" s="55"/>
      <c r="AO21" s="53"/>
      <c r="AP21" s="54"/>
      <c r="AQ21" s="55"/>
      <c r="AR21" s="53"/>
      <c r="AS21" s="54"/>
      <c r="AT21" s="55"/>
    </row>
    <row r="22" spans="2:46" x14ac:dyDescent="0.25">
      <c r="B22" s="48"/>
      <c r="C22" s="49"/>
      <c r="D22" s="50"/>
      <c r="E22" s="48"/>
      <c r="F22" s="49"/>
      <c r="G22" s="50"/>
      <c r="H22" s="48"/>
      <c r="I22" s="49"/>
      <c r="J22" s="50"/>
      <c r="K22" s="48"/>
      <c r="L22" s="49"/>
      <c r="M22" s="50"/>
      <c r="N22" s="48"/>
      <c r="O22" s="49"/>
      <c r="P22" s="50"/>
      <c r="Q22" s="48"/>
      <c r="R22" s="49"/>
      <c r="S22" s="50"/>
      <c r="T22" s="48"/>
      <c r="U22" s="49"/>
      <c r="V22" s="50"/>
      <c r="W22" s="48"/>
      <c r="X22" s="49"/>
      <c r="Y22" s="50"/>
      <c r="Z22" s="48"/>
      <c r="AA22" s="49"/>
      <c r="AB22" s="50"/>
      <c r="AC22" s="48"/>
      <c r="AD22" s="49"/>
      <c r="AE22" s="50"/>
      <c r="AF22" s="48"/>
      <c r="AG22" s="49"/>
      <c r="AH22" s="50"/>
      <c r="AI22" s="48"/>
      <c r="AJ22" s="49"/>
      <c r="AK22" s="50"/>
      <c r="AL22" s="48"/>
      <c r="AM22" s="49"/>
      <c r="AN22" s="50"/>
      <c r="AO22" s="48"/>
      <c r="AP22" s="49"/>
      <c r="AQ22" s="50"/>
      <c r="AR22" s="48"/>
      <c r="AS22" s="49"/>
      <c r="AT22" s="50"/>
    </row>
    <row r="23" spans="2:46" x14ac:dyDescent="0.25">
      <c r="B23" s="51"/>
      <c r="C23" s="1"/>
      <c r="D23" s="52"/>
      <c r="E23" s="51"/>
      <c r="F23" s="1"/>
      <c r="G23" s="52"/>
      <c r="H23" s="51"/>
      <c r="I23" s="1"/>
      <c r="J23" s="52"/>
      <c r="K23" s="51"/>
      <c r="L23" s="1"/>
      <c r="M23" s="52"/>
      <c r="N23" s="51"/>
      <c r="O23" s="1"/>
      <c r="P23" s="52"/>
      <c r="Q23" s="51"/>
      <c r="R23" s="1"/>
      <c r="S23" s="52"/>
      <c r="T23" s="51"/>
      <c r="U23" s="1"/>
      <c r="V23" s="52"/>
      <c r="W23" s="51"/>
      <c r="X23" s="1"/>
      <c r="Y23" s="52"/>
      <c r="Z23" s="51"/>
      <c r="AA23" s="1"/>
      <c r="AB23" s="52"/>
      <c r="AC23" s="51"/>
      <c r="AD23" s="1"/>
      <c r="AE23" s="52"/>
      <c r="AF23" s="51"/>
      <c r="AG23" s="1"/>
      <c r="AH23" s="52"/>
      <c r="AI23" s="51"/>
      <c r="AJ23" s="1"/>
      <c r="AK23" s="52"/>
      <c r="AL23" s="51"/>
      <c r="AM23" s="1"/>
      <c r="AN23" s="52"/>
      <c r="AO23" s="51"/>
      <c r="AP23" s="1"/>
      <c r="AQ23" s="52"/>
      <c r="AR23" s="51"/>
      <c r="AS23" s="1"/>
      <c r="AT23" s="52"/>
    </row>
    <row r="24" spans="2:46" x14ac:dyDescent="0.25">
      <c r="B24" s="51"/>
      <c r="C24" s="1"/>
      <c r="D24" s="52"/>
      <c r="E24" s="51"/>
      <c r="F24" s="1"/>
      <c r="G24" s="52"/>
      <c r="H24" s="51"/>
      <c r="I24" s="1"/>
      <c r="J24" s="52"/>
      <c r="K24" s="51"/>
      <c r="L24" s="1"/>
      <c r="M24" s="52"/>
      <c r="N24" s="51"/>
      <c r="O24" s="1"/>
      <c r="P24" s="52"/>
      <c r="Q24" s="51"/>
      <c r="R24" s="1"/>
      <c r="S24" s="52"/>
      <c r="T24" s="51"/>
      <c r="U24" s="1"/>
      <c r="V24" s="52"/>
      <c r="W24" s="51"/>
      <c r="X24" s="1"/>
      <c r="Y24" s="52"/>
      <c r="Z24" s="51"/>
      <c r="AA24" s="1"/>
      <c r="AB24" s="52"/>
      <c r="AC24" s="51"/>
      <c r="AD24" s="1"/>
      <c r="AE24" s="52"/>
      <c r="AF24" s="51"/>
      <c r="AG24" s="1"/>
      <c r="AH24" s="52"/>
      <c r="AI24" s="51"/>
      <c r="AJ24" s="1"/>
      <c r="AK24" s="52"/>
      <c r="AL24" s="51"/>
      <c r="AM24" s="1"/>
      <c r="AN24" s="52"/>
      <c r="AO24" s="51"/>
      <c r="AP24" s="1"/>
      <c r="AQ24" s="52"/>
      <c r="AR24" s="51"/>
      <c r="AS24" s="1"/>
      <c r="AT24" s="52"/>
    </row>
    <row r="25" spans="2:46" x14ac:dyDescent="0.25">
      <c r="B25" s="53"/>
      <c r="C25" s="54"/>
      <c r="D25" s="55"/>
      <c r="E25" s="53"/>
      <c r="F25" s="54"/>
      <c r="G25" s="55"/>
      <c r="H25" s="53"/>
      <c r="I25" s="54"/>
      <c r="J25" s="55"/>
      <c r="K25" s="53"/>
      <c r="L25" s="54"/>
      <c r="M25" s="55"/>
      <c r="N25" s="53"/>
      <c r="O25" s="54"/>
      <c r="P25" s="55"/>
      <c r="Q25" s="53"/>
      <c r="R25" s="54"/>
      <c r="S25" s="55"/>
      <c r="T25" s="53"/>
      <c r="U25" s="54"/>
      <c r="V25" s="55"/>
      <c r="W25" s="53"/>
      <c r="X25" s="54"/>
      <c r="Y25" s="55"/>
      <c r="Z25" s="53"/>
      <c r="AA25" s="54"/>
      <c r="AB25" s="55"/>
      <c r="AC25" s="53"/>
      <c r="AD25" s="54"/>
      <c r="AE25" s="55"/>
      <c r="AF25" s="53"/>
      <c r="AG25" s="54"/>
      <c r="AH25" s="55"/>
      <c r="AI25" s="53"/>
      <c r="AJ25" s="54"/>
      <c r="AK25" s="55"/>
      <c r="AL25" s="53"/>
      <c r="AM25" s="54"/>
      <c r="AN25" s="55"/>
      <c r="AO25" s="53"/>
      <c r="AP25" s="54"/>
      <c r="AQ25" s="55"/>
      <c r="AR25" s="53"/>
      <c r="AS25" s="54"/>
      <c r="AT25" s="55"/>
    </row>
    <row r="26" spans="2:46" x14ac:dyDescent="0.25"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18433" r:id="rId4">
          <objectPr defaultSize="0" autoPict="0" r:id="rId5">
            <anchor moveWithCells="1">
              <from>
                <xdr:col>1</xdr:col>
                <xdr:colOff>66675</xdr:colOff>
                <xdr:row>1</xdr:row>
                <xdr:rowOff>161925</xdr:rowOff>
              </from>
              <to>
                <xdr:col>3</xdr:col>
                <xdr:colOff>200025</xdr:colOff>
                <xdr:row>4</xdr:row>
                <xdr:rowOff>85725</xdr:rowOff>
              </to>
            </anchor>
          </objectPr>
        </oleObject>
      </mc:Choice>
      <mc:Fallback>
        <oleObject progId="Acrobat Document" dvAspect="DVASPECT_ICON" shapeId="18433" r:id="rId4"/>
      </mc:Fallback>
    </mc:AlternateContent>
    <mc:AlternateContent xmlns:mc="http://schemas.openxmlformats.org/markup-compatibility/2006">
      <mc:Choice Requires="x14">
        <oleObject progId="Acrobat Document" dvAspect="DVASPECT_ICON" shapeId="18434" r:id="rId6">
          <objectPr defaultSize="0" autoPict="0" r:id="rId7">
            <anchor moveWithCells="1">
              <from>
                <xdr:col>4</xdr:col>
                <xdr:colOff>57150</xdr:colOff>
                <xdr:row>1</xdr:row>
                <xdr:rowOff>161925</xdr:rowOff>
              </from>
              <to>
                <xdr:col>6</xdr:col>
                <xdr:colOff>190500</xdr:colOff>
                <xdr:row>4</xdr:row>
                <xdr:rowOff>76200</xdr:rowOff>
              </to>
            </anchor>
          </objectPr>
        </oleObject>
      </mc:Choice>
      <mc:Fallback>
        <oleObject progId="Acrobat Document" dvAspect="DVASPECT_ICON" shapeId="18434" r:id="rId6"/>
      </mc:Fallback>
    </mc:AlternateContent>
    <mc:AlternateContent xmlns:mc="http://schemas.openxmlformats.org/markup-compatibility/2006">
      <mc:Choice Requires="x14">
        <oleObject progId="Acrobat Document" dvAspect="DVASPECT_ICON" shapeId="18435" r:id="rId8">
          <objectPr defaultSize="0" autoPict="0" r:id="rId9">
            <anchor moveWithCells="1">
              <from>
                <xdr:col>7</xdr:col>
                <xdr:colOff>76200</xdr:colOff>
                <xdr:row>1</xdr:row>
                <xdr:rowOff>161925</xdr:rowOff>
              </from>
              <to>
                <xdr:col>9</xdr:col>
                <xdr:colOff>209550</xdr:colOff>
                <xdr:row>4</xdr:row>
                <xdr:rowOff>76200</xdr:rowOff>
              </to>
            </anchor>
          </objectPr>
        </oleObject>
      </mc:Choice>
      <mc:Fallback>
        <oleObject progId="Acrobat Document" dvAspect="DVASPECT_ICON" shapeId="18435" r:id="rId8"/>
      </mc:Fallback>
    </mc:AlternateContent>
    <mc:AlternateContent xmlns:mc="http://schemas.openxmlformats.org/markup-compatibility/2006">
      <mc:Choice Requires="x14">
        <oleObject progId="Acrobat Document" dvAspect="DVASPECT_ICON" shapeId="18436" r:id="rId10">
          <objectPr defaultSize="0" autoPict="0" r:id="rId11">
            <anchor moveWithCells="1">
              <from>
                <xdr:col>10</xdr:col>
                <xdr:colOff>66675</xdr:colOff>
                <xdr:row>1</xdr:row>
                <xdr:rowOff>161925</xdr:rowOff>
              </from>
              <to>
                <xdr:col>12</xdr:col>
                <xdr:colOff>200025</xdr:colOff>
                <xdr:row>4</xdr:row>
                <xdr:rowOff>76200</xdr:rowOff>
              </to>
            </anchor>
          </objectPr>
        </oleObject>
      </mc:Choice>
      <mc:Fallback>
        <oleObject progId="Acrobat Document" dvAspect="DVASPECT_ICON" shapeId="18436" r:id="rId10"/>
      </mc:Fallback>
    </mc:AlternateContent>
    <mc:AlternateContent xmlns:mc="http://schemas.openxmlformats.org/markup-compatibility/2006">
      <mc:Choice Requires="x14">
        <oleObject progId="Acrobat Document" dvAspect="DVASPECT_ICON" shapeId="18437" r:id="rId12">
          <objectPr defaultSize="0" autoPict="0" r:id="rId13">
            <anchor moveWithCells="1">
              <from>
                <xdr:col>13</xdr:col>
                <xdr:colOff>66675</xdr:colOff>
                <xdr:row>1</xdr:row>
                <xdr:rowOff>161925</xdr:rowOff>
              </from>
              <to>
                <xdr:col>15</xdr:col>
                <xdr:colOff>209550</xdr:colOff>
                <xdr:row>4</xdr:row>
                <xdr:rowOff>76200</xdr:rowOff>
              </to>
            </anchor>
          </objectPr>
        </oleObject>
      </mc:Choice>
      <mc:Fallback>
        <oleObject progId="Acrobat Document" dvAspect="DVASPECT_ICON" shapeId="18437" r:id="rId12"/>
      </mc:Fallback>
    </mc:AlternateContent>
    <mc:AlternateContent xmlns:mc="http://schemas.openxmlformats.org/markup-compatibility/2006">
      <mc:Choice Requires="x14">
        <oleObject progId="Acrobat Document" dvAspect="DVASPECT_ICON" shapeId="18438" r:id="rId14">
          <objectPr defaultSize="0" autoPict="0" r:id="rId15">
            <anchor moveWithCells="1">
              <from>
                <xdr:col>16</xdr:col>
                <xdr:colOff>76200</xdr:colOff>
                <xdr:row>1</xdr:row>
                <xdr:rowOff>171450</xdr:rowOff>
              </from>
              <to>
                <xdr:col>18</xdr:col>
                <xdr:colOff>209550</xdr:colOff>
                <xdr:row>4</xdr:row>
                <xdr:rowOff>85725</xdr:rowOff>
              </to>
            </anchor>
          </objectPr>
        </oleObject>
      </mc:Choice>
      <mc:Fallback>
        <oleObject progId="Acrobat Document" dvAspect="DVASPECT_ICON" shapeId="18438" r:id="rId14"/>
      </mc:Fallback>
    </mc:AlternateContent>
    <mc:AlternateContent xmlns:mc="http://schemas.openxmlformats.org/markup-compatibility/2006">
      <mc:Choice Requires="x14">
        <oleObject progId="Acrobat Document" dvAspect="DVASPECT_ICON" shapeId="18439" r:id="rId16">
          <objectPr defaultSize="0" autoPict="0" r:id="rId17">
            <anchor moveWithCells="1">
              <from>
                <xdr:col>19</xdr:col>
                <xdr:colOff>66675</xdr:colOff>
                <xdr:row>1</xdr:row>
                <xdr:rowOff>180975</xdr:rowOff>
              </from>
              <to>
                <xdr:col>21</xdr:col>
                <xdr:colOff>200025</xdr:colOff>
                <xdr:row>4</xdr:row>
                <xdr:rowOff>95250</xdr:rowOff>
              </to>
            </anchor>
          </objectPr>
        </oleObject>
      </mc:Choice>
      <mc:Fallback>
        <oleObject progId="Acrobat Document" dvAspect="DVASPECT_ICON" shapeId="18439" r:id="rId16"/>
      </mc:Fallback>
    </mc:AlternateContent>
    <mc:AlternateContent xmlns:mc="http://schemas.openxmlformats.org/markup-compatibility/2006">
      <mc:Choice Requires="x14">
        <oleObject progId="Acrobat Document" dvAspect="DVASPECT_ICON" shapeId="18440" r:id="rId18">
          <objectPr defaultSize="0" autoPict="0" r:id="rId19">
            <anchor moveWithCells="1">
              <from>
                <xdr:col>22</xdr:col>
                <xdr:colOff>66675</xdr:colOff>
                <xdr:row>1</xdr:row>
                <xdr:rowOff>171450</xdr:rowOff>
              </from>
              <to>
                <xdr:col>24</xdr:col>
                <xdr:colOff>200025</xdr:colOff>
                <xdr:row>4</xdr:row>
                <xdr:rowOff>85725</xdr:rowOff>
              </to>
            </anchor>
          </objectPr>
        </oleObject>
      </mc:Choice>
      <mc:Fallback>
        <oleObject progId="Acrobat Document" dvAspect="DVASPECT_ICON" shapeId="18440" r:id="rId18"/>
      </mc:Fallback>
    </mc:AlternateContent>
    <mc:AlternateContent xmlns:mc="http://schemas.openxmlformats.org/markup-compatibility/2006">
      <mc:Choice Requires="x14">
        <oleObject progId="Acrobat Document" dvAspect="DVASPECT_ICON" shapeId="18441" r:id="rId20">
          <objectPr defaultSize="0" autoPict="0" r:id="rId21">
            <anchor moveWithCells="1">
              <from>
                <xdr:col>25</xdr:col>
                <xdr:colOff>66675</xdr:colOff>
                <xdr:row>1</xdr:row>
                <xdr:rowOff>180975</xdr:rowOff>
              </from>
              <to>
                <xdr:col>27</xdr:col>
                <xdr:colOff>200025</xdr:colOff>
                <xdr:row>4</xdr:row>
                <xdr:rowOff>95250</xdr:rowOff>
              </to>
            </anchor>
          </objectPr>
        </oleObject>
      </mc:Choice>
      <mc:Fallback>
        <oleObject progId="Acrobat Document" dvAspect="DVASPECT_ICON" shapeId="18441" r:id="rId20"/>
      </mc:Fallback>
    </mc:AlternateContent>
    <mc:AlternateContent xmlns:mc="http://schemas.openxmlformats.org/markup-compatibility/2006">
      <mc:Choice Requires="x14">
        <oleObject progId="Acrobat Document" dvAspect="DVASPECT_ICON" shapeId="18442" r:id="rId22">
          <objectPr defaultSize="0" autoPict="0" r:id="rId23">
            <anchor moveWithCells="1">
              <from>
                <xdr:col>28</xdr:col>
                <xdr:colOff>66675</xdr:colOff>
                <xdr:row>1</xdr:row>
                <xdr:rowOff>180975</xdr:rowOff>
              </from>
              <to>
                <xdr:col>30</xdr:col>
                <xdr:colOff>200025</xdr:colOff>
                <xdr:row>4</xdr:row>
                <xdr:rowOff>95250</xdr:rowOff>
              </to>
            </anchor>
          </objectPr>
        </oleObject>
      </mc:Choice>
      <mc:Fallback>
        <oleObject progId="Acrobat Document" dvAspect="DVASPECT_ICON" shapeId="18442" r:id="rId22"/>
      </mc:Fallback>
    </mc:AlternateContent>
    <mc:AlternateContent xmlns:mc="http://schemas.openxmlformats.org/markup-compatibility/2006">
      <mc:Choice Requires="x14">
        <oleObject progId="Acrobat Document" dvAspect="DVASPECT_ICON" shapeId="18443" r:id="rId24">
          <objectPr defaultSize="0" autoPict="0" r:id="rId25">
            <anchor moveWithCells="1">
              <from>
                <xdr:col>31</xdr:col>
                <xdr:colOff>57150</xdr:colOff>
                <xdr:row>1</xdr:row>
                <xdr:rowOff>180975</xdr:rowOff>
              </from>
              <to>
                <xdr:col>33</xdr:col>
                <xdr:colOff>190500</xdr:colOff>
                <xdr:row>4</xdr:row>
                <xdr:rowOff>95250</xdr:rowOff>
              </to>
            </anchor>
          </objectPr>
        </oleObject>
      </mc:Choice>
      <mc:Fallback>
        <oleObject progId="Acrobat Document" dvAspect="DVASPECT_ICON" shapeId="18443" r:id="rId24"/>
      </mc:Fallback>
    </mc:AlternateContent>
    <mc:AlternateContent xmlns:mc="http://schemas.openxmlformats.org/markup-compatibility/2006">
      <mc:Choice Requires="x14">
        <oleObject progId="Acrobat Document" dvAspect="DVASPECT_ICON" shapeId="18444" r:id="rId26">
          <objectPr defaultSize="0" autoPict="0" r:id="rId27">
            <anchor moveWithCells="1">
              <from>
                <xdr:col>34</xdr:col>
                <xdr:colOff>57150</xdr:colOff>
                <xdr:row>1</xdr:row>
                <xdr:rowOff>180975</xdr:rowOff>
              </from>
              <to>
                <xdr:col>36</xdr:col>
                <xdr:colOff>190500</xdr:colOff>
                <xdr:row>4</xdr:row>
                <xdr:rowOff>95250</xdr:rowOff>
              </to>
            </anchor>
          </objectPr>
        </oleObject>
      </mc:Choice>
      <mc:Fallback>
        <oleObject progId="Acrobat Document" dvAspect="DVASPECT_ICON" shapeId="18444" r:id="rId26"/>
      </mc:Fallback>
    </mc:AlternateContent>
    <mc:AlternateContent xmlns:mc="http://schemas.openxmlformats.org/markup-compatibility/2006">
      <mc:Choice Requires="x14">
        <oleObject progId="Acrobat Document" dvAspect="DVASPECT_ICON" shapeId="18445" r:id="rId28">
          <objectPr defaultSize="0" autoPict="0" r:id="rId29">
            <anchor moveWithCells="1">
              <from>
                <xdr:col>37</xdr:col>
                <xdr:colOff>57150</xdr:colOff>
                <xdr:row>1</xdr:row>
                <xdr:rowOff>180975</xdr:rowOff>
              </from>
              <to>
                <xdr:col>39</xdr:col>
                <xdr:colOff>190500</xdr:colOff>
                <xdr:row>4</xdr:row>
                <xdr:rowOff>104775</xdr:rowOff>
              </to>
            </anchor>
          </objectPr>
        </oleObject>
      </mc:Choice>
      <mc:Fallback>
        <oleObject progId="Acrobat Document" dvAspect="DVASPECT_ICON" shapeId="18445" r:id="rId28"/>
      </mc:Fallback>
    </mc:AlternateContent>
    <mc:AlternateContent xmlns:mc="http://schemas.openxmlformats.org/markup-compatibility/2006">
      <mc:Choice Requires="x14">
        <oleObject progId="Acrobat Document" dvAspect="DVASPECT_ICON" shapeId="18446" r:id="rId30">
          <objectPr defaultSize="0" autoPict="0" r:id="rId31">
            <anchor moveWithCells="1">
              <from>
                <xdr:col>40</xdr:col>
                <xdr:colOff>57150</xdr:colOff>
                <xdr:row>1</xdr:row>
                <xdr:rowOff>180975</xdr:rowOff>
              </from>
              <to>
                <xdr:col>42</xdr:col>
                <xdr:colOff>190500</xdr:colOff>
                <xdr:row>4</xdr:row>
                <xdr:rowOff>95250</xdr:rowOff>
              </to>
            </anchor>
          </objectPr>
        </oleObject>
      </mc:Choice>
      <mc:Fallback>
        <oleObject progId="Acrobat Document" dvAspect="DVASPECT_ICON" shapeId="18446" r:id="rId30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Calc. Sheet</vt:lpstr>
      <vt:lpstr>'Calc. Sheet'!Print_Area</vt:lpstr>
      <vt:lpstr>'Calc. Sheet'!Print_Titles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PC-ADMIN</dc:creator>
  <cp:lastModifiedBy>PC-ADMIN</cp:lastModifiedBy>
  <cp:lastPrinted>2016-07-07T14:23:59Z</cp:lastPrinted>
  <dcterms:created xsi:type="dcterms:W3CDTF">2006-09-16T00:00:00Z</dcterms:created>
  <dcterms:modified xsi:type="dcterms:W3CDTF">2016-07-21T06:33:01Z</dcterms:modified>
</cp:coreProperties>
</file>