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drawings/drawing10.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11.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9.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1.xml" ContentType="application/vnd.openxmlformats-officedocument.drawing+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2.xml" ContentType="application/vnd.openxmlformats-officedocument.drawing+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drawings/drawing26.xml" ContentType="application/vnd.openxmlformats-officedocument.drawing+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style21.xml" ContentType="application/vnd.ms-office.chartstyle+xml"/>
  <Override PartName="/xl/charts/colors21.xml" ContentType="application/vnd.ms-office.chartcolorstyle+xml"/>
  <Override PartName="/xl/charts/chart28.xml" ContentType="application/vnd.openxmlformats-officedocument.drawingml.chart+xml"/>
  <Override PartName="/xl/charts/style22.xml" ContentType="application/vnd.ms-office.chartstyle+xml"/>
  <Override PartName="/xl/charts/colors22.xml" ContentType="application/vnd.ms-office.chartcolorstyle+xml"/>
  <Override PartName="/xl/charts/chart29.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harts/chart30.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1.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drawings/drawing32.xml" ContentType="application/vnd.openxmlformats-officedocument.drawing+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33.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34.xml" ContentType="application/vnd.openxmlformats-officedocument.drawing+xml"/>
  <Override PartName="/xl/charts/chart42.xml" ContentType="application/vnd.openxmlformats-officedocument.drawingml.chart+xml"/>
  <Override PartName="/xl/charts/chart43.xml" ContentType="application/vnd.openxmlformats-officedocument.drawingml.chart+xml"/>
  <Override PartName="/xl/drawings/drawing35.xml" ContentType="application/vnd.openxmlformats-officedocument.drawing+xml"/>
  <Override PartName="/xl/charts/chart44.xml" ContentType="application/vnd.openxmlformats-officedocument.drawingml.chart+xml"/>
  <Override PartName="/xl/drawings/drawing36.xml" ContentType="application/vnd.openxmlformats-officedocument.drawing+xml"/>
  <Override PartName="/xl/charts/chart45.xml" ContentType="application/vnd.openxmlformats-officedocument.drawingml.chart+xml"/>
  <Override PartName="/xl/drawings/drawing37.xml" ContentType="application/vnd.openxmlformats-officedocument.drawing+xml"/>
  <Override PartName="/xl/charts/chart46.xml" ContentType="application/vnd.openxmlformats-officedocument.drawingml.chart+xml"/>
  <Override PartName="/xl/drawings/drawing38.xml" ContentType="application/vnd.openxmlformats-officedocument.drawing+xml"/>
  <Override PartName="/xl/charts/chart47.xml" ContentType="application/vnd.openxmlformats-officedocument.drawingml.chart+xml"/>
  <Override PartName="/xl/charts/style25.xml" ContentType="application/vnd.ms-office.chartstyle+xml"/>
  <Override PartName="/xl/charts/colors25.xml" ContentType="application/vnd.ms-office.chartcolorstyle+xml"/>
  <Override PartName="/xl/charts/chart48.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9.xml" ContentType="application/vnd.openxmlformats-officedocument.drawing+xml"/>
  <Override PartName="/xl/charts/chart49.xml" ContentType="application/vnd.openxmlformats-officedocument.drawingml.chart+xml"/>
  <Override PartName="/xl/charts/style27.xml" ContentType="application/vnd.ms-office.chartstyle+xml"/>
  <Override PartName="/xl/charts/colors27.xml" ContentType="application/vnd.ms-office.chartcolorstyle+xml"/>
  <Override PartName="/xl/charts/chart50.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40.xml" ContentType="application/vnd.openxmlformats-officedocument.drawing+xml"/>
  <Override PartName="/xl/charts/chart51.xml" ContentType="application/vnd.openxmlformats-officedocument.drawingml.chart+xml"/>
  <Override PartName="/xl/drawings/drawing41.xml" ContentType="application/vnd.openxmlformats-officedocument.drawing+xml"/>
  <Override PartName="/xl/charts/chart52.xml" ContentType="application/vnd.openxmlformats-officedocument.drawingml.chart+xml"/>
  <Override PartName="/xl/drawings/drawing42.xml" ContentType="application/vnd.openxmlformats-officedocument.drawing+xml"/>
  <Override PartName="/xl/charts/chart53.xml" ContentType="application/vnd.openxmlformats-officedocument.drawingml.chart+xml"/>
  <Override PartName="/xl/drawings/drawing43.xml" ContentType="application/vnd.openxmlformats-officedocument.drawing+xml"/>
  <Override PartName="/xl/charts/chart54.xml" ContentType="application/vnd.openxmlformats-officedocument.drawingml.chart+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drawings/drawing47.xml" ContentType="application/vnd.openxmlformats-officedocument.drawingml.chartshapes+xml"/>
  <Override PartName="/xl/drawings/drawing48.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49.xml" ContentType="application/vnd.openxmlformats-officedocument.drawingml.chartshapes+xml"/>
  <Override PartName="/xl/drawings/drawing50.xml" ContentType="application/vnd.openxmlformats-officedocument.drawing+xml"/>
  <Override PartName="/xl/charts/chart61.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51.xml" ContentType="application/vnd.openxmlformats-officedocument.drawing+xml"/>
  <Override PartName="/xl/charts/chart6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harts/chart63.xml" ContentType="application/vnd.openxmlformats-officedocument.drawingml.chart+xml"/>
  <Override PartName="/xl/drawings/drawing55.xml" ContentType="application/vnd.openxmlformats-officedocument.drawing+xml"/>
  <Override PartName="/xl/charts/chart64.xml" ContentType="application/vnd.openxmlformats-officedocument.drawingml.chart+xml"/>
  <Override PartName="/xl/drawings/drawing56.xml" ContentType="application/vnd.openxmlformats-officedocument.drawing+xml"/>
  <Override PartName="/xl/tables/table2.xml" ContentType="application/vnd.openxmlformats-officedocument.spreadsheetml.table+xml"/>
  <Override PartName="/xl/charts/chart65.xml" ContentType="application/vnd.openxmlformats-officedocument.drawingml.chart+xml"/>
  <Override PartName="/xl/drawings/drawing57.xml" ContentType="application/vnd.openxmlformats-officedocument.drawing+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58.xml" ContentType="application/vnd.openxmlformats-officedocument.drawing+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59.xml" ContentType="application/vnd.openxmlformats-officedocument.drawing+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60.xml" ContentType="application/vnd.openxmlformats-officedocument.drawing+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style34.xml" ContentType="application/vnd.ms-office.chartstyle+xml"/>
  <Override PartName="/xl/charts/colors34.xml" ContentType="application/vnd.ms-office.chartcolorstyle+xml"/>
  <Override PartName="/xl/charts/chart83.xml" ContentType="application/vnd.openxmlformats-officedocument.drawingml.chart+xml"/>
  <Override PartName="/xl/charts/style35.xml" ContentType="application/vnd.ms-office.chartstyle+xml"/>
  <Override PartName="/xl/charts/colors35.xml" ContentType="application/vnd.ms-office.chartcolorstyle+xml"/>
  <Override PartName="/xl/charts/chart84.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61.xml" ContentType="application/vnd.openxmlformats-officedocument.drawing+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style37.xml" ContentType="application/vnd.ms-office.chartstyle+xml"/>
  <Override PartName="/xl/charts/colors37.xml" ContentType="application/vnd.ms-office.chartcolorstyle+xml"/>
  <Override PartName="/xl/charts/chart89.xml" ContentType="application/vnd.openxmlformats-officedocument.drawingml.chart+xml"/>
  <Override PartName="/xl/charts/style38.xml" ContentType="application/vnd.ms-office.chartstyle+xml"/>
  <Override PartName="/xl/charts/colors38.xml" ContentType="application/vnd.ms-office.chartcolorstyle+xml"/>
  <Override PartName="/xl/charts/chart90.xml" ContentType="application/vnd.openxmlformats-officedocument.drawingml.chart+xml"/>
  <Override PartName="/xl/charts/style39.xml" ContentType="application/vnd.ms-office.chartstyle+xml"/>
  <Override PartName="/xl/charts/colors3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29"/>
  <workbookPr codeName="ThisWorkbook"/>
  <mc:AlternateContent xmlns:mc="http://schemas.openxmlformats.org/markup-compatibility/2006">
    <mc:Choice Requires="x15">
      <x15ac:absPath xmlns:x15ac="http://schemas.microsoft.com/office/spreadsheetml/2010/11/ac" url="C:\Users\hp\Documents\EXCEL IS FUN EASY\chapter 3\"/>
    </mc:Choice>
  </mc:AlternateContent>
  <xr:revisionPtr revIDLastSave="0" documentId="13_ncr:1_{32063E1C-961A-4280-8620-B9085D343475}" xr6:coauthVersionLast="47" xr6:coauthVersionMax="47" xr10:uidLastSave="{00000000-0000-0000-0000-000000000000}"/>
  <bookViews>
    <workbookView xWindow="-120" yWindow="-120" windowWidth="20730" windowHeight="11160" tabRatio="691" firstSheet="16" activeTab="16" xr2:uid="{00000000-000D-0000-FFFF-FFFF00000000}"/>
  </bookViews>
  <sheets>
    <sheet name="Topics" sheetId="2" r:id="rId1"/>
    <sheet name="Detailed Topic List" sheetId="3" r:id="rId2"/>
    <sheet name="Keyboards" sheetId="4" r:id="rId3"/>
    <sheet name="Notes" sheetId="25" r:id="rId4"/>
    <sheet name="Location" sheetId="70" r:id="rId5"/>
    <sheet name="Location (an)" sheetId="71" r:id="rId6"/>
    <sheet name="Terms" sheetId="6" r:id="rId7"/>
    <sheet name="MeanPorS" sheetId="10" r:id="rId8"/>
    <sheet name="MeanPorS (an)" sheetId="72" r:id="rId9"/>
    <sheet name="Mean" sheetId="8" r:id="rId10"/>
    <sheet name="Mean (an)" sheetId="73" r:id="rId11"/>
    <sheet name="Median" sheetId="11" r:id="rId12"/>
    <sheet name="Median (an)" sheetId="74" r:id="rId13"/>
    <sheet name="Mode" sheetId="15" r:id="rId14"/>
    <sheet name="Mode (an)" sheetId="75" r:id="rId15"/>
    <sheet name="Skew" sheetId="16" r:id="rId16"/>
    <sheet name="Skew (an)" sheetId="76" r:id="rId17"/>
    <sheet name="Weighted Mean" sheetId="18" r:id="rId18"/>
    <sheet name="Weighted Mean (an)" sheetId="79" r:id="rId19"/>
    <sheet name="WM(2)" sheetId="17" r:id="rId20"/>
    <sheet name="WM(2an)" sheetId="80" r:id="rId21"/>
    <sheet name="GroupedDataMean" sheetId="23" r:id="rId22"/>
    <sheet name="Trimmed Mean" sheetId="24" r:id="rId23"/>
    <sheet name="Geometric Mean" sheetId="19" r:id="rId24"/>
    <sheet name="Geometric Mean (an)" sheetId="82" r:id="rId25"/>
    <sheet name="PercentiileAndQuartile" sheetId="20" r:id="rId26"/>
    <sheet name="PercentiileAndQuartile (an)" sheetId="85" r:id="rId27"/>
    <sheet name="Rank" sheetId="33" r:id="rId28"/>
    <sheet name="Stock" sheetId="26" state="hidden" r:id="rId29"/>
    <sheet name="Rank (an)" sheetId="86" r:id="rId30"/>
    <sheet name="V(1)" sheetId="27" r:id="rId31"/>
    <sheet name="V(2)" sheetId="41" r:id="rId32"/>
    <sheet name="V(3)" sheetId="29" r:id="rId33"/>
    <sheet name="V(4)" sheetId="30" r:id="rId34"/>
    <sheet name="V(4an)" sheetId="91" r:id="rId35"/>
    <sheet name="V(5)" sheetId="31" r:id="rId36"/>
    <sheet name="V(5an)" sheetId="87" r:id="rId37"/>
    <sheet name="V(6)" sheetId="34" r:id="rId38"/>
    <sheet name="V(7)" sheetId="32" r:id="rId39"/>
    <sheet name="V(7an)" sheetId="92" r:id="rId40"/>
    <sheet name="V(8)" sheetId="36" r:id="rId41"/>
    <sheet name="V(9)" sheetId="37" r:id="rId42"/>
    <sheet name="V(9an)" sheetId="93" r:id="rId43"/>
    <sheet name="V(10)" sheetId="40" r:id="rId44"/>
    <sheet name="DS" sheetId="38" r:id="rId45"/>
    <sheet name="DS (an)" sheetId="90" r:id="rId46"/>
    <sheet name="Skew (2)" sheetId="42" r:id="rId47"/>
    <sheet name="Skew (2an)" sheetId="94" r:id="rId48"/>
    <sheet name="Skew (3)" sheetId="43" r:id="rId49"/>
    <sheet name="S(L)" sheetId="44" r:id="rId50"/>
    <sheet name="S(B)" sheetId="45" r:id="rId51"/>
    <sheet name="S(R)" sheetId="46" r:id="rId52"/>
    <sheet name="S(HR)" sheetId="47" r:id="rId53"/>
    <sheet name="z(1)" sheetId="104" r:id="rId54"/>
    <sheet name="z(1an)" sheetId="116" r:id="rId55"/>
    <sheet name="z(2)" sheetId="97" r:id="rId56"/>
    <sheet name="z(2an)" sheetId="117" r:id="rId57"/>
    <sheet name="z(3)" sheetId="49" r:id="rId58"/>
    <sheet name="z(3an)" sheetId="118" r:id="rId59"/>
    <sheet name="Chebyshev" sheetId="106" r:id="rId60"/>
    <sheet name="Chebyshev (an)" sheetId="119" r:id="rId61"/>
    <sheet name="Empirical Rule" sheetId="113" r:id="rId62"/>
    <sheet name="HeightChart" sheetId="108" state="hidden" r:id="rId63"/>
    <sheet name="Empirical Rule (an)" sheetId="120" r:id="rId64"/>
    <sheet name="Bell&amp;Cheb" sheetId="101" r:id="rId65"/>
    <sheet name="Bell&amp;Cheb (an)" sheetId="115" r:id="rId66"/>
    <sheet name="5 N S" sheetId="62" r:id="rId67"/>
    <sheet name="5 N S (an)" sheetId="121" r:id="rId68"/>
    <sheet name="5 Number &amp; Box Blot" sheetId="58" r:id="rId69"/>
    <sheet name="5 Number &amp; Box Blot (an)" sheetId="124" r:id="rId70"/>
    <sheet name="Outliers" sheetId="56" r:id="rId71"/>
    <sheet name="Outliers (an)" sheetId="125" r:id="rId72"/>
    <sheet name="BP Chart" sheetId="60" r:id="rId73"/>
    <sheet name="Multiple BP" sheetId="61" r:id="rId74"/>
    <sheet name="Monthly Salary" sheetId="63" r:id="rId75"/>
    <sheet name="2 Variable Notes" sheetId="69" state="hidden" r:id="rId76"/>
    <sheet name="2 Variable Scatter" sheetId="64" r:id="rId77"/>
    <sheet name="2 Variable Xbar Lines" sheetId="68" r:id="rId78"/>
    <sheet name="2 Variable Xbar Lines (an)" sheetId="127" r:id="rId79"/>
    <sheet name="2 Variables Cov and Corr" sheetId="67" r:id="rId80"/>
    <sheet name="2 Variables Cov and Corr (an)" sheetId="128" r:id="rId81"/>
  </sheets>
  <definedNames>
    <definedName name="_xlnm._FilterDatabase" localSheetId="11" hidden="1">Median!$K$15:$K$35</definedName>
    <definedName name="_xlnm._FilterDatabase" localSheetId="12" hidden="1">'Median (an)'!$K$15:$K$35</definedName>
    <definedName name="_xlnm._FilterDatabase" localSheetId="13" hidden="1">Mode!$A$19:$A$39</definedName>
    <definedName name="_xlnm._FilterDatabase" localSheetId="14" hidden="1">'Mode (an)'!$A$19:$A$39</definedName>
    <definedName name="_xlnm._FilterDatabase" localSheetId="17" hidden="1">'Weighted Mean'!$A$8:$A$20</definedName>
    <definedName name="_xlnm._FilterDatabase" localSheetId="18" hidden="1">'Weighted Mean (an)'!$A$8:$A$20</definedName>
    <definedName name="_xlnm.Print_Area" localSheetId="3">Notes!$A$1:$A$197</definedName>
    <definedName name="XOutlierAbove">OFFSET('Monthly Salary'!$F$34,,,'Monthly Salary'!$G$30)</definedName>
    <definedName name="XOutlierBelow">OFFSET('Monthly Salary'!$C$34,,,'Monthly Salary'!$D$30)</definedName>
    <definedName name="YOutlierAbove">OFFSET('Monthly Salary'!$G$34,,,'Monthly Salary'!$G$30)</definedName>
    <definedName name="YOutlierBelow">OFFSET('Monthly Salary'!$D$34,,,'Monthly Salary'!$D$30)</definedName>
  </definedNames>
  <calcPr calcId="181029"/>
  <pivotCaches>
    <pivotCache cacheId="0" r:id="rId82"/>
    <pivotCache cacheId="1" r:id="rId83"/>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35" i="92" l="1"/>
  <c r="G35" i="92"/>
  <c r="D33" i="92"/>
  <c r="G33" i="92"/>
  <c r="C28" i="92"/>
  <c r="D28" i="92" s="1"/>
  <c r="E12" i="92"/>
  <c r="F15" i="92" s="1"/>
  <c r="G15" i="92" s="1"/>
  <c r="E10" i="92"/>
  <c r="E11" i="92" s="1"/>
  <c r="B12" i="92"/>
  <c r="C14" i="92" s="1"/>
  <c r="B11" i="92"/>
  <c r="B10" i="92"/>
  <c r="C24" i="92" l="1"/>
  <c r="D24" i="92" s="1"/>
  <c r="C20" i="92"/>
  <c r="D20" i="92" s="1"/>
  <c r="C16" i="92"/>
  <c r="D16" i="92" s="1"/>
  <c r="D14" i="92"/>
  <c r="F21" i="92"/>
  <c r="G21" i="92" s="1"/>
  <c r="F24" i="92"/>
  <c r="G24" i="92" s="1"/>
  <c r="F16" i="92"/>
  <c r="G16" i="92" s="1"/>
  <c r="C23" i="92"/>
  <c r="D23" i="92" s="1"/>
  <c r="C15" i="92"/>
  <c r="D15" i="92" s="1"/>
  <c r="F26" i="92"/>
  <c r="G26" i="92" s="1"/>
  <c r="F22" i="92"/>
  <c r="G22" i="92" s="1"/>
  <c r="F18" i="92"/>
  <c r="G18" i="92" s="1"/>
  <c r="F14" i="92"/>
  <c r="C25" i="92"/>
  <c r="D25" i="92" s="1"/>
  <c r="C21" i="92"/>
  <c r="D21" i="92" s="1"/>
  <c r="C17" i="92"/>
  <c r="D17" i="92" s="1"/>
  <c r="F25" i="92"/>
  <c r="G25" i="92" s="1"/>
  <c r="F17" i="92"/>
  <c r="G17" i="92" s="1"/>
  <c r="F28" i="92"/>
  <c r="G28" i="92" s="1"/>
  <c r="F20" i="92"/>
  <c r="G20" i="92" s="1"/>
  <c r="C27" i="92"/>
  <c r="D27" i="92" s="1"/>
  <c r="C19" i="92"/>
  <c r="D19" i="92" s="1"/>
  <c r="F27" i="92"/>
  <c r="G27" i="92" s="1"/>
  <c r="F23" i="92"/>
  <c r="G23" i="92" s="1"/>
  <c r="F19" i="92"/>
  <c r="G19" i="92" s="1"/>
  <c r="C26" i="92"/>
  <c r="D26" i="92" s="1"/>
  <c r="C22" i="92"/>
  <c r="D22" i="92" s="1"/>
  <c r="C18" i="92"/>
  <c r="D18" i="92" s="1"/>
  <c r="H21" i="24"/>
  <c r="G21" i="24"/>
  <c r="F21" i="24"/>
  <c r="E21" i="24"/>
  <c r="D21" i="24"/>
  <c r="E15" i="24"/>
  <c r="E7" i="24"/>
  <c r="E3" i="24"/>
  <c r="J14" i="24" s="1"/>
  <c r="G14" i="92" l="1"/>
  <c r="G29" i="92" s="1"/>
  <c r="G32" i="92" s="1"/>
  <c r="G34" i="92" s="1"/>
  <c r="F29" i="92"/>
  <c r="D29" i="92"/>
  <c r="D32" i="92" s="1"/>
  <c r="D34" i="92" s="1"/>
  <c r="C29" i="92"/>
  <c r="J15" i="24"/>
  <c r="E4" i="24"/>
  <c r="E5" i="24" s="1"/>
  <c r="E11" i="24" s="1"/>
  <c r="A89" i="3"/>
  <c r="B89" i="3"/>
  <c r="C89" i="3"/>
  <c r="A90" i="3"/>
  <c r="B90" i="3"/>
  <c r="C90" i="3"/>
  <c r="A91" i="3"/>
  <c r="B91" i="3"/>
  <c r="C91" i="3"/>
  <c r="A92" i="3"/>
  <c r="B92" i="3"/>
  <c r="C92" i="3"/>
  <c r="A93" i="3"/>
  <c r="B93" i="3"/>
  <c r="C93" i="3"/>
  <c r="A94" i="3"/>
  <c r="B94" i="3"/>
  <c r="C94" i="3"/>
  <c r="C88" i="3"/>
  <c r="B88" i="3"/>
  <c r="A88" i="3"/>
  <c r="I13" i="11" l="1"/>
  <c r="A13" i="11"/>
  <c r="C9" i="70" l="1"/>
  <c r="C9" i="71"/>
  <c r="C8" i="71"/>
  <c r="C8" i="70"/>
  <c r="C7" i="71"/>
  <c r="C7" i="70"/>
  <c r="B471" i="128" l="1"/>
  <c r="B472" i="128" s="1"/>
  <c r="B473" i="128" s="1"/>
  <c r="B474" i="128" s="1"/>
  <c r="A471" i="128"/>
  <c r="A472" i="128" s="1"/>
  <c r="A473" i="128" s="1"/>
  <c r="A474" i="128" s="1"/>
  <c r="B462" i="128"/>
  <c r="B461" i="128"/>
  <c r="B460" i="128"/>
  <c r="B459" i="128"/>
  <c r="B458" i="128"/>
  <c r="B457" i="128"/>
  <c r="B456" i="128"/>
  <c r="B91" i="128"/>
  <c r="B90" i="128"/>
  <c r="B70" i="128"/>
  <c r="B69" i="128"/>
  <c r="B47" i="128"/>
  <c r="B46" i="128"/>
  <c r="F43" i="128"/>
  <c r="F41" i="128"/>
  <c r="F42" i="128" s="1"/>
  <c r="F39" i="128"/>
  <c r="B22" i="128"/>
  <c r="C21" i="128"/>
  <c r="B21" i="128"/>
  <c r="C20" i="128"/>
  <c r="E32" i="128" s="1"/>
  <c r="B20" i="128"/>
  <c r="D34" i="128" s="1"/>
  <c r="C77" i="127"/>
  <c r="I77" i="127" s="1"/>
  <c r="B77" i="127"/>
  <c r="E77" i="127" s="1"/>
  <c r="I55" i="127"/>
  <c r="E55" i="127"/>
  <c r="C55" i="127"/>
  <c r="B55" i="127"/>
  <c r="I54" i="127"/>
  <c r="E54" i="127"/>
  <c r="C32" i="127"/>
  <c r="I32" i="127" s="1"/>
  <c r="B32" i="127"/>
  <c r="E32" i="127" s="1"/>
  <c r="I10" i="127"/>
  <c r="E10" i="127"/>
  <c r="C10" i="127"/>
  <c r="B10" i="127"/>
  <c r="I9" i="127"/>
  <c r="E9" i="127"/>
  <c r="D25" i="128" l="1"/>
  <c r="D31" i="128"/>
  <c r="D29" i="128"/>
  <c r="D35" i="128"/>
  <c r="D27" i="128"/>
  <c r="D32" i="128"/>
  <c r="F32" i="128" s="1"/>
  <c r="D28" i="128"/>
  <c r="D33" i="128"/>
  <c r="B453" i="128"/>
  <c r="E26" i="128"/>
  <c r="E30" i="128"/>
  <c r="E34" i="128"/>
  <c r="F34" i="128" s="1"/>
  <c r="D26" i="128"/>
  <c r="E27" i="128"/>
  <c r="F27" i="128" s="1"/>
  <c r="D30" i="128"/>
  <c r="E31" i="128"/>
  <c r="E35" i="128"/>
  <c r="F35" i="128" s="1"/>
  <c r="E25" i="128"/>
  <c r="F25" i="128" s="1"/>
  <c r="E29" i="128"/>
  <c r="F29" i="128" s="1"/>
  <c r="E33" i="128"/>
  <c r="F33" i="128" s="1"/>
  <c r="E28" i="128"/>
  <c r="B467" i="128"/>
  <c r="E31" i="127"/>
  <c r="E76" i="127"/>
  <c r="I31" i="127"/>
  <c r="I76" i="127"/>
  <c r="A80" i="3"/>
  <c r="B80" i="3"/>
  <c r="C80" i="3"/>
  <c r="A81" i="3"/>
  <c r="B81" i="3"/>
  <c r="C81" i="3"/>
  <c r="A82" i="3"/>
  <c r="B82" i="3"/>
  <c r="C82" i="3"/>
  <c r="A83" i="3"/>
  <c r="B83" i="3"/>
  <c r="C83" i="3"/>
  <c r="A84" i="3"/>
  <c r="B84" i="3"/>
  <c r="C84" i="3"/>
  <c r="A79" i="3"/>
  <c r="C79" i="3"/>
  <c r="B79" i="3"/>
  <c r="A74" i="3"/>
  <c r="B74" i="3"/>
  <c r="C74" i="3"/>
  <c r="A75" i="3"/>
  <c r="B75" i="3"/>
  <c r="C75" i="3"/>
  <c r="A73" i="3"/>
  <c r="C73" i="3"/>
  <c r="B73" i="3"/>
  <c r="A69" i="3"/>
  <c r="A51" i="3"/>
  <c r="B51" i="3"/>
  <c r="C51" i="3"/>
  <c r="A52" i="3"/>
  <c r="B52" i="3"/>
  <c r="C52" i="3"/>
  <c r="A53" i="3"/>
  <c r="B53" i="3"/>
  <c r="C53" i="3"/>
  <c r="A54" i="3"/>
  <c r="B54" i="3"/>
  <c r="C54" i="3"/>
  <c r="A55" i="3"/>
  <c r="B55" i="3"/>
  <c r="C55" i="3"/>
  <c r="A56" i="3"/>
  <c r="B56" i="3"/>
  <c r="C56" i="3"/>
  <c r="A57" i="3"/>
  <c r="B57" i="3"/>
  <c r="C57" i="3"/>
  <c r="A58" i="3"/>
  <c r="B58" i="3"/>
  <c r="C58" i="3"/>
  <c r="A59" i="3"/>
  <c r="B59" i="3"/>
  <c r="C59" i="3"/>
  <c r="A60" i="3"/>
  <c r="B60" i="3"/>
  <c r="C60" i="3"/>
  <c r="A61" i="3"/>
  <c r="B61" i="3"/>
  <c r="C61" i="3"/>
  <c r="A62" i="3"/>
  <c r="B62" i="3"/>
  <c r="C62" i="3"/>
  <c r="A63" i="3"/>
  <c r="B63" i="3"/>
  <c r="C63" i="3"/>
  <c r="A64" i="3"/>
  <c r="B64" i="3"/>
  <c r="C64" i="3"/>
  <c r="A65" i="3"/>
  <c r="B65" i="3"/>
  <c r="C65" i="3"/>
  <c r="A50" i="3"/>
  <c r="C50" i="3"/>
  <c r="B50" i="3"/>
  <c r="A32" i="3"/>
  <c r="B32" i="3"/>
  <c r="C32" i="3"/>
  <c r="A33" i="3"/>
  <c r="B33" i="3"/>
  <c r="C33" i="3"/>
  <c r="A34" i="3"/>
  <c r="B34" i="3"/>
  <c r="C34" i="3"/>
  <c r="A35" i="3"/>
  <c r="B35" i="3"/>
  <c r="C35" i="3"/>
  <c r="A36" i="3"/>
  <c r="B36" i="3"/>
  <c r="C36" i="3"/>
  <c r="A37" i="3"/>
  <c r="B37" i="3"/>
  <c r="C37" i="3"/>
  <c r="A38" i="3"/>
  <c r="B38" i="3"/>
  <c r="C38" i="3"/>
  <c r="A39" i="3"/>
  <c r="B39" i="3"/>
  <c r="C39" i="3"/>
  <c r="A40" i="3"/>
  <c r="B40" i="3"/>
  <c r="C40" i="3"/>
  <c r="A41" i="3"/>
  <c r="B41" i="3"/>
  <c r="C41" i="3"/>
  <c r="A42" i="3"/>
  <c r="B42" i="3"/>
  <c r="C42" i="3"/>
  <c r="A43" i="3"/>
  <c r="B43" i="3"/>
  <c r="C43" i="3"/>
  <c r="A44" i="3"/>
  <c r="B44" i="3"/>
  <c r="C44" i="3"/>
  <c r="A45" i="3"/>
  <c r="B45" i="3"/>
  <c r="C45" i="3"/>
  <c r="A46" i="3"/>
  <c r="B46" i="3"/>
  <c r="C46" i="3"/>
  <c r="A31" i="3"/>
  <c r="C31" i="3"/>
  <c r="B31" i="3"/>
  <c r="A21" i="3"/>
  <c r="B21" i="3"/>
  <c r="C21" i="3"/>
  <c r="A22" i="3"/>
  <c r="B22" i="3"/>
  <c r="C22" i="3"/>
  <c r="A23" i="3"/>
  <c r="B23" i="3"/>
  <c r="C23" i="3"/>
  <c r="A24" i="3"/>
  <c r="B24" i="3"/>
  <c r="C24" i="3"/>
  <c r="A25" i="3"/>
  <c r="B25" i="3"/>
  <c r="C25" i="3"/>
  <c r="A26" i="3"/>
  <c r="B26" i="3"/>
  <c r="C26" i="3"/>
  <c r="A27" i="3"/>
  <c r="B27" i="3"/>
  <c r="C27" i="3"/>
  <c r="A20" i="3"/>
  <c r="C20" i="3"/>
  <c r="B20" i="3"/>
  <c r="A13" i="3"/>
  <c r="C16" i="3"/>
  <c r="B16" i="3"/>
  <c r="A16" i="3"/>
  <c r="C15" i="3"/>
  <c r="B15" i="3"/>
  <c r="A15" i="3"/>
  <c r="C14" i="3"/>
  <c r="B14" i="3"/>
  <c r="A14" i="3"/>
  <c r="C13" i="3"/>
  <c r="B13" i="3"/>
  <c r="A4" i="3"/>
  <c r="B4" i="3"/>
  <c r="C4" i="3"/>
  <c r="A5" i="3"/>
  <c r="B5" i="3"/>
  <c r="C5" i="3"/>
  <c r="A6" i="3"/>
  <c r="B6" i="3"/>
  <c r="C6" i="3"/>
  <c r="A7" i="3"/>
  <c r="B7" i="3"/>
  <c r="C7" i="3"/>
  <c r="A8" i="3"/>
  <c r="B8" i="3"/>
  <c r="C8" i="3"/>
  <c r="A9" i="3"/>
  <c r="B9" i="3"/>
  <c r="C9" i="3"/>
  <c r="G14" i="125"/>
  <c r="F14" i="125"/>
  <c r="D30" i="124"/>
  <c r="O22" i="124" s="1"/>
  <c r="P27" i="124"/>
  <c r="R26" i="124"/>
  <c r="O26" i="124"/>
  <c r="F25" i="124"/>
  <c r="F24" i="124"/>
  <c r="N22" i="124"/>
  <c r="S20" i="124"/>
  <c r="D20" i="124"/>
  <c r="U19" i="124"/>
  <c r="S19" i="124"/>
  <c r="D19" i="124"/>
  <c r="T20" i="124" s="1"/>
  <c r="U18" i="124"/>
  <c r="S18" i="124"/>
  <c r="D18" i="124"/>
  <c r="T19" i="124" s="1"/>
  <c r="V17" i="124"/>
  <c r="U17" i="124"/>
  <c r="S17" i="124"/>
  <c r="D17" i="124"/>
  <c r="T18" i="124" s="1"/>
  <c r="D16" i="124"/>
  <c r="T17" i="124" s="1"/>
  <c r="AB12" i="62"/>
  <c r="C17" i="121"/>
  <c r="C16" i="121"/>
  <c r="C15" i="121"/>
  <c r="C14" i="121"/>
  <c r="C13" i="121"/>
  <c r="AB12" i="121"/>
  <c r="A112" i="120"/>
  <c r="B111" i="120"/>
  <c r="A110" i="120" s="1"/>
  <c r="A108" i="120"/>
  <c r="A107" i="120"/>
  <c r="B106" i="120"/>
  <c r="B108" i="120" s="1"/>
  <c r="B105" i="120"/>
  <c r="B107" i="120" s="1"/>
  <c r="A102" i="120"/>
  <c r="B101" i="120"/>
  <c r="A101" i="120"/>
  <c r="B100" i="120"/>
  <c r="B102" i="120" s="1"/>
  <c r="C94" i="120"/>
  <c r="C93" i="120"/>
  <c r="C92" i="120"/>
  <c r="B113" i="120" s="1"/>
  <c r="B87" i="120"/>
  <c r="B86" i="120"/>
  <c r="B83" i="120"/>
  <c r="B82" i="120"/>
  <c r="B79" i="120"/>
  <c r="B78" i="120"/>
  <c r="B67" i="120"/>
  <c r="B66" i="120"/>
  <c r="B63" i="120"/>
  <c r="B62" i="120"/>
  <c r="B59" i="120"/>
  <c r="B58" i="120"/>
  <c r="B46" i="119"/>
  <c r="C46" i="119" s="1"/>
  <c r="A44" i="119"/>
  <c r="B37" i="119"/>
  <c r="C37" i="119" s="1"/>
  <c r="B31" i="119"/>
  <c r="C31" i="119" s="1"/>
  <c r="P27" i="118"/>
  <c r="P26" i="118"/>
  <c r="P25" i="118"/>
  <c r="P24" i="118"/>
  <c r="P23" i="118"/>
  <c r="P22" i="118"/>
  <c r="P21" i="118"/>
  <c r="P20" i="118"/>
  <c r="P19" i="118"/>
  <c r="P18" i="118"/>
  <c r="P17" i="118"/>
  <c r="P16" i="118"/>
  <c r="P15" i="118"/>
  <c r="P14" i="118"/>
  <c r="P13" i="118"/>
  <c r="P12" i="118"/>
  <c r="P11" i="118"/>
  <c r="P10" i="118"/>
  <c r="P9" i="118"/>
  <c r="P8" i="118"/>
  <c r="P7" i="118"/>
  <c r="P6" i="118"/>
  <c r="P5" i="118"/>
  <c r="P2" i="118"/>
  <c r="B2" i="118"/>
  <c r="P1" i="118"/>
  <c r="B1" i="118"/>
  <c r="E6" i="117"/>
  <c r="D7" i="117" s="1"/>
  <c r="K5" i="117"/>
  <c r="B3" i="117"/>
  <c r="B2" i="117"/>
  <c r="L1" i="117"/>
  <c r="AN2" i="116"/>
  <c r="B28" i="116" s="1"/>
  <c r="AK2" i="116"/>
  <c r="AR2" i="116" s="1"/>
  <c r="W2" i="116"/>
  <c r="B23" i="116" s="1"/>
  <c r="T2" i="116"/>
  <c r="AD2" i="116" s="1"/>
  <c r="G6" i="117" l="1"/>
  <c r="C113" i="120"/>
  <c r="F26" i="128"/>
  <c r="B90" i="118"/>
  <c r="C79" i="120"/>
  <c r="C87" i="120"/>
  <c r="F28" i="128"/>
  <c r="AU2" i="116"/>
  <c r="C63" i="120"/>
  <c r="A98" i="120"/>
  <c r="O19" i="124"/>
  <c r="B58" i="117"/>
  <c r="C59" i="120"/>
  <c r="B109" i="120"/>
  <c r="C109" i="120" s="1"/>
  <c r="M108" i="120"/>
  <c r="F31" i="128"/>
  <c r="F30" i="128"/>
  <c r="F37" i="128" s="1"/>
  <c r="F38" i="128" s="1"/>
  <c r="F40" i="128" s="1"/>
  <c r="F6" i="117"/>
  <c r="B88" i="118"/>
  <c r="C67" i="120"/>
  <c r="C83" i="120"/>
  <c r="M102" i="120"/>
  <c r="O17" i="124"/>
  <c r="D21" i="124"/>
  <c r="D24" i="124" s="1"/>
  <c r="O21" i="124"/>
  <c r="B27" i="116"/>
  <c r="C14" i="125"/>
  <c r="D14" i="125" s="1"/>
  <c r="C130" i="125"/>
  <c r="D130" i="125" s="1"/>
  <c r="C128" i="125"/>
  <c r="D128" i="125" s="1"/>
  <c r="C126" i="125"/>
  <c r="D126" i="125" s="1"/>
  <c r="C124" i="125"/>
  <c r="D124" i="125" s="1"/>
  <c r="C122" i="125"/>
  <c r="D122" i="125" s="1"/>
  <c r="C120" i="125"/>
  <c r="D120" i="125" s="1"/>
  <c r="C118" i="125"/>
  <c r="D118" i="125" s="1"/>
  <c r="C116" i="125"/>
  <c r="D116" i="125" s="1"/>
  <c r="C114" i="125"/>
  <c r="D114" i="125" s="1"/>
  <c r="C112" i="125"/>
  <c r="D112" i="125" s="1"/>
  <c r="C110" i="125"/>
  <c r="D110" i="125" s="1"/>
  <c r="C108" i="125"/>
  <c r="D108" i="125" s="1"/>
  <c r="C106" i="125"/>
  <c r="D106" i="125" s="1"/>
  <c r="C104" i="125"/>
  <c r="D104" i="125" s="1"/>
  <c r="C102" i="125"/>
  <c r="D102" i="125" s="1"/>
  <c r="C100" i="125"/>
  <c r="D100" i="125" s="1"/>
  <c r="C98" i="125"/>
  <c r="D98" i="125" s="1"/>
  <c r="C96" i="125"/>
  <c r="D96" i="125" s="1"/>
  <c r="C94" i="125"/>
  <c r="D94" i="125" s="1"/>
  <c r="C92" i="125"/>
  <c r="D92" i="125" s="1"/>
  <c r="C90" i="125"/>
  <c r="D90" i="125" s="1"/>
  <c r="C88" i="125"/>
  <c r="D88" i="125" s="1"/>
  <c r="C86" i="125"/>
  <c r="D86" i="125" s="1"/>
  <c r="C84" i="125"/>
  <c r="D84" i="125" s="1"/>
  <c r="C82" i="125"/>
  <c r="D82" i="125" s="1"/>
  <c r="C16" i="125"/>
  <c r="D16" i="125" s="1"/>
  <c r="C24" i="125"/>
  <c r="D24" i="125" s="1"/>
  <c r="C27" i="125"/>
  <c r="D27" i="125" s="1"/>
  <c r="C32" i="125"/>
  <c r="D32" i="125" s="1"/>
  <c r="C35" i="125"/>
  <c r="D35" i="125" s="1"/>
  <c r="C40" i="125"/>
  <c r="D40" i="125" s="1"/>
  <c r="C43" i="125"/>
  <c r="D43" i="125" s="1"/>
  <c r="C48" i="125"/>
  <c r="D48" i="125" s="1"/>
  <c r="C51" i="125"/>
  <c r="D51" i="125" s="1"/>
  <c r="C56" i="125"/>
  <c r="D56" i="125" s="1"/>
  <c r="C59" i="125"/>
  <c r="D59" i="125" s="1"/>
  <c r="C64" i="125"/>
  <c r="D64" i="125" s="1"/>
  <c r="C67" i="125"/>
  <c r="D67" i="125" s="1"/>
  <c r="C72" i="125"/>
  <c r="D72" i="125" s="1"/>
  <c r="C75" i="125"/>
  <c r="D75" i="125" s="1"/>
  <c r="C80" i="125"/>
  <c r="D80" i="125" s="1"/>
  <c r="C17" i="125"/>
  <c r="D17" i="125" s="1"/>
  <c r="C22" i="125"/>
  <c r="D22" i="125" s="1"/>
  <c r="C33" i="125"/>
  <c r="D33" i="125" s="1"/>
  <c r="C38" i="125"/>
  <c r="D38" i="125" s="1"/>
  <c r="C41" i="125"/>
  <c r="D41" i="125" s="1"/>
  <c r="C46" i="125"/>
  <c r="D46" i="125" s="1"/>
  <c r="C57" i="125"/>
  <c r="D57" i="125" s="1"/>
  <c r="C62" i="125"/>
  <c r="D62" i="125" s="1"/>
  <c r="C70" i="125"/>
  <c r="D70" i="125" s="1"/>
  <c r="C81" i="125"/>
  <c r="D81" i="125" s="1"/>
  <c r="C89" i="125"/>
  <c r="D89" i="125" s="1"/>
  <c r="C97" i="125"/>
  <c r="D97" i="125" s="1"/>
  <c r="C105" i="125"/>
  <c r="D105" i="125" s="1"/>
  <c r="C125" i="125"/>
  <c r="D125" i="125" s="1"/>
  <c r="C15" i="125"/>
  <c r="D15" i="125" s="1"/>
  <c r="C20" i="125"/>
  <c r="D20" i="125" s="1"/>
  <c r="C23" i="125"/>
  <c r="D23" i="125" s="1"/>
  <c r="C28" i="125"/>
  <c r="D28" i="125" s="1"/>
  <c r="C31" i="125"/>
  <c r="D31" i="125" s="1"/>
  <c r="C36" i="125"/>
  <c r="D36" i="125" s="1"/>
  <c r="C39" i="125"/>
  <c r="D39" i="125" s="1"/>
  <c r="C44" i="125"/>
  <c r="D44" i="125" s="1"/>
  <c r="C47" i="125"/>
  <c r="D47" i="125" s="1"/>
  <c r="C52" i="125"/>
  <c r="D52" i="125" s="1"/>
  <c r="C55" i="125"/>
  <c r="D55" i="125" s="1"/>
  <c r="C60" i="125"/>
  <c r="D60" i="125" s="1"/>
  <c r="C63" i="125"/>
  <c r="D63" i="125" s="1"/>
  <c r="C68" i="125"/>
  <c r="D68" i="125" s="1"/>
  <c r="C71" i="125"/>
  <c r="D71" i="125" s="1"/>
  <c r="C76" i="125"/>
  <c r="D76" i="125" s="1"/>
  <c r="C79" i="125"/>
  <c r="D79" i="125" s="1"/>
  <c r="C19" i="125"/>
  <c r="D19" i="125" s="1"/>
  <c r="C25" i="125"/>
  <c r="D25" i="125" s="1"/>
  <c r="C30" i="125"/>
  <c r="D30" i="125" s="1"/>
  <c r="C49" i="125"/>
  <c r="D49" i="125" s="1"/>
  <c r="C54" i="125"/>
  <c r="D54" i="125" s="1"/>
  <c r="C65" i="125"/>
  <c r="D65" i="125" s="1"/>
  <c r="C73" i="125"/>
  <c r="D73" i="125" s="1"/>
  <c r="C78" i="125"/>
  <c r="D78" i="125" s="1"/>
  <c r="C85" i="125"/>
  <c r="D85" i="125" s="1"/>
  <c r="C93" i="125"/>
  <c r="D93" i="125" s="1"/>
  <c r="C101" i="125"/>
  <c r="D101" i="125" s="1"/>
  <c r="C109" i="125"/>
  <c r="D109" i="125" s="1"/>
  <c r="C113" i="125"/>
  <c r="D113" i="125" s="1"/>
  <c r="C117" i="125"/>
  <c r="D117" i="125" s="1"/>
  <c r="C121" i="125"/>
  <c r="D121" i="125" s="1"/>
  <c r="C129" i="125"/>
  <c r="D129" i="125" s="1"/>
  <c r="C18" i="125"/>
  <c r="D18" i="125" s="1"/>
  <c r="C21" i="125"/>
  <c r="D21" i="125" s="1"/>
  <c r="C26" i="125"/>
  <c r="D26" i="125" s="1"/>
  <c r="C29" i="125"/>
  <c r="D29" i="125" s="1"/>
  <c r="C34" i="125"/>
  <c r="D34" i="125" s="1"/>
  <c r="C37" i="125"/>
  <c r="D37" i="125" s="1"/>
  <c r="C42" i="125"/>
  <c r="D42" i="125" s="1"/>
  <c r="C45" i="125"/>
  <c r="D45" i="125" s="1"/>
  <c r="C50" i="125"/>
  <c r="D50" i="125" s="1"/>
  <c r="C53" i="125"/>
  <c r="D53" i="125" s="1"/>
  <c r="C58" i="125"/>
  <c r="D58" i="125" s="1"/>
  <c r="C61" i="125"/>
  <c r="D61" i="125" s="1"/>
  <c r="C66" i="125"/>
  <c r="D66" i="125" s="1"/>
  <c r="C69" i="125"/>
  <c r="D69" i="125" s="1"/>
  <c r="C74" i="125"/>
  <c r="D74" i="125" s="1"/>
  <c r="C77" i="125"/>
  <c r="D77" i="125" s="1"/>
  <c r="C83" i="125"/>
  <c r="D83" i="125" s="1"/>
  <c r="C87" i="125"/>
  <c r="D87" i="125" s="1"/>
  <c r="C91" i="125"/>
  <c r="D91" i="125" s="1"/>
  <c r="C95" i="125"/>
  <c r="D95" i="125" s="1"/>
  <c r="C99" i="125"/>
  <c r="D99" i="125" s="1"/>
  <c r="C103" i="125"/>
  <c r="D103" i="125" s="1"/>
  <c r="C107" i="125"/>
  <c r="D107" i="125" s="1"/>
  <c r="C111" i="125"/>
  <c r="D111" i="125" s="1"/>
  <c r="C115" i="125"/>
  <c r="D115" i="125" s="1"/>
  <c r="C119" i="125"/>
  <c r="D119" i="125" s="1"/>
  <c r="C123" i="125"/>
  <c r="D123" i="125" s="1"/>
  <c r="C127" i="125"/>
  <c r="D127" i="125" s="1"/>
  <c r="C131" i="125"/>
  <c r="D131" i="125" s="1"/>
  <c r="O18" i="124"/>
  <c r="O20" i="124"/>
  <c r="D25" i="124"/>
  <c r="B112" i="120"/>
  <c r="M112" i="120" s="1"/>
  <c r="B103" i="120"/>
  <c r="C103" i="120" s="1"/>
  <c r="A104" i="120"/>
  <c r="B31" i="118"/>
  <c r="B35" i="118"/>
  <c r="B39" i="118"/>
  <c r="B43" i="118"/>
  <c r="B47" i="118"/>
  <c r="B51" i="118"/>
  <c r="B55" i="118"/>
  <c r="B59" i="118"/>
  <c r="B63" i="118"/>
  <c r="B67" i="118"/>
  <c r="B71" i="118"/>
  <c r="B75" i="118"/>
  <c r="B79" i="118"/>
  <c r="B83" i="118"/>
  <c r="B87" i="118"/>
  <c r="B6" i="118"/>
  <c r="B10" i="118"/>
  <c r="B14" i="118"/>
  <c r="B24" i="118"/>
  <c r="B29" i="118"/>
  <c r="B33" i="118"/>
  <c r="B37" i="118"/>
  <c r="B41" i="118"/>
  <c r="B45" i="118"/>
  <c r="B49" i="118"/>
  <c r="B53" i="118"/>
  <c r="B57" i="118"/>
  <c r="B61" i="118"/>
  <c r="B65" i="118"/>
  <c r="B69" i="118"/>
  <c r="B73" i="118"/>
  <c r="B77" i="118"/>
  <c r="B81" i="118"/>
  <c r="B85" i="118"/>
  <c r="B89" i="118"/>
  <c r="B8" i="118"/>
  <c r="B12" i="118"/>
  <c r="B16" i="118"/>
  <c r="B18" i="118"/>
  <c r="B20" i="118"/>
  <c r="B22" i="118"/>
  <c r="B26" i="118"/>
  <c r="B28" i="118"/>
  <c r="B32" i="118"/>
  <c r="B36" i="118"/>
  <c r="B40" i="118"/>
  <c r="B44" i="118"/>
  <c r="B48" i="118"/>
  <c r="B52" i="118"/>
  <c r="B56" i="118"/>
  <c r="B60" i="118"/>
  <c r="B64" i="118"/>
  <c r="B68" i="118"/>
  <c r="B72" i="118"/>
  <c r="B76" i="118"/>
  <c r="B80" i="118"/>
  <c r="B84" i="118"/>
  <c r="B5" i="118"/>
  <c r="B7" i="118"/>
  <c r="B9" i="118"/>
  <c r="B11" i="118"/>
  <c r="B13" i="118"/>
  <c r="B15" i="118"/>
  <c r="B17" i="118"/>
  <c r="B19" i="118"/>
  <c r="B21" i="118"/>
  <c r="B23" i="118"/>
  <c r="B25" i="118"/>
  <c r="B27" i="118"/>
  <c r="B30" i="118"/>
  <c r="B34" i="118"/>
  <c r="B38" i="118"/>
  <c r="B42" i="118"/>
  <c r="B46" i="118"/>
  <c r="B50" i="118"/>
  <c r="B54" i="118"/>
  <c r="B58" i="118"/>
  <c r="B62" i="118"/>
  <c r="B66" i="118"/>
  <c r="B70" i="118"/>
  <c r="B74" i="118"/>
  <c r="B78" i="118"/>
  <c r="B82" i="118"/>
  <c r="B86" i="118"/>
  <c r="B10" i="117"/>
  <c r="B30" i="117"/>
  <c r="B46" i="117"/>
  <c r="B14" i="117"/>
  <c r="B18" i="117"/>
  <c r="B34" i="117"/>
  <c r="B50" i="117"/>
  <c r="E7" i="117"/>
  <c r="D8" i="117" s="1"/>
  <c r="B22" i="117"/>
  <c r="B38" i="117"/>
  <c r="B54" i="117"/>
  <c r="B105" i="117"/>
  <c r="B26" i="117"/>
  <c r="B42" i="117"/>
  <c r="B62" i="117"/>
  <c r="B66" i="117"/>
  <c r="B70" i="117"/>
  <c r="B74" i="117"/>
  <c r="B78" i="117"/>
  <c r="B82" i="117"/>
  <c r="B86" i="117"/>
  <c r="B90" i="117"/>
  <c r="B94" i="117"/>
  <c r="B98" i="117"/>
  <c r="B102" i="117"/>
  <c r="A1" i="117"/>
  <c r="K3" i="117"/>
  <c r="B6" i="117"/>
  <c r="B7" i="117"/>
  <c r="B11" i="117"/>
  <c r="B15" i="117"/>
  <c r="B19" i="117"/>
  <c r="B23" i="117"/>
  <c r="B27" i="117"/>
  <c r="B31" i="117"/>
  <c r="B35" i="117"/>
  <c r="B39" i="117"/>
  <c r="B43" i="117"/>
  <c r="B47" i="117"/>
  <c r="B51" i="117"/>
  <c r="B55" i="117"/>
  <c r="B59" i="117"/>
  <c r="B63" i="117"/>
  <c r="B67" i="117"/>
  <c r="B71" i="117"/>
  <c r="B75" i="117"/>
  <c r="B79" i="117"/>
  <c r="B83" i="117"/>
  <c r="B87" i="117"/>
  <c r="B91" i="117"/>
  <c r="B95" i="117"/>
  <c r="B99" i="117"/>
  <c r="B103" i="117"/>
  <c r="L3" i="117"/>
  <c r="M3" i="117" s="1"/>
  <c r="B8" i="117"/>
  <c r="B12" i="117"/>
  <c r="B16" i="117"/>
  <c r="B20" i="117"/>
  <c r="B24" i="117"/>
  <c r="B28" i="117"/>
  <c r="B32" i="117"/>
  <c r="B36" i="117"/>
  <c r="B40" i="117"/>
  <c r="B44" i="117"/>
  <c r="B48" i="117"/>
  <c r="B52" i="117"/>
  <c r="B56" i="117"/>
  <c r="B60" i="117"/>
  <c r="B64" i="117"/>
  <c r="B68" i="117"/>
  <c r="B72" i="117"/>
  <c r="B76" i="117"/>
  <c r="B80" i="117"/>
  <c r="B84" i="117"/>
  <c r="B88" i="117"/>
  <c r="B92" i="117"/>
  <c r="B96" i="117"/>
  <c r="B100" i="117"/>
  <c r="B104" i="117"/>
  <c r="B9" i="117"/>
  <c r="B13" i="117"/>
  <c r="B17" i="117"/>
  <c r="B21" i="117"/>
  <c r="B25" i="117"/>
  <c r="B29" i="117"/>
  <c r="B33" i="117"/>
  <c r="B37" i="117"/>
  <c r="B41" i="117"/>
  <c r="B45" i="117"/>
  <c r="B49" i="117"/>
  <c r="B53" i="117"/>
  <c r="B57" i="117"/>
  <c r="B61" i="117"/>
  <c r="B65" i="117"/>
  <c r="B69" i="117"/>
  <c r="B73" i="117"/>
  <c r="B77" i="117"/>
  <c r="B81" i="117"/>
  <c r="B85" i="117"/>
  <c r="B89" i="117"/>
  <c r="B93" i="117"/>
  <c r="B97" i="117"/>
  <c r="B101" i="117"/>
  <c r="B26" i="116"/>
  <c r="AV2" i="116"/>
  <c r="B22" i="116"/>
  <c r="AA2" i="116"/>
  <c r="B31" i="116"/>
  <c r="B16" i="115"/>
  <c r="B15" i="115"/>
  <c r="A17" i="115" s="1"/>
  <c r="B8" i="115"/>
  <c r="B7" i="115"/>
  <c r="G14" i="115"/>
  <c r="C63" i="113"/>
  <c r="C113" i="113"/>
  <c r="B111" i="113"/>
  <c r="M112" i="113"/>
  <c r="A112" i="113"/>
  <c r="B106" i="113"/>
  <c r="B105" i="113"/>
  <c r="A108" i="113"/>
  <c r="A107" i="113"/>
  <c r="C103" i="113"/>
  <c r="A102" i="113"/>
  <c r="A101" i="113"/>
  <c r="B100" i="113"/>
  <c r="A98" i="113" s="1"/>
  <c r="C83" i="113"/>
  <c r="C67" i="113"/>
  <c r="C59" i="113"/>
  <c r="AC1" i="108"/>
  <c r="W309" i="108"/>
  <c r="W306" i="108"/>
  <c r="W303" i="108"/>
  <c r="W10" i="108"/>
  <c r="W7" i="108"/>
  <c r="W4" i="108"/>
  <c r="W1" i="108"/>
  <c r="N3" i="108"/>
  <c r="B302" i="108"/>
  <c r="B303" i="108"/>
  <c r="B304" i="108"/>
  <c r="B305" i="108"/>
  <c r="B306" i="108"/>
  <c r="B307" i="108"/>
  <c r="B308" i="108"/>
  <c r="B309" i="108"/>
  <c r="B310" i="108"/>
  <c r="B311" i="108"/>
  <c r="B312" i="108"/>
  <c r="B313" i="108"/>
  <c r="B314" i="108"/>
  <c r="B315" i="108"/>
  <c r="B316" i="108"/>
  <c r="B317" i="108"/>
  <c r="B318" i="108"/>
  <c r="B319" i="108"/>
  <c r="B320" i="108"/>
  <c r="B321" i="108"/>
  <c r="B322" i="108"/>
  <c r="B323" i="108"/>
  <c r="B324" i="108"/>
  <c r="B325" i="108"/>
  <c r="B326" i="108"/>
  <c r="B327" i="108"/>
  <c r="B328" i="108"/>
  <c r="B329" i="108"/>
  <c r="B330" i="108"/>
  <c r="B331" i="108"/>
  <c r="B332" i="108"/>
  <c r="B333" i="108"/>
  <c r="B334" i="108"/>
  <c r="B335" i="108"/>
  <c r="B336" i="108"/>
  <c r="B337" i="108"/>
  <c r="B338" i="108"/>
  <c r="B339" i="108"/>
  <c r="B340" i="108"/>
  <c r="B341" i="108"/>
  <c r="B342" i="108"/>
  <c r="B343" i="108"/>
  <c r="B344" i="108"/>
  <c r="B345" i="108"/>
  <c r="B346" i="108"/>
  <c r="B347" i="108"/>
  <c r="B348" i="108"/>
  <c r="B349" i="108"/>
  <c r="B350" i="108"/>
  <c r="B351" i="108"/>
  <c r="B352" i="108"/>
  <c r="B353" i="108"/>
  <c r="B354" i="108"/>
  <c r="B355" i="108"/>
  <c r="B356" i="108"/>
  <c r="B357" i="108"/>
  <c r="B358" i="108"/>
  <c r="B359" i="108"/>
  <c r="B360" i="108"/>
  <c r="B361" i="108"/>
  <c r="B362" i="108"/>
  <c r="B363" i="108"/>
  <c r="B364" i="108"/>
  <c r="B365" i="108"/>
  <c r="B366" i="108"/>
  <c r="B367" i="108"/>
  <c r="B368" i="108"/>
  <c r="B369" i="108"/>
  <c r="B370" i="108"/>
  <c r="B371" i="108"/>
  <c r="B372" i="108"/>
  <c r="B373" i="108"/>
  <c r="B374" i="108"/>
  <c r="B375" i="108"/>
  <c r="B376" i="108"/>
  <c r="B377" i="108"/>
  <c r="B378" i="108"/>
  <c r="B379" i="108"/>
  <c r="B380" i="108"/>
  <c r="B381" i="108"/>
  <c r="B382" i="108"/>
  <c r="B383" i="108"/>
  <c r="B384" i="108"/>
  <c r="B385" i="108"/>
  <c r="B386" i="108"/>
  <c r="B387" i="108"/>
  <c r="B388" i="108"/>
  <c r="B389" i="108"/>
  <c r="B390" i="108"/>
  <c r="B391" i="108"/>
  <c r="B392" i="108"/>
  <c r="B393" i="108"/>
  <c r="B394" i="108"/>
  <c r="B395" i="108"/>
  <c r="B396" i="108"/>
  <c r="B397" i="108"/>
  <c r="B398" i="108"/>
  <c r="B399" i="108"/>
  <c r="B400" i="108"/>
  <c r="B401" i="108"/>
  <c r="B402" i="108"/>
  <c r="B403" i="108"/>
  <c r="B404" i="108"/>
  <c r="B405" i="108"/>
  <c r="B406" i="108"/>
  <c r="B407" i="108"/>
  <c r="B408" i="108"/>
  <c r="B409" i="108"/>
  <c r="B410" i="108"/>
  <c r="B411" i="108"/>
  <c r="B412" i="108"/>
  <c r="B413" i="108"/>
  <c r="B414" i="108"/>
  <c r="B415" i="108"/>
  <c r="B416" i="108"/>
  <c r="B417" i="108"/>
  <c r="B418" i="108"/>
  <c r="B419" i="108"/>
  <c r="B420" i="108"/>
  <c r="B421" i="108"/>
  <c r="B422" i="108"/>
  <c r="B423" i="108"/>
  <c r="B424" i="108"/>
  <c r="B425" i="108"/>
  <c r="B426" i="108"/>
  <c r="B427" i="108"/>
  <c r="B428" i="108"/>
  <c r="B429" i="108"/>
  <c r="B430" i="108"/>
  <c r="B431" i="108"/>
  <c r="B432" i="108"/>
  <c r="B433" i="108"/>
  <c r="B434" i="108"/>
  <c r="B435" i="108"/>
  <c r="B436" i="108"/>
  <c r="B437" i="108"/>
  <c r="B438" i="108"/>
  <c r="B439" i="108"/>
  <c r="B440" i="108"/>
  <c r="B441" i="108"/>
  <c r="B442" i="108"/>
  <c r="B443" i="108"/>
  <c r="B444" i="108"/>
  <c r="B445" i="108"/>
  <c r="B446" i="108"/>
  <c r="B447" i="108"/>
  <c r="B448" i="108"/>
  <c r="B449" i="108"/>
  <c r="B450" i="108"/>
  <c r="B451" i="108"/>
  <c r="B452" i="108"/>
  <c r="B453" i="108"/>
  <c r="B454" i="108"/>
  <c r="B455" i="108"/>
  <c r="B456" i="108"/>
  <c r="B457" i="108"/>
  <c r="B458" i="108"/>
  <c r="B459" i="108"/>
  <c r="B460" i="108"/>
  <c r="B461" i="108"/>
  <c r="B462" i="108"/>
  <c r="B463" i="108"/>
  <c r="B464" i="108"/>
  <c r="B465" i="108"/>
  <c r="B466" i="108"/>
  <c r="B467" i="108"/>
  <c r="B468" i="108"/>
  <c r="B469" i="108"/>
  <c r="B470" i="108"/>
  <c r="B471" i="108"/>
  <c r="B472" i="108"/>
  <c r="B473" i="108"/>
  <c r="B474" i="108"/>
  <c r="B475" i="108"/>
  <c r="B476" i="108"/>
  <c r="B477" i="108"/>
  <c r="B478" i="108"/>
  <c r="B479" i="108"/>
  <c r="B480" i="108"/>
  <c r="B481" i="108"/>
  <c r="B482" i="108"/>
  <c r="B483" i="108"/>
  <c r="B484" i="108"/>
  <c r="B485" i="108"/>
  <c r="B486" i="108"/>
  <c r="B487" i="108"/>
  <c r="B488" i="108"/>
  <c r="B489" i="108"/>
  <c r="B490" i="108"/>
  <c r="B491" i="108"/>
  <c r="B492" i="108"/>
  <c r="B493" i="108"/>
  <c r="B494" i="108"/>
  <c r="B495" i="108"/>
  <c r="B496" i="108"/>
  <c r="B497" i="108"/>
  <c r="B498" i="108"/>
  <c r="B499" i="108"/>
  <c r="B500" i="108"/>
  <c r="B501" i="108"/>
  <c r="B502" i="108"/>
  <c r="B503" i="108"/>
  <c r="B504" i="108"/>
  <c r="B505" i="108"/>
  <c r="B506" i="108"/>
  <c r="B507" i="108"/>
  <c r="B508" i="108"/>
  <c r="B509" i="108"/>
  <c r="B510" i="108"/>
  <c r="B511" i="108"/>
  <c r="B512" i="108"/>
  <c r="B513" i="108"/>
  <c r="B514" i="108"/>
  <c r="B515" i="108"/>
  <c r="B516" i="108"/>
  <c r="B517" i="108"/>
  <c r="B518" i="108"/>
  <c r="B519" i="108"/>
  <c r="B520" i="108"/>
  <c r="B521" i="108"/>
  <c r="B522" i="108"/>
  <c r="B523" i="108"/>
  <c r="B524" i="108"/>
  <c r="B525" i="108"/>
  <c r="B526" i="108"/>
  <c r="B527" i="108"/>
  <c r="B528" i="108"/>
  <c r="B529" i="108"/>
  <c r="B530" i="108"/>
  <c r="B531" i="108"/>
  <c r="B532" i="108"/>
  <c r="B533" i="108"/>
  <c r="B534" i="108"/>
  <c r="B535" i="108"/>
  <c r="B536" i="108"/>
  <c r="B537" i="108"/>
  <c r="B538" i="108"/>
  <c r="B539" i="108"/>
  <c r="B540" i="108"/>
  <c r="B541" i="108"/>
  <c r="B542" i="108"/>
  <c r="B543" i="108"/>
  <c r="B544" i="108"/>
  <c r="B545" i="108"/>
  <c r="B546" i="108"/>
  <c r="B547" i="108"/>
  <c r="B548" i="108"/>
  <c r="B549" i="108"/>
  <c r="B550" i="108"/>
  <c r="B551" i="108"/>
  <c r="B552" i="108"/>
  <c r="B553" i="108"/>
  <c r="B554" i="108"/>
  <c r="B555" i="108"/>
  <c r="B556" i="108"/>
  <c r="B557" i="108"/>
  <c r="B558" i="108"/>
  <c r="B559" i="108"/>
  <c r="B560" i="108"/>
  <c r="B561" i="108"/>
  <c r="B562" i="108"/>
  <c r="B563" i="108"/>
  <c r="B564" i="108"/>
  <c r="B565" i="108"/>
  <c r="B566" i="108"/>
  <c r="B567" i="108"/>
  <c r="B568" i="108"/>
  <c r="B569" i="108"/>
  <c r="B570" i="108"/>
  <c r="B571" i="108"/>
  <c r="B572" i="108"/>
  <c r="B573" i="108"/>
  <c r="B574" i="108"/>
  <c r="B575" i="108"/>
  <c r="B576" i="108"/>
  <c r="B577" i="108"/>
  <c r="B578" i="108"/>
  <c r="B579" i="108"/>
  <c r="B580" i="108"/>
  <c r="B581" i="108"/>
  <c r="B582" i="108"/>
  <c r="B583" i="108"/>
  <c r="B584" i="108"/>
  <c r="B585" i="108"/>
  <c r="B586" i="108"/>
  <c r="B587" i="108"/>
  <c r="B588" i="108"/>
  <c r="B589" i="108"/>
  <c r="B590" i="108"/>
  <c r="B591" i="108"/>
  <c r="B592" i="108"/>
  <c r="B593" i="108"/>
  <c r="B594" i="108"/>
  <c r="B595" i="108"/>
  <c r="B596" i="108"/>
  <c r="B597" i="108"/>
  <c r="B598" i="108"/>
  <c r="B599" i="108"/>
  <c r="B600" i="108"/>
  <c r="B601" i="108"/>
  <c r="B602" i="108"/>
  <c r="B603" i="108"/>
  <c r="B604" i="108"/>
  <c r="B605" i="108"/>
  <c r="B606" i="108"/>
  <c r="B607" i="108"/>
  <c r="B608" i="108"/>
  <c r="B609" i="108"/>
  <c r="B610" i="108"/>
  <c r="B611" i="108"/>
  <c r="B612" i="108"/>
  <c r="B613" i="108"/>
  <c r="B614" i="108"/>
  <c r="B615" i="108"/>
  <c r="B616" i="108"/>
  <c r="B617" i="108"/>
  <c r="B618" i="108"/>
  <c r="B619" i="108"/>
  <c r="B620" i="108"/>
  <c r="B621" i="108"/>
  <c r="B622" i="108"/>
  <c r="B623" i="108"/>
  <c r="B624" i="108"/>
  <c r="B625" i="108"/>
  <c r="B626" i="108"/>
  <c r="B627" i="108"/>
  <c r="B628" i="108"/>
  <c r="B629" i="108"/>
  <c r="B630" i="108"/>
  <c r="B631" i="108"/>
  <c r="B632" i="108"/>
  <c r="B633" i="108"/>
  <c r="B634" i="108"/>
  <c r="B635" i="108"/>
  <c r="B636" i="108"/>
  <c r="B637" i="108"/>
  <c r="B638" i="108"/>
  <c r="B639" i="108"/>
  <c r="B640" i="108"/>
  <c r="B641" i="108"/>
  <c r="B642" i="108"/>
  <c r="B643" i="108"/>
  <c r="B644" i="108"/>
  <c r="B645" i="108"/>
  <c r="B646" i="108"/>
  <c r="B647" i="108"/>
  <c r="B648" i="108"/>
  <c r="B649" i="108"/>
  <c r="B650" i="108"/>
  <c r="B651" i="108"/>
  <c r="B652" i="108"/>
  <c r="B653" i="108"/>
  <c r="B654" i="108"/>
  <c r="B655" i="108"/>
  <c r="B656" i="108"/>
  <c r="B657" i="108"/>
  <c r="B658" i="108"/>
  <c r="B659" i="108"/>
  <c r="B660" i="108"/>
  <c r="B661" i="108"/>
  <c r="B662" i="108"/>
  <c r="B663" i="108"/>
  <c r="B664" i="108"/>
  <c r="B665" i="108"/>
  <c r="B666" i="108"/>
  <c r="B667" i="108"/>
  <c r="B668" i="108"/>
  <c r="B669" i="108"/>
  <c r="B670" i="108"/>
  <c r="B671" i="108"/>
  <c r="B672" i="108"/>
  <c r="B673" i="108"/>
  <c r="B674" i="108"/>
  <c r="B675" i="108"/>
  <c r="B676" i="108"/>
  <c r="B677" i="108"/>
  <c r="B678" i="108"/>
  <c r="B679" i="108"/>
  <c r="B680" i="108"/>
  <c r="B681" i="108"/>
  <c r="B682" i="108"/>
  <c r="B683" i="108"/>
  <c r="B684" i="108"/>
  <c r="B685" i="108"/>
  <c r="B686" i="108"/>
  <c r="B687" i="108"/>
  <c r="B688" i="108"/>
  <c r="B689" i="108"/>
  <c r="B690" i="108"/>
  <c r="B691" i="108"/>
  <c r="B692" i="108"/>
  <c r="B693" i="108"/>
  <c r="B694" i="108"/>
  <c r="B695" i="108"/>
  <c r="B696" i="108"/>
  <c r="B697" i="108"/>
  <c r="B698" i="108"/>
  <c r="B699" i="108"/>
  <c r="B700" i="108"/>
  <c r="B701" i="108"/>
  <c r="B702" i="108"/>
  <c r="B703" i="108"/>
  <c r="B704" i="108"/>
  <c r="B705" i="108"/>
  <c r="B706" i="108"/>
  <c r="B707" i="108"/>
  <c r="B708" i="108"/>
  <c r="B709" i="108"/>
  <c r="B710" i="108"/>
  <c r="B711" i="108"/>
  <c r="B712" i="108"/>
  <c r="B713" i="108"/>
  <c r="B714" i="108"/>
  <c r="B715" i="108"/>
  <c r="B716" i="108"/>
  <c r="B717" i="108"/>
  <c r="B718" i="108"/>
  <c r="B719" i="108"/>
  <c r="B720" i="108"/>
  <c r="B721" i="108"/>
  <c r="B722" i="108"/>
  <c r="B723" i="108"/>
  <c r="B724" i="108"/>
  <c r="B725" i="108"/>
  <c r="B726" i="108"/>
  <c r="B727" i="108"/>
  <c r="B728" i="108"/>
  <c r="B729" i="108"/>
  <c r="B730" i="108"/>
  <c r="B731" i="108"/>
  <c r="B732" i="108"/>
  <c r="B733" i="108"/>
  <c r="B734" i="108"/>
  <c r="B735" i="108"/>
  <c r="B736" i="108"/>
  <c r="B737" i="108"/>
  <c r="B738" i="108"/>
  <c r="B739" i="108"/>
  <c r="B740" i="108"/>
  <c r="B741" i="108"/>
  <c r="B742" i="108"/>
  <c r="B743" i="108"/>
  <c r="B744" i="108"/>
  <c r="B745" i="108"/>
  <c r="B746" i="108"/>
  <c r="B747" i="108"/>
  <c r="B748" i="108"/>
  <c r="B749" i="108"/>
  <c r="B750" i="108"/>
  <c r="B751" i="108"/>
  <c r="B752" i="108"/>
  <c r="B753" i="108"/>
  <c r="B754" i="108"/>
  <c r="B755" i="108"/>
  <c r="B756" i="108"/>
  <c r="B757" i="108"/>
  <c r="B758" i="108"/>
  <c r="B759" i="108"/>
  <c r="B760" i="108"/>
  <c r="B761" i="108"/>
  <c r="B762" i="108"/>
  <c r="B763" i="108"/>
  <c r="B764" i="108"/>
  <c r="B765" i="108"/>
  <c r="B766" i="108"/>
  <c r="B767" i="108"/>
  <c r="B768" i="108"/>
  <c r="B769" i="108"/>
  <c r="B770" i="108"/>
  <c r="B771" i="108"/>
  <c r="B772" i="108"/>
  <c r="B773" i="108"/>
  <c r="B774" i="108"/>
  <c r="B775" i="108"/>
  <c r="B776" i="108"/>
  <c r="B777" i="108"/>
  <c r="B778" i="108"/>
  <c r="B779" i="108"/>
  <c r="B780" i="108"/>
  <c r="B781" i="108"/>
  <c r="B782" i="108"/>
  <c r="B783" i="108"/>
  <c r="B784" i="108"/>
  <c r="B785" i="108"/>
  <c r="B786" i="108"/>
  <c r="B787" i="108"/>
  <c r="B788" i="108"/>
  <c r="B789" i="108"/>
  <c r="B790" i="108"/>
  <c r="B791" i="108"/>
  <c r="B792" i="108"/>
  <c r="B793" i="108"/>
  <c r="B794" i="108"/>
  <c r="B795" i="108"/>
  <c r="B796" i="108"/>
  <c r="B797" i="108"/>
  <c r="B798" i="108"/>
  <c r="B799" i="108"/>
  <c r="B800" i="108"/>
  <c r="B801" i="108"/>
  <c r="B802" i="108"/>
  <c r="B803" i="108"/>
  <c r="B804" i="108"/>
  <c r="B805" i="108"/>
  <c r="B806" i="108"/>
  <c r="B807" i="108"/>
  <c r="B808" i="108"/>
  <c r="B809" i="108"/>
  <c r="B810" i="108"/>
  <c r="B811" i="108"/>
  <c r="B812" i="108"/>
  <c r="B813" i="108"/>
  <c r="B814" i="108"/>
  <c r="B815" i="108"/>
  <c r="B816" i="108"/>
  <c r="B817" i="108"/>
  <c r="B818" i="108"/>
  <c r="B819" i="108"/>
  <c r="B820" i="108"/>
  <c r="B821" i="108"/>
  <c r="B822" i="108"/>
  <c r="B823" i="108"/>
  <c r="B824" i="108"/>
  <c r="B825" i="108"/>
  <c r="B826" i="108"/>
  <c r="B827" i="108"/>
  <c r="B828" i="108"/>
  <c r="B829" i="108"/>
  <c r="B830" i="108"/>
  <c r="B831" i="108"/>
  <c r="B832" i="108"/>
  <c r="B833" i="108"/>
  <c r="B834" i="108"/>
  <c r="B835" i="108"/>
  <c r="B836" i="108"/>
  <c r="B837" i="108"/>
  <c r="B838" i="108"/>
  <c r="B839" i="108"/>
  <c r="B840" i="108"/>
  <c r="B841" i="108"/>
  <c r="B842" i="108"/>
  <c r="B843" i="108"/>
  <c r="B844" i="108"/>
  <c r="B845" i="108"/>
  <c r="B846" i="108"/>
  <c r="B847" i="108"/>
  <c r="B848" i="108"/>
  <c r="B849" i="108"/>
  <c r="B850" i="108"/>
  <c r="B851" i="108"/>
  <c r="B852" i="108"/>
  <c r="B853" i="108"/>
  <c r="B854" i="108"/>
  <c r="B855" i="108"/>
  <c r="B856" i="108"/>
  <c r="B857" i="108"/>
  <c r="B858" i="108"/>
  <c r="B859" i="108"/>
  <c r="B860" i="108"/>
  <c r="B861" i="108"/>
  <c r="B862" i="108"/>
  <c r="B863" i="108"/>
  <c r="B864" i="108"/>
  <c r="B865" i="108"/>
  <c r="B866" i="108"/>
  <c r="B867" i="108"/>
  <c r="B868" i="108"/>
  <c r="B869" i="108"/>
  <c r="B870" i="108"/>
  <c r="B871" i="108"/>
  <c r="B872" i="108"/>
  <c r="B873" i="108"/>
  <c r="B874" i="108"/>
  <c r="B875" i="108"/>
  <c r="B876" i="108"/>
  <c r="B877" i="108"/>
  <c r="B878" i="108"/>
  <c r="B879" i="108"/>
  <c r="B880" i="108"/>
  <c r="B881" i="108"/>
  <c r="B882" i="108"/>
  <c r="B883" i="108"/>
  <c r="B884" i="108"/>
  <c r="B885" i="108"/>
  <c r="B886" i="108"/>
  <c r="B887" i="108"/>
  <c r="B888" i="108"/>
  <c r="B889" i="108"/>
  <c r="B890" i="108"/>
  <c r="B891" i="108"/>
  <c r="B892" i="108"/>
  <c r="B893" i="108"/>
  <c r="B894" i="108"/>
  <c r="B895" i="108"/>
  <c r="B896" i="108"/>
  <c r="B897" i="108"/>
  <c r="B898" i="108"/>
  <c r="B899" i="108"/>
  <c r="B900" i="108"/>
  <c r="B901" i="108"/>
  <c r="B902" i="108"/>
  <c r="B903" i="108"/>
  <c r="B904" i="108"/>
  <c r="B905" i="108"/>
  <c r="B906" i="108"/>
  <c r="B907" i="108"/>
  <c r="B908" i="108"/>
  <c r="B909" i="108"/>
  <c r="B910" i="108"/>
  <c r="B911" i="108"/>
  <c r="B912" i="108"/>
  <c r="B913" i="108"/>
  <c r="B914" i="108"/>
  <c r="B915" i="108"/>
  <c r="B916" i="108"/>
  <c r="B917" i="108"/>
  <c r="B918" i="108"/>
  <c r="B919" i="108"/>
  <c r="B920" i="108"/>
  <c r="B921" i="108"/>
  <c r="B922" i="108"/>
  <c r="B923" i="108"/>
  <c r="B924" i="108"/>
  <c r="B925" i="108"/>
  <c r="B926" i="108"/>
  <c r="B927" i="108"/>
  <c r="B928" i="108"/>
  <c r="B929" i="108"/>
  <c r="B930" i="108"/>
  <c r="B931" i="108"/>
  <c r="B932" i="108"/>
  <c r="B933" i="108"/>
  <c r="B934" i="108"/>
  <c r="B935" i="108"/>
  <c r="B936" i="108"/>
  <c r="B937" i="108"/>
  <c r="B938" i="108"/>
  <c r="B939" i="108"/>
  <c r="B940" i="108"/>
  <c r="B941" i="108"/>
  <c r="B942" i="108"/>
  <c r="B943" i="108"/>
  <c r="B944" i="108"/>
  <c r="B945" i="108"/>
  <c r="B946" i="108"/>
  <c r="B947" i="108"/>
  <c r="B948" i="108"/>
  <c r="B949" i="108"/>
  <c r="B950" i="108"/>
  <c r="B951" i="108"/>
  <c r="B952" i="108"/>
  <c r="B953" i="108"/>
  <c r="B954" i="108"/>
  <c r="B955" i="108"/>
  <c r="B956" i="108"/>
  <c r="B957" i="108"/>
  <c r="B958" i="108"/>
  <c r="B959" i="108"/>
  <c r="B960" i="108"/>
  <c r="B961" i="108"/>
  <c r="B962" i="108"/>
  <c r="B963" i="108"/>
  <c r="B964" i="108"/>
  <c r="B965" i="108"/>
  <c r="B966" i="108"/>
  <c r="B967" i="108"/>
  <c r="B968" i="108"/>
  <c r="B969" i="108"/>
  <c r="B970" i="108"/>
  <c r="B971" i="108"/>
  <c r="B972" i="108"/>
  <c r="B973" i="108"/>
  <c r="B974" i="108"/>
  <c r="B975" i="108"/>
  <c r="B976" i="108"/>
  <c r="B977" i="108"/>
  <c r="B978" i="108"/>
  <c r="B979" i="108"/>
  <c r="B980" i="108"/>
  <c r="B981" i="108"/>
  <c r="B982" i="108"/>
  <c r="B983" i="108"/>
  <c r="B984" i="108"/>
  <c r="B985" i="108"/>
  <c r="B986" i="108"/>
  <c r="B987" i="108"/>
  <c r="B988" i="108"/>
  <c r="B989" i="108"/>
  <c r="B990" i="108"/>
  <c r="B991" i="108"/>
  <c r="B992" i="108"/>
  <c r="B993" i="108"/>
  <c r="B994" i="108"/>
  <c r="B995" i="108"/>
  <c r="B996" i="108"/>
  <c r="B997" i="108"/>
  <c r="B998" i="108"/>
  <c r="B999" i="108"/>
  <c r="B1000" i="108"/>
  <c r="B1001" i="108"/>
  <c r="B1002" i="108"/>
  <c r="B1003" i="108"/>
  <c r="B1004" i="108"/>
  <c r="B1005" i="108"/>
  <c r="B1006" i="108"/>
  <c r="B1007" i="108"/>
  <c r="B1008" i="108"/>
  <c r="B1009" i="108"/>
  <c r="B1010" i="108"/>
  <c r="B1011" i="108"/>
  <c r="B1012" i="108"/>
  <c r="B1013" i="108"/>
  <c r="B1014" i="108"/>
  <c r="B1015" i="108"/>
  <c r="B1016" i="108"/>
  <c r="B1017" i="108"/>
  <c r="B1018" i="108"/>
  <c r="B1019" i="108"/>
  <c r="B1020" i="108"/>
  <c r="B1021" i="108"/>
  <c r="B1022" i="108"/>
  <c r="B1023" i="108"/>
  <c r="B1024" i="108"/>
  <c r="B1025" i="108"/>
  <c r="B1026" i="108"/>
  <c r="B1027" i="108"/>
  <c r="B1028" i="108"/>
  <c r="B1029" i="108"/>
  <c r="B1030" i="108"/>
  <c r="B1031" i="108"/>
  <c r="B1032" i="108"/>
  <c r="B1033" i="108"/>
  <c r="B1034" i="108"/>
  <c r="B1035" i="108"/>
  <c r="B1036" i="108"/>
  <c r="B1037" i="108"/>
  <c r="B1038" i="108"/>
  <c r="B1039" i="108"/>
  <c r="B1040" i="108"/>
  <c r="B1041" i="108"/>
  <c r="B1042" i="108"/>
  <c r="B1043" i="108"/>
  <c r="B1044" i="108"/>
  <c r="B1045" i="108"/>
  <c r="B1046" i="108"/>
  <c r="B1047" i="108"/>
  <c r="B1048" i="108"/>
  <c r="B1049" i="108"/>
  <c r="B1050" i="108"/>
  <c r="B1051" i="108"/>
  <c r="B1052" i="108"/>
  <c r="B1053" i="108"/>
  <c r="B1054" i="108"/>
  <c r="B1055" i="108"/>
  <c r="B1056" i="108"/>
  <c r="B1057" i="108"/>
  <c r="B1058" i="108"/>
  <c r="B1059" i="108"/>
  <c r="B1060" i="108"/>
  <c r="B1061" i="108"/>
  <c r="B1062" i="108"/>
  <c r="B1063" i="108"/>
  <c r="B1064" i="108"/>
  <c r="B1065" i="108"/>
  <c r="B1066" i="108"/>
  <c r="B1067" i="108"/>
  <c r="B1068" i="108"/>
  <c r="B1069" i="108"/>
  <c r="B1070" i="108"/>
  <c r="B1071" i="108"/>
  <c r="B1072" i="108"/>
  <c r="B1073" i="108"/>
  <c r="B1074" i="108"/>
  <c r="B1075" i="108"/>
  <c r="B1076" i="108"/>
  <c r="B1077" i="108"/>
  <c r="B1078" i="108"/>
  <c r="B1079" i="108"/>
  <c r="B1080" i="108"/>
  <c r="B1081" i="108"/>
  <c r="B1082" i="108"/>
  <c r="B1083" i="108"/>
  <c r="B1084" i="108"/>
  <c r="B1085" i="108"/>
  <c r="B1086" i="108"/>
  <c r="B1087" i="108"/>
  <c r="B1088" i="108"/>
  <c r="B1089" i="108"/>
  <c r="B1090" i="108"/>
  <c r="B1091" i="108"/>
  <c r="B1092" i="108"/>
  <c r="B1093" i="108"/>
  <c r="B1094" i="108"/>
  <c r="B1095" i="108"/>
  <c r="B1096" i="108"/>
  <c r="B1097" i="108"/>
  <c r="B1098" i="108"/>
  <c r="B1099" i="108"/>
  <c r="B1100" i="108"/>
  <c r="B1101" i="108"/>
  <c r="B1102" i="108"/>
  <c r="B1103" i="108"/>
  <c r="B1104" i="108"/>
  <c r="B1105" i="108"/>
  <c r="B1106" i="108"/>
  <c r="B1107" i="108"/>
  <c r="B1108" i="108"/>
  <c r="B1109" i="108"/>
  <c r="B1110" i="108"/>
  <c r="B1111" i="108"/>
  <c r="B1112" i="108"/>
  <c r="B1113" i="108"/>
  <c r="B1114" i="108"/>
  <c r="B1115" i="108"/>
  <c r="B1116" i="108"/>
  <c r="B1117" i="108"/>
  <c r="B1118" i="108"/>
  <c r="B1119" i="108"/>
  <c r="B1120" i="108"/>
  <c r="B1121" i="108"/>
  <c r="B1122" i="108"/>
  <c r="B1123" i="108"/>
  <c r="B1124" i="108"/>
  <c r="B1125" i="108"/>
  <c r="B1126" i="108"/>
  <c r="B1127" i="108"/>
  <c r="B1128" i="108"/>
  <c r="B1129" i="108"/>
  <c r="B1130" i="108"/>
  <c r="B1131" i="108"/>
  <c r="B1132" i="108"/>
  <c r="B1133" i="108"/>
  <c r="B1134" i="108"/>
  <c r="B1135" i="108"/>
  <c r="B1136" i="108"/>
  <c r="B1137" i="108"/>
  <c r="B1138" i="108"/>
  <c r="B1139" i="108"/>
  <c r="B1140" i="108"/>
  <c r="B1141" i="108"/>
  <c r="B1142" i="108"/>
  <c r="B1143" i="108"/>
  <c r="B1144" i="108"/>
  <c r="B1145" i="108"/>
  <c r="B1146" i="108"/>
  <c r="B1147" i="108"/>
  <c r="B1148" i="108"/>
  <c r="B1149" i="108"/>
  <c r="B1150" i="108"/>
  <c r="B1151" i="108"/>
  <c r="B1152" i="108"/>
  <c r="B1153" i="108"/>
  <c r="B1154" i="108"/>
  <c r="B1155" i="108"/>
  <c r="B1156" i="108"/>
  <c r="B1157" i="108"/>
  <c r="B1158" i="108"/>
  <c r="B1159" i="108"/>
  <c r="B1160" i="108"/>
  <c r="B1161" i="108"/>
  <c r="B1162" i="108"/>
  <c r="B1163" i="108"/>
  <c r="B1164" i="108"/>
  <c r="B1165" i="108"/>
  <c r="B1166" i="108"/>
  <c r="B1167" i="108"/>
  <c r="B1168" i="108"/>
  <c r="B1169" i="108"/>
  <c r="B1170" i="108"/>
  <c r="B1171" i="108"/>
  <c r="B1172" i="108"/>
  <c r="B1173" i="108"/>
  <c r="B1174" i="108"/>
  <c r="B1175" i="108"/>
  <c r="B1176" i="108"/>
  <c r="B1177" i="108"/>
  <c r="B1178" i="108"/>
  <c r="B1179" i="108"/>
  <c r="B1180" i="108"/>
  <c r="B1181" i="108"/>
  <c r="B1182" i="108"/>
  <c r="B1183" i="108"/>
  <c r="B1184" i="108"/>
  <c r="B1185" i="108"/>
  <c r="B1186" i="108"/>
  <c r="B1187" i="108"/>
  <c r="B1188" i="108"/>
  <c r="B1189" i="108"/>
  <c r="B1190" i="108"/>
  <c r="B1191" i="108"/>
  <c r="B1192" i="108"/>
  <c r="B1193" i="108"/>
  <c r="B1194" i="108"/>
  <c r="B1195" i="108"/>
  <c r="B1196" i="108"/>
  <c r="B1197" i="108"/>
  <c r="B1198" i="108"/>
  <c r="B1199" i="108"/>
  <c r="B1200" i="108"/>
  <c r="B1201" i="108"/>
  <c r="B1202" i="108"/>
  <c r="B1203" i="108"/>
  <c r="B1204" i="108"/>
  <c r="B1205" i="108"/>
  <c r="B1206" i="108"/>
  <c r="B1207" i="108"/>
  <c r="B1208" i="108"/>
  <c r="B1209" i="108"/>
  <c r="B1210" i="108"/>
  <c r="B1211" i="108"/>
  <c r="B1212" i="108"/>
  <c r="B1213" i="108"/>
  <c r="B1214" i="108"/>
  <c r="B1215" i="108"/>
  <c r="B1216" i="108"/>
  <c r="B1217" i="108"/>
  <c r="B1218" i="108"/>
  <c r="B1219" i="108"/>
  <c r="B1220" i="108"/>
  <c r="B1221" i="108"/>
  <c r="B1222" i="108"/>
  <c r="B1223" i="108"/>
  <c r="B1224" i="108"/>
  <c r="B1225" i="108"/>
  <c r="B1226" i="108"/>
  <c r="B1227" i="108"/>
  <c r="B1228" i="108"/>
  <c r="B1229" i="108"/>
  <c r="B1230" i="108"/>
  <c r="B12" i="108"/>
  <c r="B13" i="108"/>
  <c r="B14" i="108"/>
  <c r="B15" i="108"/>
  <c r="B16" i="108"/>
  <c r="B17" i="108"/>
  <c r="B18" i="108"/>
  <c r="B19" i="108"/>
  <c r="B20" i="108"/>
  <c r="B21" i="108"/>
  <c r="B22" i="108"/>
  <c r="B23" i="108"/>
  <c r="B24" i="108"/>
  <c r="B25" i="108"/>
  <c r="B26" i="108"/>
  <c r="B27" i="108"/>
  <c r="B28" i="108"/>
  <c r="B29" i="108"/>
  <c r="B30" i="108"/>
  <c r="B31" i="108"/>
  <c r="B32" i="108"/>
  <c r="B33" i="108"/>
  <c r="B34" i="108"/>
  <c r="B35" i="108"/>
  <c r="B36" i="108"/>
  <c r="B37" i="108"/>
  <c r="B38" i="108"/>
  <c r="B39" i="108"/>
  <c r="B40" i="108"/>
  <c r="B41" i="108"/>
  <c r="B42" i="108"/>
  <c r="B43" i="108"/>
  <c r="B44" i="108"/>
  <c r="B45" i="108"/>
  <c r="B46" i="108"/>
  <c r="B47" i="108"/>
  <c r="B48" i="108"/>
  <c r="B49" i="108"/>
  <c r="B50" i="108"/>
  <c r="B51" i="108"/>
  <c r="B52" i="108"/>
  <c r="B53" i="108"/>
  <c r="B54" i="108"/>
  <c r="B55" i="108"/>
  <c r="B56" i="108"/>
  <c r="B57" i="108"/>
  <c r="B58" i="108"/>
  <c r="B59" i="108"/>
  <c r="B60" i="108"/>
  <c r="B61" i="108"/>
  <c r="B62" i="108"/>
  <c r="B63" i="108"/>
  <c r="B64" i="108"/>
  <c r="D64" i="108" s="1"/>
  <c r="B65" i="108"/>
  <c r="B66" i="108"/>
  <c r="B67" i="108"/>
  <c r="B68" i="108"/>
  <c r="B69" i="108"/>
  <c r="B70" i="108"/>
  <c r="B71" i="108"/>
  <c r="B72" i="108"/>
  <c r="B73" i="108"/>
  <c r="B74" i="108"/>
  <c r="B75" i="108"/>
  <c r="D75" i="108" s="1"/>
  <c r="B76" i="108"/>
  <c r="B77" i="108"/>
  <c r="B78" i="108"/>
  <c r="B79" i="108"/>
  <c r="B80" i="108"/>
  <c r="B81" i="108"/>
  <c r="B82" i="108"/>
  <c r="B83" i="108"/>
  <c r="B84" i="108"/>
  <c r="B85" i="108"/>
  <c r="B86" i="108"/>
  <c r="B87" i="108"/>
  <c r="B88" i="108"/>
  <c r="B89" i="108"/>
  <c r="B90" i="108"/>
  <c r="D90" i="108" s="1"/>
  <c r="B91" i="108"/>
  <c r="B92" i="108"/>
  <c r="B93" i="108"/>
  <c r="B94" i="108"/>
  <c r="B95" i="108"/>
  <c r="B96" i="108"/>
  <c r="B97" i="108"/>
  <c r="B98" i="108"/>
  <c r="B99" i="108"/>
  <c r="B100" i="108"/>
  <c r="B101" i="108"/>
  <c r="B102" i="108"/>
  <c r="B103" i="108"/>
  <c r="B104" i="108"/>
  <c r="B105" i="108"/>
  <c r="B106" i="108"/>
  <c r="B107" i="108"/>
  <c r="B108" i="108"/>
  <c r="B109" i="108"/>
  <c r="B110" i="108"/>
  <c r="B111" i="108"/>
  <c r="B112" i="108"/>
  <c r="B113" i="108"/>
  <c r="B114" i="108"/>
  <c r="B115" i="108"/>
  <c r="B116" i="108"/>
  <c r="B117" i="108"/>
  <c r="B118" i="108"/>
  <c r="B119" i="108"/>
  <c r="B120" i="108"/>
  <c r="B121" i="108"/>
  <c r="B122" i="108"/>
  <c r="B123" i="108"/>
  <c r="B124" i="108"/>
  <c r="B125" i="108"/>
  <c r="B126" i="108"/>
  <c r="B127" i="108"/>
  <c r="B128" i="108"/>
  <c r="B129" i="108"/>
  <c r="B130" i="108"/>
  <c r="B131" i="108"/>
  <c r="D131" i="108" s="1"/>
  <c r="B132" i="108"/>
  <c r="B133" i="108"/>
  <c r="B134" i="108"/>
  <c r="B135" i="108"/>
  <c r="B136" i="108"/>
  <c r="B137" i="108"/>
  <c r="B138" i="108"/>
  <c r="D138" i="108" s="1"/>
  <c r="B139" i="108"/>
  <c r="B140" i="108"/>
  <c r="B141" i="108"/>
  <c r="B142" i="108"/>
  <c r="B143" i="108"/>
  <c r="B144" i="108"/>
  <c r="B145" i="108"/>
  <c r="B146" i="108"/>
  <c r="B147" i="108"/>
  <c r="B148" i="108"/>
  <c r="B149" i="108"/>
  <c r="B150" i="108"/>
  <c r="B151" i="108"/>
  <c r="B152" i="108"/>
  <c r="B153" i="108"/>
  <c r="B154" i="108"/>
  <c r="B155" i="108"/>
  <c r="B156" i="108"/>
  <c r="B157" i="108"/>
  <c r="B158" i="108"/>
  <c r="B159" i="108"/>
  <c r="B160" i="108"/>
  <c r="B161" i="108"/>
  <c r="B162" i="108"/>
  <c r="B163" i="108"/>
  <c r="B164" i="108"/>
  <c r="B165" i="108"/>
  <c r="B166" i="108"/>
  <c r="B167" i="108"/>
  <c r="B168" i="108"/>
  <c r="B169" i="108"/>
  <c r="B170" i="108"/>
  <c r="B171" i="108"/>
  <c r="B172" i="108"/>
  <c r="B173" i="108"/>
  <c r="B174" i="108"/>
  <c r="B175" i="108"/>
  <c r="B176" i="108"/>
  <c r="B177" i="108"/>
  <c r="B178" i="108"/>
  <c r="B179" i="108"/>
  <c r="B180" i="108"/>
  <c r="B181" i="108"/>
  <c r="B182" i="108"/>
  <c r="B183" i="108"/>
  <c r="B184" i="108"/>
  <c r="B185" i="108"/>
  <c r="B186" i="108"/>
  <c r="B187" i="108"/>
  <c r="B188" i="108"/>
  <c r="B189" i="108"/>
  <c r="B190" i="108"/>
  <c r="B191" i="108"/>
  <c r="B192" i="108"/>
  <c r="B193" i="108"/>
  <c r="B194" i="108"/>
  <c r="B195" i="108"/>
  <c r="B196" i="108"/>
  <c r="B197" i="108"/>
  <c r="B198" i="108"/>
  <c r="B199" i="108"/>
  <c r="B200" i="108"/>
  <c r="B201" i="108"/>
  <c r="B202" i="108"/>
  <c r="B203" i="108"/>
  <c r="B204" i="108"/>
  <c r="B205" i="108"/>
  <c r="B206" i="108"/>
  <c r="B207" i="108"/>
  <c r="B208" i="108"/>
  <c r="B209" i="108"/>
  <c r="B210" i="108"/>
  <c r="B211" i="108"/>
  <c r="B212" i="108"/>
  <c r="B213" i="108"/>
  <c r="B214" i="108"/>
  <c r="B215" i="108"/>
  <c r="B216" i="108"/>
  <c r="B217" i="108"/>
  <c r="B218" i="108"/>
  <c r="B219" i="108"/>
  <c r="B220" i="108"/>
  <c r="B221" i="108"/>
  <c r="B222" i="108"/>
  <c r="B223" i="108"/>
  <c r="B224" i="108"/>
  <c r="B225" i="108"/>
  <c r="B226" i="108"/>
  <c r="B227" i="108"/>
  <c r="B228" i="108"/>
  <c r="B229" i="108"/>
  <c r="B230" i="108"/>
  <c r="B231" i="108"/>
  <c r="B232" i="108"/>
  <c r="B233" i="108"/>
  <c r="B234" i="108"/>
  <c r="B235" i="108"/>
  <c r="B236" i="108"/>
  <c r="B237" i="108"/>
  <c r="B238" i="108"/>
  <c r="B239" i="108"/>
  <c r="B240" i="108"/>
  <c r="B241" i="108"/>
  <c r="B242" i="108"/>
  <c r="B243" i="108"/>
  <c r="B244" i="108"/>
  <c r="B245" i="108"/>
  <c r="B246" i="108"/>
  <c r="B247" i="108"/>
  <c r="B248" i="108"/>
  <c r="B249" i="108"/>
  <c r="B250" i="108"/>
  <c r="D250" i="108" s="1"/>
  <c r="B251" i="108"/>
  <c r="B252" i="108"/>
  <c r="B253" i="108"/>
  <c r="B254" i="108"/>
  <c r="B255" i="108"/>
  <c r="B256" i="108"/>
  <c r="B257" i="108"/>
  <c r="B258" i="108"/>
  <c r="B259" i="108"/>
  <c r="B260" i="108"/>
  <c r="B261" i="108"/>
  <c r="B262" i="108"/>
  <c r="B263" i="108"/>
  <c r="B264" i="108"/>
  <c r="B265" i="108"/>
  <c r="B266" i="108"/>
  <c r="B267" i="108"/>
  <c r="B268" i="108"/>
  <c r="B269" i="108"/>
  <c r="B270" i="108"/>
  <c r="B271" i="108"/>
  <c r="B272" i="108"/>
  <c r="B273" i="108"/>
  <c r="B274" i="108"/>
  <c r="B275" i="108"/>
  <c r="D275" i="108" s="1"/>
  <c r="B276" i="108"/>
  <c r="B277" i="108"/>
  <c r="B278" i="108"/>
  <c r="B279" i="108"/>
  <c r="B280" i="108"/>
  <c r="B281" i="108"/>
  <c r="B282" i="108"/>
  <c r="B283" i="108"/>
  <c r="B284" i="108"/>
  <c r="B285" i="108"/>
  <c r="B286" i="108"/>
  <c r="B287" i="108"/>
  <c r="B288" i="108"/>
  <c r="B289" i="108"/>
  <c r="B290" i="108"/>
  <c r="B291" i="108"/>
  <c r="B292" i="108"/>
  <c r="B293" i="108"/>
  <c r="B294" i="108"/>
  <c r="B295" i="108"/>
  <c r="B296" i="108"/>
  <c r="B297" i="108"/>
  <c r="B298" i="108"/>
  <c r="B299" i="108"/>
  <c r="B300" i="108"/>
  <c r="B301" i="108"/>
  <c r="B11" i="108"/>
  <c r="B2" i="49"/>
  <c r="B1" i="49"/>
  <c r="B34" i="120" s="1"/>
  <c r="A9" i="115" l="1"/>
  <c r="V18" i="124"/>
  <c r="O28" i="124"/>
  <c r="B32" i="116"/>
  <c r="B35" i="113"/>
  <c r="B35" i="120"/>
  <c r="B47" i="120" s="1"/>
  <c r="O27" i="124"/>
  <c r="B42" i="120"/>
  <c r="B39" i="120"/>
  <c r="H14" i="125"/>
  <c r="R27" i="124"/>
  <c r="D28" i="124"/>
  <c r="R28" i="124"/>
  <c r="V19" i="124"/>
  <c r="G7" i="117"/>
  <c r="E8" i="117"/>
  <c r="D9" i="117" s="1"/>
  <c r="F7" i="117"/>
  <c r="B21" i="116"/>
  <c r="AE2" i="116"/>
  <c r="B30" i="116"/>
  <c r="B29" i="116"/>
  <c r="B34" i="113"/>
  <c r="M108" i="113"/>
  <c r="M102" i="113"/>
  <c r="C79" i="113"/>
  <c r="C87" i="113"/>
  <c r="C109" i="113"/>
  <c r="A104" i="113"/>
  <c r="D230" i="108"/>
  <c r="D247" i="108"/>
  <c r="D153" i="108"/>
  <c r="D150" i="108"/>
  <c r="D283" i="108"/>
  <c r="D280" i="108"/>
  <c r="D291" i="108"/>
  <c r="D287" i="108"/>
  <c r="D271" i="108"/>
  <c r="D268" i="108"/>
  <c r="D260" i="108"/>
  <c r="D212" i="108"/>
  <c r="D209" i="108"/>
  <c r="D201" i="108"/>
  <c r="D185" i="108"/>
  <c r="D146" i="108"/>
  <c r="D110" i="108"/>
  <c r="D49" i="108"/>
  <c r="D290" i="108"/>
  <c r="D145" i="108"/>
  <c r="D52" i="108"/>
  <c r="D24" i="108"/>
  <c r="D292" i="108"/>
  <c r="D279" i="108"/>
  <c r="D196" i="108"/>
  <c r="D193" i="108"/>
  <c r="D190" i="108"/>
  <c r="D186" i="108"/>
  <c r="D180" i="108"/>
  <c r="D169" i="108"/>
  <c r="D123" i="108"/>
  <c r="D111" i="108"/>
  <c r="D31" i="108"/>
  <c r="D15" i="108"/>
  <c r="D295" i="108"/>
  <c r="D284" i="108"/>
  <c r="D216" i="108"/>
  <c r="D189" i="108"/>
  <c r="D263" i="108"/>
  <c r="D124" i="108"/>
  <c r="D95" i="108"/>
  <c r="D20" i="108"/>
  <c r="D300" i="108"/>
  <c r="D262" i="108"/>
  <c r="D206" i="108"/>
  <c r="D68" i="108"/>
  <c r="D51" i="108"/>
  <c r="D296" i="108"/>
  <c r="D274" i="108"/>
  <c r="D202" i="108"/>
  <c r="D165" i="108"/>
  <c r="D158" i="108"/>
  <c r="D126" i="108"/>
  <c r="D116" i="108"/>
  <c r="D112" i="108"/>
  <c r="D103" i="108"/>
  <c r="D71" i="108"/>
  <c r="D56" i="108"/>
  <c r="D44" i="108"/>
  <c r="D40" i="108"/>
  <c r="D29" i="108"/>
  <c r="D22" i="108"/>
  <c r="D18" i="108"/>
  <c r="D299" i="108"/>
  <c r="D267" i="108"/>
  <c r="D264" i="108"/>
  <c r="D258" i="108"/>
  <c r="D255" i="108"/>
  <c r="D242" i="108"/>
  <c r="D235" i="108"/>
  <c r="D205" i="108"/>
  <c r="D198" i="108"/>
  <c r="D181" i="108"/>
  <c r="D168" i="108"/>
  <c r="D161" i="108"/>
  <c r="D154" i="108"/>
  <c r="D139" i="108"/>
  <c r="D119" i="108"/>
  <c r="D106" i="108"/>
  <c r="D99" i="108"/>
  <c r="D96" i="108"/>
  <c r="D92" i="108"/>
  <c r="D63" i="108"/>
  <c r="D47" i="108"/>
  <c r="D35" i="108"/>
  <c r="D100" i="108"/>
  <c r="D84" i="108"/>
  <c r="D41" i="108"/>
  <c r="D37" i="108"/>
  <c r="D30" i="108"/>
  <c r="D26" i="108"/>
  <c r="D19" i="108"/>
  <c r="D12" i="108"/>
  <c r="D11" i="108"/>
  <c r="D294" i="108"/>
  <c r="D278" i="108"/>
  <c r="D239" i="108"/>
  <c r="D254" i="108"/>
  <c r="D246" i="108"/>
  <c r="D222" i="108"/>
  <c r="D221" i="108"/>
  <c r="D276" i="108"/>
  <c r="D234" i="108"/>
  <c r="D231" i="108"/>
  <c r="D213" i="108"/>
  <c r="D200" i="108"/>
  <c r="D259" i="108"/>
  <c r="D251" i="108"/>
  <c r="D243" i="108"/>
  <c r="D238" i="108"/>
  <c r="D229" i="108"/>
  <c r="D228" i="108"/>
  <c r="D225" i="108"/>
  <c r="D218" i="108"/>
  <c r="D217" i="108"/>
  <c r="D214" i="108"/>
  <c r="D197" i="108"/>
  <c r="D184" i="108"/>
  <c r="D162" i="108"/>
  <c r="D135" i="108"/>
  <c r="D157" i="108"/>
  <c r="D128" i="108"/>
  <c r="D127" i="108"/>
  <c r="D182" i="108"/>
  <c r="D173" i="108"/>
  <c r="D170" i="108"/>
  <c r="D149" i="108"/>
  <c r="D142" i="108"/>
  <c r="D132" i="108"/>
  <c r="D107" i="108"/>
  <c r="D177" i="108"/>
  <c r="D174" i="108"/>
  <c r="D141" i="108"/>
  <c r="D140" i="108"/>
  <c r="D122" i="108"/>
  <c r="D115" i="108"/>
  <c r="D91" i="108"/>
  <c r="D87" i="108"/>
  <c r="D80" i="108"/>
  <c r="D53" i="108"/>
  <c r="D72" i="108"/>
  <c r="D62" i="108"/>
  <c r="D60" i="108"/>
  <c r="D57" i="108"/>
  <c r="D94" i="108"/>
  <c r="D83" i="108"/>
  <c r="D108" i="108"/>
  <c r="D79" i="108"/>
  <c r="D76" i="108"/>
  <c r="D67" i="108"/>
  <c r="D36" i="108"/>
  <c r="D33" i="108"/>
  <c r="D32" i="108"/>
  <c r="D28" i="108"/>
  <c r="D16" i="108"/>
  <c r="D48" i="108"/>
  <c r="D23" i="108"/>
  <c r="D289" i="108"/>
  <c r="D288" i="108"/>
  <c r="D286" i="108"/>
  <c r="D273" i="108"/>
  <c r="D272" i="108"/>
  <c r="D270" i="108"/>
  <c r="D220" i="108"/>
  <c r="D210" i="108"/>
  <c r="D183" i="108"/>
  <c r="D298" i="108"/>
  <c r="D285" i="108"/>
  <c r="D282" i="108"/>
  <c r="D269" i="108"/>
  <c r="D266" i="108"/>
  <c r="D226" i="108"/>
  <c r="D199" i="108"/>
  <c r="D172" i="108"/>
  <c r="D297" i="108"/>
  <c r="D281" i="108"/>
  <c r="D265" i="108"/>
  <c r="D257" i="108"/>
  <c r="D253" i="108"/>
  <c r="D249" i="108"/>
  <c r="D245" i="108"/>
  <c r="D241" i="108"/>
  <c r="D237" i="108"/>
  <c r="D233" i="108"/>
  <c r="D215" i="108"/>
  <c r="D188" i="108"/>
  <c r="D178" i="108"/>
  <c r="D293" i="108"/>
  <c r="D277" i="108"/>
  <c r="D261" i="108"/>
  <c r="D256" i="108"/>
  <c r="D252" i="108"/>
  <c r="D248" i="108"/>
  <c r="D244" i="108"/>
  <c r="D240" i="108"/>
  <c r="D236" i="108"/>
  <c r="D232" i="108"/>
  <c r="D204" i="108"/>
  <c r="D194" i="108"/>
  <c r="D227" i="108"/>
  <c r="D224" i="108"/>
  <c r="D211" i="108"/>
  <c r="D208" i="108"/>
  <c r="D195" i="108"/>
  <c r="D192" i="108"/>
  <c r="D179" i="108"/>
  <c r="D176" i="108"/>
  <c r="D163" i="108"/>
  <c r="D160" i="108"/>
  <c r="D136" i="108"/>
  <c r="D125" i="108"/>
  <c r="D223" i="108"/>
  <c r="D207" i="108"/>
  <c r="D191" i="108"/>
  <c r="D175" i="108"/>
  <c r="D159" i="108"/>
  <c r="D156" i="108"/>
  <c r="D152" i="108"/>
  <c r="D148" i="108"/>
  <c r="D144" i="108"/>
  <c r="D219" i="108"/>
  <c r="D203" i="108"/>
  <c r="D187" i="108"/>
  <c r="D171" i="108"/>
  <c r="D155" i="108"/>
  <c r="D151" i="108"/>
  <c r="D147" i="108"/>
  <c r="D143" i="108"/>
  <c r="D129" i="108"/>
  <c r="D167" i="108"/>
  <c r="D166" i="108"/>
  <c r="D164" i="108"/>
  <c r="D134" i="108"/>
  <c r="D130" i="108"/>
  <c r="D133" i="108"/>
  <c r="D117" i="108"/>
  <c r="D114" i="108"/>
  <c r="D101" i="108"/>
  <c r="D98" i="108"/>
  <c r="D85" i="108"/>
  <c r="D82" i="108"/>
  <c r="D113" i="108"/>
  <c r="D97" i="108"/>
  <c r="D81" i="108"/>
  <c r="D78" i="108"/>
  <c r="D74" i="108"/>
  <c r="D70" i="108"/>
  <c r="D66" i="108"/>
  <c r="D109" i="108"/>
  <c r="D93" i="108"/>
  <c r="D77" i="108"/>
  <c r="D73" i="108"/>
  <c r="D69" i="108"/>
  <c r="D65" i="108"/>
  <c r="D137" i="108"/>
  <c r="D121" i="108"/>
  <c r="D120" i="108"/>
  <c r="D118" i="108"/>
  <c r="D105" i="108"/>
  <c r="D104" i="108"/>
  <c r="D102" i="108"/>
  <c r="D89" i="108"/>
  <c r="D88" i="108"/>
  <c r="D86" i="108"/>
  <c r="D58" i="108"/>
  <c r="D55" i="108"/>
  <c r="D42" i="108"/>
  <c r="D39" i="108"/>
  <c r="D54" i="108"/>
  <c r="D38" i="108"/>
  <c r="D50" i="108"/>
  <c r="D34" i="108"/>
  <c r="D27" i="108"/>
  <c r="D25" i="108"/>
  <c r="D61" i="108"/>
  <c r="D59" i="108"/>
  <c r="D46" i="108"/>
  <c r="D45" i="108"/>
  <c r="D43" i="108"/>
  <c r="D14" i="108"/>
  <c r="D21" i="108"/>
  <c r="D17" i="108"/>
  <c r="D13" i="108"/>
  <c r="G6" i="108"/>
  <c r="G5" i="108" s="1"/>
  <c r="H6" i="108"/>
  <c r="H5" i="108" s="1"/>
  <c r="F6" i="108"/>
  <c r="F5" i="108" s="1"/>
  <c r="F1" i="108"/>
  <c r="F2" i="108"/>
  <c r="A44" i="106"/>
  <c r="C46" i="106"/>
  <c r="B38" i="120" l="1"/>
  <c r="C39" i="120" s="1"/>
  <c r="G8" i="117"/>
  <c r="B46" i="120"/>
  <c r="C47" i="120" s="1"/>
  <c r="B43" i="120"/>
  <c r="C43" i="120" s="1"/>
  <c r="E9" i="117"/>
  <c r="D10" i="117" s="1"/>
  <c r="F8" i="117"/>
  <c r="D28" i="116"/>
  <c r="D26" i="116"/>
  <c r="D27" i="116"/>
  <c r="B25" i="116"/>
  <c r="B24" i="116"/>
  <c r="C43" i="113"/>
  <c r="A110" i="113"/>
  <c r="I1030" i="108"/>
  <c r="I960" i="108"/>
  <c r="I956" i="108"/>
  <c r="I952" i="108"/>
  <c r="I948" i="108"/>
  <c r="I944" i="108"/>
  <c r="I940" i="108"/>
  <c r="I936" i="108"/>
  <c r="I932" i="108"/>
  <c r="I928" i="108"/>
  <c r="I924" i="108"/>
  <c r="I920" i="108"/>
  <c r="I916" i="108"/>
  <c r="I912" i="108"/>
  <c r="I908" i="108"/>
  <c r="I904" i="108"/>
  <c r="I900" i="108"/>
  <c r="I896" i="108"/>
  <c r="I892" i="108"/>
  <c r="I888" i="108"/>
  <c r="I884" i="108"/>
  <c r="I880" i="108"/>
  <c r="I876" i="108"/>
  <c r="I872" i="108"/>
  <c r="I868" i="108"/>
  <c r="I864" i="108"/>
  <c r="I860" i="108"/>
  <c r="I856" i="108"/>
  <c r="I852" i="108"/>
  <c r="I848" i="108"/>
  <c r="I844" i="108"/>
  <c r="I840" i="108"/>
  <c r="I836" i="108"/>
  <c r="I832" i="108"/>
  <c r="I828" i="108"/>
  <c r="I824" i="108"/>
  <c r="I820" i="108"/>
  <c r="I816" i="108"/>
  <c r="I812" i="108"/>
  <c r="I808" i="108"/>
  <c r="I804" i="108"/>
  <c r="I800" i="108"/>
  <c r="I796" i="108"/>
  <c r="I792" i="108"/>
  <c r="I788" i="108"/>
  <c r="I784" i="108"/>
  <c r="I780" i="108"/>
  <c r="I776" i="108"/>
  <c r="I772" i="108"/>
  <c r="I768" i="108"/>
  <c r="I764" i="108"/>
  <c r="I760" i="108"/>
  <c r="I756" i="108"/>
  <c r="I752" i="108"/>
  <c r="I748" i="108"/>
  <c r="I744" i="108"/>
  <c r="I740" i="108"/>
  <c r="I736" i="108"/>
  <c r="I732" i="108"/>
  <c r="I728" i="108"/>
  <c r="I724" i="108"/>
  <c r="I720" i="108"/>
  <c r="I716" i="108"/>
  <c r="I712" i="108"/>
  <c r="I708" i="108"/>
  <c r="I704" i="108"/>
  <c r="I700" i="108"/>
  <c r="I696" i="108"/>
  <c r="I692" i="108"/>
  <c r="I688" i="108"/>
  <c r="I684" i="108"/>
  <c r="I680" i="108"/>
  <c r="I676" i="108"/>
  <c r="I672" i="108"/>
  <c r="I668" i="108"/>
  <c r="I664" i="108"/>
  <c r="I660" i="108"/>
  <c r="I959" i="108"/>
  <c r="I955" i="108"/>
  <c r="I951" i="108"/>
  <c r="I947" i="108"/>
  <c r="I943" i="108"/>
  <c r="I939" i="108"/>
  <c r="I935" i="108"/>
  <c r="I931" i="108"/>
  <c r="I927" i="108"/>
  <c r="I923" i="108"/>
  <c r="I919" i="108"/>
  <c r="I915" i="108"/>
  <c r="I911" i="108"/>
  <c r="I907" i="108"/>
  <c r="I903" i="108"/>
  <c r="I899" i="108"/>
  <c r="I895" i="108"/>
  <c r="I891" i="108"/>
  <c r="I887" i="108"/>
  <c r="I883" i="108"/>
  <c r="I879" i="108"/>
  <c r="I875" i="108"/>
  <c r="I871" i="108"/>
  <c r="I867" i="108"/>
  <c r="I863" i="108"/>
  <c r="I958" i="108"/>
  <c r="I954" i="108"/>
  <c r="I950" i="108"/>
  <c r="I946" i="108"/>
  <c r="I942" i="108"/>
  <c r="I938" i="108"/>
  <c r="I934" i="108"/>
  <c r="I930" i="108"/>
  <c r="I926" i="108"/>
  <c r="I922" i="108"/>
  <c r="I918" i="108"/>
  <c r="I914" i="108"/>
  <c r="I910" i="108"/>
  <c r="I906" i="108"/>
  <c r="I902" i="108"/>
  <c r="I898" i="108"/>
  <c r="I894" i="108"/>
  <c r="I890" i="108"/>
  <c r="I886" i="108"/>
  <c r="I882" i="108"/>
  <c r="I878" i="108"/>
  <c r="I874" i="108"/>
  <c r="I870" i="108"/>
  <c r="I866" i="108"/>
  <c r="I862" i="108"/>
  <c r="I858" i="108"/>
  <c r="I854" i="108"/>
  <c r="I850" i="108"/>
  <c r="I846" i="108"/>
  <c r="I842" i="108"/>
  <c r="I838" i="108"/>
  <c r="I834" i="108"/>
  <c r="I830" i="108"/>
  <c r="I826" i="108"/>
  <c r="I822" i="108"/>
  <c r="I818" i="108"/>
  <c r="I814" i="108"/>
  <c r="I810" i="108"/>
  <c r="I806" i="108"/>
  <c r="I802" i="108"/>
  <c r="I798" i="108"/>
  <c r="I794" i="108"/>
  <c r="I790" i="108"/>
  <c r="I786" i="108"/>
  <c r="I782" i="108"/>
  <c r="I778" i="108"/>
  <c r="I774" i="108"/>
  <c r="I770" i="108"/>
  <c r="I766" i="108"/>
  <c r="I762" i="108"/>
  <c r="I758" i="108"/>
  <c r="I754" i="108"/>
  <c r="I750" i="108"/>
  <c r="I746" i="108"/>
  <c r="I742" i="108"/>
  <c r="I738" i="108"/>
  <c r="I734" i="108"/>
  <c r="I730" i="108"/>
  <c r="I957" i="108"/>
  <c r="I953" i="108"/>
  <c r="I949" i="108"/>
  <c r="I945" i="108"/>
  <c r="I941" i="108"/>
  <c r="I937" i="108"/>
  <c r="I933" i="108"/>
  <c r="I929" i="108"/>
  <c r="I925" i="108"/>
  <c r="I921" i="108"/>
  <c r="I917" i="108"/>
  <c r="I913" i="108"/>
  <c r="I909" i="108"/>
  <c r="I905" i="108"/>
  <c r="I901" i="108"/>
  <c r="I897" i="108"/>
  <c r="I893" i="108"/>
  <c r="I889" i="108"/>
  <c r="I885" i="108"/>
  <c r="I881" i="108"/>
  <c r="I877" i="108"/>
  <c r="I873" i="108"/>
  <c r="I869" i="108"/>
  <c r="I865" i="108"/>
  <c r="I861" i="108"/>
  <c r="I857" i="108"/>
  <c r="I853" i="108"/>
  <c r="I849" i="108"/>
  <c r="I845" i="108"/>
  <c r="I841" i="108"/>
  <c r="I837" i="108"/>
  <c r="I833" i="108"/>
  <c r="I829" i="108"/>
  <c r="I825" i="108"/>
  <c r="I821" i="108"/>
  <c r="I817" i="108"/>
  <c r="I813" i="108"/>
  <c r="I809" i="108"/>
  <c r="I805" i="108"/>
  <c r="I801" i="108"/>
  <c r="I797" i="108"/>
  <c r="I793" i="108"/>
  <c r="I789" i="108"/>
  <c r="I785" i="108"/>
  <c r="I781" i="108"/>
  <c r="I777" i="108"/>
  <c r="I773" i="108"/>
  <c r="I769" i="108"/>
  <c r="I765" i="108"/>
  <c r="I761" i="108"/>
  <c r="I757" i="108"/>
  <c r="I753" i="108"/>
  <c r="I749" i="108"/>
  <c r="I745" i="108"/>
  <c r="I741" i="108"/>
  <c r="I737" i="108"/>
  <c r="I733" i="108"/>
  <c r="I729" i="108"/>
  <c r="I725" i="108"/>
  <c r="I721" i="108"/>
  <c r="I717" i="108"/>
  <c r="I713" i="108"/>
  <c r="I709" i="108"/>
  <c r="I705" i="108"/>
  <c r="I701" i="108"/>
  <c r="I697" i="108"/>
  <c r="I693" i="108"/>
  <c r="I689" i="108"/>
  <c r="I685" i="108"/>
  <c r="I681" i="108"/>
  <c r="I677" i="108"/>
  <c r="I673" i="108"/>
  <c r="I669" i="108"/>
  <c r="I665" i="108"/>
  <c r="I661" i="108"/>
  <c r="I657" i="108"/>
  <c r="I653" i="108"/>
  <c r="I649" i="108"/>
  <c r="I645" i="108"/>
  <c r="I641" i="108"/>
  <c r="I637" i="108"/>
  <c r="I633" i="108"/>
  <c r="I629" i="108"/>
  <c r="I625" i="108"/>
  <c r="I621" i="108"/>
  <c r="I859" i="108"/>
  <c r="I843" i="108"/>
  <c r="I827" i="108"/>
  <c r="I811" i="108"/>
  <c r="I795" i="108"/>
  <c r="I779" i="108"/>
  <c r="I763" i="108"/>
  <c r="I747" i="108"/>
  <c r="I731" i="108"/>
  <c r="I722" i="108"/>
  <c r="I714" i="108"/>
  <c r="I706" i="108"/>
  <c r="I698" i="108"/>
  <c r="I690" i="108"/>
  <c r="I682" i="108"/>
  <c r="I674" i="108"/>
  <c r="I666" i="108"/>
  <c r="I658" i="108"/>
  <c r="I652" i="108"/>
  <c r="I647" i="108"/>
  <c r="I642" i="108"/>
  <c r="I636" i="108"/>
  <c r="I626" i="108"/>
  <c r="I620" i="108"/>
  <c r="I616" i="108"/>
  <c r="I612" i="108"/>
  <c r="I608" i="108"/>
  <c r="I604" i="108"/>
  <c r="I600" i="108"/>
  <c r="I596" i="108"/>
  <c r="I592" i="108"/>
  <c r="I588" i="108"/>
  <c r="I584" i="108"/>
  <c r="I580" i="108"/>
  <c r="I576" i="108"/>
  <c r="I572" i="108"/>
  <c r="I568" i="108"/>
  <c r="I564" i="108"/>
  <c r="I560" i="108"/>
  <c r="I556" i="108"/>
  <c r="I552" i="108"/>
  <c r="I548" i="108"/>
  <c r="I544" i="108"/>
  <c r="I540" i="108"/>
  <c r="I536" i="108"/>
  <c r="I532" i="108"/>
  <c r="I528" i="108"/>
  <c r="I524" i="108"/>
  <c r="I520" i="108"/>
  <c r="I516" i="108"/>
  <c r="I512" i="108"/>
  <c r="I508" i="108"/>
  <c r="I504" i="108"/>
  <c r="I500" i="108"/>
  <c r="I496" i="108"/>
  <c r="I492" i="108"/>
  <c r="I488" i="108"/>
  <c r="I484" i="108"/>
  <c r="I480" i="108"/>
  <c r="I476" i="108"/>
  <c r="I472" i="108"/>
  <c r="I468" i="108"/>
  <c r="I464" i="108"/>
  <c r="I460" i="108"/>
  <c r="I456" i="108"/>
  <c r="I452" i="108"/>
  <c r="I448" i="108"/>
  <c r="I444" i="108"/>
  <c r="I440" i="108"/>
  <c r="I436" i="108"/>
  <c r="I432" i="108"/>
  <c r="I428" i="108"/>
  <c r="I424" i="108"/>
  <c r="I420" i="108"/>
  <c r="I416" i="108"/>
  <c r="I412" i="108"/>
  <c r="I408" i="108"/>
  <c r="I404" i="108"/>
  <c r="I400" i="108"/>
  <c r="I396" i="108"/>
  <c r="I392" i="108"/>
  <c r="I388" i="108"/>
  <c r="I384" i="108"/>
  <c r="I380" i="108"/>
  <c r="I855" i="108"/>
  <c r="I839" i="108"/>
  <c r="I823" i="108"/>
  <c r="I807" i="108"/>
  <c r="I791" i="108"/>
  <c r="I775" i="108"/>
  <c r="I759" i="108"/>
  <c r="I743" i="108"/>
  <c r="I727" i="108"/>
  <c r="I719" i="108"/>
  <c r="I711" i="108"/>
  <c r="I703" i="108"/>
  <c r="I695" i="108"/>
  <c r="I687" i="108"/>
  <c r="I679" i="108"/>
  <c r="I671" i="108"/>
  <c r="I663" i="108"/>
  <c r="I656" i="108"/>
  <c r="I651" i="108"/>
  <c r="I646" i="108"/>
  <c r="I640" i="108"/>
  <c r="I635" i="108"/>
  <c r="I624" i="108"/>
  <c r="I619" i="108"/>
  <c r="I615" i="108"/>
  <c r="I611" i="108"/>
  <c r="I607" i="108"/>
  <c r="I603" i="108"/>
  <c r="I599" i="108"/>
  <c r="I595" i="108"/>
  <c r="I591" i="108"/>
  <c r="I587" i="108"/>
  <c r="I583" i="108"/>
  <c r="I579" i="108"/>
  <c r="I575" i="108"/>
  <c r="I571" i="108"/>
  <c r="I567" i="108"/>
  <c r="I563" i="108"/>
  <c r="I559" i="108"/>
  <c r="I555" i="108"/>
  <c r="I551" i="108"/>
  <c r="I547" i="108"/>
  <c r="I543" i="108"/>
  <c r="I539" i="108"/>
  <c r="I535" i="108"/>
  <c r="I531" i="108"/>
  <c r="I527" i="108"/>
  <c r="I523" i="108"/>
  <c r="I519" i="108"/>
  <c r="I515" i="108"/>
  <c r="I511" i="108"/>
  <c r="I507" i="108"/>
  <c r="I503" i="108"/>
  <c r="I499" i="108"/>
  <c r="I495" i="108"/>
  <c r="I491" i="108"/>
  <c r="I487" i="108"/>
  <c r="I483" i="108"/>
  <c r="I479" i="108"/>
  <c r="I475" i="108"/>
  <c r="I471" i="108"/>
  <c r="I467" i="108"/>
  <c r="I463" i="108"/>
  <c r="I459" i="108"/>
  <c r="I455" i="108"/>
  <c r="I451" i="108"/>
  <c r="I447" i="108"/>
  <c r="I851" i="108"/>
  <c r="I835" i="108"/>
  <c r="I819" i="108"/>
  <c r="I803" i="108"/>
  <c r="I787" i="108"/>
  <c r="I771" i="108"/>
  <c r="I755" i="108"/>
  <c r="I739" i="108"/>
  <c r="I726" i="108"/>
  <c r="I718" i="108"/>
  <c r="I710" i="108"/>
  <c r="I702" i="108"/>
  <c r="I694" i="108"/>
  <c r="I686" i="108"/>
  <c r="I678" i="108"/>
  <c r="I670" i="108"/>
  <c r="I662" i="108"/>
  <c r="I655" i="108"/>
  <c r="I650" i="108"/>
  <c r="I644" i="108"/>
  <c r="I639" i="108"/>
  <c r="I634" i="108"/>
  <c r="I628" i="108"/>
  <c r="I623" i="108"/>
  <c r="I618" i="108"/>
  <c r="I614" i="108"/>
  <c r="I610" i="108"/>
  <c r="I606" i="108"/>
  <c r="I602" i="108"/>
  <c r="I598" i="108"/>
  <c r="I594" i="108"/>
  <c r="I590" i="108"/>
  <c r="I586" i="108"/>
  <c r="I582" i="108"/>
  <c r="I578" i="108"/>
  <c r="I574" i="108"/>
  <c r="I570" i="108"/>
  <c r="I566" i="108"/>
  <c r="I562" i="108"/>
  <c r="I558" i="108"/>
  <c r="I554" i="108"/>
  <c r="I550" i="108"/>
  <c r="I546" i="108"/>
  <c r="I542" i="108"/>
  <c r="I538" i="108"/>
  <c r="I534" i="108"/>
  <c r="I530" i="108"/>
  <c r="I526" i="108"/>
  <c r="I522" i="108"/>
  <c r="I518" i="108"/>
  <c r="I514" i="108"/>
  <c r="I510" i="108"/>
  <c r="I506" i="108"/>
  <c r="I502" i="108"/>
  <c r="I498" i="108"/>
  <c r="I494" i="108"/>
  <c r="I490" i="108"/>
  <c r="I486" i="108"/>
  <c r="I482" i="108"/>
  <c r="I478" i="108"/>
  <c r="I474" i="108"/>
  <c r="I470" i="108"/>
  <c r="I466" i="108"/>
  <c r="I462" i="108"/>
  <c r="I458" i="108"/>
  <c r="I847" i="108"/>
  <c r="I831" i="108"/>
  <c r="I815" i="108"/>
  <c r="I799" i="108"/>
  <c r="I783" i="108"/>
  <c r="I767" i="108"/>
  <c r="I751" i="108"/>
  <c r="I735" i="108"/>
  <c r="I723" i="108"/>
  <c r="I715" i="108"/>
  <c r="I707" i="108"/>
  <c r="I699" i="108"/>
  <c r="I691" i="108"/>
  <c r="I683" i="108"/>
  <c r="I675" i="108"/>
  <c r="I667" i="108"/>
  <c r="I659" i="108"/>
  <c r="I654" i="108"/>
  <c r="I648" i="108"/>
  <c r="I643" i="108"/>
  <c r="I638" i="108"/>
  <c r="I627" i="108"/>
  <c r="I622" i="108"/>
  <c r="I617" i="108"/>
  <c r="I613" i="108"/>
  <c r="I609" i="108"/>
  <c r="I605" i="108"/>
  <c r="I601" i="108"/>
  <c r="I597" i="108"/>
  <c r="I593" i="108"/>
  <c r="I589" i="108"/>
  <c r="I585" i="108"/>
  <c r="I581" i="108"/>
  <c r="I577" i="108"/>
  <c r="I573" i="108"/>
  <c r="I569" i="108"/>
  <c r="I565" i="108"/>
  <c r="I561" i="108"/>
  <c r="I557" i="108"/>
  <c r="I553" i="108"/>
  <c r="I549" i="108"/>
  <c r="I545" i="108"/>
  <c r="I541" i="108"/>
  <c r="I537" i="108"/>
  <c r="I533" i="108"/>
  <c r="I529" i="108"/>
  <c r="I525" i="108"/>
  <c r="I521" i="108"/>
  <c r="I517" i="108"/>
  <c r="I513" i="108"/>
  <c r="I509" i="108"/>
  <c r="I505" i="108"/>
  <c r="I501" i="108"/>
  <c r="I497" i="108"/>
  <c r="I493" i="108"/>
  <c r="I489" i="108"/>
  <c r="I485" i="108"/>
  <c r="I481" i="108"/>
  <c r="I477" i="108"/>
  <c r="I473" i="108"/>
  <c r="I469" i="108"/>
  <c r="I465" i="108"/>
  <c r="I461" i="108"/>
  <c r="I457" i="108"/>
  <c r="I453" i="108"/>
  <c r="I449" i="108"/>
  <c r="I445" i="108"/>
  <c r="I441" i="108"/>
  <c r="I437" i="108"/>
  <c r="I433" i="108"/>
  <c r="I429" i="108"/>
  <c r="I425" i="108"/>
  <c r="I421" i="108"/>
  <c r="I417" i="108"/>
  <c r="I413" i="108"/>
  <c r="I409" i="108"/>
  <c r="I405" i="108"/>
  <c r="I401" i="108"/>
  <c r="I397" i="108"/>
  <c r="I393" i="108"/>
  <c r="I389" i="108"/>
  <c r="I385" i="108"/>
  <c r="I381" i="108"/>
  <c r="I377" i="108"/>
  <c r="I373" i="108"/>
  <c r="I369" i="108"/>
  <c r="I365" i="108"/>
  <c r="I361" i="108"/>
  <c r="I357" i="108"/>
  <c r="I353" i="108"/>
  <c r="I349" i="108"/>
  <c r="I345" i="108"/>
  <c r="I341" i="108"/>
  <c r="I337" i="108"/>
  <c r="I333" i="108"/>
  <c r="I329" i="108"/>
  <c r="I325" i="108"/>
  <c r="I321" i="108"/>
  <c r="I317" i="108"/>
  <c r="I313" i="108"/>
  <c r="I309" i="108"/>
  <c r="I305" i="108"/>
  <c r="I301" i="108"/>
  <c r="V311" i="108"/>
  <c r="I454" i="108"/>
  <c r="I442" i="108"/>
  <c r="I434" i="108"/>
  <c r="I426" i="108"/>
  <c r="I418" i="108"/>
  <c r="I410" i="108"/>
  <c r="I402" i="108"/>
  <c r="I394" i="108"/>
  <c r="I386" i="108"/>
  <c r="I378" i="108"/>
  <c r="I372" i="108"/>
  <c r="I367" i="108"/>
  <c r="I362" i="108"/>
  <c r="I356" i="108"/>
  <c r="I351" i="108"/>
  <c r="I346" i="108"/>
  <c r="I340" i="108"/>
  <c r="I335" i="108"/>
  <c r="I330" i="108"/>
  <c r="I324" i="108"/>
  <c r="I319" i="108"/>
  <c r="I314" i="108"/>
  <c r="I308" i="108"/>
  <c r="I303" i="108"/>
  <c r="I450" i="108"/>
  <c r="I439" i="108"/>
  <c r="I431" i="108"/>
  <c r="I423" i="108"/>
  <c r="I415" i="108"/>
  <c r="I407" i="108"/>
  <c r="I399" i="108"/>
  <c r="I391" i="108"/>
  <c r="I383" i="108"/>
  <c r="I376" i="108"/>
  <c r="I371" i="108"/>
  <c r="I366" i="108"/>
  <c r="I360" i="108"/>
  <c r="I355" i="108"/>
  <c r="I350" i="108"/>
  <c r="I344" i="108"/>
  <c r="I339" i="108"/>
  <c r="I334" i="108"/>
  <c r="I328" i="108"/>
  <c r="I323" i="108"/>
  <c r="I318" i="108"/>
  <c r="I312" i="108"/>
  <c r="I307" i="108"/>
  <c r="I302" i="108"/>
  <c r="I446" i="108"/>
  <c r="I438" i="108"/>
  <c r="I430" i="108"/>
  <c r="I422" i="108"/>
  <c r="I414" i="108"/>
  <c r="I406" i="108"/>
  <c r="I398" i="108"/>
  <c r="I390" i="108"/>
  <c r="I382" i="108"/>
  <c r="I375" i="108"/>
  <c r="I370" i="108"/>
  <c r="I364" i="108"/>
  <c r="I359" i="108"/>
  <c r="I354" i="108"/>
  <c r="I348" i="108"/>
  <c r="I343" i="108"/>
  <c r="I338" i="108"/>
  <c r="I332" i="108"/>
  <c r="I327" i="108"/>
  <c r="I322" i="108"/>
  <c r="I316" i="108"/>
  <c r="I311" i="108"/>
  <c r="I306" i="108"/>
  <c r="I443" i="108"/>
  <c r="I435" i="108"/>
  <c r="I427" i="108"/>
  <c r="I419" i="108"/>
  <c r="I411" i="108"/>
  <c r="I403" i="108"/>
  <c r="I395" i="108"/>
  <c r="I387" i="108"/>
  <c r="I379" i="108"/>
  <c r="I374" i="108"/>
  <c r="I368" i="108"/>
  <c r="I363" i="108"/>
  <c r="I358" i="108"/>
  <c r="I352" i="108"/>
  <c r="I347" i="108"/>
  <c r="I342" i="108"/>
  <c r="I336" i="108"/>
  <c r="I331" i="108"/>
  <c r="I326" i="108"/>
  <c r="I320" i="108"/>
  <c r="I315" i="108"/>
  <c r="I310" i="108"/>
  <c r="I304" i="108"/>
  <c r="V13" i="108"/>
  <c r="V17" i="108"/>
  <c r="V21" i="108"/>
  <c r="V25" i="108"/>
  <c r="V29" i="108"/>
  <c r="V33" i="108"/>
  <c r="V37" i="108"/>
  <c r="V41" i="108"/>
  <c r="V45" i="108"/>
  <c r="V49" i="108"/>
  <c r="V53" i="108"/>
  <c r="V57" i="108"/>
  <c r="V61" i="108"/>
  <c r="V65" i="108"/>
  <c r="V69" i="108"/>
  <c r="V73" i="108"/>
  <c r="V77" i="108"/>
  <c r="V81" i="108"/>
  <c r="V85" i="108"/>
  <c r="V89" i="108"/>
  <c r="V93" i="108"/>
  <c r="V97" i="108"/>
  <c r="V101" i="108"/>
  <c r="V105" i="108"/>
  <c r="V109" i="108"/>
  <c r="V113" i="108"/>
  <c r="V117" i="108"/>
  <c r="V121" i="108"/>
  <c r="V125" i="108"/>
  <c r="V129" i="108"/>
  <c r="V133" i="108"/>
  <c r="V137" i="108"/>
  <c r="V141" i="108"/>
  <c r="V145" i="108"/>
  <c r="V149" i="108"/>
  <c r="V153" i="108"/>
  <c r="V157" i="108"/>
  <c r="V161" i="108"/>
  <c r="V165" i="108"/>
  <c r="V169" i="108"/>
  <c r="V173" i="108"/>
  <c r="V177" i="108"/>
  <c r="V181" i="108"/>
  <c r="V185" i="108"/>
  <c r="V189" i="108"/>
  <c r="V193" i="108"/>
  <c r="V197" i="108"/>
  <c r="V201" i="108"/>
  <c r="V205" i="108"/>
  <c r="V209" i="108"/>
  <c r="V213" i="108"/>
  <c r="V217" i="108"/>
  <c r="V221" i="108"/>
  <c r="V225" i="108"/>
  <c r="V229" i="108"/>
  <c r="V233" i="108"/>
  <c r="V237" i="108"/>
  <c r="V241" i="108"/>
  <c r="V245" i="108"/>
  <c r="V249" i="108"/>
  <c r="V253" i="108"/>
  <c r="V257" i="108"/>
  <c r="V261" i="108"/>
  <c r="V265" i="108"/>
  <c r="V269" i="108"/>
  <c r="V273" i="108"/>
  <c r="V277" i="108"/>
  <c r="V281" i="108"/>
  <c r="V285" i="108"/>
  <c r="V289" i="108"/>
  <c r="V293" i="108"/>
  <c r="V301" i="108"/>
  <c r="V307" i="108"/>
  <c r="V9" i="108"/>
  <c r="V14" i="108"/>
  <c r="V18" i="108"/>
  <c r="V22" i="108"/>
  <c r="V26" i="108"/>
  <c r="V30" i="108"/>
  <c r="V34" i="108"/>
  <c r="V38" i="108"/>
  <c r="V42" i="108"/>
  <c r="V46" i="108"/>
  <c r="V50" i="108"/>
  <c r="V54" i="108"/>
  <c r="V58" i="108"/>
  <c r="V62" i="108"/>
  <c r="V66" i="108"/>
  <c r="V70" i="108"/>
  <c r="V74" i="108"/>
  <c r="V78" i="108"/>
  <c r="V82" i="108"/>
  <c r="V86" i="108"/>
  <c r="V90" i="108"/>
  <c r="V94" i="108"/>
  <c r="V98" i="108"/>
  <c r="V102" i="108"/>
  <c r="V106" i="108"/>
  <c r="V110" i="108"/>
  <c r="V114" i="108"/>
  <c r="V118" i="108"/>
  <c r="V122" i="108"/>
  <c r="V126" i="108"/>
  <c r="V130" i="108"/>
  <c r="V134" i="108"/>
  <c r="V138" i="108"/>
  <c r="V142" i="108"/>
  <c r="V146" i="108"/>
  <c r="V150" i="108"/>
  <c r="V154" i="108"/>
  <c r="V158" i="108"/>
  <c r="V162" i="108"/>
  <c r="V166" i="108"/>
  <c r="V170" i="108"/>
  <c r="V174" i="108"/>
  <c r="V178" i="108"/>
  <c r="V182" i="108"/>
  <c r="V186" i="108"/>
  <c r="V190" i="108"/>
  <c r="V194" i="108"/>
  <c r="V198" i="108"/>
  <c r="V202" i="108"/>
  <c r="V206" i="108"/>
  <c r="V210" i="108"/>
  <c r="V214" i="108"/>
  <c r="V218" i="108"/>
  <c r="V222" i="108"/>
  <c r="V226" i="108"/>
  <c r="V230" i="108"/>
  <c r="V234" i="108"/>
  <c r="V238" i="108"/>
  <c r="V242" i="108"/>
  <c r="V246" i="108"/>
  <c r="V250" i="108"/>
  <c r="V254" i="108"/>
  <c r="V258" i="108"/>
  <c r="V262" i="108"/>
  <c r="V266" i="108"/>
  <c r="V270" i="108"/>
  <c r="V274" i="108"/>
  <c r="V278" i="108"/>
  <c r="V282" i="108"/>
  <c r="V286" i="108"/>
  <c r="V290" i="108"/>
  <c r="V294" i="108"/>
  <c r="V298" i="108"/>
  <c r="V302" i="108"/>
  <c r="V308" i="108"/>
  <c r="V8" i="108"/>
  <c r="V15" i="108"/>
  <c r="V19" i="108"/>
  <c r="V23" i="108"/>
  <c r="V27" i="108"/>
  <c r="V31" i="108"/>
  <c r="V35" i="108"/>
  <c r="V39" i="108"/>
  <c r="V43" i="108"/>
  <c r="V47" i="108"/>
  <c r="V51" i="108"/>
  <c r="V55" i="108"/>
  <c r="V59" i="108"/>
  <c r="V63" i="108"/>
  <c r="V67" i="108"/>
  <c r="V71" i="108"/>
  <c r="V75" i="108"/>
  <c r="V79" i="108"/>
  <c r="V83" i="108"/>
  <c r="V87" i="108"/>
  <c r="V91" i="108"/>
  <c r="V95" i="108"/>
  <c r="V99" i="108"/>
  <c r="V103" i="108"/>
  <c r="V107" i="108"/>
  <c r="V111" i="108"/>
  <c r="V115" i="108"/>
  <c r="V119" i="108"/>
  <c r="V123" i="108"/>
  <c r="V127" i="108"/>
  <c r="V131" i="108"/>
  <c r="V135" i="108"/>
  <c r="V139" i="108"/>
  <c r="V143" i="108"/>
  <c r="V147" i="108"/>
  <c r="V151" i="108"/>
  <c r="V155" i="108"/>
  <c r="V159" i="108"/>
  <c r="V163" i="108"/>
  <c r="V167" i="108"/>
  <c r="V171" i="108"/>
  <c r="V175" i="108"/>
  <c r="V179" i="108"/>
  <c r="V183" i="108"/>
  <c r="V187" i="108"/>
  <c r="V191" i="108"/>
  <c r="V195" i="108"/>
  <c r="V199" i="108"/>
  <c r="V203" i="108"/>
  <c r="V207" i="108"/>
  <c r="V211" i="108"/>
  <c r="V215" i="108"/>
  <c r="V219" i="108"/>
  <c r="V223" i="108"/>
  <c r="V227" i="108"/>
  <c r="V231" i="108"/>
  <c r="V235" i="108"/>
  <c r="V239" i="108"/>
  <c r="V243" i="108"/>
  <c r="V247" i="108"/>
  <c r="V251" i="108"/>
  <c r="V255" i="108"/>
  <c r="V259" i="108"/>
  <c r="V263" i="108"/>
  <c r="V267" i="108"/>
  <c r="V271" i="108"/>
  <c r="V275" i="108"/>
  <c r="V279" i="108"/>
  <c r="V283" i="108"/>
  <c r="V287" i="108"/>
  <c r="V291" i="108"/>
  <c r="V295" i="108"/>
  <c r="V299" i="108"/>
  <c r="V304" i="108"/>
  <c r="V310" i="108"/>
  <c r="V6" i="108"/>
  <c r="I10" i="108"/>
  <c r="V12" i="108"/>
  <c r="V16" i="108"/>
  <c r="V20" i="108"/>
  <c r="V24" i="108"/>
  <c r="V28" i="108"/>
  <c r="V32" i="108"/>
  <c r="V36" i="108"/>
  <c r="V40" i="108"/>
  <c r="V44" i="108"/>
  <c r="V48" i="108"/>
  <c r="V52" i="108"/>
  <c r="V56" i="108"/>
  <c r="V60" i="108"/>
  <c r="V64" i="108"/>
  <c r="V68" i="108"/>
  <c r="V72" i="108"/>
  <c r="V76" i="108"/>
  <c r="V80" i="108"/>
  <c r="V84" i="108"/>
  <c r="V88" i="108"/>
  <c r="V92" i="108"/>
  <c r="V96" i="108"/>
  <c r="V100" i="108"/>
  <c r="V104" i="108"/>
  <c r="V108" i="108"/>
  <c r="V112" i="108"/>
  <c r="V116" i="108"/>
  <c r="V120" i="108"/>
  <c r="V124" i="108"/>
  <c r="V128" i="108"/>
  <c r="V132" i="108"/>
  <c r="V136" i="108"/>
  <c r="V140" i="108"/>
  <c r="V144" i="108"/>
  <c r="V148" i="108"/>
  <c r="V152" i="108"/>
  <c r="V156" i="108"/>
  <c r="V160" i="108"/>
  <c r="V164" i="108"/>
  <c r="V168" i="108"/>
  <c r="V172" i="108"/>
  <c r="V176" i="108"/>
  <c r="V180" i="108"/>
  <c r="V184" i="108"/>
  <c r="V188" i="108"/>
  <c r="V192" i="108"/>
  <c r="V196" i="108"/>
  <c r="V200" i="108"/>
  <c r="V204" i="108"/>
  <c r="V208" i="108"/>
  <c r="V212" i="108"/>
  <c r="V216" i="108"/>
  <c r="V220" i="108"/>
  <c r="V224" i="108"/>
  <c r="V228" i="108"/>
  <c r="V232" i="108"/>
  <c r="V236" i="108"/>
  <c r="V240" i="108"/>
  <c r="V244" i="108"/>
  <c r="V248" i="108"/>
  <c r="V252" i="108"/>
  <c r="V256" i="108"/>
  <c r="V260" i="108"/>
  <c r="V264" i="108"/>
  <c r="V268" i="108"/>
  <c r="V272" i="108"/>
  <c r="V276" i="108"/>
  <c r="V280" i="108"/>
  <c r="V284" i="108"/>
  <c r="V288" i="108"/>
  <c r="V292" i="108"/>
  <c r="V296" i="108"/>
  <c r="V300" i="108"/>
  <c r="V305" i="108"/>
  <c r="V11" i="108"/>
  <c r="V5" i="108"/>
  <c r="V297" i="108"/>
  <c r="I15" i="108"/>
  <c r="I216" i="108"/>
  <c r="I295" i="108"/>
  <c r="I31" i="108"/>
  <c r="I279" i="108"/>
  <c r="I24" i="108"/>
  <c r="I145" i="108"/>
  <c r="I49" i="108"/>
  <c r="I961" i="108"/>
  <c r="I981" i="108"/>
  <c r="I1001" i="108"/>
  <c r="I1025" i="108"/>
  <c r="I1045" i="108"/>
  <c r="I1065" i="108"/>
  <c r="I1089" i="108"/>
  <c r="I1109" i="108"/>
  <c r="I966" i="108"/>
  <c r="A687" i="108"/>
  <c r="K3" i="108"/>
  <c r="K7" i="108"/>
  <c r="K8" i="108"/>
  <c r="K4" i="108"/>
  <c r="K2" i="108"/>
  <c r="K5" i="108"/>
  <c r="K6" i="108"/>
  <c r="I291" i="108"/>
  <c r="I297" i="108"/>
  <c r="I264" i="108"/>
  <c r="I230" i="108"/>
  <c r="I203" i="108"/>
  <c r="I171" i="108"/>
  <c r="I141" i="108"/>
  <c r="I281" i="108"/>
  <c r="I263" i="108"/>
  <c r="I248" i="108"/>
  <c r="I233" i="108"/>
  <c r="I218" i="108"/>
  <c r="I202" i="108"/>
  <c r="I182" i="108"/>
  <c r="I166" i="108"/>
  <c r="I151" i="108"/>
  <c r="I137" i="108"/>
  <c r="I122" i="108"/>
  <c r="I106" i="108"/>
  <c r="I90" i="108"/>
  <c r="I75" i="108"/>
  <c r="I274" i="108"/>
  <c r="I240" i="108"/>
  <c r="I225" i="108"/>
  <c r="I209" i="108"/>
  <c r="I185" i="108"/>
  <c r="I169" i="108"/>
  <c r="I153" i="108"/>
  <c r="I139" i="108"/>
  <c r="I125" i="108"/>
  <c r="I109" i="108"/>
  <c r="I93" i="108"/>
  <c r="I71" i="108"/>
  <c r="I48" i="108"/>
  <c r="I32" i="108"/>
  <c r="I12" i="108"/>
  <c r="I298" i="108"/>
  <c r="I261" i="108"/>
  <c r="I243" i="108"/>
  <c r="I228" i="108"/>
  <c r="I208" i="108"/>
  <c r="I192" i="108"/>
  <c r="I176" i="108"/>
  <c r="I160" i="108"/>
  <c r="I146" i="108"/>
  <c r="I131" i="108"/>
  <c r="I116" i="108"/>
  <c r="I100" i="108"/>
  <c r="I85" i="108"/>
  <c r="I70" i="108"/>
  <c r="I55" i="108"/>
  <c r="I39" i="108"/>
  <c r="I19" i="108"/>
  <c r="I294" i="108"/>
  <c r="I273" i="108"/>
  <c r="I275" i="108"/>
  <c r="I242" i="108"/>
  <c r="I207" i="108"/>
  <c r="I175" i="108"/>
  <c r="I134" i="108"/>
  <c r="I115" i="108"/>
  <c r="I95" i="108"/>
  <c r="I80" i="108"/>
  <c r="I65" i="108"/>
  <c r="I50" i="108"/>
  <c r="I34" i="108"/>
  <c r="I18" i="108"/>
  <c r="I61" i="108"/>
  <c r="I41" i="108"/>
  <c r="I25" i="108"/>
  <c r="I1230" i="108"/>
  <c r="I1214" i="108"/>
  <c r="I1198" i="108"/>
  <c r="I1182" i="108"/>
  <c r="I1166" i="108"/>
  <c r="I1150" i="108"/>
  <c r="I1134" i="108"/>
  <c r="I1229" i="108"/>
  <c r="I1213" i="108"/>
  <c r="I1197" i="108"/>
  <c r="I1181" i="108"/>
  <c r="I1165" i="108"/>
  <c r="I1149" i="108"/>
  <c r="I1133" i="108"/>
  <c r="I1228" i="108"/>
  <c r="I1212" i="108"/>
  <c r="I1196" i="108"/>
  <c r="I1180" i="108"/>
  <c r="I1164" i="108"/>
  <c r="I1148" i="108"/>
  <c r="I1132" i="108"/>
  <c r="I1116" i="108"/>
  <c r="I1100" i="108"/>
  <c r="I1084" i="108"/>
  <c r="I1068" i="108"/>
  <c r="I1052" i="108"/>
  <c r="I1036" i="108"/>
  <c r="I1020" i="108"/>
  <c r="I1004" i="108"/>
  <c r="I988" i="108"/>
  <c r="I972" i="108"/>
  <c r="I1223" i="108"/>
  <c r="I1207" i="108"/>
  <c r="I1191" i="108"/>
  <c r="I1175" i="108"/>
  <c r="I1159" i="108"/>
  <c r="I1143" i="108"/>
  <c r="I1127" i="108"/>
  <c r="I1111" i="108"/>
  <c r="I1095" i="108"/>
  <c r="I1079" i="108"/>
  <c r="I1063" i="108"/>
  <c r="I1047" i="108"/>
  <c r="I1031" i="108"/>
  <c r="I1015" i="108"/>
  <c r="I999" i="108"/>
  <c r="I983" i="108"/>
  <c r="I967" i="108"/>
  <c r="I1118" i="108"/>
  <c r="I1102" i="108"/>
  <c r="I1086" i="108"/>
  <c r="I1070" i="108"/>
  <c r="I1054" i="108"/>
  <c r="I1038" i="108"/>
  <c r="I1022" i="108"/>
  <c r="I1006" i="108"/>
  <c r="I990" i="108"/>
  <c r="I974" i="108"/>
  <c r="I277" i="108"/>
  <c r="I289" i="108"/>
  <c r="I252" i="108"/>
  <c r="I223" i="108"/>
  <c r="I195" i="108"/>
  <c r="I163" i="108"/>
  <c r="I300" i="108"/>
  <c r="I278" i="108"/>
  <c r="I259" i="108"/>
  <c r="I245" i="108"/>
  <c r="I214" i="108"/>
  <c r="I198" i="108"/>
  <c r="I178" i="108"/>
  <c r="I162" i="108"/>
  <c r="I148" i="108"/>
  <c r="I133" i="108"/>
  <c r="I118" i="108"/>
  <c r="I102" i="108"/>
  <c r="I87" i="108"/>
  <c r="I72" i="108"/>
  <c r="I258" i="108"/>
  <c r="I236" i="108"/>
  <c r="I221" i="108"/>
  <c r="I205" i="108"/>
  <c r="I181" i="108"/>
  <c r="I165" i="108"/>
  <c r="I150" i="108"/>
  <c r="I136" i="108"/>
  <c r="I121" i="108"/>
  <c r="I105" i="108"/>
  <c r="I86" i="108"/>
  <c r="I67" i="108"/>
  <c r="I44" i="108"/>
  <c r="I28" i="108"/>
  <c r="I283" i="108"/>
  <c r="I276" i="108"/>
  <c r="I257" i="108"/>
  <c r="I239" i="108"/>
  <c r="I224" i="108"/>
  <c r="I204" i="108"/>
  <c r="I188" i="108"/>
  <c r="I172" i="108"/>
  <c r="I156" i="108"/>
  <c r="I142" i="108"/>
  <c r="I128" i="108"/>
  <c r="I112" i="108"/>
  <c r="I96" i="108"/>
  <c r="I81" i="108"/>
  <c r="I66" i="108"/>
  <c r="I51" i="108"/>
  <c r="I35" i="108"/>
  <c r="I280" i="108"/>
  <c r="I286" i="108"/>
  <c r="I268" i="108"/>
  <c r="I234" i="108"/>
  <c r="I199" i="108"/>
  <c r="I167" i="108"/>
  <c r="I127" i="108"/>
  <c r="I107" i="108"/>
  <c r="I91" i="108"/>
  <c r="I76" i="108"/>
  <c r="I62" i="108"/>
  <c r="I46" i="108"/>
  <c r="I30" i="108"/>
  <c r="I14" i="108"/>
  <c r="I57" i="108"/>
  <c r="I37" i="108"/>
  <c r="I21" i="108"/>
  <c r="I1226" i="108"/>
  <c r="I1210" i="108"/>
  <c r="I1194" i="108"/>
  <c r="I1178" i="108"/>
  <c r="I1162" i="108"/>
  <c r="I1146" i="108"/>
  <c r="I1130" i="108"/>
  <c r="I1225" i="108"/>
  <c r="I1209" i="108"/>
  <c r="I1193" i="108"/>
  <c r="I1177" i="108"/>
  <c r="I1161" i="108"/>
  <c r="I1145" i="108"/>
  <c r="I1129" i="108"/>
  <c r="I1224" i="108"/>
  <c r="I1208" i="108"/>
  <c r="I1192" i="108"/>
  <c r="I1176" i="108"/>
  <c r="I1160" i="108"/>
  <c r="I1144" i="108"/>
  <c r="I1128" i="108"/>
  <c r="I1112" i="108"/>
  <c r="I1096" i="108"/>
  <c r="I1080" i="108"/>
  <c r="I1064" i="108"/>
  <c r="I1048" i="108"/>
  <c r="I1032" i="108"/>
  <c r="I1016" i="108"/>
  <c r="I1000" i="108"/>
  <c r="I984" i="108"/>
  <c r="I968" i="108"/>
  <c r="I1219" i="108"/>
  <c r="I1203" i="108"/>
  <c r="I1187" i="108"/>
  <c r="I1171" i="108"/>
  <c r="I1155" i="108"/>
  <c r="I1139" i="108"/>
  <c r="I1123" i="108"/>
  <c r="I1107" i="108"/>
  <c r="I1091" i="108"/>
  <c r="I1075" i="108"/>
  <c r="I1059" i="108"/>
  <c r="I1043" i="108"/>
  <c r="I1027" i="108"/>
  <c r="I1011" i="108"/>
  <c r="I995" i="108"/>
  <c r="I979" i="108"/>
  <c r="I963" i="108"/>
  <c r="I1114" i="108"/>
  <c r="I1098" i="108"/>
  <c r="I1082" i="108"/>
  <c r="I1066" i="108"/>
  <c r="I1050" i="108"/>
  <c r="I1034" i="108"/>
  <c r="I1018" i="108"/>
  <c r="I1002" i="108"/>
  <c r="I986" i="108"/>
  <c r="I970" i="108"/>
  <c r="I262" i="108"/>
  <c r="I282" i="108"/>
  <c r="I246" i="108"/>
  <c r="I215" i="108"/>
  <c r="I187" i="108"/>
  <c r="I155" i="108"/>
  <c r="I296" i="108"/>
  <c r="I271" i="108"/>
  <c r="I255" i="108"/>
  <c r="I241" i="108"/>
  <c r="I226" i="108"/>
  <c r="I210" i="108"/>
  <c r="I194" i="108"/>
  <c r="I174" i="108"/>
  <c r="I158" i="108"/>
  <c r="I144" i="108"/>
  <c r="I130" i="108"/>
  <c r="I114" i="108"/>
  <c r="I98" i="108"/>
  <c r="I83" i="108"/>
  <c r="I68" i="108"/>
  <c r="I247" i="108"/>
  <c r="I232" i="108"/>
  <c r="I217" i="108"/>
  <c r="I197" i="108"/>
  <c r="I177" i="108"/>
  <c r="I161" i="108"/>
  <c r="I147" i="108"/>
  <c r="I132" i="108"/>
  <c r="I117" i="108"/>
  <c r="I101" i="108"/>
  <c r="I82" i="108"/>
  <c r="I60" i="108"/>
  <c r="I40" i="108"/>
  <c r="I20" i="108"/>
  <c r="I270" i="108"/>
  <c r="I269" i="108"/>
  <c r="I253" i="108"/>
  <c r="I235" i="108"/>
  <c r="I220" i="108"/>
  <c r="I200" i="108"/>
  <c r="I184" i="108"/>
  <c r="I168" i="108"/>
  <c r="I138" i="108"/>
  <c r="I124" i="108"/>
  <c r="I108" i="108"/>
  <c r="I92" i="108"/>
  <c r="I77" i="108"/>
  <c r="I63" i="108"/>
  <c r="I47" i="108"/>
  <c r="I27" i="108"/>
  <c r="I266" i="108"/>
  <c r="I293" i="108"/>
  <c r="I256" i="108"/>
  <c r="I227" i="108"/>
  <c r="I191" i="108"/>
  <c r="I159" i="108"/>
  <c r="I123" i="108"/>
  <c r="I103" i="108"/>
  <c r="I88" i="108"/>
  <c r="I73" i="108"/>
  <c r="I58" i="108"/>
  <c r="I42" i="108"/>
  <c r="I26" i="108"/>
  <c r="I53" i="108"/>
  <c r="I33" i="108"/>
  <c r="I17" i="108"/>
  <c r="I1222" i="108"/>
  <c r="I1206" i="108"/>
  <c r="I1190" i="108"/>
  <c r="I1174" i="108"/>
  <c r="I1158" i="108"/>
  <c r="I1142" i="108"/>
  <c r="I1126" i="108"/>
  <c r="I1221" i="108"/>
  <c r="I1205" i="108"/>
  <c r="I1189" i="108"/>
  <c r="I1173" i="108"/>
  <c r="I1157" i="108"/>
  <c r="I1141" i="108"/>
  <c r="I1125" i="108"/>
  <c r="I1220" i="108"/>
  <c r="I1204" i="108"/>
  <c r="I1188" i="108"/>
  <c r="I1172" i="108"/>
  <c r="I1156" i="108"/>
  <c r="I1140" i="108"/>
  <c r="I1124" i="108"/>
  <c r="I1108" i="108"/>
  <c r="I1092" i="108"/>
  <c r="I1076" i="108"/>
  <c r="I1060" i="108"/>
  <c r="I1044" i="108"/>
  <c r="I1028" i="108"/>
  <c r="I1012" i="108"/>
  <c r="I996" i="108"/>
  <c r="I980" i="108"/>
  <c r="I964" i="108"/>
  <c r="I1215" i="108"/>
  <c r="I1199" i="108"/>
  <c r="I1183" i="108"/>
  <c r="I1167" i="108"/>
  <c r="I1151" i="108"/>
  <c r="I1135" i="108"/>
  <c r="I1119" i="108"/>
  <c r="I1103" i="108"/>
  <c r="I1087" i="108"/>
  <c r="I1071" i="108"/>
  <c r="I1055" i="108"/>
  <c r="I1039" i="108"/>
  <c r="I1023" i="108"/>
  <c r="I1007" i="108"/>
  <c r="I991" i="108"/>
  <c r="I975" i="108"/>
  <c r="I1110" i="108"/>
  <c r="I1094" i="108"/>
  <c r="I1078" i="108"/>
  <c r="I1062" i="108"/>
  <c r="I11" i="108"/>
  <c r="I272" i="108"/>
  <c r="I238" i="108"/>
  <c r="I211" i="108"/>
  <c r="I179" i="108"/>
  <c r="I149" i="108"/>
  <c r="I288" i="108"/>
  <c r="I267" i="108"/>
  <c r="I251" i="108"/>
  <c r="I237" i="108"/>
  <c r="I222" i="108"/>
  <c r="I206" i="108"/>
  <c r="I190" i="108"/>
  <c r="I170" i="108"/>
  <c r="I154" i="108"/>
  <c r="I140" i="108"/>
  <c r="I126" i="108"/>
  <c r="I110" i="108"/>
  <c r="I94" i="108"/>
  <c r="I79" i="108"/>
  <c r="I299" i="108"/>
  <c r="I244" i="108"/>
  <c r="I229" i="108"/>
  <c r="I213" i="108"/>
  <c r="I193" i="108"/>
  <c r="I173" i="108"/>
  <c r="I157" i="108"/>
  <c r="I143" i="108"/>
  <c r="I129" i="108"/>
  <c r="I113" i="108"/>
  <c r="I97" i="108"/>
  <c r="I78" i="108"/>
  <c r="I56" i="108"/>
  <c r="I36" i="108"/>
  <c r="I16" i="108"/>
  <c r="I254" i="108"/>
  <c r="I265" i="108"/>
  <c r="I231" i="108"/>
  <c r="I212" i="108"/>
  <c r="I196" i="108"/>
  <c r="I180" i="108"/>
  <c r="I164" i="108"/>
  <c r="I135" i="108"/>
  <c r="I120" i="108"/>
  <c r="I104" i="108"/>
  <c r="I89" i="108"/>
  <c r="I74" i="108"/>
  <c r="I59" i="108"/>
  <c r="I43" i="108"/>
  <c r="I23" i="108"/>
  <c r="I250" i="108"/>
  <c r="I285" i="108"/>
  <c r="I249" i="108"/>
  <c r="I219" i="108"/>
  <c r="I183" i="108"/>
  <c r="I152" i="108"/>
  <c r="I119" i="108"/>
  <c r="I99" i="108"/>
  <c r="I84" i="108"/>
  <c r="I69" i="108"/>
  <c r="I54" i="108"/>
  <c r="I38" i="108"/>
  <c r="I22" i="108"/>
  <c r="I64" i="108"/>
  <c r="I45" i="108"/>
  <c r="I29" i="108"/>
  <c r="I13" i="108"/>
  <c r="I1218" i="108"/>
  <c r="I1202" i="108"/>
  <c r="I1186" i="108"/>
  <c r="I1170" i="108"/>
  <c r="I1154" i="108"/>
  <c r="I1138" i="108"/>
  <c r="I1122" i="108"/>
  <c r="I1217" i="108"/>
  <c r="I1201" i="108"/>
  <c r="I1185" i="108"/>
  <c r="I1169" i="108"/>
  <c r="I1153" i="108"/>
  <c r="I1137" i="108"/>
  <c r="I1121" i="108"/>
  <c r="I1216" i="108"/>
  <c r="I1200" i="108"/>
  <c r="I1184" i="108"/>
  <c r="I1168" i="108"/>
  <c r="I1152" i="108"/>
  <c r="I1136" i="108"/>
  <c r="I1120" i="108"/>
  <c r="I1104" i="108"/>
  <c r="I1088" i="108"/>
  <c r="I1072" i="108"/>
  <c r="I1056" i="108"/>
  <c r="I1040" i="108"/>
  <c r="I1024" i="108"/>
  <c r="I1008" i="108"/>
  <c r="I992" i="108"/>
  <c r="I976" i="108"/>
  <c r="I1227" i="108"/>
  <c r="I1211" i="108"/>
  <c r="I1195" i="108"/>
  <c r="I1179" i="108"/>
  <c r="I1163" i="108"/>
  <c r="I1147" i="108"/>
  <c r="I1131" i="108"/>
  <c r="I1115" i="108"/>
  <c r="I1099" i="108"/>
  <c r="I1083" i="108"/>
  <c r="I1067" i="108"/>
  <c r="I1051" i="108"/>
  <c r="I1035" i="108"/>
  <c r="I1019" i="108"/>
  <c r="I1003" i="108"/>
  <c r="I987" i="108"/>
  <c r="I971" i="108"/>
  <c r="I1106" i="108"/>
  <c r="I1090" i="108"/>
  <c r="I1074" i="108"/>
  <c r="I1058" i="108"/>
  <c r="I1042" i="108"/>
  <c r="I1026" i="108"/>
  <c r="I1010" i="108"/>
  <c r="I994" i="108"/>
  <c r="I978" i="108"/>
  <c r="I962" i="108"/>
  <c r="I1117" i="108"/>
  <c r="I1101" i="108"/>
  <c r="I1085" i="108"/>
  <c r="I1069" i="108"/>
  <c r="I1053" i="108"/>
  <c r="I1037" i="108"/>
  <c r="I1021" i="108"/>
  <c r="I1005" i="108"/>
  <c r="I989" i="108"/>
  <c r="I973" i="108"/>
  <c r="I201" i="108"/>
  <c r="I260" i="108"/>
  <c r="I287" i="108"/>
  <c r="I965" i="108"/>
  <c r="I985" i="108"/>
  <c r="I1009" i="108"/>
  <c r="I1029" i="108"/>
  <c r="I1049" i="108"/>
  <c r="I1073" i="108"/>
  <c r="I1093" i="108"/>
  <c r="I1113" i="108"/>
  <c r="I982" i="108"/>
  <c r="I1046" i="108"/>
  <c r="I189" i="108"/>
  <c r="I284" i="108"/>
  <c r="I111" i="108"/>
  <c r="I292" i="108"/>
  <c r="I52" i="108"/>
  <c r="I290" i="108"/>
  <c r="I969" i="108"/>
  <c r="I993" i="108"/>
  <c r="I1013" i="108"/>
  <c r="I1033" i="108"/>
  <c r="I1057" i="108"/>
  <c r="I1077" i="108"/>
  <c r="I1097" i="108"/>
  <c r="I998" i="108"/>
  <c r="I186" i="108"/>
  <c r="I977" i="108"/>
  <c r="I997" i="108"/>
  <c r="I1017" i="108"/>
  <c r="I1041" i="108"/>
  <c r="I1061" i="108"/>
  <c r="I1081" i="108"/>
  <c r="I1105" i="108"/>
  <c r="I1014" i="108"/>
  <c r="A12" i="108"/>
  <c r="A30" i="108"/>
  <c r="A48" i="108"/>
  <c r="A69" i="108"/>
  <c r="A84" i="108"/>
  <c r="A97" i="108"/>
  <c r="A17" i="108"/>
  <c r="A31" i="108"/>
  <c r="A43" i="108"/>
  <c r="A74" i="108"/>
  <c r="A89" i="108"/>
  <c r="A111" i="108"/>
  <c r="A125" i="108"/>
  <c r="A151" i="108"/>
  <c r="A164" i="108"/>
  <c r="A178" i="108"/>
  <c r="A189" i="108"/>
  <c r="A210" i="108"/>
  <c r="A224" i="108"/>
  <c r="A238" i="108"/>
  <c r="A251" i="108"/>
  <c r="A273" i="108"/>
  <c r="A284" i="108"/>
  <c r="A295" i="108"/>
  <c r="A307" i="108"/>
  <c r="A344" i="108"/>
  <c r="A358" i="108"/>
  <c r="A370" i="108"/>
  <c r="A380" i="108"/>
  <c r="A411" i="108"/>
  <c r="A425" i="108"/>
  <c r="A434" i="108"/>
  <c r="A443" i="108"/>
  <c r="A459" i="108"/>
  <c r="A469" i="108"/>
  <c r="A480" i="108"/>
  <c r="A495" i="108"/>
  <c r="A515" i="108"/>
  <c r="A542" i="108"/>
  <c r="A580" i="108"/>
  <c r="A592" i="108"/>
  <c r="A32" i="108"/>
  <c r="A44" i="108"/>
  <c r="A71" i="108"/>
  <c r="A86" i="108"/>
  <c r="A103" i="108"/>
  <c r="A126" i="108"/>
  <c r="A137" i="108"/>
  <c r="A152" i="108"/>
  <c r="A161" i="108"/>
  <c r="A171" i="108"/>
  <c r="A187" i="108"/>
  <c r="A205" i="108"/>
  <c r="A221" i="108"/>
  <c r="A235" i="108"/>
  <c r="A249" i="108"/>
  <c r="A261" i="108"/>
  <c r="A277" i="108"/>
  <c r="A296" i="108"/>
  <c r="A308" i="108"/>
  <c r="A322" i="108"/>
  <c r="A335" i="108"/>
  <c r="A352" i="108"/>
  <c r="A368" i="108"/>
  <c r="A381" i="108"/>
  <c r="C381" i="108" s="1"/>
  <c r="A395" i="108"/>
  <c r="A409" i="108"/>
  <c r="A422" i="108"/>
  <c r="A444" i="108"/>
  <c r="C444" i="108" s="1"/>
  <c r="A484" i="108"/>
  <c r="A505" i="108"/>
  <c r="A57" i="108"/>
  <c r="A83" i="108"/>
  <c r="A104" i="108"/>
  <c r="C104" i="108" s="1"/>
  <c r="A117" i="108"/>
  <c r="A134" i="108"/>
  <c r="A155" i="108"/>
  <c r="A172" i="108"/>
  <c r="A188" i="108"/>
  <c r="A200" i="108"/>
  <c r="A215" i="108"/>
  <c r="A233" i="108"/>
  <c r="A253" i="108"/>
  <c r="A278" i="108"/>
  <c r="A289" i="108"/>
  <c r="A300" i="108"/>
  <c r="A316" i="108"/>
  <c r="A339" i="108"/>
  <c r="A353" i="108"/>
  <c r="A369" i="108"/>
  <c r="A399" i="108"/>
  <c r="A410" i="108"/>
  <c r="A419" i="108"/>
  <c r="A445" i="108"/>
  <c r="A461" i="108"/>
  <c r="A475" i="108"/>
  <c r="A489" i="108"/>
  <c r="A503" i="108"/>
  <c r="A517" i="108"/>
  <c r="A13" i="108"/>
  <c r="C13" i="108" s="1"/>
  <c r="A27" i="108"/>
  <c r="A46" i="108"/>
  <c r="A105" i="108"/>
  <c r="A121" i="108"/>
  <c r="A131" i="108"/>
  <c r="A147" i="108"/>
  <c r="A160" i="108"/>
  <c r="A173" i="108"/>
  <c r="A191" i="108"/>
  <c r="A207" i="108"/>
  <c r="A223" i="108"/>
  <c r="A237" i="108"/>
  <c r="A250" i="108"/>
  <c r="A281" i="108"/>
  <c r="A313" i="108"/>
  <c r="A333" i="108"/>
  <c r="A372" i="108"/>
  <c r="A390" i="108"/>
  <c r="A430" i="108"/>
  <c r="A448" i="108"/>
  <c r="A468" i="108"/>
  <c r="A501" i="108"/>
  <c r="A523" i="108"/>
  <c r="A566" i="108"/>
  <c r="A598" i="108"/>
  <c r="A615" i="108"/>
  <c r="A656" i="108"/>
  <c r="A674" i="108"/>
  <c r="A23" i="108"/>
  <c r="A41" i="108"/>
  <c r="A53" i="108"/>
  <c r="A73" i="108"/>
  <c r="A100" i="108"/>
  <c r="A21" i="108"/>
  <c r="A35" i="108"/>
  <c r="A63" i="108"/>
  <c r="A77" i="108"/>
  <c r="A92" i="108"/>
  <c r="A102" i="108"/>
  <c r="A115" i="108"/>
  <c r="A129" i="108"/>
  <c r="A142" i="108"/>
  <c r="A192" i="108"/>
  <c r="A201" i="108"/>
  <c r="C201" i="108" s="1"/>
  <c r="A213" i="108"/>
  <c r="A228" i="108"/>
  <c r="A267" i="108"/>
  <c r="A276" i="108"/>
  <c r="A287" i="108"/>
  <c r="A310" i="108"/>
  <c r="A324" i="108"/>
  <c r="A334" i="108"/>
  <c r="C334" i="108" s="1"/>
  <c r="A361" i="108"/>
  <c r="A373" i="108"/>
  <c r="A384" i="108"/>
  <c r="A401" i="108"/>
  <c r="A414" i="108"/>
  <c r="A449" i="108"/>
  <c r="A463" i="108"/>
  <c r="A483" i="108"/>
  <c r="A498" i="108"/>
  <c r="A504" i="108"/>
  <c r="C504" i="108" s="1"/>
  <c r="A518" i="108"/>
  <c r="C518" i="108" s="1"/>
  <c r="A528" i="108"/>
  <c r="A536" i="108"/>
  <c r="A545" i="108"/>
  <c r="A560" i="108"/>
  <c r="A567" i="108"/>
  <c r="C567" i="108" s="1"/>
  <c r="A583" i="108"/>
  <c r="A18" i="108"/>
  <c r="A25" i="108"/>
  <c r="A36" i="108"/>
  <c r="A56" i="108"/>
  <c r="A93" i="108"/>
  <c r="C93" i="108" s="1"/>
  <c r="A116" i="108"/>
  <c r="A139" i="108"/>
  <c r="A154" i="108"/>
  <c r="A165" i="108"/>
  <c r="A175" i="108"/>
  <c r="A199" i="108"/>
  <c r="A211" i="108"/>
  <c r="A225" i="108"/>
  <c r="A239" i="108"/>
  <c r="A252" i="108"/>
  <c r="C252" i="108" s="1"/>
  <c r="A264" i="108"/>
  <c r="A285" i="108"/>
  <c r="A311" i="108"/>
  <c r="A325" i="108"/>
  <c r="A338" i="108"/>
  <c r="A356" i="108"/>
  <c r="A375" i="108"/>
  <c r="A385" i="108"/>
  <c r="A412" i="108"/>
  <c r="A431" i="108"/>
  <c r="A450" i="108"/>
  <c r="A457" i="108"/>
  <c r="A472" i="108"/>
  <c r="A488" i="108"/>
  <c r="A508" i="108"/>
  <c r="A61" i="108"/>
  <c r="A72" i="108"/>
  <c r="A87" i="108"/>
  <c r="A107" i="108"/>
  <c r="A120" i="108"/>
  <c r="A140" i="108"/>
  <c r="A159" i="108"/>
  <c r="A176" i="108"/>
  <c r="C176" i="108" s="1"/>
  <c r="A190" i="108"/>
  <c r="C190" i="108" s="1"/>
  <c r="A203" i="108"/>
  <c r="A218" i="108"/>
  <c r="A236" i="108"/>
  <c r="C236" i="108" s="1"/>
  <c r="A256" i="108"/>
  <c r="A265" i="108"/>
  <c r="C265" i="108" s="1"/>
  <c r="A280" i="108"/>
  <c r="A291" i="108"/>
  <c r="A329" i="108"/>
  <c r="A342" i="108"/>
  <c r="A357" i="108"/>
  <c r="C357" i="108" s="1"/>
  <c r="A371" i="108"/>
  <c r="A389" i="108"/>
  <c r="A423" i="108"/>
  <c r="A432" i="108"/>
  <c r="C432" i="108" s="1"/>
  <c r="A447" i="108"/>
  <c r="A464" i="108"/>
  <c r="A482" i="108"/>
  <c r="A493" i="108"/>
  <c r="A509" i="108"/>
  <c r="C509" i="108" s="1"/>
  <c r="A520" i="108"/>
  <c r="A16" i="108"/>
  <c r="A34" i="108"/>
  <c r="A55" i="108"/>
  <c r="A95" i="108"/>
  <c r="A108" i="108"/>
  <c r="A124" i="108"/>
  <c r="A135" i="108"/>
  <c r="A150" i="108"/>
  <c r="A163" i="108"/>
  <c r="A177" i="108"/>
  <c r="A194" i="108"/>
  <c r="A209" i="108"/>
  <c r="A227" i="108"/>
  <c r="A241" i="108"/>
  <c r="A254" i="108"/>
  <c r="C254" i="108" s="1"/>
  <c r="A266" i="108"/>
  <c r="A298" i="108"/>
  <c r="A317" i="108"/>
  <c r="A340" i="108"/>
  <c r="A350" i="108"/>
  <c r="A376" i="108"/>
  <c r="A393" i="108"/>
  <c r="A416" i="108"/>
  <c r="A433" i="108"/>
  <c r="A452" i="108"/>
  <c r="A476" i="108"/>
  <c r="A490" i="108"/>
  <c r="A506" i="108"/>
  <c r="A527" i="108"/>
  <c r="A547" i="108"/>
  <c r="A576" i="108"/>
  <c r="A628" i="108"/>
  <c r="A667" i="108"/>
  <c r="A719" i="108"/>
  <c r="A738" i="108"/>
  <c r="A761" i="108"/>
  <c r="A15" i="108"/>
  <c r="A26" i="108"/>
  <c r="A33" i="108"/>
  <c r="A59" i="108"/>
  <c r="A76" i="108"/>
  <c r="A88" i="108"/>
  <c r="C88" i="108" s="1"/>
  <c r="A24" i="108"/>
  <c r="A49" i="108"/>
  <c r="A66" i="108"/>
  <c r="A81" i="108"/>
  <c r="A132" i="108"/>
  <c r="A145" i="108"/>
  <c r="A157" i="108"/>
  <c r="A170" i="108"/>
  <c r="A184" i="108"/>
  <c r="A195" i="108"/>
  <c r="A216" i="108"/>
  <c r="C216" i="108" s="1"/>
  <c r="A231" i="108"/>
  <c r="A245" i="108"/>
  <c r="A279" i="108"/>
  <c r="C279" i="108" s="1"/>
  <c r="A290" i="108"/>
  <c r="C290" i="108" s="1"/>
  <c r="A302" i="108"/>
  <c r="A314" i="108"/>
  <c r="C314" i="108" s="1"/>
  <c r="A327" i="108"/>
  <c r="A351" i="108"/>
  <c r="A364" i="108"/>
  <c r="A394" i="108"/>
  <c r="A404" i="108"/>
  <c r="A417" i="108"/>
  <c r="A428" i="108"/>
  <c r="A437" i="108"/>
  <c r="A453" i="108"/>
  <c r="A466" i="108"/>
  <c r="A474" i="108"/>
  <c r="A487" i="108"/>
  <c r="A507" i="108"/>
  <c r="C507" i="108" s="1"/>
  <c r="A521" i="108"/>
  <c r="A550" i="108"/>
  <c r="A570" i="108"/>
  <c r="A29" i="108"/>
  <c r="A40" i="108"/>
  <c r="A47" i="108"/>
  <c r="C47" i="108" s="1"/>
  <c r="A60" i="108"/>
  <c r="A78" i="108"/>
  <c r="C78" i="108" s="1"/>
  <c r="A96" i="108"/>
  <c r="A106" i="108"/>
  <c r="A130" i="108"/>
  <c r="A143" i="108"/>
  <c r="A158" i="108"/>
  <c r="C158" i="108" s="1"/>
  <c r="A179" i="108"/>
  <c r="C179" i="108" s="1"/>
  <c r="A202" i="108"/>
  <c r="A214" i="108"/>
  <c r="C214" i="108" s="1"/>
  <c r="A229" i="108"/>
  <c r="A242" i="108"/>
  <c r="C242" i="108" s="1"/>
  <c r="A255" i="108"/>
  <c r="C255" i="108" s="1"/>
  <c r="A274" i="108"/>
  <c r="A288" i="108"/>
  <c r="C288" i="108" s="1"/>
  <c r="A299" i="108"/>
  <c r="A315" i="108"/>
  <c r="C315" i="108" s="1"/>
  <c r="A328" i="108"/>
  <c r="C328" i="108" s="1"/>
  <c r="A345" i="108"/>
  <c r="A362" i="108"/>
  <c r="A378" i="108"/>
  <c r="A388" i="108"/>
  <c r="A398" i="108"/>
  <c r="A418" i="108"/>
  <c r="A435" i="108"/>
  <c r="A460" i="108"/>
  <c r="A478" i="108"/>
  <c r="A492" i="108"/>
  <c r="A51" i="108"/>
  <c r="A64" i="108"/>
  <c r="C64" i="108" s="1"/>
  <c r="A75" i="108"/>
  <c r="A90" i="108"/>
  <c r="A110" i="108"/>
  <c r="A123" i="108"/>
  <c r="A144" i="108"/>
  <c r="A162" i="108"/>
  <c r="C162" i="108" s="1"/>
  <c r="A182" i="108"/>
  <c r="A193" i="108"/>
  <c r="A206" i="108"/>
  <c r="C206" i="108" s="1"/>
  <c r="A222" i="108"/>
  <c r="C222" i="108" s="1"/>
  <c r="A240" i="108"/>
  <c r="C240" i="108" s="1"/>
  <c r="A259" i="108"/>
  <c r="A268" i="108"/>
  <c r="A283" i="108"/>
  <c r="A294" i="108"/>
  <c r="A309" i="108"/>
  <c r="C309" i="108" s="1"/>
  <c r="A320" i="108"/>
  <c r="A332" i="108"/>
  <c r="A346" i="108"/>
  <c r="A359" i="108"/>
  <c r="A374" i="108"/>
  <c r="A392" i="108"/>
  <c r="A402" i="108"/>
  <c r="A413" i="108"/>
  <c r="A426" i="108"/>
  <c r="A439" i="108"/>
  <c r="A451" i="108"/>
  <c r="C451" i="108" s="1"/>
  <c r="A467" i="108"/>
  <c r="A496" i="108"/>
  <c r="C496" i="108" s="1"/>
  <c r="A20" i="108"/>
  <c r="A38" i="108"/>
  <c r="A58" i="108"/>
  <c r="C58" i="108" s="1"/>
  <c r="A98" i="108"/>
  <c r="A114" i="108"/>
  <c r="A138" i="108"/>
  <c r="A153" i="108"/>
  <c r="C153" i="108" s="1"/>
  <c r="A167" i="108"/>
  <c r="A180" i="108"/>
  <c r="C180" i="108" s="1"/>
  <c r="A197" i="108"/>
  <c r="A212" i="108"/>
  <c r="C212" i="108" s="1"/>
  <c r="A230" i="108"/>
  <c r="C230" i="108" s="1"/>
  <c r="A244" i="108"/>
  <c r="A257" i="108"/>
  <c r="A269" i="108"/>
  <c r="C269" i="108" s="1"/>
  <c r="A301" i="108"/>
  <c r="A326" i="108"/>
  <c r="A343" i="108"/>
  <c r="A354" i="108"/>
  <c r="C354" i="108" s="1"/>
  <c r="A379" i="108"/>
  <c r="A400" i="108"/>
  <c r="A420" i="108"/>
  <c r="C420" i="108" s="1"/>
  <c r="A436" i="108"/>
  <c r="A462" i="108"/>
  <c r="A479" i="108"/>
  <c r="A510" i="108"/>
  <c r="C510" i="108" s="1"/>
  <c r="A535" i="108"/>
  <c r="A601" i="108"/>
  <c r="A1224" i="108"/>
  <c r="A1174" i="108"/>
  <c r="A1206" i="108"/>
  <c r="A1162" i="108"/>
  <c r="A1104" i="108"/>
  <c r="A1212" i="108"/>
  <c r="A1178" i="108"/>
  <c r="A1149" i="108"/>
  <c r="A1128" i="108"/>
  <c r="A1106" i="108"/>
  <c r="A1071" i="108"/>
  <c r="A1218" i="108"/>
  <c r="A1204" i="108"/>
  <c r="A1190" i="108"/>
  <c r="A1175" i="108"/>
  <c r="A1158" i="108"/>
  <c r="A1145" i="108"/>
  <c r="A1127" i="108"/>
  <c r="A1112" i="108"/>
  <c r="A1099" i="108"/>
  <c r="A1086" i="108"/>
  <c r="A1070" i="108"/>
  <c r="A1057" i="108"/>
  <c r="A1042" i="108"/>
  <c r="A1028" i="108"/>
  <c r="A1011" i="108"/>
  <c r="A994" i="108"/>
  <c r="A979" i="108"/>
  <c r="A964" i="108"/>
  <c r="A942" i="108"/>
  <c r="A930" i="108"/>
  <c r="A915" i="108"/>
  <c r="A904" i="108"/>
  <c r="A889" i="108"/>
  <c r="A873" i="108"/>
  <c r="A850" i="108"/>
  <c r="A837" i="108"/>
  <c r="A806" i="108"/>
  <c r="A796" i="108"/>
  <c r="A781" i="108"/>
  <c r="A764" i="108"/>
  <c r="A747" i="108"/>
  <c r="A739" i="108"/>
  <c r="A732" i="108"/>
  <c r="A696" i="108"/>
  <c r="A679" i="108"/>
  <c r="A660" i="108"/>
  <c r="A647" i="108"/>
  <c r="A638" i="108"/>
  <c r="A624" i="108"/>
  <c r="A608" i="108"/>
  <c r="A595" i="108"/>
  <c r="A581" i="108"/>
  <c r="C581" i="108" s="1"/>
  <c r="A559" i="108"/>
  <c r="A541" i="108"/>
  <c r="A526" i="108"/>
  <c r="A1193" i="108"/>
  <c r="A1155" i="108"/>
  <c r="A1139" i="108"/>
  <c r="A1126" i="108"/>
  <c r="A1113" i="108"/>
  <c r="A1095" i="108"/>
  <c r="A1079" i="108"/>
  <c r="A1063" i="108"/>
  <c r="A1046" i="108"/>
  <c r="A1034" i="108"/>
  <c r="A1020" i="108"/>
  <c r="A1000" i="108"/>
  <c r="A982" i="108"/>
  <c r="A967" i="108"/>
  <c r="A952" i="108"/>
  <c r="A937" i="108"/>
  <c r="A918" i="108"/>
  <c r="A903" i="108"/>
  <c r="A888" i="108"/>
  <c r="A872" i="108"/>
  <c r="A849" i="108"/>
  <c r="A836" i="108"/>
  <c r="A815" i="108"/>
  <c r="A799" i="108"/>
  <c r="A777" i="108"/>
  <c r="A753" i="108"/>
  <c r="A742" i="108"/>
  <c r="A714" i="108"/>
  <c r="A698" i="108"/>
  <c r="A685" i="108"/>
  <c r="A637" i="108"/>
  <c r="A619" i="108"/>
  <c r="A565" i="108"/>
  <c r="A1230" i="108"/>
  <c r="A1223" i="108"/>
  <c r="A1179" i="108"/>
  <c r="A1157" i="108"/>
  <c r="A1091" i="108"/>
  <c r="A1075" i="108"/>
  <c r="A1059" i="108"/>
  <c r="A1037" i="108"/>
  <c r="A1023" i="108"/>
  <c r="A1009" i="108"/>
  <c r="A996" i="108"/>
  <c r="A974" i="108"/>
  <c r="A959" i="108"/>
  <c r="A944" i="108"/>
  <c r="A932" i="108"/>
  <c r="A910" i="108"/>
  <c r="A898" i="108"/>
  <c r="A868" i="108"/>
  <c r="A855" i="108"/>
  <c r="A842" i="108"/>
  <c r="A829" i="108"/>
  <c r="A820" i="108"/>
  <c r="A811" i="108"/>
  <c r="A794" i="108"/>
  <c r="A787" i="108"/>
  <c r="A780" i="108"/>
  <c r="A762" i="108"/>
  <c r="A756" i="108"/>
  <c r="A733" i="108"/>
  <c r="A727" i="108"/>
  <c r="A713" i="108"/>
  <c r="A694" i="108"/>
  <c r="A677" i="108"/>
  <c r="A653" i="108"/>
  <c r="A632" i="108"/>
  <c r="A610" i="108"/>
  <c r="A593" i="108"/>
  <c r="C593" i="108" s="1"/>
  <c r="A568" i="108"/>
  <c r="C568" i="108" s="1"/>
  <c r="A549" i="108"/>
  <c r="A1228" i="108"/>
  <c r="A1227" i="108"/>
  <c r="A1183" i="108"/>
  <c r="A1138" i="108"/>
  <c r="A1097" i="108"/>
  <c r="A1170" i="108"/>
  <c r="A1114" i="108"/>
  <c r="A1084" i="108"/>
  <c r="A1068" i="108"/>
  <c r="A1058" i="108"/>
  <c r="A1045" i="108"/>
  <c r="A1032" i="108"/>
  <c r="A1018" i="108"/>
  <c r="A1005" i="108"/>
  <c r="A992" i="108"/>
  <c r="A958" i="108"/>
  <c r="A943" i="108"/>
  <c r="A928" i="108"/>
  <c r="A916" i="108"/>
  <c r="A905" i="108"/>
  <c r="A882" i="108"/>
  <c r="A870" i="108"/>
  <c r="A857" i="108"/>
  <c r="A838" i="108"/>
  <c r="A819" i="108"/>
  <c r="A804" i="108"/>
  <c r="A797" i="108"/>
  <c r="C797" i="108" s="1"/>
  <c r="A786" i="108"/>
  <c r="A769" i="108"/>
  <c r="A744" i="108"/>
  <c r="A736" i="108"/>
  <c r="A723" i="108"/>
  <c r="A716" i="108"/>
  <c r="A708" i="108"/>
  <c r="A700" i="108"/>
  <c r="A690" i="108"/>
  <c r="A673" i="108"/>
  <c r="A661" i="108"/>
  <c r="A648" i="108"/>
  <c r="C648" i="108" s="1"/>
  <c r="A621" i="108"/>
  <c r="A596" i="108"/>
  <c r="A575" i="108"/>
  <c r="A556" i="108"/>
  <c r="A548" i="108"/>
  <c r="A775" i="108"/>
  <c r="A768" i="108"/>
  <c r="A755" i="108"/>
  <c r="A748" i="108"/>
  <c r="A731" i="108"/>
  <c r="A725" i="108"/>
  <c r="A693" i="108"/>
  <c r="A678" i="108"/>
  <c r="A659" i="108"/>
  <c r="A646" i="108"/>
  <c r="A631" i="108"/>
  <c r="A611" i="108"/>
  <c r="A582" i="108"/>
  <c r="C582" i="108" s="1"/>
  <c r="A573" i="108"/>
  <c r="A557" i="108"/>
  <c r="C557" i="108" s="1"/>
  <c r="A531" i="108"/>
  <c r="A514" i="108"/>
  <c r="A497" i="108"/>
  <c r="A471" i="108"/>
  <c r="A458" i="108"/>
  <c r="A440" i="108"/>
  <c r="C440" i="108" s="1"/>
  <c r="A427" i="108"/>
  <c r="A407" i="108"/>
  <c r="A397" i="108"/>
  <c r="A383" i="108"/>
  <c r="A363" i="108"/>
  <c r="A337" i="108"/>
  <c r="A321" i="108"/>
  <c r="C321" i="108" s="1"/>
  <c r="A303" i="108"/>
  <c r="C303" i="108" s="1"/>
  <c r="A275" i="108"/>
  <c r="A1210" i="108"/>
  <c r="A1220" i="108"/>
  <c r="A1196" i="108"/>
  <c r="A1131" i="108"/>
  <c r="A1094" i="108"/>
  <c r="A1199" i="108"/>
  <c r="A1173" i="108"/>
  <c r="A1103" i="108"/>
  <c r="A11" i="108"/>
  <c r="C11" i="108" s="1"/>
  <c r="A1201" i="108"/>
  <c r="A1188" i="108"/>
  <c r="A1156" i="108"/>
  <c r="C1156" i="108" s="1"/>
  <c r="A1142" i="108"/>
  <c r="A1135" i="108"/>
  <c r="A1121" i="108"/>
  <c r="A1109" i="108"/>
  <c r="A1096" i="108"/>
  <c r="A1083" i="108"/>
  <c r="A1067" i="108"/>
  <c r="A1054" i="108"/>
  <c r="A1039" i="108"/>
  <c r="A1021" i="108"/>
  <c r="A1008" i="108"/>
  <c r="A991" i="108"/>
  <c r="A976" i="108"/>
  <c r="A957" i="108"/>
  <c r="A949" i="108"/>
  <c r="A938" i="108"/>
  <c r="A927" i="108"/>
  <c r="A912" i="108"/>
  <c r="A900" i="108"/>
  <c r="A885" i="108"/>
  <c r="A869" i="108"/>
  <c r="C869" i="108" s="1"/>
  <c r="A833" i="108"/>
  <c r="A822" i="108"/>
  <c r="A754" i="108"/>
  <c r="C754" i="108" s="1"/>
  <c r="A722" i="108"/>
  <c r="A689" i="108"/>
  <c r="A675" i="108"/>
  <c r="C675" i="108" s="1"/>
  <c r="A657" i="108"/>
  <c r="C657" i="108" s="1"/>
  <c r="A644" i="108"/>
  <c r="A634" i="108"/>
  <c r="A620" i="108"/>
  <c r="C620" i="108" s="1"/>
  <c r="A605" i="108"/>
  <c r="A574" i="108"/>
  <c r="A519" i="108"/>
  <c r="A1180" i="108"/>
  <c r="A1134" i="108"/>
  <c r="A1124" i="108"/>
  <c r="A1111" i="108"/>
  <c r="A1092" i="108"/>
  <c r="A1076" i="108"/>
  <c r="A1060" i="108"/>
  <c r="A1044" i="108"/>
  <c r="A1030" i="108"/>
  <c r="A1010" i="108"/>
  <c r="A993" i="108"/>
  <c r="C993" i="108" s="1"/>
  <c r="A978" i="108"/>
  <c r="A963" i="108"/>
  <c r="A948" i="108"/>
  <c r="A926" i="108"/>
  <c r="A914" i="108"/>
  <c r="A899" i="108"/>
  <c r="A884" i="108"/>
  <c r="A866" i="108"/>
  <c r="A859" i="108"/>
  <c r="A846" i="108"/>
  <c r="A828" i="108"/>
  <c r="A812" i="108"/>
  <c r="C812" i="108" s="1"/>
  <c r="A788" i="108"/>
  <c r="A774" i="108"/>
  <c r="A767" i="108"/>
  <c r="A760" i="108"/>
  <c r="A749" i="108"/>
  <c r="C749" i="108" s="1"/>
  <c r="A710" i="108"/>
  <c r="A695" i="108"/>
  <c r="A682" i="108"/>
  <c r="A633" i="108"/>
  <c r="C633" i="108" s="1"/>
  <c r="A587" i="108"/>
  <c r="A558" i="108"/>
  <c r="A540" i="108"/>
  <c r="A529" i="108"/>
  <c r="A1217" i="108"/>
  <c r="A1209" i="108"/>
  <c r="A1115" i="108"/>
  <c r="C1115" i="108" s="1"/>
  <c r="A1088" i="108"/>
  <c r="A1056" i="108"/>
  <c r="A1019" i="108"/>
  <c r="A1006" i="108"/>
  <c r="A989" i="108"/>
  <c r="A981" i="108"/>
  <c r="A970" i="108"/>
  <c r="A955" i="108"/>
  <c r="A940" i="108"/>
  <c r="A925" i="108"/>
  <c r="A917" i="108"/>
  <c r="A906" i="108"/>
  <c r="C906" i="108" s="1"/>
  <c r="A895" i="108"/>
  <c r="A883" i="108"/>
  <c r="C883" i="108" s="1"/>
  <c r="A875" i="108"/>
  <c r="A865" i="108"/>
  <c r="A839" i="108"/>
  <c r="C839" i="108" s="1"/>
  <c r="A817" i="108"/>
  <c r="A802" i="108"/>
  <c r="A770" i="108"/>
  <c r="A709" i="108"/>
  <c r="A691" i="108"/>
  <c r="C691" i="108" s="1"/>
  <c r="A670" i="108"/>
  <c r="A649" i="108"/>
  <c r="C649" i="108" s="1"/>
  <c r="A629" i="108"/>
  <c r="A618" i="108"/>
  <c r="A603" i="108"/>
  <c r="A590" i="108"/>
  <c r="A1214" i="108"/>
  <c r="A1216" i="108"/>
  <c r="A1167" i="108"/>
  <c r="A1229" i="108"/>
  <c r="A1215" i="108"/>
  <c r="C1215" i="108" s="1"/>
  <c r="A1195" i="108"/>
  <c r="A1164" i="108"/>
  <c r="A1136" i="108"/>
  <c r="A1077" i="108"/>
  <c r="A1065" i="108"/>
  <c r="A1055" i="108"/>
  <c r="C1055" i="108" s="1"/>
  <c r="A1043" i="108"/>
  <c r="C1043" i="108" s="1"/>
  <c r="A1029" i="108"/>
  <c r="A1015" i="108"/>
  <c r="A1001" i="108"/>
  <c r="A988" i="108"/>
  <c r="A973" i="108"/>
  <c r="A965" i="108"/>
  <c r="C965" i="108" s="1"/>
  <c r="A954" i="108"/>
  <c r="A939" i="108"/>
  <c r="A924" i="108"/>
  <c r="A894" i="108"/>
  <c r="A878" i="108"/>
  <c r="A854" i="108"/>
  <c r="A847" i="108"/>
  <c r="A834" i="108"/>
  <c r="C834" i="108" s="1"/>
  <c r="A826" i="108"/>
  <c r="A793" i="108"/>
  <c r="A782" i="108"/>
  <c r="C782" i="108" s="1"/>
  <c r="A776" i="108"/>
  <c r="C776" i="108" s="1"/>
  <c r="A765" i="108"/>
  <c r="A697" i="108"/>
  <c r="A683" i="108"/>
  <c r="A669" i="108"/>
  <c r="A658" i="108"/>
  <c r="C658" i="108" s="1"/>
  <c r="A645" i="108"/>
  <c r="C645" i="108" s="1"/>
  <c r="A617" i="108"/>
  <c r="A606" i="108"/>
  <c r="A585" i="108"/>
  <c r="A1197" i="108"/>
  <c r="A1213" i="108"/>
  <c r="A1186" i="108"/>
  <c r="A1154" i="108"/>
  <c r="A1226" i="108"/>
  <c r="A1191" i="108"/>
  <c r="A1166" i="108"/>
  <c r="A1143" i="108"/>
  <c r="A1122" i="108"/>
  <c r="A1093" i="108"/>
  <c r="A1225" i="108"/>
  <c r="C1225" i="108" s="1"/>
  <c r="A1211" i="108"/>
  <c r="A1198" i="108"/>
  <c r="C1198" i="108" s="1"/>
  <c r="A1181" i="108"/>
  <c r="A1163" i="108"/>
  <c r="C1163" i="108" s="1"/>
  <c r="A1152" i="108"/>
  <c r="A1140" i="108"/>
  <c r="C1140" i="108" s="1"/>
  <c r="A1105" i="108"/>
  <c r="A1080" i="108"/>
  <c r="C1080" i="108" s="1"/>
  <c r="A1064" i="108"/>
  <c r="A1050" i="108"/>
  <c r="A1035" i="108"/>
  <c r="A1017" i="108"/>
  <c r="A1004" i="108"/>
  <c r="A987" i="108"/>
  <c r="A972" i="108"/>
  <c r="A945" i="108"/>
  <c r="C945" i="108" s="1"/>
  <c r="A923" i="108"/>
  <c r="A908" i="108"/>
  <c r="A893" i="108"/>
  <c r="A881" i="108"/>
  <c r="A867" i="108"/>
  <c r="A844" i="108"/>
  <c r="A830" i="108"/>
  <c r="A816" i="108"/>
  <c r="C816" i="108" s="1"/>
  <c r="A803" i="108"/>
  <c r="C803" i="108" s="1"/>
  <c r="A789" i="108"/>
  <c r="C789" i="108" s="1"/>
  <c r="A778" i="108"/>
  <c r="A750" i="108"/>
  <c r="C750" i="108" s="1"/>
  <c r="A743" i="108"/>
  <c r="A735" i="108"/>
  <c r="A672" i="108"/>
  <c r="A651" i="108"/>
  <c r="A642" i="108"/>
  <c r="A630" i="108"/>
  <c r="C630" i="108" s="1"/>
  <c r="A616" i="108"/>
  <c r="A588" i="108"/>
  <c r="C588" i="108" s="1"/>
  <c r="A555" i="108"/>
  <c r="A534" i="108"/>
  <c r="A1168" i="108"/>
  <c r="A1151" i="108"/>
  <c r="A1132" i="108"/>
  <c r="C1132" i="108" s="1"/>
  <c r="A1120" i="108"/>
  <c r="A1108" i="108"/>
  <c r="A1085" i="108"/>
  <c r="C1085" i="108" s="1"/>
  <c r="A1069" i="108"/>
  <c r="A1041" i="108"/>
  <c r="A1027" i="108"/>
  <c r="A1007" i="108"/>
  <c r="A990" i="108"/>
  <c r="A975" i="108"/>
  <c r="A960" i="108"/>
  <c r="A941" i="108"/>
  <c r="C941" i="108" s="1"/>
  <c r="A933" i="108"/>
  <c r="A922" i="108"/>
  <c r="A911" i="108"/>
  <c r="A896" i="108"/>
  <c r="C896" i="108" s="1"/>
  <c r="A880" i="108"/>
  <c r="A856" i="108"/>
  <c r="C856" i="108" s="1"/>
  <c r="A843" i="108"/>
  <c r="A821" i="108"/>
  <c r="C821" i="108" s="1"/>
  <c r="A808" i="108"/>
  <c r="A795" i="108"/>
  <c r="A721" i="108"/>
  <c r="A706" i="108"/>
  <c r="A692" i="108"/>
  <c r="A569" i="108"/>
  <c r="C569" i="108" s="1"/>
  <c r="A537" i="108"/>
  <c r="C537" i="108" s="1"/>
  <c r="A1203" i="108"/>
  <c r="A1200" i="108"/>
  <c r="A1150" i="108"/>
  <c r="C1150" i="108" s="1"/>
  <c r="A1107" i="108"/>
  <c r="A1081" i="108"/>
  <c r="C1081" i="108" s="1"/>
  <c r="A1072" i="108"/>
  <c r="A1052" i="108"/>
  <c r="A1033" i="108"/>
  <c r="C1033" i="108" s="1"/>
  <c r="A1016" i="108"/>
  <c r="C1016" i="108" s="1"/>
  <c r="A1002" i="108"/>
  <c r="C1002" i="108" s="1"/>
  <c r="A977" i="108"/>
  <c r="C977" i="108" s="1"/>
  <c r="A966" i="108"/>
  <c r="A951" i="108"/>
  <c r="A913" i="108"/>
  <c r="A891" i="108"/>
  <c r="A861" i="108"/>
  <c r="A852" i="108"/>
  <c r="A835" i="108"/>
  <c r="A827" i="108"/>
  <c r="A814" i="108"/>
  <c r="A807" i="108"/>
  <c r="A791" i="108"/>
  <c r="A783" i="108"/>
  <c r="C783" i="108" s="1"/>
  <c r="A766" i="108"/>
  <c r="A759" i="108"/>
  <c r="A752" i="108"/>
  <c r="A741" i="108"/>
  <c r="A730" i="108"/>
  <c r="A724" i="108"/>
  <c r="C724" i="108" s="1"/>
  <c r="A705" i="108"/>
  <c r="A664" i="108"/>
  <c r="A640" i="108"/>
  <c r="A626" i="108"/>
  <c r="A614" i="108"/>
  <c r="A600" i="108"/>
  <c r="A564" i="108"/>
  <c r="A1187" i="108"/>
  <c r="C1187" i="108" s="1"/>
  <c r="A1202" i="108"/>
  <c r="A1160" i="108"/>
  <c r="A1119" i="108"/>
  <c r="A1185" i="108"/>
  <c r="A1130" i="108"/>
  <c r="A1100" i="108"/>
  <c r="C1100" i="108" s="1"/>
  <c r="A1051" i="108"/>
  <c r="A1040" i="108"/>
  <c r="C1040" i="108" s="1"/>
  <c r="A1025" i="108"/>
  <c r="A1012" i="108"/>
  <c r="A998" i="108"/>
  <c r="A984" i="108"/>
  <c r="A961" i="108"/>
  <c r="A950" i="108"/>
  <c r="A935" i="108"/>
  <c r="A909" i="108"/>
  <c r="A901" i="108"/>
  <c r="A890" i="108"/>
  <c r="A874" i="108"/>
  <c r="A864" i="108"/>
  <c r="A845" i="108"/>
  <c r="A823" i="108"/>
  <c r="A813" i="108"/>
  <c r="A801" i="108"/>
  <c r="A740" i="108"/>
  <c r="A729" i="108"/>
  <c r="A720" i="108"/>
  <c r="A712" i="108"/>
  <c r="A704" i="108"/>
  <c r="A680" i="108"/>
  <c r="A666" i="108"/>
  <c r="A639" i="108"/>
  <c r="C639" i="108" s="1"/>
  <c r="A613" i="108"/>
  <c r="A578" i="108"/>
  <c r="A571" i="108"/>
  <c r="A552" i="108"/>
  <c r="A516" i="108"/>
  <c r="A772" i="108"/>
  <c r="A758" i="108"/>
  <c r="A751" i="108"/>
  <c r="C751" i="108" s="1"/>
  <c r="A734" i="108"/>
  <c r="C734" i="108" s="1"/>
  <c r="A728" i="108"/>
  <c r="C728" i="108" s="1"/>
  <c r="A715" i="108"/>
  <c r="C715" i="108" s="1"/>
  <c r="A703" i="108"/>
  <c r="A684" i="108"/>
  <c r="A665" i="108"/>
  <c r="C665" i="108" s="1"/>
  <c r="A654" i="108"/>
  <c r="A635" i="108"/>
  <c r="C635" i="108" s="1"/>
  <c r="A625" i="108"/>
  <c r="C625" i="108" s="1"/>
  <c r="A604" i="108"/>
  <c r="A591" i="108"/>
  <c r="A579" i="108"/>
  <c r="A562" i="108"/>
  <c r="A553" i="108"/>
  <c r="A538" i="108"/>
  <c r="C538" i="108" s="1"/>
  <c r="A1184" i="108"/>
  <c r="C1184" i="108" s="1"/>
  <c r="A1171" i="108"/>
  <c r="C1171" i="108" s="1"/>
  <c r="A1144" i="108"/>
  <c r="A1123" i="108"/>
  <c r="A1219" i="108"/>
  <c r="C1219" i="108" s="1"/>
  <c r="A1182" i="108"/>
  <c r="A1159" i="108"/>
  <c r="C1159" i="108" s="1"/>
  <c r="A1133" i="108"/>
  <c r="A1118" i="108"/>
  <c r="A1087" i="108"/>
  <c r="A1221" i="108"/>
  <c r="C1221" i="108" s="1"/>
  <c r="A1208" i="108"/>
  <c r="A1194" i="108"/>
  <c r="C1194" i="108" s="1"/>
  <c r="A1169" i="108"/>
  <c r="A1161" i="108"/>
  <c r="C1161" i="108" s="1"/>
  <c r="A1148" i="108"/>
  <c r="A1137" i="108"/>
  <c r="C1137" i="108" s="1"/>
  <c r="A1117" i="108"/>
  <c r="A1102" i="108"/>
  <c r="A1089" i="108"/>
  <c r="C1089" i="108" s="1"/>
  <c r="A1073" i="108"/>
  <c r="A1061" i="108"/>
  <c r="A1047" i="108"/>
  <c r="A1031" i="108"/>
  <c r="A1014" i="108"/>
  <c r="A997" i="108"/>
  <c r="C997" i="108" s="1"/>
  <c r="A983" i="108"/>
  <c r="A968" i="108"/>
  <c r="A953" i="108"/>
  <c r="C953" i="108" s="1"/>
  <c r="A934" i="108"/>
  <c r="C934" i="108" s="1"/>
  <c r="A919" i="108"/>
  <c r="A877" i="108"/>
  <c r="A863" i="108"/>
  <c r="A825" i="108"/>
  <c r="A809" i="108"/>
  <c r="A800" i="108"/>
  <c r="C800" i="108" s="1"/>
  <c r="A785" i="108"/>
  <c r="A686" i="108"/>
  <c r="C686" i="108" s="1"/>
  <c r="A668" i="108"/>
  <c r="C668" i="108" s="1"/>
  <c r="A627" i="108"/>
  <c r="A612" i="108"/>
  <c r="C612" i="108" s="1"/>
  <c r="A602" i="108"/>
  <c r="C602" i="108" s="1"/>
  <c r="A584" i="108"/>
  <c r="C584" i="108" s="1"/>
  <c r="A551" i="108"/>
  <c r="A530" i="108"/>
  <c r="C530" i="108" s="1"/>
  <c r="A1207" i="108"/>
  <c r="A1165" i="108"/>
  <c r="A1147" i="108"/>
  <c r="A1129" i="108"/>
  <c r="C1129" i="108" s="1"/>
  <c r="A1116" i="108"/>
  <c r="A1098" i="108"/>
  <c r="A1082" i="108"/>
  <c r="A1066" i="108"/>
  <c r="C1066" i="108" s="1"/>
  <c r="A1053" i="108"/>
  <c r="A1038" i="108"/>
  <c r="A1024" i="108"/>
  <c r="A1003" i="108"/>
  <c r="A986" i="108"/>
  <c r="A971" i="108"/>
  <c r="A956" i="108"/>
  <c r="A929" i="108"/>
  <c r="A907" i="108"/>
  <c r="A892" i="108"/>
  <c r="C892" i="108" s="1"/>
  <c r="A876" i="108"/>
  <c r="A862" i="108"/>
  <c r="C862" i="108" s="1"/>
  <c r="A853" i="108"/>
  <c r="A840" i="108"/>
  <c r="C840" i="108" s="1"/>
  <c r="A818" i="108"/>
  <c r="A792" i="108"/>
  <c r="A784" i="108"/>
  <c r="A771" i="108"/>
  <c r="C771" i="108" s="1"/>
  <c r="A763" i="108"/>
  <c r="C763" i="108" s="1"/>
  <c r="A757" i="108"/>
  <c r="C757" i="108" s="1"/>
  <c r="A746" i="108"/>
  <c r="A718" i="108"/>
  <c r="A702" i="108"/>
  <c r="A688" i="108"/>
  <c r="A641" i="108"/>
  <c r="A623" i="108"/>
  <c r="A594" i="108"/>
  <c r="A546" i="108"/>
  <c r="C546" i="108" s="1"/>
  <c r="A533" i="108"/>
  <c r="A525" i="108"/>
  <c r="A1177" i="108"/>
  <c r="A1189" i="108"/>
  <c r="C1189" i="108" s="1"/>
  <c r="A1141" i="108"/>
  <c r="A1101" i="108"/>
  <c r="C1101" i="108" s="1"/>
  <c r="A1078" i="108"/>
  <c r="C1078" i="108" s="1"/>
  <c r="A1062" i="108"/>
  <c r="A1049" i="108"/>
  <c r="A1026" i="108"/>
  <c r="A1013" i="108"/>
  <c r="A999" i="108"/>
  <c r="A985" i="108"/>
  <c r="A962" i="108"/>
  <c r="A947" i="108"/>
  <c r="A936" i="108"/>
  <c r="C936" i="108" s="1"/>
  <c r="A921" i="108"/>
  <c r="A902" i="108"/>
  <c r="A887" i="108"/>
  <c r="A879" i="108"/>
  <c r="A871" i="108"/>
  <c r="C871" i="108" s="1"/>
  <c r="A858" i="108"/>
  <c r="C858" i="108" s="1"/>
  <c r="A848" i="108"/>
  <c r="C848" i="108" s="1"/>
  <c r="A832" i="108"/>
  <c r="A824" i="108"/>
  <c r="A805" i="108"/>
  <c r="A798" i="108"/>
  <c r="A745" i="108"/>
  <c r="A737" i="108"/>
  <c r="A717" i="108"/>
  <c r="A701" i="108"/>
  <c r="A681" i="108"/>
  <c r="C681" i="108" s="1"/>
  <c r="A655" i="108"/>
  <c r="A636" i="108"/>
  <c r="A622" i="108"/>
  <c r="C622" i="108" s="1"/>
  <c r="A597" i="108"/>
  <c r="C597" i="108" s="1"/>
  <c r="A572" i="108"/>
  <c r="A561" i="108"/>
  <c r="A543" i="108"/>
  <c r="A1172" i="108"/>
  <c r="A1192" i="108"/>
  <c r="A1146" i="108"/>
  <c r="A1110" i="108"/>
  <c r="A1222" i="108"/>
  <c r="C1222" i="108" s="1"/>
  <c r="A1205" i="108"/>
  <c r="A1176" i="108"/>
  <c r="C1176" i="108" s="1"/>
  <c r="A1153" i="108"/>
  <c r="A1125" i="108"/>
  <c r="C1125" i="108" s="1"/>
  <c r="A1090" i="108"/>
  <c r="A1074" i="108"/>
  <c r="A1048" i="108"/>
  <c r="A1036" i="108"/>
  <c r="C1036" i="108" s="1"/>
  <c r="A1022" i="108"/>
  <c r="A995" i="108"/>
  <c r="C995" i="108" s="1"/>
  <c r="A980" i="108"/>
  <c r="C980" i="108" s="1"/>
  <c r="A969" i="108"/>
  <c r="A946" i="108"/>
  <c r="A931" i="108"/>
  <c r="C931" i="108" s="1"/>
  <c r="A920" i="108"/>
  <c r="A897" i="108"/>
  <c r="C897" i="108" s="1"/>
  <c r="A886" i="108"/>
  <c r="C886" i="108" s="1"/>
  <c r="A860" i="108"/>
  <c r="C860" i="108" s="1"/>
  <c r="A851" i="108"/>
  <c r="C851" i="108" s="1"/>
  <c r="A841" i="108"/>
  <c r="C841" i="108" s="1"/>
  <c r="A831" i="108"/>
  <c r="A810" i="108"/>
  <c r="C810" i="108" s="1"/>
  <c r="A790" i="108"/>
  <c r="A779" i="108"/>
  <c r="C779" i="108" s="1"/>
  <c r="A773" i="108"/>
  <c r="A726" i="108"/>
  <c r="A676" i="108"/>
  <c r="A663" i="108"/>
  <c r="A652" i="108"/>
  <c r="A609" i="108"/>
  <c r="C609" i="108" s="1"/>
  <c r="A599" i="108"/>
  <c r="C599" i="108" s="1"/>
  <c r="A711" i="108"/>
  <c r="C711" i="108" s="1"/>
  <c r="A699" i="108"/>
  <c r="A671" i="108"/>
  <c r="A662" i="108"/>
  <c r="A650" i="108"/>
  <c r="C650" i="108" s="1"/>
  <c r="A19" i="108"/>
  <c r="A37" i="108"/>
  <c r="C37" i="108" s="1"/>
  <c r="A45" i="108"/>
  <c r="A65" i="108"/>
  <c r="C65" i="108" s="1"/>
  <c r="A80" i="108"/>
  <c r="A91" i="108"/>
  <c r="A14" i="108"/>
  <c r="C14" i="108" s="1"/>
  <c r="A28" i="108"/>
  <c r="C28" i="108" s="1"/>
  <c r="A39" i="108"/>
  <c r="C39" i="108" s="1"/>
  <c r="A52" i="108"/>
  <c r="A70" i="108"/>
  <c r="C70" i="108" s="1"/>
  <c r="A85" i="108"/>
  <c r="C85" i="108" s="1"/>
  <c r="A109" i="108"/>
  <c r="C109" i="108" s="1"/>
  <c r="A122" i="108"/>
  <c r="C122" i="108" s="1"/>
  <c r="A136" i="108"/>
  <c r="A148" i="108"/>
  <c r="C148" i="108" s="1"/>
  <c r="A174" i="108"/>
  <c r="C174" i="108" s="1"/>
  <c r="A186" i="108"/>
  <c r="A198" i="108"/>
  <c r="A208" i="108"/>
  <c r="C208" i="108" s="1"/>
  <c r="A220" i="108"/>
  <c r="A248" i="108"/>
  <c r="A260" i="108"/>
  <c r="A270" i="108"/>
  <c r="C270" i="108" s="1"/>
  <c r="A282" i="108"/>
  <c r="A292" i="108"/>
  <c r="A304" i="108"/>
  <c r="A318" i="108"/>
  <c r="C318" i="108" s="1"/>
  <c r="A341" i="108"/>
  <c r="C341" i="108" s="1"/>
  <c r="A355" i="108"/>
  <c r="C355" i="108" s="1"/>
  <c r="A367" i="108"/>
  <c r="A377" i="108"/>
  <c r="C377" i="108" s="1"/>
  <c r="A387" i="108"/>
  <c r="A408" i="108"/>
  <c r="C408" i="108" s="1"/>
  <c r="A421" i="108"/>
  <c r="A441" i="108"/>
  <c r="C441" i="108" s="1"/>
  <c r="A456" i="108"/>
  <c r="A477" i="108"/>
  <c r="A491" i="108"/>
  <c r="A502" i="108"/>
  <c r="C502" i="108" s="1"/>
  <c r="A511" i="108"/>
  <c r="C511" i="108" s="1"/>
  <c r="A524" i="108"/>
  <c r="A532" i="108"/>
  <c r="C532" i="108" s="1"/>
  <c r="A539" i="108"/>
  <c r="C539" i="108" s="1"/>
  <c r="A554" i="108"/>
  <c r="A563" i="108"/>
  <c r="A577" i="108"/>
  <c r="A586" i="108"/>
  <c r="A22" i="108"/>
  <c r="A50" i="108"/>
  <c r="C50" i="108" s="1"/>
  <c r="A67" i="108"/>
  <c r="C67" i="108" s="1"/>
  <c r="A82" i="108"/>
  <c r="C82" i="108" s="1"/>
  <c r="A99" i="108"/>
  <c r="C99" i="108" s="1"/>
  <c r="A112" i="108"/>
  <c r="C112" i="108" s="1"/>
  <c r="A119" i="108"/>
  <c r="A133" i="108"/>
  <c r="A149" i="108"/>
  <c r="A168" i="108"/>
  <c r="C168" i="108" s="1"/>
  <c r="A181" i="108"/>
  <c r="A217" i="108"/>
  <c r="C217" i="108" s="1"/>
  <c r="A232" i="108"/>
  <c r="A246" i="108"/>
  <c r="A258" i="108"/>
  <c r="A293" i="108"/>
  <c r="A305" i="108"/>
  <c r="A319" i="108"/>
  <c r="A331" i="108"/>
  <c r="A348" i="108"/>
  <c r="A365" i="108"/>
  <c r="A391" i="108"/>
  <c r="C391" i="108" s="1"/>
  <c r="A405" i="108"/>
  <c r="A438" i="108"/>
  <c r="A454" i="108"/>
  <c r="C454" i="108" s="1"/>
  <c r="A470" i="108"/>
  <c r="A481" i="108"/>
  <c r="C481" i="108" s="1"/>
  <c r="A499" i="108"/>
  <c r="C499" i="108" s="1"/>
  <c r="A512" i="108"/>
  <c r="C512" i="108" s="1"/>
  <c r="A54" i="108"/>
  <c r="A68" i="108"/>
  <c r="C68" i="108" s="1"/>
  <c r="A79" i="108"/>
  <c r="C79" i="108" s="1"/>
  <c r="A94" i="108"/>
  <c r="A113" i="108"/>
  <c r="C113" i="108" s="1"/>
  <c r="A127" i="108"/>
  <c r="A146" i="108"/>
  <c r="C146" i="108" s="1"/>
  <c r="A166" i="108"/>
  <c r="A185" i="108"/>
  <c r="A196" i="108"/>
  <c r="C196" i="108" s="1"/>
  <c r="A226" i="108"/>
  <c r="C226" i="108" s="1"/>
  <c r="A243" i="108"/>
  <c r="A262" i="108"/>
  <c r="C262" i="108" s="1"/>
  <c r="A271" i="108"/>
  <c r="A286" i="108"/>
  <c r="C286" i="108" s="1"/>
  <c r="A297" i="108"/>
  <c r="C297" i="108" s="1"/>
  <c r="A312" i="108"/>
  <c r="A323" i="108"/>
  <c r="C323" i="108" s="1"/>
  <c r="A336" i="108"/>
  <c r="C336" i="108" s="1"/>
  <c r="A349" i="108"/>
  <c r="A366" i="108"/>
  <c r="A382" i="108"/>
  <c r="C382" i="108" s="1"/>
  <c r="A396" i="108"/>
  <c r="C396" i="108" s="1"/>
  <c r="A406" i="108"/>
  <c r="A415" i="108"/>
  <c r="C415" i="108" s="1"/>
  <c r="A429" i="108"/>
  <c r="A442" i="108"/>
  <c r="C442" i="108" s="1"/>
  <c r="A455" i="108"/>
  <c r="C455" i="108" s="1"/>
  <c r="A473" i="108"/>
  <c r="C473" i="108" s="1"/>
  <c r="A485" i="108"/>
  <c r="A500" i="108"/>
  <c r="C500" i="108" s="1"/>
  <c r="A513" i="108"/>
  <c r="C513" i="108" s="1"/>
  <c r="A522" i="108"/>
  <c r="C522" i="108" s="1"/>
  <c r="A42" i="108"/>
  <c r="A62" i="108"/>
  <c r="C62" i="108" s="1"/>
  <c r="A101" i="108"/>
  <c r="C101" i="108" s="1"/>
  <c r="A118" i="108"/>
  <c r="A128" i="108"/>
  <c r="C128" i="108" s="1"/>
  <c r="A141" i="108"/>
  <c r="C141" i="108" s="1"/>
  <c r="A156" i="108"/>
  <c r="C156" i="108" s="1"/>
  <c r="A169" i="108"/>
  <c r="C169" i="108" s="1"/>
  <c r="A183" i="108"/>
  <c r="A204" i="108"/>
  <c r="C204" i="108" s="1"/>
  <c r="A219" i="108"/>
  <c r="A234" i="108"/>
  <c r="C234" i="108" s="1"/>
  <c r="A247" i="108"/>
  <c r="A263" i="108"/>
  <c r="A272" i="108"/>
  <c r="A306" i="108"/>
  <c r="A330" i="108"/>
  <c r="C330" i="108" s="1"/>
  <c r="A347" i="108"/>
  <c r="A360" i="108"/>
  <c r="C360" i="108" s="1"/>
  <c r="A386" i="108"/>
  <c r="C386" i="108" s="1"/>
  <c r="A403" i="108"/>
  <c r="A424" i="108"/>
  <c r="C424" i="108" s="1"/>
  <c r="A446" i="108"/>
  <c r="A465" i="108"/>
  <c r="C465" i="108" s="1"/>
  <c r="A486" i="108"/>
  <c r="C486" i="108" s="1"/>
  <c r="A494" i="108"/>
  <c r="C494" i="108" s="1"/>
  <c r="A544" i="108"/>
  <c r="A589" i="108"/>
  <c r="A607" i="108"/>
  <c r="A643" i="108"/>
  <c r="A707" i="108"/>
  <c r="E22" i="108"/>
  <c r="E24" i="108"/>
  <c r="E26" i="108"/>
  <c r="E30" i="108"/>
  <c r="E41" i="108"/>
  <c r="E44" i="108"/>
  <c r="E46" i="108"/>
  <c r="E16" i="108"/>
  <c r="E28" i="108"/>
  <c r="E32" i="108"/>
  <c r="E80" i="108"/>
  <c r="E95" i="108"/>
  <c r="E96" i="108"/>
  <c r="E101" i="108"/>
  <c r="E116" i="108"/>
  <c r="E119" i="108"/>
  <c r="E121" i="108"/>
  <c r="E123" i="108"/>
  <c r="E133" i="108"/>
  <c r="E71" i="108"/>
  <c r="E99" i="108"/>
  <c r="E111" i="108"/>
  <c r="E112" i="108"/>
  <c r="E117" i="108"/>
  <c r="E56" i="108"/>
  <c r="E64" i="108"/>
  <c r="E79" i="108"/>
  <c r="E83" i="108"/>
  <c r="E87" i="108"/>
  <c r="E89" i="108"/>
  <c r="E91" i="108"/>
  <c r="E63" i="108"/>
  <c r="E84" i="108"/>
  <c r="E135" i="108"/>
  <c r="E150" i="108"/>
  <c r="E153" i="108"/>
  <c r="E162" i="108"/>
  <c r="E163" i="108"/>
  <c r="E169" i="108"/>
  <c r="E179" i="108"/>
  <c r="E181" i="108"/>
  <c r="E185" i="108"/>
  <c r="E189" i="108"/>
  <c r="E190" i="108"/>
  <c r="E193" i="108"/>
  <c r="E136" i="108"/>
  <c r="E141" i="108"/>
  <c r="E158" i="108"/>
  <c r="E165" i="108"/>
  <c r="E174" i="108"/>
  <c r="E195" i="108"/>
  <c r="E201" i="108"/>
  <c r="E115" i="108"/>
  <c r="E131" i="108"/>
  <c r="E146" i="108"/>
  <c r="E149" i="108"/>
  <c r="E177" i="108"/>
  <c r="E197" i="108"/>
  <c r="E145" i="108"/>
  <c r="E154" i="108"/>
  <c r="E239" i="108"/>
  <c r="E247" i="108"/>
  <c r="E255" i="108"/>
  <c r="E275" i="108"/>
  <c r="E279" i="108"/>
  <c r="E283" i="108"/>
  <c r="E284" i="108"/>
  <c r="E287" i="108"/>
  <c r="E321" i="108"/>
  <c r="E209" i="108"/>
  <c r="E217" i="108"/>
  <c r="E225" i="108"/>
  <c r="E235" i="108"/>
  <c r="E289" i="108"/>
  <c r="E291" i="108"/>
  <c r="E205" i="108"/>
  <c r="E211" i="108"/>
  <c r="E227" i="108"/>
  <c r="E231" i="108"/>
  <c r="E236" i="108"/>
  <c r="E206" i="108"/>
  <c r="E232" i="108"/>
  <c r="E331" i="108"/>
  <c r="E339" i="108"/>
  <c r="E359" i="108"/>
  <c r="E363" i="108"/>
  <c r="E379" i="108"/>
  <c r="E397" i="108"/>
  <c r="E295" i="108"/>
  <c r="E303" i="108"/>
  <c r="E323" i="108"/>
  <c r="E327" i="108"/>
  <c r="E337" i="108"/>
  <c r="E343" i="108"/>
  <c r="E353" i="108"/>
  <c r="E371" i="108"/>
  <c r="E384" i="108"/>
  <c r="E389" i="108"/>
  <c r="E299" i="108"/>
  <c r="E305" i="108"/>
  <c r="E332" i="108"/>
  <c r="E351" i="108"/>
  <c r="E375" i="108"/>
  <c r="E383" i="108"/>
  <c r="E300" i="108"/>
  <c r="E369" i="108"/>
  <c r="E425" i="108"/>
  <c r="E441" i="108"/>
  <c r="E445" i="108"/>
  <c r="E447" i="108"/>
  <c r="E463" i="108"/>
  <c r="E469" i="108"/>
  <c r="E472" i="108"/>
  <c r="E475" i="108"/>
  <c r="E485" i="108"/>
  <c r="E491" i="108"/>
  <c r="E495" i="108"/>
  <c r="E499" i="108"/>
  <c r="E508" i="108"/>
  <c r="E518" i="108"/>
  <c r="E524" i="108"/>
  <c r="E528" i="108"/>
  <c r="E538" i="108"/>
  <c r="E542" i="108"/>
  <c r="E548" i="108"/>
  <c r="E550" i="108"/>
  <c r="E562" i="108"/>
  <c r="E574" i="108"/>
  <c r="E578" i="108"/>
  <c r="E582" i="108"/>
  <c r="E586" i="108"/>
  <c r="E590" i="108"/>
  <c r="E591" i="108"/>
  <c r="E595" i="108"/>
  <c r="E599" i="108"/>
  <c r="E603" i="108"/>
  <c r="E607" i="108"/>
  <c r="E619" i="108"/>
  <c r="E622" i="108"/>
  <c r="E627" i="108"/>
  <c r="E630" i="108"/>
  <c r="I630" i="108" s="1"/>
  <c r="E642" i="108"/>
  <c r="E643" i="108"/>
  <c r="E429" i="108"/>
  <c r="E443" i="108"/>
  <c r="E464" i="108"/>
  <c r="E467" i="108"/>
  <c r="E483" i="108"/>
  <c r="E504" i="108"/>
  <c r="E506" i="108"/>
  <c r="E512" i="108"/>
  <c r="E522" i="108"/>
  <c r="E532" i="108"/>
  <c r="E544" i="108"/>
  <c r="E546" i="108"/>
  <c r="E558" i="108"/>
  <c r="E560" i="108"/>
  <c r="E570" i="108"/>
  <c r="E571" i="108"/>
  <c r="E575" i="108"/>
  <c r="E579" i="108"/>
  <c r="E583" i="108"/>
  <c r="E587" i="108"/>
  <c r="E403" i="108"/>
  <c r="E451" i="108"/>
  <c r="E455" i="108"/>
  <c r="E461" i="108"/>
  <c r="E493" i="108"/>
  <c r="E501" i="108"/>
  <c r="E510" i="108"/>
  <c r="E516" i="108"/>
  <c r="E526" i="108"/>
  <c r="E530" i="108"/>
  <c r="E536" i="108"/>
  <c r="E540" i="108"/>
  <c r="E556" i="108"/>
  <c r="E564" i="108"/>
  <c r="E566" i="108"/>
  <c r="E614" i="108"/>
  <c r="E413" i="108"/>
  <c r="E431" i="108"/>
  <c r="E456" i="108"/>
  <c r="E477" i="108"/>
  <c r="E479" i="108"/>
  <c r="E646" i="108"/>
  <c r="E663" i="108"/>
  <c r="E670" i="108"/>
  <c r="E679" i="108"/>
  <c r="E683" i="108"/>
  <c r="E689" i="108"/>
  <c r="E695" i="108"/>
  <c r="E705" i="108"/>
  <c r="E715" i="108"/>
  <c r="E729" i="108"/>
  <c r="E731" i="108"/>
  <c r="E745" i="108"/>
  <c r="E747" i="108"/>
  <c r="E761" i="108"/>
  <c r="E763" i="108"/>
  <c r="E777" i="108"/>
  <c r="E779" i="108"/>
  <c r="E791" i="108"/>
  <c r="E811" i="108"/>
  <c r="E623" i="108"/>
  <c r="E626" i="108"/>
  <c r="E631" i="108"/>
  <c r="I631" i="108" s="1"/>
  <c r="E674" i="108"/>
  <c r="E699" i="108"/>
  <c r="E707" i="108"/>
  <c r="E719" i="108"/>
  <c r="E733" i="108"/>
  <c r="E735" i="108"/>
  <c r="E749" i="108"/>
  <c r="E751" i="108"/>
  <c r="E765" i="108"/>
  <c r="E767" i="108"/>
  <c r="E781" i="108"/>
  <c r="E783" i="108"/>
  <c r="E793" i="108"/>
  <c r="E799" i="108"/>
  <c r="E803" i="108"/>
  <c r="E807" i="108"/>
  <c r="E618" i="108"/>
  <c r="E654" i="108"/>
  <c r="E691" i="108"/>
  <c r="E701" i="108"/>
  <c r="E713" i="108"/>
  <c r="E737" i="108"/>
  <c r="E739" i="108"/>
  <c r="E753" i="108"/>
  <c r="E755" i="108"/>
  <c r="E769" i="108"/>
  <c r="E771" i="108"/>
  <c r="E785" i="108"/>
  <c r="E787" i="108"/>
  <c r="E795" i="108"/>
  <c r="E805" i="108"/>
  <c r="E647" i="108"/>
  <c r="E655" i="108"/>
  <c r="E662" i="108"/>
  <c r="E697" i="108"/>
  <c r="E851" i="108"/>
  <c r="E853" i="108"/>
  <c r="E869" i="108"/>
  <c r="E886" i="108"/>
  <c r="E897" i="108"/>
  <c r="E913" i="108"/>
  <c r="E929" i="108"/>
  <c r="E945" i="108"/>
  <c r="E961" i="108"/>
  <c r="E977" i="108"/>
  <c r="E993" i="108"/>
  <c r="E865" i="108"/>
  <c r="E891" i="108"/>
  <c r="E894" i="108"/>
  <c r="E899" i="108"/>
  <c r="E907" i="108"/>
  <c r="E910" i="108"/>
  <c r="E915" i="108"/>
  <c r="E923" i="108"/>
  <c r="E926" i="108"/>
  <c r="E931" i="108"/>
  <c r="E939" i="108"/>
  <c r="E942" i="108"/>
  <c r="E831" i="108"/>
  <c r="E859" i="108"/>
  <c r="E829" i="108"/>
  <c r="E847" i="108"/>
  <c r="E857" i="108"/>
  <c r="E871" i="108"/>
  <c r="E875" i="108"/>
  <c r="E879" i="108"/>
  <c r="E883" i="108"/>
  <c r="E947" i="108"/>
  <c r="E958" i="108"/>
  <c r="E971" i="108"/>
  <c r="E1035" i="108"/>
  <c r="E1038" i="108"/>
  <c r="E1041" i="108"/>
  <c r="E1055" i="108"/>
  <c r="E1071" i="108"/>
  <c r="E1075" i="108"/>
  <c r="E1077" i="108"/>
  <c r="E1079" i="108"/>
  <c r="E1081" i="108"/>
  <c r="E1083" i="108"/>
  <c r="E1085" i="108"/>
  <c r="E1087" i="108"/>
  <c r="E1089" i="108"/>
  <c r="E1091" i="108"/>
  <c r="E1093" i="108"/>
  <c r="E1095" i="108"/>
  <c r="E1097" i="108"/>
  <c r="E1099" i="108"/>
  <c r="E1105" i="108"/>
  <c r="E1107" i="108"/>
  <c r="E1113" i="108"/>
  <c r="E1125" i="108"/>
  <c r="E1129" i="108"/>
  <c r="E1133" i="108"/>
  <c r="E1142" i="108"/>
  <c r="E1145" i="108"/>
  <c r="E1158" i="108"/>
  <c r="E1159" i="108"/>
  <c r="E1161" i="108"/>
  <c r="E1163" i="108"/>
  <c r="E1165" i="108"/>
  <c r="E1173" i="108"/>
  <c r="E1178" i="108"/>
  <c r="E1179" i="108"/>
  <c r="E1190" i="108"/>
  <c r="E1191" i="108"/>
  <c r="E1203" i="108"/>
  <c r="E1209" i="108"/>
  <c r="E1211" i="108"/>
  <c r="E1230" i="108"/>
  <c r="E1183" i="108"/>
  <c r="E1195" i="108"/>
  <c r="E1219" i="108"/>
  <c r="E1221" i="108"/>
  <c r="E1222" i="108"/>
  <c r="E1229" i="108"/>
  <c r="E1225" i="108"/>
  <c r="E1226" i="108"/>
  <c r="E1227" i="108"/>
  <c r="E963" i="108"/>
  <c r="E974" i="108"/>
  <c r="E987" i="108"/>
  <c r="E1005" i="108"/>
  <c r="E1051" i="108"/>
  <c r="E1067" i="108"/>
  <c r="E1119" i="108"/>
  <c r="E1137" i="108"/>
  <c r="E1141" i="108"/>
  <c r="E1143" i="108"/>
  <c r="E1150" i="108"/>
  <c r="E1154" i="108"/>
  <c r="E1155" i="108"/>
  <c r="E1157" i="108"/>
  <c r="E1177" i="108"/>
  <c r="E1189" i="108"/>
  <c r="E1201" i="108"/>
  <c r="E1206" i="108"/>
  <c r="E11" i="108"/>
  <c r="E979" i="108"/>
  <c r="E990" i="108"/>
  <c r="E1009" i="108"/>
  <c r="E1115" i="108"/>
  <c r="E1193" i="108"/>
  <c r="E1198" i="108"/>
  <c r="E1205" i="108"/>
  <c r="E1207" i="108"/>
  <c r="E1214" i="108"/>
  <c r="E1217" i="108"/>
  <c r="E955" i="108"/>
  <c r="E995" i="108"/>
  <c r="E1025" i="108"/>
  <c r="E1185" i="108"/>
  <c r="E1202" i="108"/>
  <c r="E1215" i="108"/>
  <c r="E1182" i="108"/>
  <c r="E1194" i="108"/>
  <c r="E1218" i="108"/>
  <c r="E1199" i="108"/>
  <c r="E1174" i="108"/>
  <c r="E1139" i="108"/>
  <c r="E1059" i="108"/>
  <c r="E1019" i="108"/>
  <c r="E1021" i="108"/>
  <c r="E1210" i="108"/>
  <c r="E1169" i="108"/>
  <c r="E1127" i="108"/>
  <c r="E1110" i="108"/>
  <c r="E1073" i="108"/>
  <c r="E1181" i="108"/>
  <c r="E1153" i="108"/>
  <c r="E1101" i="108"/>
  <c r="E1002" i="108"/>
  <c r="E1054" i="108"/>
  <c r="E957" i="108"/>
  <c r="E877" i="108"/>
  <c r="E1074" i="108"/>
  <c r="E1053" i="108"/>
  <c r="E965" i="108"/>
  <c r="E937" i="108"/>
  <c r="E933" i="108"/>
  <c r="E813" i="108"/>
  <c r="E717" i="108"/>
  <c r="E680" i="108"/>
  <c r="E967" i="108"/>
  <c r="E934" i="108"/>
  <c r="E902" i="108"/>
  <c r="E841" i="108"/>
  <c r="E817" i="108"/>
  <c r="E898" i="108"/>
  <c r="E843" i="108"/>
  <c r="E711" i="108"/>
  <c r="E650" i="108"/>
  <c r="E922" i="108"/>
  <c r="E911" i="108"/>
  <c r="E837" i="108"/>
  <c r="E825" i="108"/>
  <c r="E634" i="108"/>
  <c r="E801" i="108"/>
  <c r="E774" i="108"/>
  <c r="E742" i="108"/>
  <c r="E725" i="108"/>
  <c r="E687" i="108"/>
  <c r="E639" i="108"/>
  <c r="E786" i="108"/>
  <c r="E709" i="108"/>
  <c r="E694" i="108"/>
  <c r="E480" i="108"/>
  <c r="E782" i="108"/>
  <c r="E688" i="108"/>
  <c r="E722" i="108"/>
  <c r="E606" i="108"/>
  <c r="E552" i="108"/>
  <c r="E520" i="108"/>
  <c r="E500" i="108"/>
  <c r="E492" i="108"/>
  <c r="E1063" i="108"/>
  <c r="E1030" i="108"/>
  <c r="E1003" i="108"/>
  <c r="E1186" i="108"/>
  <c r="E1146" i="108"/>
  <c r="E1170" i="108"/>
  <c r="E1175" i="108"/>
  <c r="E1047" i="108"/>
  <c r="E1014" i="108"/>
  <c r="E1197" i="108"/>
  <c r="E1135" i="108"/>
  <c r="E1062" i="108"/>
  <c r="E1046" i="108"/>
  <c r="E1026" i="108"/>
  <c r="E1018" i="108"/>
  <c r="E997" i="108"/>
  <c r="E989" i="108"/>
  <c r="E962" i="108"/>
  <c r="E1151" i="108"/>
  <c r="E1130" i="108"/>
  <c r="E1121" i="108"/>
  <c r="E973" i="108"/>
  <c r="E946" i="108"/>
  <c r="E845" i="108"/>
  <c r="E1098" i="108"/>
  <c r="E1090" i="108"/>
  <c r="E1082" i="108"/>
  <c r="E1049" i="108"/>
  <c r="E998" i="108"/>
  <c r="E873" i="108"/>
  <c r="E1122" i="108"/>
  <c r="E1042" i="108"/>
  <c r="E1013" i="108"/>
  <c r="E1007" i="108"/>
  <c r="E978" i="108"/>
  <c r="E981" i="108"/>
  <c r="E953" i="108"/>
  <c r="E921" i="108"/>
  <c r="E917" i="108"/>
  <c r="E887" i="108"/>
  <c r="E809" i="108"/>
  <c r="E658" i="108"/>
  <c r="E951" i="108"/>
  <c r="E941" i="108"/>
  <c r="E919" i="108"/>
  <c r="E909" i="108"/>
  <c r="E833" i="108"/>
  <c r="E815" i="108"/>
  <c r="E914" i="108"/>
  <c r="E635" i="108"/>
  <c r="E986" i="108"/>
  <c r="E975" i="108"/>
  <c r="E954" i="108"/>
  <c r="E938" i="108"/>
  <c r="E927" i="108"/>
  <c r="E839" i="108"/>
  <c r="E823" i="108"/>
  <c r="E773" i="108"/>
  <c r="E759" i="108"/>
  <c r="E741" i="108"/>
  <c r="E721" i="108"/>
  <c r="E659" i="108"/>
  <c r="E435" i="108"/>
  <c r="E770" i="108"/>
  <c r="E723" i="108"/>
  <c r="E706" i="108"/>
  <c r="E459" i="108"/>
  <c r="E827" i="108"/>
  <c r="E750" i="108"/>
  <c r="E685" i="108"/>
  <c r="E638" i="108"/>
  <c r="E810" i="108"/>
  <c r="E798" i="108"/>
  <c r="E790" i="108"/>
  <c r="E762" i="108"/>
  <c r="E746" i="108"/>
  <c r="E439" i="108"/>
  <c r="E698" i="108"/>
  <c r="E616" i="108"/>
  <c r="E612" i="108"/>
  <c r="E602" i="108"/>
  <c r="E519" i="108"/>
  <c r="E496" i="108"/>
  <c r="E476" i="108"/>
  <c r="E1166" i="108"/>
  <c r="E1187" i="108"/>
  <c r="E1027" i="108"/>
  <c r="E1167" i="108"/>
  <c r="E1037" i="108"/>
  <c r="E1006" i="108"/>
  <c r="E1011" i="108"/>
  <c r="E1213" i="108"/>
  <c r="E1103" i="108"/>
  <c r="E1057" i="108"/>
  <c r="E1017" i="108"/>
  <c r="E855" i="108"/>
  <c r="E1109" i="108"/>
  <c r="E1066" i="108"/>
  <c r="E1050" i="108"/>
  <c r="E1065" i="108"/>
  <c r="E1015" i="108"/>
  <c r="E950" i="108"/>
  <c r="E885" i="108"/>
  <c r="E867" i="108"/>
  <c r="E1058" i="108"/>
  <c r="E1034" i="108"/>
  <c r="E849" i="108"/>
  <c r="E1114" i="108"/>
  <c r="E969" i="108"/>
  <c r="E905" i="108"/>
  <c r="E901" i="108"/>
  <c r="E999" i="108"/>
  <c r="E918" i="108"/>
  <c r="E861" i="108"/>
  <c r="E930" i="108"/>
  <c r="E821" i="108"/>
  <c r="E943" i="108"/>
  <c r="E890" i="108"/>
  <c r="E758" i="108"/>
  <c r="E727" i="108"/>
  <c r="E693" i="108"/>
  <c r="E754" i="108"/>
  <c r="E718" i="108"/>
  <c r="E675" i="108"/>
  <c r="E819" i="108"/>
  <c r="E710" i="108"/>
  <c r="E678" i="108"/>
  <c r="E448" i="108"/>
  <c r="E1147" i="108"/>
  <c r="E1162" i="108"/>
  <c r="E1043" i="108"/>
  <c r="E1022" i="108"/>
  <c r="E1131" i="108"/>
  <c r="E1117" i="108"/>
  <c r="E1111" i="108"/>
  <c r="E1102" i="108"/>
  <c r="E1001" i="108"/>
  <c r="E982" i="108"/>
  <c r="E1171" i="108"/>
  <c r="E1149" i="108"/>
  <c r="E1123" i="108"/>
  <c r="E1061" i="108"/>
  <c r="E1045" i="108"/>
  <c r="E1039" i="108"/>
  <c r="E1031" i="108"/>
  <c r="E1010" i="108"/>
  <c r="E966" i="108"/>
  <c r="E1106" i="108"/>
  <c r="E1094" i="108"/>
  <c r="E1086" i="108"/>
  <c r="E1029" i="108"/>
  <c r="E1023" i="108"/>
  <c r="E994" i="108"/>
  <c r="E881" i="108"/>
  <c r="E863" i="108"/>
  <c r="E1069" i="108"/>
  <c r="E1033" i="108"/>
  <c r="E985" i="108"/>
  <c r="E949" i="108"/>
  <c r="E889" i="108"/>
  <c r="E835" i="108"/>
  <c r="E983" i="108"/>
  <c r="E935" i="108"/>
  <c r="E925" i="108"/>
  <c r="E903" i="108"/>
  <c r="E893" i="108"/>
  <c r="E651" i="108"/>
  <c r="E814" i="108"/>
  <c r="E991" i="108"/>
  <c r="E970" i="108"/>
  <c r="E959" i="108"/>
  <c r="E906" i="108"/>
  <c r="E895" i="108"/>
  <c r="E806" i="108"/>
  <c r="E797" i="108"/>
  <c r="E789" i="108"/>
  <c r="E775" i="108"/>
  <c r="E757" i="108"/>
  <c r="E743" i="108"/>
  <c r="E726" i="108"/>
  <c r="E666" i="108"/>
  <c r="E488" i="108"/>
  <c r="E794" i="108"/>
  <c r="E738" i="108"/>
  <c r="E703" i="108"/>
  <c r="E487" i="108"/>
  <c r="E766" i="108"/>
  <c r="E734" i="108"/>
  <c r="E714" i="108"/>
  <c r="E802" i="108"/>
  <c r="E778" i="108"/>
  <c r="E730" i="108"/>
  <c r="E702" i="108"/>
  <c r="E682" i="108"/>
  <c r="E610" i="108"/>
  <c r="E594" i="108"/>
  <c r="E554" i="108"/>
  <c r="E534" i="108"/>
  <c r="E514" i="108"/>
  <c r="E460" i="108"/>
  <c r="E411" i="108"/>
  <c r="E588" i="108"/>
  <c r="E572" i="108"/>
  <c r="E511" i="108"/>
  <c r="E419" i="108"/>
  <c r="E408" i="108"/>
  <c r="E676" i="108"/>
  <c r="E611" i="108"/>
  <c r="E391" i="108"/>
  <c r="E584" i="108"/>
  <c r="E405" i="108"/>
  <c r="E608" i="108"/>
  <c r="E484" i="108"/>
  <c r="E444" i="108"/>
  <c r="E437" i="108"/>
  <c r="E433" i="108"/>
  <c r="E473" i="108"/>
  <c r="E404" i="108"/>
  <c r="E367" i="108"/>
  <c r="E373" i="108"/>
  <c r="E329" i="108"/>
  <c r="E301" i="108"/>
  <c r="E360" i="108"/>
  <c r="E325" i="108"/>
  <c r="E319" i="108"/>
  <c r="E307" i="108"/>
  <c r="E357" i="108"/>
  <c r="E340" i="108"/>
  <c r="E315" i="108"/>
  <c r="E308" i="108"/>
  <c r="E304" i="108"/>
  <c r="E280" i="108"/>
  <c r="E273" i="108"/>
  <c r="E268" i="108"/>
  <c r="E252" i="108"/>
  <c r="E142" i="108"/>
  <c r="E167" i="108"/>
  <c r="E320" i="108"/>
  <c r="E281" i="108"/>
  <c r="E256" i="108"/>
  <c r="E230" i="108"/>
  <c r="E258" i="108"/>
  <c r="E57" i="108"/>
  <c r="E166" i="108"/>
  <c r="E132" i="108"/>
  <c r="E107" i="108"/>
  <c r="E85" i="108"/>
  <c r="E198" i="108"/>
  <c r="E187" i="108"/>
  <c r="E159" i="108"/>
  <c r="E93" i="108"/>
  <c r="E73" i="108"/>
  <c r="E54" i="108"/>
  <c r="E108" i="108"/>
  <c r="E65" i="108"/>
  <c r="E109" i="108"/>
  <c r="E68" i="108"/>
  <c r="E33" i="108"/>
  <c r="E21" i="108"/>
  <c r="E1164" i="108"/>
  <c r="E1156" i="108"/>
  <c r="E1228" i="108"/>
  <c r="E1180" i="108"/>
  <c r="E1220" i="108"/>
  <c r="E1216" i="108"/>
  <c r="E1208" i="108"/>
  <c r="E1108" i="108"/>
  <c r="E1096" i="108"/>
  <c r="E598" i="108"/>
  <c r="E471" i="108"/>
  <c r="E449" i="108"/>
  <c r="E427" i="108"/>
  <c r="E421" i="108"/>
  <c r="E416" i="108"/>
  <c r="E580" i="108"/>
  <c r="E453" i="108"/>
  <c r="E400" i="108"/>
  <c r="E596" i="108"/>
  <c r="E452" i="108"/>
  <c r="E399" i="108"/>
  <c r="E392" i="108"/>
  <c r="E293" i="108"/>
  <c r="E352" i="108"/>
  <c r="E372" i="108"/>
  <c r="E347" i="108"/>
  <c r="E385" i="108"/>
  <c r="E380" i="108"/>
  <c r="E316" i="108"/>
  <c r="E222" i="108"/>
  <c r="E324" i="108"/>
  <c r="E272" i="108"/>
  <c r="E269" i="108"/>
  <c r="E260" i="108"/>
  <c r="E219" i="108"/>
  <c r="E276" i="108"/>
  <c r="E254" i="108"/>
  <c r="E251" i="108"/>
  <c r="E238" i="108"/>
  <c r="E288" i="108"/>
  <c r="E267" i="108"/>
  <c r="E261" i="108"/>
  <c r="E317" i="108"/>
  <c r="E296" i="108"/>
  <c r="E248" i="108"/>
  <c r="E203" i="108"/>
  <c r="E250" i="108"/>
  <c r="E137" i="108"/>
  <c r="E120" i="108"/>
  <c r="E72" i="108"/>
  <c r="E182" i="108"/>
  <c r="E155" i="108"/>
  <c r="E113" i="108"/>
  <c r="E170" i="108"/>
  <c r="E139" i="108"/>
  <c r="E124" i="108"/>
  <c r="E103" i="108"/>
  <c r="E67" i="108"/>
  <c r="E58" i="108"/>
  <c r="E69" i="108"/>
  <c r="E40" i="108"/>
  <c r="E20" i="108"/>
  <c r="E12" i="108"/>
  <c r="E45" i="108"/>
  <c r="E37" i="108"/>
  <c r="E13" i="108"/>
  <c r="E1116" i="108"/>
  <c r="E1200" i="108"/>
  <c r="E1152" i="108"/>
  <c r="E1136" i="108"/>
  <c r="E1204" i="108"/>
  <c r="E1188" i="108"/>
  <c r="E1148" i="108"/>
  <c r="E1140" i="108"/>
  <c r="E1100" i="108"/>
  <c r="E1223" i="108"/>
  <c r="E684" i="108"/>
  <c r="E615" i="108"/>
  <c r="E415" i="108"/>
  <c r="E335" i="108"/>
  <c r="E515" i="108"/>
  <c r="E423" i="108"/>
  <c r="E576" i="108"/>
  <c r="E481" i="108"/>
  <c r="E604" i="108"/>
  <c r="E592" i="108"/>
  <c r="E523" i="108"/>
  <c r="E507" i="108"/>
  <c r="E505" i="108"/>
  <c r="E465" i="108"/>
  <c r="E387" i="108"/>
  <c r="E376" i="108"/>
  <c r="E348" i="108"/>
  <c r="E393" i="108"/>
  <c r="E355" i="108"/>
  <c r="E333" i="108"/>
  <c r="E328" i="108"/>
  <c r="E364" i="108"/>
  <c r="E312" i="108"/>
  <c r="E409" i="108"/>
  <c r="E396" i="108"/>
  <c r="E377" i="108"/>
  <c r="E341" i="108"/>
  <c r="E271" i="108"/>
  <c r="E264" i="108"/>
  <c r="E244" i="108"/>
  <c r="E229" i="108"/>
  <c r="E285" i="108"/>
  <c r="E309" i="108"/>
  <c r="E127" i="108"/>
  <c r="E242" i="108"/>
  <c r="E151" i="108"/>
  <c r="E143" i="108"/>
  <c r="E191" i="108"/>
  <c r="E147" i="108"/>
  <c r="E105" i="108"/>
  <c r="E60" i="108"/>
  <c r="E100" i="108"/>
  <c r="E75" i="108"/>
  <c r="E53" i="108"/>
  <c r="E97" i="108"/>
  <c r="E92" i="108"/>
  <c r="E81" i="108"/>
  <c r="E52" i="108"/>
  <c r="E38" i="108"/>
  <c r="E34" i="108"/>
  <c r="E18" i="108"/>
  <c r="E50" i="108"/>
  <c r="E1168" i="108"/>
  <c r="E1160" i="108"/>
  <c r="E1196" i="108"/>
  <c r="E1172" i="108"/>
  <c r="E1132" i="108"/>
  <c r="E1224" i="108"/>
  <c r="E1176" i="108"/>
  <c r="E407" i="108"/>
  <c r="E568" i="108"/>
  <c r="E497" i="108"/>
  <c r="E489" i="108"/>
  <c r="E468" i="108"/>
  <c r="E412" i="108"/>
  <c r="E600" i="108"/>
  <c r="E503" i="108"/>
  <c r="E420" i="108"/>
  <c r="E457" i="108"/>
  <c r="E395" i="108"/>
  <c r="E381" i="108"/>
  <c r="E368" i="108"/>
  <c r="E349" i="108"/>
  <c r="E221" i="108"/>
  <c r="E344" i="108"/>
  <c r="E311" i="108"/>
  <c r="E401" i="108"/>
  <c r="E388" i="108"/>
  <c r="E297" i="108"/>
  <c r="E374" i="108"/>
  <c r="E313" i="108"/>
  <c r="E292" i="108"/>
  <c r="E259" i="108"/>
  <c r="E246" i="108"/>
  <c r="E243" i="108"/>
  <c r="E234" i="108"/>
  <c r="E207" i="108"/>
  <c r="E157" i="108"/>
  <c r="E277" i="108"/>
  <c r="E263" i="108"/>
  <c r="E213" i="108"/>
  <c r="E173" i="108"/>
  <c r="E128" i="108"/>
  <c r="E218" i="108"/>
  <c r="E214" i="108"/>
  <c r="E265" i="108"/>
  <c r="E240" i="108"/>
  <c r="E223" i="108"/>
  <c r="E186" i="108"/>
  <c r="E161" i="108"/>
  <c r="E175" i="108"/>
  <c r="E171" i="108"/>
  <c r="E202" i="108"/>
  <c r="E88" i="108"/>
  <c r="E76" i="108"/>
  <c r="E104" i="108"/>
  <c r="E48" i="108"/>
  <c r="E77" i="108"/>
  <c r="E49" i="108"/>
  <c r="E17" i="108"/>
  <c r="E14" i="108"/>
  <c r="E42" i="108"/>
  <c r="E36" i="108"/>
  <c r="E1128" i="108"/>
  <c r="E1104" i="108"/>
  <c r="E1184" i="108"/>
  <c r="E1124" i="108"/>
  <c r="E1112" i="108"/>
  <c r="E1212" i="108"/>
  <c r="E1144" i="108"/>
  <c r="E1192" i="108"/>
  <c r="E1120" i="108"/>
  <c r="E1084" i="108"/>
  <c r="E1068" i="108"/>
  <c r="E1052" i="108"/>
  <c r="E1024" i="108"/>
  <c r="E960" i="108"/>
  <c r="E896" i="108"/>
  <c r="E1048" i="108"/>
  <c r="E992" i="108"/>
  <c r="E816" i="108"/>
  <c r="E1020" i="108"/>
  <c r="E988" i="108"/>
  <c r="E956" i="108"/>
  <c r="E924" i="108"/>
  <c r="E892" i="108"/>
  <c r="E866" i="108"/>
  <c r="E850" i="108"/>
  <c r="E834" i="108"/>
  <c r="E818" i="108"/>
  <c r="E812" i="108"/>
  <c r="E1126" i="108"/>
  <c r="E1078" i="108"/>
  <c r="E1032" i="108"/>
  <c r="E1016" i="108"/>
  <c r="E1000" i="108"/>
  <c r="E984" i="108"/>
  <c r="E968" i="108"/>
  <c r="E952" i="108"/>
  <c r="E936" i="108"/>
  <c r="E920" i="108"/>
  <c r="E904" i="108"/>
  <c r="E888" i="108"/>
  <c r="E882" i="108"/>
  <c r="E878" i="108"/>
  <c r="E874" i="108"/>
  <c r="E870" i="108"/>
  <c r="E852" i="108"/>
  <c r="E838" i="108"/>
  <c r="E820" i="108"/>
  <c r="E856" i="108"/>
  <c r="E842" i="108"/>
  <c r="E824" i="108"/>
  <c r="E788" i="108"/>
  <c r="E772" i="108"/>
  <c r="E756" i="108"/>
  <c r="E740" i="108"/>
  <c r="E724" i="108"/>
  <c r="E708" i="108"/>
  <c r="E692" i="108"/>
  <c r="E657" i="108"/>
  <c r="E672" i="108"/>
  <c r="E637" i="108"/>
  <c r="E640" i="108"/>
  <c r="E629" i="108"/>
  <c r="E621" i="108"/>
  <c r="E686" i="108"/>
  <c r="E681" i="108"/>
  <c r="E649" i="108"/>
  <c r="E565" i="108"/>
  <c r="E563" i="108"/>
  <c r="E531" i="108"/>
  <c r="E541" i="108"/>
  <c r="E525" i="108"/>
  <c r="E521" i="108"/>
  <c r="E517" i="108"/>
  <c r="E513" i="108"/>
  <c r="E509" i="108"/>
  <c r="E1064" i="108"/>
  <c r="E1060" i="108"/>
  <c r="E1056" i="108"/>
  <c r="E1040" i="108"/>
  <c r="E1008" i="108"/>
  <c r="E928" i="108"/>
  <c r="E860" i="108"/>
  <c r="E846" i="108"/>
  <c r="E828" i="108"/>
  <c r="E1134" i="108"/>
  <c r="E792" i="108"/>
  <c r="E1044" i="108"/>
  <c r="E1012" i="108"/>
  <c r="E980" i="108"/>
  <c r="E948" i="108"/>
  <c r="E916" i="108"/>
  <c r="E784" i="108"/>
  <c r="E768" i="108"/>
  <c r="E752" i="108"/>
  <c r="E736" i="108"/>
  <c r="E720" i="108"/>
  <c r="E704" i="108"/>
  <c r="E677" i="108"/>
  <c r="E661" i="108"/>
  <c r="E653" i="108"/>
  <c r="E636" i="108"/>
  <c r="E669" i="108"/>
  <c r="E645" i="108"/>
  <c r="E628" i="108"/>
  <c r="E620" i="108"/>
  <c r="E648" i="108"/>
  <c r="E690" i="108"/>
  <c r="E664" i="108"/>
  <c r="E656" i="108"/>
  <c r="E535" i="108"/>
  <c r="E547" i="108"/>
  <c r="E545" i="108"/>
  <c r="E605" i="108"/>
  <c r="E597" i="108"/>
  <c r="E589" i="108"/>
  <c r="E581" i="108"/>
  <c r="E573" i="108"/>
  <c r="E567" i="108"/>
  <c r="E561" i="108"/>
  <c r="E671" i="108"/>
  <c r="E529" i="108"/>
  <c r="E490" i="108"/>
  <c r="E474" i="108"/>
  <c r="E434" i="108"/>
  <c r="E422" i="108"/>
  <c r="E1080" i="108"/>
  <c r="E1076" i="108"/>
  <c r="E1072" i="108"/>
  <c r="E976" i="108"/>
  <c r="E944" i="108"/>
  <c r="E800" i="108"/>
  <c r="E1036" i="108"/>
  <c r="E1004" i="108"/>
  <c r="E972" i="108"/>
  <c r="E940" i="108"/>
  <c r="E908" i="108"/>
  <c r="E864" i="108"/>
  <c r="E848" i="108"/>
  <c r="E832" i="108"/>
  <c r="E796" i="108"/>
  <c r="E868" i="108"/>
  <c r="E854" i="108"/>
  <c r="E836" i="108"/>
  <c r="E822" i="108"/>
  <c r="E884" i="108"/>
  <c r="E880" i="108"/>
  <c r="E876" i="108"/>
  <c r="E872" i="108"/>
  <c r="E858" i="108"/>
  <c r="E840" i="108"/>
  <c r="E826" i="108"/>
  <c r="E780" i="108"/>
  <c r="E764" i="108"/>
  <c r="E748" i="108"/>
  <c r="E732" i="108"/>
  <c r="E716" i="108"/>
  <c r="E700" i="108"/>
  <c r="E668" i="108"/>
  <c r="E644" i="108"/>
  <c r="E617" i="108"/>
  <c r="E673" i="108"/>
  <c r="E613" i="108"/>
  <c r="E559" i="108"/>
  <c r="E543" i="108"/>
  <c r="E555" i="108"/>
  <c r="E667" i="108"/>
  <c r="E557" i="108"/>
  <c r="E533" i="108"/>
  <c r="E458" i="108"/>
  <c r="E502" i="108"/>
  <c r="E486" i="108"/>
  <c r="E470" i="108"/>
  <c r="E1092" i="108"/>
  <c r="E1088" i="108"/>
  <c r="E912" i="108"/>
  <c r="E862" i="108"/>
  <c r="E844" i="108"/>
  <c r="E830" i="108"/>
  <c r="E1138" i="108"/>
  <c r="E1118" i="108"/>
  <c r="E1070" i="108"/>
  <c r="E808" i="108"/>
  <c r="E1028" i="108"/>
  <c r="E996" i="108"/>
  <c r="E964" i="108"/>
  <c r="E932" i="108"/>
  <c r="E900" i="108"/>
  <c r="E804" i="108"/>
  <c r="E776" i="108"/>
  <c r="E760" i="108"/>
  <c r="E744" i="108"/>
  <c r="E728" i="108"/>
  <c r="E712" i="108"/>
  <c r="E696" i="108"/>
  <c r="E665" i="108"/>
  <c r="E624" i="108"/>
  <c r="E632" i="108"/>
  <c r="I632" i="108" s="1"/>
  <c r="E625" i="108"/>
  <c r="E660" i="108"/>
  <c r="E652" i="108"/>
  <c r="E641" i="108"/>
  <c r="E633" i="108"/>
  <c r="E553" i="108"/>
  <c r="E539" i="108"/>
  <c r="E609" i="108"/>
  <c r="E601" i="108"/>
  <c r="E593" i="108"/>
  <c r="E585" i="108"/>
  <c r="E577" i="108"/>
  <c r="E569" i="108"/>
  <c r="E551" i="108"/>
  <c r="E549" i="108"/>
  <c r="E527" i="108"/>
  <c r="E537" i="108"/>
  <c r="E436" i="108"/>
  <c r="E438" i="108"/>
  <c r="E498" i="108"/>
  <c r="E482" i="108"/>
  <c r="E466" i="108"/>
  <c r="E450" i="108"/>
  <c r="E478" i="108"/>
  <c r="E446" i="108"/>
  <c r="E430" i="108"/>
  <c r="E370" i="108"/>
  <c r="E356" i="108"/>
  <c r="E55" i="108"/>
  <c r="E110" i="108"/>
  <c r="E114" i="108"/>
  <c r="E102" i="108"/>
  <c r="E138" i="108"/>
  <c r="E134" i="108"/>
  <c r="E129" i="108"/>
  <c r="E200" i="108"/>
  <c r="E215" i="108"/>
  <c r="E15" i="108"/>
  <c r="E90" i="108"/>
  <c r="E160" i="108"/>
  <c r="E192" i="108"/>
  <c r="E224" i="108"/>
  <c r="E164" i="108"/>
  <c r="E196" i="108"/>
  <c r="E228" i="108"/>
  <c r="E194" i="108"/>
  <c r="E266" i="108"/>
  <c r="E298" i="108"/>
  <c r="E172" i="108"/>
  <c r="E199" i="108"/>
  <c r="E338" i="108"/>
  <c r="E183" i="108"/>
  <c r="E342" i="108"/>
  <c r="E406" i="108"/>
  <c r="E346" i="108"/>
  <c r="E366" i="108"/>
  <c r="E410" i="108"/>
  <c r="E386" i="108"/>
  <c r="E432" i="108"/>
  <c r="E51" i="108"/>
  <c r="E25" i="108"/>
  <c r="E19" i="108"/>
  <c r="E39" i="108"/>
  <c r="E27" i="108"/>
  <c r="E59" i="108"/>
  <c r="E31" i="108"/>
  <c r="E126" i="108"/>
  <c r="E98" i="108"/>
  <c r="E86" i="108"/>
  <c r="E118" i="108"/>
  <c r="E106" i="108"/>
  <c r="E184" i="108"/>
  <c r="E216" i="108"/>
  <c r="E204" i="108"/>
  <c r="E233" i="108"/>
  <c r="E237" i="108"/>
  <c r="E241" i="108"/>
  <c r="E245" i="108"/>
  <c r="E249" i="108"/>
  <c r="E253" i="108"/>
  <c r="E257" i="108"/>
  <c r="E286" i="108"/>
  <c r="E318" i="108"/>
  <c r="E290" i="108"/>
  <c r="E322" i="108"/>
  <c r="E330" i="108"/>
  <c r="E378" i="108"/>
  <c r="E394" i="108"/>
  <c r="E345" i="108"/>
  <c r="E382" i="108"/>
  <c r="E414" i="108"/>
  <c r="E426" i="108"/>
  <c r="E494" i="108"/>
  <c r="E454" i="108"/>
  <c r="E23" i="108"/>
  <c r="E43" i="108"/>
  <c r="E61" i="108"/>
  <c r="E62" i="108"/>
  <c r="E122" i="108"/>
  <c r="E130" i="108"/>
  <c r="E176" i="108"/>
  <c r="E208" i="108"/>
  <c r="E140" i="108"/>
  <c r="E144" i="108"/>
  <c r="E148" i="108"/>
  <c r="E152" i="108"/>
  <c r="E156" i="108"/>
  <c r="E180" i="108"/>
  <c r="E212" i="108"/>
  <c r="E125" i="108"/>
  <c r="E282" i="108"/>
  <c r="E314" i="108"/>
  <c r="E178" i="108"/>
  <c r="E226" i="108"/>
  <c r="E354" i="108"/>
  <c r="E210" i="108"/>
  <c r="E262" i="108"/>
  <c r="E278" i="108"/>
  <c r="E294" i="108"/>
  <c r="E310" i="108"/>
  <c r="E326" i="108"/>
  <c r="E358" i="108"/>
  <c r="E336" i="108"/>
  <c r="E362" i="108"/>
  <c r="E390" i="108"/>
  <c r="E361" i="108"/>
  <c r="E350" i="108"/>
  <c r="E398" i="108"/>
  <c r="E402" i="108"/>
  <c r="E424" i="108"/>
  <c r="E440" i="108"/>
  <c r="E35" i="108"/>
  <c r="E29" i="108"/>
  <c r="E47" i="108"/>
  <c r="E94" i="108"/>
  <c r="E82" i="108"/>
  <c r="E66" i="108"/>
  <c r="E70" i="108"/>
  <c r="E74" i="108"/>
  <c r="E78" i="108"/>
  <c r="E168" i="108"/>
  <c r="E188" i="108"/>
  <c r="E270" i="108"/>
  <c r="E302" i="108"/>
  <c r="E334" i="108"/>
  <c r="E274" i="108"/>
  <c r="E306" i="108"/>
  <c r="E220" i="108"/>
  <c r="E365" i="108"/>
  <c r="E418" i="108"/>
  <c r="E462" i="108"/>
  <c r="E428" i="108"/>
  <c r="E442" i="108"/>
  <c r="E417" i="108"/>
  <c r="G8" i="108"/>
  <c r="F7" i="108"/>
  <c r="G7" i="108"/>
  <c r="F8" i="108"/>
  <c r="H8" i="108"/>
  <c r="H7" i="108"/>
  <c r="C643" i="108" l="1"/>
  <c r="C347" i="108"/>
  <c r="C438" i="108"/>
  <c r="C133" i="108"/>
  <c r="C586" i="108"/>
  <c r="C1172" i="108"/>
  <c r="C745" i="108"/>
  <c r="C832" i="108"/>
  <c r="C879" i="108"/>
  <c r="C1062" i="108"/>
  <c r="C688" i="108"/>
  <c r="C792" i="108"/>
  <c r="C929" i="108"/>
  <c r="C1003" i="108"/>
  <c r="C785" i="108"/>
  <c r="C1073" i="108"/>
  <c r="C807" i="108"/>
  <c r="C899" i="108"/>
  <c r="C400" i="108"/>
  <c r="C90" i="108"/>
  <c r="C403" i="108"/>
  <c r="C183" i="108"/>
  <c r="C127" i="108"/>
  <c r="C258" i="108"/>
  <c r="C577" i="108"/>
  <c r="C491" i="108"/>
  <c r="C421" i="108"/>
  <c r="C198" i="108"/>
  <c r="C136" i="108"/>
  <c r="C45" i="108"/>
  <c r="C662" i="108"/>
  <c r="C1153" i="108"/>
  <c r="C1110" i="108"/>
  <c r="C543" i="108"/>
  <c r="C594" i="108"/>
  <c r="C876" i="108"/>
  <c r="C1024" i="108"/>
  <c r="C968" i="108"/>
  <c r="C571" i="108"/>
  <c r="C1107" i="108"/>
  <c r="C960" i="108"/>
  <c r="C830" i="108"/>
  <c r="C1035" i="108"/>
  <c r="C1191" i="108"/>
  <c r="C1213" i="108"/>
  <c r="C519" i="108"/>
  <c r="C306" i="108"/>
  <c r="C118" i="108"/>
  <c r="C366" i="108"/>
  <c r="C312" i="108"/>
  <c r="C185" i="108"/>
  <c r="C54" i="108"/>
  <c r="C470" i="108"/>
  <c r="C246" i="108"/>
  <c r="C563" i="108"/>
  <c r="C524" i="108"/>
  <c r="C292" i="108"/>
  <c r="C52" i="108"/>
  <c r="C671" i="108"/>
  <c r="C726" i="108"/>
  <c r="C561" i="108"/>
  <c r="C805" i="108"/>
  <c r="C902" i="108"/>
  <c r="C962" i="108"/>
  <c r="C1026" i="108"/>
  <c r="C971" i="108"/>
  <c r="C1165" i="108"/>
  <c r="C809" i="108"/>
  <c r="C1144" i="108"/>
  <c r="C604" i="108"/>
  <c r="C680" i="108"/>
  <c r="C890" i="108"/>
  <c r="C1012" i="108"/>
  <c r="C741" i="108"/>
  <c r="C827" i="108"/>
  <c r="C939" i="108"/>
  <c r="C574" i="108"/>
  <c r="C739" i="108"/>
  <c r="C359" i="108"/>
  <c r="C193" i="108"/>
  <c r="C195" i="108"/>
  <c r="C49" i="108"/>
  <c r="C36" i="108"/>
  <c r="E10" i="117"/>
  <c r="D11" i="117" s="1"/>
  <c r="F9" i="117"/>
  <c r="G9" i="117"/>
  <c r="D23" i="116"/>
  <c r="D21" i="116"/>
  <c r="D22" i="116"/>
  <c r="C266" i="108"/>
  <c r="C47" i="113"/>
  <c r="C39" i="113"/>
  <c r="C293" i="108"/>
  <c r="C626" i="108"/>
  <c r="C706" i="108"/>
  <c r="C606" i="108"/>
  <c r="C596" i="108"/>
  <c r="C943" i="108"/>
  <c r="C326" i="108"/>
  <c r="C362" i="108"/>
  <c r="C106" i="108"/>
  <c r="C909" i="108"/>
  <c r="C263" i="108"/>
  <c r="C1007" i="108"/>
  <c r="C881" i="108"/>
  <c r="C949" i="108"/>
  <c r="C769" i="108"/>
  <c r="C1113" i="108"/>
  <c r="C837" i="108"/>
  <c r="C904" i="108"/>
  <c r="C479" i="108"/>
  <c r="C418" i="108"/>
  <c r="C299" i="108"/>
  <c r="C26" i="108"/>
  <c r="C476" i="108"/>
  <c r="C317" i="108"/>
  <c r="C241" i="108"/>
  <c r="C177" i="108"/>
  <c r="C34" i="108"/>
  <c r="C87" i="108"/>
  <c r="C431" i="108"/>
  <c r="C285" i="108"/>
  <c r="C225" i="108"/>
  <c r="C165" i="108"/>
  <c r="C18" i="108"/>
  <c r="C449" i="108"/>
  <c r="C373" i="108"/>
  <c r="C445" i="108"/>
  <c r="C369" i="108"/>
  <c r="C172" i="108"/>
  <c r="C32" i="108"/>
  <c r="C446" i="108"/>
  <c r="C219" i="108"/>
  <c r="C243" i="108"/>
  <c r="C166" i="108"/>
  <c r="C94" i="108"/>
  <c r="C365" i="108"/>
  <c r="C232" i="108"/>
  <c r="C22" i="108"/>
  <c r="C282" i="108"/>
  <c r="C19" i="108"/>
  <c r="C699" i="108"/>
  <c r="C1205" i="108"/>
  <c r="C737" i="108"/>
  <c r="C1207" i="108"/>
  <c r="C1087" i="108"/>
  <c r="C516" i="108"/>
  <c r="C138" i="108"/>
  <c r="C435" i="108"/>
  <c r="C607" i="108"/>
  <c r="C42" i="108"/>
  <c r="C485" i="108"/>
  <c r="C429" i="108"/>
  <c r="C405" i="108"/>
  <c r="C181" i="108"/>
  <c r="C304" i="108"/>
  <c r="C260" i="108"/>
  <c r="C676" i="108"/>
  <c r="C790" i="108"/>
  <c r="C701" i="108"/>
  <c r="C798" i="108"/>
  <c r="C956" i="108"/>
  <c r="C551" i="108"/>
  <c r="C1133" i="108"/>
  <c r="C654" i="108"/>
  <c r="C720" i="108"/>
  <c r="C874" i="108"/>
  <c r="C616" i="108"/>
  <c r="C629" i="108"/>
  <c r="C529" i="108"/>
  <c r="C458" i="108"/>
  <c r="C98" i="108"/>
  <c r="C589" i="108"/>
  <c r="C477" i="108"/>
  <c r="C91" i="108"/>
  <c r="C1074" i="108"/>
  <c r="C1146" i="108"/>
  <c r="C636" i="108"/>
  <c r="C717" i="108"/>
  <c r="C1038" i="108"/>
  <c r="C1098" i="108"/>
  <c r="C919" i="108"/>
  <c r="C983" i="108"/>
  <c r="C1047" i="108"/>
  <c r="C823" i="108"/>
  <c r="C950" i="108"/>
  <c r="C795" i="108"/>
  <c r="C975" i="108"/>
  <c r="C1122" i="108"/>
  <c r="C1197" i="108"/>
  <c r="C697" i="108"/>
  <c r="C1229" i="108"/>
  <c r="C770" i="108"/>
  <c r="C460" i="108"/>
  <c r="C274" i="108"/>
  <c r="C143" i="108"/>
  <c r="C173" i="108"/>
  <c r="C278" i="108"/>
  <c r="C31" i="108"/>
  <c r="D304" i="108"/>
  <c r="D308" i="108"/>
  <c r="D312" i="108"/>
  <c r="D316" i="108"/>
  <c r="D320" i="108"/>
  <c r="D305" i="108"/>
  <c r="D310" i="108"/>
  <c r="D315" i="108"/>
  <c r="D321" i="108"/>
  <c r="D325" i="108"/>
  <c r="D329" i="108"/>
  <c r="D333" i="108"/>
  <c r="D337" i="108"/>
  <c r="D341" i="108"/>
  <c r="D345" i="108"/>
  <c r="D349" i="108"/>
  <c r="D353" i="108"/>
  <c r="D357" i="108"/>
  <c r="D361" i="108"/>
  <c r="D365" i="108"/>
  <c r="D369" i="108"/>
  <c r="D373" i="108"/>
  <c r="D377" i="108"/>
  <c r="D381" i="108"/>
  <c r="D385" i="108"/>
  <c r="D389" i="108"/>
  <c r="D393" i="108"/>
  <c r="D397" i="108"/>
  <c r="D401" i="108"/>
  <c r="D405" i="108"/>
  <c r="D409" i="108"/>
  <c r="D413" i="108"/>
  <c r="D417" i="108"/>
  <c r="D421" i="108"/>
  <c r="D425" i="108"/>
  <c r="D429" i="108"/>
  <c r="D433" i="108"/>
  <c r="D437" i="108"/>
  <c r="D441" i="108"/>
  <c r="D445" i="108"/>
  <c r="D449" i="108"/>
  <c r="D453" i="108"/>
  <c r="D457" i="108"/>
  <c r="D461" i="108"/>
  <c r="D465" i="108"/>
  <c r="D469" i="108"/>
  <c r="D473" i="108"/>
  <c r="D477" i="108"/>
  <c r="D481" i="108"/>
  <c r="D485" i="108"/>
  <c r="D489" i="108"/>
  <c r="D493" i="108"/>
  <c r="D497" i="108"/>
  <c r="D501" i="108"/>
  <c r="D505" i="108"/>
  <c r="D509" i="108"/>
  <c r="D513" i="108"/>
  <c r="D517" i="108"/>
  <c r="D521" i="108"/>
  <c r="D525" i="108"/>
  <c r="D529" i="108"/>
  <c r="D533" i="108"/>
  <c r="D537" i="108"/>
  <c r="D541" i="108"/>
  <c r="D545" i="108"/>
  <c r="D549" i="108"/>
  <c r="D301" i="108"/>
  <c r="D306" i="108"/>
  <c r="D311" i="108"/>
  <c r="D317" i="108"/>
  <c r="D322" i="108"/>
  <c r="D326" i="108"/>
  <c r="D330" i="108"/>
  <c r="D334" i="108"/>
  <c r="D338" i="108"/>
  <c r="D342" i="108"/>
  <c r="D346" i="108"/>
  <c r="D350" i="108"/>
  <c r="D354" i="108"/>
  <c r="D358" i="108"/>
  <c r="D362" i="108"/>
  <c r="D366" i="108"/>
  <c r="D370" i="108"/>
  <c r="D374" i="108"/>
  <c r="D378" i="108"/>
  <c r="D382" i="108"/>
  <c r="D386" i="108"/>
  <c r="D390" i="108"/>
  <c r="D394" i="108"/>
  <c r="D398" i="108"/>
  <c r="D402" i="108"/>
  <c r="D406" i="108"/>
  <c r="D410" i="108"/>
  <c r="D414" i="108"/>
  <c r="D418" i="108"/>
  <c r="D422" i="108"/>
  <c r="D426" i="108"/>
  <c r="D430" i="108"/>
  <c r="D434" i="108"/>
  <c r="D438" i="108"/>
  <c r="D442" i="108"/>
  <c r="D446" i="108"/>
  <c r="D450" i="108"/>
  <c r="D454" i="108"/>
  <c r="D458" i="108"/>
  <c r="D462" i="108"/>
  <c r="D466" i="108"/>
  <c r="D470" i="108"/>
  <c r="D474" i="108"/>
  <c r="D478" i="108"/>
  <c r="D482" i="108"/>
  <c r="D486" i="108"/>
  <c r="D490" i="108"/>
  <c r="D494" i="108"/>
  <c r="D498" i="108"/>
  <c r="D502" i="108"/>
  <c r="D506" i="108"/>
  <c r="D510" i="108"/>
  <c r="D514" i="108"/>
  <c r="D518" i="108"/>
  <c r="D522" i="108"/>
  <c r="D526" i="108"/>
  <c r="D530" i="108"/>
  <c r="D534" i="108"/>
  <c r="D538" i="108"/>
  <c r="D542" i="108"/>
  <c r="D546" i="108"/>
  <c r="D302" i="108"/>
  <c r="D307" i="108"/>
  <c r="D313" i="108"/>
  <c r="D318" i="108"/>
  <c r="D323" i="108"/>
  <c r="D327" i="108"/>
  <c r="D331" i="108"/>
  <c r="D335" i="108"/>
  <c r="D339" i="108"/>
  <c r="D343" i="108"/>
  <c r="D347" i="108"/>
  <c r="D351" i="108"/>
  <c r="D355" i="108"/>
  <c r="D359" i="108"/>
  <c r="D363" i="108"/>
  <c r="D367" i="108"/>
  <c r="D371" i="108"/>
  <c r="D375" i="108"/>
  <c r="D379" i="108"/>
  <c r="D383" i="108"/>
  <c r="D387" i="108"/>
  <c r="D391" i="108"/>
  <c r="D395" i="108"/>
  <c r="D399" i="108"/>
  <c r="D403" i="108"/>
  <c r="D407" i="108"/>
  <c r="D411" i="108"/>
  <c r="D415" i="108"/>
  <c r="D419" i="108"/>
  <c r="D423" i="108"/>
  <c r="D427" i="108"/>
  <c r="D431" i="108"/>
  <c r="D435" i="108"/>
  <c r="D439" i="108"/>
  <c r="D443" i="108"/>
  <c r="D447" i="108"/>
  <c r="D451" i="108"/>
  <c r="D455" i="108"/>
  <c r="D459" i="108"/>
  <c r="D463" i="108"/>
  <c r="D467" i="108"/>
  <c r="D471" i="108"/>
  <c r="D475" i="108"/>
  <c r="D479" i="108"/>
  <c r="D483" i="108"/>
  <c r="D487" i="108"/>
  <c r="D491" i="108"/>
  <c r="D495" i="108"/>
  <c r="D499" i="108"/>
  <c r="D503" i="108"/>
  <c r="D507" i="108"/>
  <c r="D511" i="108"/>
  <c r="D515" i="108"/>
  <c r="D519" i="108"/>
  <c r="D523" i="108"/>
  <c r="D527" i="108"/>
  <c r="D531" i="108"/>
  <c r="D535" i="108"/>
  <c r="D539" i="108"/>
  <c r="D543" i="108"/>
  <c r="D547" i="108"/>
  <c r="D303" i="108"/>
  <c r="D309" i="108"/>
  <c r="D314" i="108"/>
  <c r="D319" i="108"/>
  <c r="D324" i="108"/>
  <c r="D328" i="108"/>
  <c r="D332" i="108"/>
  <c r="D336" i="108"/>
  <c r="D340" i="108"/>
  <c r="D344" i="108"/>
  <c r="D348" i="108"/>
  <c r="D352" i="108"/>
  <c r="D356" i="108"/>
  <c r="D360" i="108"/>
  <c r="D364" i="108"/>
  <c r="D368" i="108"/>
  <c r="D372" i="108"/>
  <c r="D376" i="108"/>
  <c r="D380" i="108"/>
  <c r="D384" i="108"/>
  <c r="D388" i="108"/>
  <c r="D392" i="108"/>
  <c r="D396" i="108"/>
  <c r="D400" i="108"/>
  <c r="D404" i="108"/>
  <c r="D408" i="108"/>
  <c r="D412" i="108"/>
  <c r="D416" i="108"/>
  <c r="D420" i="108"/>
  <c r="D424" i="108"/>
  <c r="D428" i="108"/>
  <c r="D432" i="108"/>
  <c r="D436" i="108"/>
  <c r="D440" i="108"/>
  <c r="D444" i="108"/>
  <c r="D448" i="108"/>
  <c r="D452" i="108"/>
  <c r="D456" i="108"/>
  <c r="D460" i="108"/>
  <c r="D464" i="108"/>
  <c r="D468" i="108"/>
  <c r="D472" i="108"/>
  <c r="D476" i="108"/>
  <c r="D480" i="108"/>
  <c r="D484" i="108"/>
  <c r="D488" i="108"/>
  <c r="D492" i="108"/>
  <c r="D496" i="108"/>
  <c r="D500" i="108"/>
  <c r="D504" i="108"/>
  <c r="D508" i="108"/>
  <c r="D512" i="108"/>
  <c r="D516" i="108"/>
  <c r="D520" i="108"/>
  <c r="D524" i="108"/>
  <c r="D528" i="108"/>
  <c r="D532" i="108"/>
  <c r="D536" i="108"/>
  <c r="D540" i="108"/>
  <c r="D544" i="108"/>
  <c r="D548" i="108"/>
  <c r="D552" i="108"/>
  <c r="D556" i="108"/>
  <c r="D560" i="108"/>
  <c r="D564" i="108"/>
  <c r="D568" i="108"/>
  <c r="D572" i="108"/>
  <c r="D576" i="108"/>
  <c r="D580" i="108"/>
  <c r="D584" i="108"/>
  <c r="D588" i="108"/>
  <c r="D592" i="108"/>
  <c r="D596" i="108"/>
  <c r="D600" i="108"/>
  <c r="D604" i="108"/>
  <c r="D608" i="108"/>
  <c r="D612" i="108"/>
  <c r="D616" i="108"/>
  <c r="D620" i="108"/>
  <c r="D624" i="108"/>
  <c r="D628" i="108"/>
  <c r="D632" i="108"/>
  <c r="D636" i="108"/>
  <c r="D640" i="108"/>
  <c r="D644" i="108"/>
  <c r="D648" i="108"/>
  <c r="D652" i="108"/>
  <c r="D656" i="108"/>
  <c r="D660" i="108"/>
  <c r="D664" i="108"/>
  <c r="D668" i="108"/>
  <c r="D672" i="108"/>
  <c r="D676" i="108"/>
  <c r="D680" i="108"/>
  <c r="D684" i="108"/>
  <c r="D688" i="108"/>
  <c r="D692" i="108"/>
  <c r="D696" i="108"/>
  <c r="D700" i="108"/>
  <c r="D704" i="108"/>
  <c r="D708" i="108"/>
  <c r="D712" i="108"/>
  <c r="D716" i="108"/>
  <c r="D720" i="108"/>
  <c r="D724" i="108"/>
  <c r="D728" i="108"/>
  <c r="D732" i="108"/>
  <c r="D736" i="108"/>
  <c r="D740" i="108"/>
  <c r="D744" i="108"/>
  <c r="D748" i="108"/>
  <c r="D752" i="108"/>
  <c r="D756" i="108"/>
  <c r="D760" i="108"/>
  <c r="D764" i="108"/>
  <c r="D768" i="108"/>
  <c r="D772" i="108"/>
  <c r="D776" i="108"/>
  <c r="D780" i="108"/>
  <c r="D784" i="108"/>
  <c r="D788" i="108"/>
  <c r="D792" i="108"/>
  <c r="D796" i="108"/>
  <c r="D800" i="108"/>
  <c r="D804" i="108"/>
  <c r="D808" i="108"/>
  <c r="D812" i="108"/>
  <c r="D816" i="108"/>
  <c r="D820" i="108"/>
  <c r="D824" i="108"/>
  <c r="D828" i="108"/>
  <c r="D832" i="108"/>
  <c r="D836" i="108"/>
  <c r="D840" i="108"/>
  <c r="D844" i="108"/>
  <c r="D848" i="108"/>
  <c r="D852" i="108"/>
  <c r="D856" i="108"/>
  <c r="D860" i="108"/>
  <c r="D864" i="108"/>
  <c r="D868" i="108"/>
  <c r="D551" i="108"/>
  <c r="D557" i="108"/>
  <c r="D562" i="108"/>
  <c r="D567" i="108"/>
  <c r="D573" i="108"/>
  <c r="D578" i="108"/>
  <c r="D583" i="108"/>
  <c r="D589" i="108"/>
  <c r="D594" i="108"/>
  <c r="D599" i="108"/>
  <c r="D605" i="108"/>
  <c r="D610" i="108"/>
  <c r="D615" i="108"/>
  <c r="D621" i="108"/>
  <c r="D626" i="108"/>
  <c r="D631" i="108"/>
  <c r="D637" i="108"/>
  <c r="D642" i="108"/>
  <c r="D647" i="108"/>
  <c r="D653" i="108"/>
  <c r="D658" i="108"/>
  <c r="D663" i="108"/>
  <c r="D669" i="108"/>
  <c r="D674" i="108"/>
  <c r="D679" i="108"/>
  <c r="D685" i="108"/>
  <c r="D690" i="108"/>
  <c r="D695" i="108"/>
  <c r="D701" i="108"/>
  <c r="D706" i="108"/>
  <c r="D711" i="108"/>
  <c r="D717" i="108"/>
  <c r="D722" i="108"/>
  <c r="D727" i="108"/>
  <c r="D733" i="108"/>
  <c r="D738" i="108"/>
  <c r="D743" i="108"/>
  <c r="D749" i="108"/>
  <c r="D754" i="108"/>
  <c r="D759" i="108"/>
  <c r="D765" i="108"/>
  <c r="D770" i="108"/>
  <c r="D775" i="108"/>
  <c r="D781" i="108"/>
  <c r="D786" i="108"/>
  <c r="D791" i="108"/>
  <c r="D797" i="108"/>
  <c r="D802" i="108"/>
  <c r="D807" i="108"/>
  <c r="D813" i="108"/>
  <c r="D818" i="108"/>
  <c r="D823" i="108"/>
  <c r="D829" i="108"/>
  <c r="D834" i="108"/>
  <c r="D839" i="108"/>
  <c r="D845" i="108"/>
  <c r="D850" i="108"/>
  <c r="D855" i="108"/>
  <c r="D861" i="108"/>
  <c r="D866" i="108"/>
  <c r="D871" i="108"/>
  <c r="D875" i="108"/>
  <c r="D879" i="108"/>
  <c r="D883" i="108"/>
  <c r="D887" i="108"/>
  <c r="D891" i="108"/>
  <c r="D895" i="108"/>
  <c r="D899" i="108"/>
  <c r="D903" i="108"/>
  <c r="D907" i="108"/>
  <c r="D911" i="108"/>
  <c r="D915" i="108"/>
  <c r="D919" i="108"/>
  <c r="D923" i="108"/>
  <c r="D927" i="108"/>
  <c r="D931" i="108"/>
  <c r="D935" i="108"/>
  <c r="D939" i="108"/>
  <c r="D943" i="108"/>
  <c r="D947" i="108"/>
  <c r="D951" i="108"/>
  <c r="D955" i="108"/>
  <c r="D959" i="108"/>
  <c r="D963" i="108"/>
  <c r="D967" i="108"/>
  <c r="D971" i="108"/>
  <c r="D553" i="108"/>
  <c r="D558" i="108"/>
  <c r="D563" i="108"/>
  <c r="D569" i="108"/>
  <c r="D574" i="108"/>
  <c r="D579" i="108"/>
  <c r="D585" i="108"/>
  <c r="D590" i="108"/>
  <c r="D595" i="108"/>
  <c r="D601" i="108"/>
  <c r="D606" i="108"/>
  <c r="D611" i="108"/>
  <c r="D617" i="108"/>
  <c r="D622" i="108"/>
  <c r="D627" i="108"/>
  <c r="D633" i="108"/>
  <c r="D638" i="108"/>
  <c r="D643" i="108"/>
  <c r="D649" i="108"/>
  <c r="D654" i="108"/>
  <c r="D659" i="108"/>
  <c r="D665" i="108"/>
  <c r="D670" i="108"/>
  <c r="D675" i="108"/>
  <c r="D681" i="108"/>
  <c r="D686" i="108"/>
  <c r="D691" i="108"/>
  <c r="D697" i="108"/>
  <c r="D702" i="108"/>
  <c r="D707" i="108"/>
  <c r="D713" i="108"/>
  <c r="D718" i="108"/>
  <c r="D723" i="108"/>
  <c r="D729" i="108"/>
  <c r="D734" i="108"/>
  <c r="D739" i="108"/>
  <c r="D745" i="108"/>
  <c r="D750" i="108"/>
  <c r="D755" i="108"/>
  <c r="D761" i="108"/>
  <c r="D766" i="108"/>
  <c r="D771" i="108"/>
  <c r="D777" i="108"/>
  <c r="D782" i="108"/>
  <c r="D787" i="108"/>
  <c r="D793" i="108"/>
  <c r="D798" i="108"/>
  <c r="D803" i="108"/>
  <c r="D809" i="108"/>
  <c r="D814" i="108"/>
  <c r="D819" i="108"/>
  <c r="D825" i="108"/>
  <c r="D830" i="108"/>
  <c r="D835" i="108"/>
  <c r="D841" i="108"/>
  <c r="D846" i="108"/>
  <c r="D851" i="108"/>
  <c r="D857" i="108"/>
  <c r="D862" i="108"/>
  <c r="D867" i="108"/>
  <c r="D872" i="108"/>
  <c r="D876" i="108"/>
  <c r="D880" i="108"/>
  <c r="D884" i="108"/>
  <c r="D888" i="108"/>
  <c r="D892" i="108"/>
  <c r="D896" i="108"/>
  <c r="D900" i="108"/>
  <c r="D904" i="108"/>
  <c r="D908" i="108"/>
  <c r="D912" i="108"/>
  <c r="D916" i="108"/>
  <c r="D920" i="108"/>
  <c r="D924" i="108"/>
  <c r="D928" i="108"/>
  <c r="D932" i="108"/>
  <c r="D936" i="108"/>
  <c r="D940" i="108"/>
  <c r="D944" i="108"/>
  <c r="D948" i="108"/>
  <c r="D952" i="108"/>
  <c r="D956" i="108"/>
  <c r="D960" i="108"/>
  <c r="D964" i="108"/>
  <c r="D968" i="108"/>
  <c r="D972" i="108"/>
  <c r="D554" i="108"/>
  <c r="D559" i="108"/>
  <c r="D565" i="108"/>
  <c r="D570" i="108"/>
  <c r="D575" i="108"/>
  <c r="D581" i="108"/>
  <c r="D586" i="108"/>
  <c r="D591" i="108"/>
  <c r="D597" i="108"/>
  <c r="D602" i="108"/>
  <c r="D607" i="108"/>
  <c r="D613" i="108"/>
  <c r="D618" i="108"/>
  <c r="D623" i="108"/>
  <c r="D629" i="108"/>
  <c r="D634" i="108"/>
  <c r="D639" i="108"/>
  <c r="D645" i="108"/>
  <c r="D650" i="108"/>
  <c r="D655" i="108"/>
  <c r="D661" i="108"/>
  <c r="D666" i="108"/>
  <c r="D671" i="108"/>
  <c r="D677" i="108"/>
  <c r="D682" i="108"/>
  <c r="D687" i="108"/>
  <c r="D693" i="108"/>
  <c r="D698" i="108"/>
  <c r="D703" i="108"/>
  <c r="D709" i="108"/>
  <c r="D714" i="108"/>
  <c r="D719" i="108"/>
  <c r="D725" i="108"/>
  <c r="D730" i="108"/>
  <c r="D735" i="108"/>
  <c r="D741" i="108"/>
  <c r="D746" i="108"/>
  <c r="D751" i="108"/>
  <c r="D757" i="108"/>
  <c r="D762" i="108"/>
  <c r="D767" i="108"/>
  <c r="D773" i="108"/>
  <c r="D778" i="108"/>
  <c r="D783" i="108"/>
  <c r="D789" i="108"/>
  <c r="D794" i="108"/>
  <c r="D799" i="108"/>
  <c r="D805" i="108"/>
  <c r="D810" i="108"/>
  <c r="D815" i="108"/>
  <c r="D821" i="108"/>
  <c r="D826" i="108"/>
  <c r="D831" i="108"/>
  <c r="D837" i="108"/>
  <c r="D842" i="108"/>
  <c r="D847" i="108"/>
  <c r="D853" i="108"/>
  <c r="D858" i="108"/>
  <c r="D863" i="108"/>
  <c r="D869" i="108"/>
  <c r="D873" i="108"/>
  <c r="D877" i="108"/>
  <c r="D881" i="108"/>
  <c r="D885" i="108"/>
  <c r="D889" i="108"/>
  <c r="D893" i="108"/>
  <c r="D897" i="108"/>
  <c r="D901" i="108"/>
  <c r="D905" i="108"/>
  <c r="D909" i="108"/>
  <c r="D913" i="108"/>
  <c r="D917" i="108"/>
  <c r="D921" i="108"/>
  <c r="D925" i="108"/>
  <c r="D929" i="108"/>
  <c r="D933" i="108"/>
  <c r="D937" i="108"/>
  <c r="D941" i="108"/>
  <c r="D945" i="108"/>
  <c r="D949" i="108"/>
  <c r="D953" i="108"/>
  <c r="D957" i="108"/>
  <c r="D961" i="108"/>
  <c r="D965" i="108"/>
  <c r="D969" i="108"/>
  <c r="D550" i="108"/>
  <c r="D555" i="108"/>
  <c r="D561" i="108"/>
  <c r="D566" i="108"/>
  <c r="D571" i="108"/>
  <c r="D577" i="108"/>
  <c r="D582" i="108"/>
  <c r="D587" i="108"/>
  <c r="D593" i="108"/>
  <c r="D598" i="108"/>
  <c r="D603" i="108"/>
  <c r="D609" i="108"/>
  <c r="D614" i="108"/>
  <c r="D619" i="108"/>
  <c r="D625" i="108"/>
  <c r="D630" i="108"/>
  <c r="D635" i="108"/>
  <c r="D641" i="108"/>
  <c r="D646" i="108"/>
  <c r="D651" i="108"/>
  <c r="D657" i="108"/>
  <c r="D662" i="108"/>
  <c r="D667" i="108"/>
  <c r="D673" i="108"/>
  <c r="D678" i="108"/>
  <c r="D683" i="108"/>
  <c r="D689" i="108"/>
  <c r="D694" i="108"/>
  <c r="D699" i="108"/>
  <c r="D705" i="108"/>
  <c r="D710" i="108"/>
  <c r="D715" i="108"/>
  <c r="D721" i="108"/>
  <c r="D726" i="108"/>
  <c r="D731" i="108"/>
  <c r="D737" i="108"/>
  <c r="D742" i="108"/>
  <c r="D747" i="108"/>
  <c r="D753" i="108"/>
  <c r="D758" i="108"/>
  <c r="D763" i="108"/>
  <c r="D769" i="108"/>
  <c r="D774" i="108"/>
  <c r="D779" i="108"/>
  <c r="D785" i="108"/>
  <c r="D790" i="108"/>
  <c r="D795" i="108"/>
  <c r="D801" i="108"/>
  <c r="D806" i="108"/>
  <c r="D811" i="108"/>
  <c r="D817" i="108"/>
  <c r="D822" i="108"/>
  <c r="D827" i="108"/>
  <c r="D833" i="108"/>
  <c r="D838" i="108"/>
  <c r="D843" i="108"/>
  <c r="D849" i="108"/>
  <c r="D854" i="108"/>
  <c r="D859" i="108"/>
  <c r="D865" i="108"/>
  <c r="D870" i="108"/>
  <c r="D874" i="108"/>
  <c r="D878" i="108"/>
  <c r="D882" i="108"/>
  <c r="D886" i="108"/>
  <c r="D890" i="108"/>
  <c r="D894" i="108"/>
  <c r="D898" i="108"/>
  <c r="D902" i="108"/>
  <c r="D906" i="108"/>
  <c r="D910" i="108"/>
  <c r="D914" i="108"/>
  <c r="D918" i="108"/>
  <c r="D922" i="108"/>
  <c r="D926" i="108"/>
  <c r="D930" i="108"/>
  <c r="D934" i="108"/>
  <c r="D938" i="108"/>
  <c r="D942" i="108"/>
  <c r="D946" i="108"/>
  <c r="D950" i="108"/>
  <c r="D954" i="108"/>
  <c r="D958" i="108"/>
  <c r="D962" i="108"/>
  <c r="D966" i="108"/>
  <c r="D970" i="108"/>
  <c r="D974" i="108"/>
  <c r="D978" i="108"/>
  <c r="D982" i="108"/>
  <c r="D986" i="108"/>
  <c r="D990" i="108"/>
  <c r="D994" i="108"/>
  <c r="D998" i="108"/>
  <c r="D1002" i="108"/>
  <c r="D1006" i="108"/>
  <c r="D1010" i="108"/>
  <c r="D1014" i="108"/>
  <c r="D1018" i="108"/>
  <c r="D1022" i="108"/>
  <c r="D1026" i="108"/>
  <c r="D1030" i="108"/>
  <c r="D1034" i="108"/>
  <c r="D1038" i="108"/>
  <c r="D1042" i="108"/>
  <c r="D1046" i="108"/>
  <c r="D1050" i="108"/>
  <c r="D1054" i="108"/>
  <c r="D1058" i="108"/>
  <c r="D1062" i="108"/>
  <c r="D1066" i="108"/>
  <c r="D1070" i="108"/>
  <c r="D1074" i="108"/>
  <c r="D1078" i="108"/>
  <c r="D1082" i="108"/>
  <c r="D1086" i="108"/>
  <c r="D1090" i="108"/>
  <c r="D1094" i="108"/>
  <c r="D1098" i="108"/>
  <c r="D1102" i="108"/>
  <c r="D1106" i="108"/>
  <c r="D1110" i="108"/>
  <c r="D1114" i="108"/>
  <c r="D1118" i="108"/>
  <c r="D1122" i="108"/>
  <c r="D1126" i="108"/>
  <c r="D1130" i="108"/>
  <c r="D1134" i="108"/>
  <c r="D1138" i="108"/>
  <c r="D1142" i="108"/>
  <c r="D1146" i="108"/>
  <c r="D1150" i="108"/>
  <c r="D1154" i="108"/>
  <c r="D1158" i="108"/>
  <c r="D1162" i="108"/>
  <c r="D1166" i="108"/>
  <c r="D1170" i="108"/>
  <c r="D1174" i="108"/>
  <c r="D1178" i="108"/>
  <c r="D1182" i="108"/>
  <c r="D1186" i="108"/>
  <c r="D1190" i="108"/>
  <c r="D1194" i="108"/>
  <c r="D1198" i="108"/>
  <c r="D1202" i="108"/>
  <c r="D1206" i="108"/>
  <c r="D1210" i="108"/>
  <c r="D1214" i="108"/>
  <c r="D1218" i="108"/>
  <c r="D975" i="108"/>
  <c r="D980" i="108"/>
  <c r="D985" i="108"/>
  <c r="D991" i="108"/>
  <c r="D996" i="108"/>
  <c r="D1001" i="108"/>
  <c r="D1007" i="108"/>
  <c r="D1012" i="108"/>
  <c r="D1017" i="108"/>
  <c r="D1023" i="108"/>
  <c r="D1028" i="108"/>
  <c r="D1033" i="108"/>
  <c r="D1039" i="108"/>
  <c r="D1044" i="108"/>
  <c r="D1049" i="108"/>
  <c r="D1055" i="108"/>
  <c r="D1060" i="108"/>
  <c r="D1065" i="108"/>
  <c r="D1071" i="108"/>
  <c r="D1076" i="108"/>
  <c r="D1081" i="108"/>
  <c r="D1087" i="108"/>
  <c r="D1092" i="108"/>
  <c r="D1097" i="108"/>
  <c r="D1103" i="108"/>
  <c r="D1108" i="108"/>
  <c r="D1113" i="108"/>
  <c r="D1119" i="108"/>
  <c r="D1124" i="108"/>
  <c r="D1129" i="108"/>
  <c r="D1135" i="108"/>
  <c r="D1140" i="108"/>
  <c r="D1145" i="108"/>
  <c r="D1151" i="108"/>
  <c r="D1156" i="108"/>
  <c r="D1161" i="108"/>
  <c r="D1167" i="108"/>
  <c r="D1172" i="108"/>
  <c r="D1177" i="108"/>
  <c r="D1183" i="108"/>
  <c r="D1188" i="108"/>
  <c r="D1193" i="108"/>
  <c r="D1199" i="108"/>
  <c r="D1204" i="108"/>
  <c r="D1209" i="108"/>
  <c r="D1215" i="108"/>
  <c r="D1220" i="108"/>
  <c r="D1224" i="108"/>
  <c r="D1228" i="108"/>
  <c r="D976" i="108"/>
  <c r="D981" i="108"/>
  <c r="D987" i="108"/>
  <c r="D992" i="108"/>
  <c r="D997" i="108"/>
  <c r="D1003" i="108"/>
  <c r="D1008" i="108"/>
  <c r="D1013" i="108"/>
  <c r="D1019" i="108"/>
  <c r="D1024" i="108"/>
  <c r="D1029" i="108"/>
  <c r="D1035" i="108"/>
  <c r="D1040" i="108"/>
  <c r="D1045" i="108"/>
  <c r="D1051" i="108"/>
  <c r="D1056" i="108"/>
  <c r="D1061" i="108"/>
  <c r="D1067" i="108"/>
  <c r="D1072" i="108"/>
  <c r="D1077" i="108"/>
  <c r="D1083" i="108"/>
  <c r="D1088" i="108"/>
  <c r="D1093" i="108"/>
  <c r="D1099" i="108"/>
  <c r="D1104" i="108"/>
  <c r="D1109" i="108"/>
  <c r="D1115" i="108"/>
  <c r="D1120" i="108"/>
  <c r="D1125" i="108"/>
  <c r="D1131" i="108"/>
  <c r="D1136" i="108"/>
  <c r="D1141" i="108"/>
  <c r="D1147" i="108"/>
  <c r="D1152" i="108"/>
  <c r="D1157" i="108"/>
  <c r="D1163" i="108"/>
  <c r="D1168" i="108"/>
  <c r="D1173" i="108"/>
  <c r="D1179" i="108"/>
  <c r="D1184" i="108"/>
  <c r="D1189" i="108"/>
  <c r="D1195" i="108"/>
  <c r="D1200" i="108"/>
  <c r="D1205" i="108"/>
  <c r="D1211" i="108"/>
  <c r="D1216" i="108"/>
  <c r="D1221" i="108"/>
  <c r="D1225" i="108"/>
  <c r="D1229" i="108"/>
  <c r="D977" i="108"/>
  <c r="D983" i="108"/>
  <c r="D988" i="108"/>
  <c r="D993" i="108"/>
  <c r="D999" i="108"/>
  <c r="D1004" i="108"/>
  <c r="D1009" i="108"/>
  <c r="D1015" i="108"/>
  <c r="D1020" i="108"/>
  <c r="D1025" i="108"/>
  <c r="D1031" i="108"/>
  <c r="D1036" i="108"/>
  <c r="D1041" i="108"/>
  <c r="D1047" i="108"/>
  <c r="D1052" i="108"/>
  <c r="D1057" i="108"/>
  <c r="D1063" i="108"/>
  <c r="D1068" i="108"/>
  <c r="D1073" i="108"/>
  <c r="D1079" i="108"/>
  <c r="D1084" i="108"/>
  <c r="D1089" i="108"/>
  <c r="D1095" i="108"/>
  <c r="D1100" i="108"/>
  <c r="D1105" i="108"/>
  <c r="D1111" i="108"/>
  <c r="D1116" i="108"/>
  <c r="D1121" i="108"/>
  <c r="D1127" i="108"/>
  <c r="D1132" i="108"/>
  <c r="D1137" i="108"/>
  <c r="D1143" i="108"/>
  <c r="D1148" i="108"/>
  <c r="D1153" i="108"/>
  <c r="D1159" i="108"/>
  <c r="D1164" i="108"/>
  <c r="D1169" i="108"/>
  <c r="D1175" i="108"/>
  <c r="D1180" i="108"/>
  <c r="D1185" i="108"/>
  <c r="D1191" i="108"/>
  <c r="D1196" i="108"/>
  <c r="D1201" i="108"/>
  <c r="D1207" i="108"/>
  <c r="D1212" i="108"/>
  <c r="D1217" i="108"/>
  <c r="D1222" i="108"/>
  <c r="D1226" i="108"/>
  <c r="D1230" i="108"/>
  <c r="D973" i="108"/>
  <c r="D979" i="108"/>
  <c r="D984" i="108"/>
  <c r="D989" i="108"/>
  <c r="D995" i="108"/>
  <c r="D1000" i="108"/>
  <c r="D1005" i="108"/>
  <c r="D1011" i="108"/>
  <c r="D1016" i="108"/>
  <c r="D1021" i="108"/>
  <c r="D1027" i="108"/>
  <c r="D1032" i="108"/>
  <c r="D1037" i="108"/>
  <c r="D1043" i="108"/>
  <c r="D1048" i="108"/>
  <c r="D1053" i="108"/>
  <c r="D1059" i="108"/>
  <c r="D1064" i="108"/>
  <c r="D1069" i="108"/>
  <c r="D1075" i="108"/>
  <c r="D1080" i="108"/>
  <c r="D1085" i="108"/>
  <c r="D1091" i="108"/>
  <c r="D1096" i="108"/>
  <c r="D1101" i="108"/>
  <c r="D1107" i="108"/>
  <c r="D1112" i="108"/>
  <c r="D1117" i="108"/>
  <c r="D1123" i="108"/>
  <c r="D1128" i="108"/>
  <c r="D1133" i="108"/>
  <c r="D1139" i="108"/>
  <c r="D1144" i="108"/>
  <c r="D1149" i="108"/>
  <c r="D1155" i="108"/>
  <c r="D1160" i="108"/>
  <c r="D1165" i="108"/>
  <c r="D1171" i="108"/>
  <c r="D1176" i="108"/>
  <c r="D1181" i="108"/>
  <c r="D1187" i="108"/>
  <c r="D1192" i="108"/>
  <c r="D1197" i="108"/>
  <c r="D1203" i="108"/>
  <c r="D1208" i="108"/>
  <c r="D1213" i="108"/>
  <c r="D1219" i="108"/>
  <c r="D1223" i="108"/>
  <c r="D1227" i="108"/>
  <c r="C247" i="108"/>
  <c r="C271" i="108"/>
  <c r="C920" i="108"/>
  <c r="C1048" i="108"/>
  <c r="C887" i="108"/>
  <c r="C947" i="108"/>
  <c r="C1013" i="108"/>
  <c r="C818" i="108"/>
  <c r="C1082" i="108"/>
  <c r="C627" i="108"/>
  <c r="C1031" i="108"/>
  <c r="C1208" i="108"/>
  <c r="C1123" i="108"/>
  <c r="C591" i="108"/>
  <c r="C813" i="108"/>
  <c r="C935" i="108"/>
  <c r="C998" i="108"/>
  <c r="C1051" i="108"/>
  <c r="C766" i="108"/>
  <c r="C966" i="108"/>
  <c r="C843" i="108"/>
  <c r="C911" i="108"/>
  <c r="C1168" i="108"/>
  <c r="C778" i="108"/>
  <c r="C1105" i="108"/>
  <c r="C1181" i="108"/>
  <c r="C1093" i="108"/>
  <c r="C683" i="108"/>
  <c r="C847" i="108"/>
  <c r="C924" i="108"/>
  <c r="C1029" i="108"/>
  <c r="C1077" i="108"/>
  <c r="C709" i="108"/>
  <c r="C788" i="108"/>
  <c r="C1021" i="108"/>
  <c r="C611" i="108"/>
  <c r="C678" i="108"/>
  <c r="C748" i="108"/>
  <c r="C548" i="108"/>
  <c r="C838" i="108"/>
  <c r="C905" i="108"/>
  <c r="C762" i="108"/>
  <c r="C1059" i="108"/>
  <c r="C1179" i="108"/>
  <c r="C462" i="108"/>
  <c r="C379" i="108"/>
  <c r="C301" i="108"/>
  <c r="C426" i="108"/>
  <c r="C374" i="108"/>
  <c r="C268" i="108"/>
  <c r="C144" i="108"/>
  <c r="C75" i="108"/>
  <c r="C345" i="108"/>
  <c r="C229" i="108"/>
  <c r="C96" i="108"/>
  <c r="C521" i="108"/>
  <c r="C417" i="108"/>
  <c r="C351" i="108"/>
  <c r="C376" i="108"/>
  <c r="C108" i="108"/>
  <c r="C423" i="108"/>
  <c r="C203" i="108"/>
  <c r="C140" i="108"/>
  <c r="C72" i="108"/>
  <c r="C412" i="108"/>
  <c r="C211" i="108"/>
  <c r="C56" i="108"/>
  <c r="C250" i="108"/>
  <c r="C131" i="108"/>
  <c r="C353" i="108"/>
  <c r="C152" i="108"/>
  <c r="C189" i="108"/>
  <c r="C256" i="108"/>
  <c r="C61" i="108"/>
  <c r="C139" i="108"/>
  <c r="C237" i="108"/>
  <c r="C161" i="108"/>
  <c r="C103" i="108"/>
  <c r="C319" i="108"/>
  <c r="C553" i="108"/>
  <c r="C922" i="108"/>
  <c r="C534" i="108"/>
  <c r="C735" i="108"/>
  <c r="C908" i="108"/>
  <c r="C1226" i="108"/>
  <c r="C854" i="108"/>
  <c r="C955" i="108"/>
  <c r="C693" i="108"/>
  <c r="C755" i="108"/>
  <c r="C556" i="108"/>
  <c r="C916" i="108"/>
  <c r="C1114" i="108"/>
  <c r="C868" i="108"/>
  <c r="C436" i="108"/>
  <c r="C467" i="108"/>
  <c r="C413" i="108"/>
  <c r="C453" i="108"/>
  <c r="C506" i="108"/>
  <c r="C433" i="108"/>
  <c r="C464" i="108"/>
  <c r="C385" i="108"/>
  <c r="C325" i="108"/>
  <c r="C448" i="108"/>
  <c r="C410" i="108"/>
  <c r="C308" i="108"/>
  <c r="C663" i="108"/>
  <c r="C774" i="108"/>
  <c r="C846" i="108"/>
  <c r="C659" i="108"/>
  <c r="C918" i="108"/>
  <c r="C696" i="108"/>
  <c r="C428" i="108"/>
  <c r="C364" i="108"/>
  <c r="C488" i="108"/>
  <c r="C395" i="108"/>
  <c r="C914" i="108"/>
  <c r="C647" i="108"/>
  <c r="C452" i="108"/>
  <c r="C372" i="108"/>
  <c r="C987" i="108"/>
  <c r="C1050" i="108"/>
  <c r="C1136" i="108"/>
  <c r="C1006" i="108"/>
  <c r="C1060" i="108"/>
  <c r="C1096" i="108"/>
  <c r="C1142" i="108"/>
  <c r="C1210" i="108"/>
  <c r="C992" i="108"/>
  <c r="C1183" i="108"/>
  <c r="C1020" i="108"/>
  <c r="C1175" i="108"/>
  <c r="C1071" i="108"/>
  <c r="C969" i="108"/>
  <c r="C999" i="108"/>
  <c r="C1118" i="108"/>
  <c r="C1203" i="108"/>
  <c r="C1065" i="108"/>
  <c r="C1216" i="108"/>
  <c r="C1056" i="108"/>
  <c r="C1092" i="108"/>
  <c r="C1180" i="108"/>
  <c r="C1228" i="108"/>
  <c r="C1157" i="108"/>
  <c r="C1128" i="108"/>
  <c r="C1104" i="108"/>
  <c r="C1088" i="108"/>
  <c r="C1135" i="108"/>
  <c r="C1201" i="108"/>
  <c r="C707" i="108"/>
  <c r="C544" i="108"/>
  <c r="C272" i="108"/>
  <c r="C406" i="108"/>
  <c r="C349" i="108"/>
  <c r="C305" i="108"/>
  <c r="C149" i="108"/>
  <c r="C554" i="108"/>
  <c r="C456" i="108"/>
  <c r="C387" i="108"/>
  <c r="C220" i="108"/>
  <c r="C80" i="108"/>
  <c r="C652" i="108"/>
  <c r="C773" i="108"/>
  <c r="C831" i="108"/>
  <c r="C946" i="108"/>
  <c r="C1022" i="108"/>
  <c r="C1090" i="108"/>
  <c r="C1192" i="108"/>
  <c r="C572" i="108"/>
  <c r="C655" i="108"/>
  <c r="C824" i="108"/>
  <c r="C921" i="108"/>
  <c r="C985" i="108"/>
  <c r="C1049" i="108"/>
  <c r="C1141" i="108"/>
  <c r="C533" i="108"/>
  <c r="C641" i="108"/>
  <c r="C746" i="108"/>
  <c r="C784" i="108"/>
  <c r="C853" i="108"/>
  <c r="C907" i="108"/>
  <c r="C986" i="108"/>
  <c r="C1053" i="108"/>
  <c r="C1116" i="108"/>
  <c r="C825" i="108"/>
  <c r="C1061" i="108"/>
  <c r="C1117" i="108"/>
  <c r="C1169" i="108"/>
  <c r="C1182" i="108"/>
  <c r="C562" i="108"/>
  <c r="C684" i="108"/>
  <c r="C613" i="108"/>
  <c r="C704" i="108"/>
  <c r="C740" i="108"/>
  <c r="C845" i="108"/>
  <c r="C901" i="108"/>
  <c r="C961" i="108"/>
  <c r="C1025" i="108"/>
  <c r="C1130" i="108"/>
  <c r="C1202" i="108"/>
  <c r="C614" i="108"/>
  <c r="C705" i="108"/>
  <c r="C752" i="108"/>
  <c r="C791" i="108"/>
  <c r="C835" i="108"/>
  <c r="C913" i="108"/>
  <c r="C1072" i="108"/>
  <c r="C1200" i="108"/>
  <c r="C692" i="108"/>
  <c r="C808" i="108"/>
  <c r="C880" i="108"/>
  <c r="C933" i="108"/>
  <c r="C990" i="108"/>
  <c r="C1069" i="108"/>
  <c r="C555" i="108"/>
  <c r="C642" i="108"/>
  <c r="C743" i="108"/>
  <c r="C867" i="108"/>
  <c r="C923" i="108"/>
  <c r="C1004" i="108"/>
  <c r="C1064" i="108"/>
  <c r="C1152" i="108"/>
  <c r="C1211" i="108"/>
  <c r="C1143" i="108"/>
  <c r="C1154" i="108"/>
  <c r="C585" i="108"/>
  <c r="C765" i="108"/>
  <c r="C826" i="108"/>
  <c r="C878" i="108"/>
  <c r="C954" i="108"/>
  <c r="C1001" i="108"/>
  <c r="C1164" i="108"/>
  <c r="C1167" i="108"/>
  <c r="C603" i="108"/>
  <c r="C670" i="108"/>
  <c r="C802" i="108"/>
  <c r="C875" i="108"/>
  <c r="C917" i="108"/>
  <c r="C970" i="108"/>
  <c r="C1019" i="108"/>
  <c r="C1209" i="108"/>
  <c r="C558" i="108"/>
  <c r="C695" i="108"/>
  <c r="C767" i="108"/>
  <c r="C828" i="108"/>
  <c r="C884" i="108"/>
  <c r="C948" i="108"/>
  <c r="C1010" i="108"/>
  <c r="C1076" i="108"/>
  <c r="C1134" i="108"/>
  <c r="C605" i="108"/>
  <c r="C885" i="108"/>
  <c r="C938" i="108"/>
  <c r="C991" i="108"/>
  <c r="C1054" i="108"/>
  <c r="C1109" i="108"/>
  <c r="C1103" i="108"/>
  <c r="C1131" i="108"/>
  <c r="C275" i="108"/>
  <c r="C363" i="108"/>
  <c r="C427" i="108"/>
  <c r="C497" i="108"/>
  <c r="C573" i="108"/>
  <c r="C646" i="108"/>
  <c r="C725" i="108"/>
  <c r="C768" i="108"/>
  <c r="C575" i="108"/>
  <c r="C661" i="108"/>
  <c r="C708" i="108"/>
  <c r="C744" i="108"/>
  <c r="C804" i="108"/>
  <c r="C870" i="108"/>
  <c r="C928" i="108"/>
  <c r="C1005" i="108"/>
  <c r="C1058" i="108"/>
  <c r="C1170" i="108"/>
  <c r="C1227" i="108"/>
  <c r="C677" i="108"/>
  <c r="C733" i="108"/>
  <c r="C787" i="108"/>
  <c r="C829" i="108"/>
  <c r="C898" i="108"/>
  <c r="C959" i="108"/>
  <c r="C1023" i="108"/>
  <c r="C1091" i="108"/>
  <c r="C1230" i="108"/>
  <c r="C685" i="108"/>
  <c r="C753" i="108"/>
  <c r="C836" i="108"/>
  <c r="C903" i="108"/>
  <c r="C967" i="108"/>
  <c r="C1034" i="108"/>
  <c r="C1095" i="108"/>
  <c r="C1155" i="108"/>
  <c r="C559" i="108"/>
  <c r="C624" i="108"/>
  <c r="C679" i="108"/>
  <c r="C747" i="108"/>
  <c r="C806" i="108"/>
  <c r="C889" i="108"/>
  <c r="C942" i="108"/>
  <c r="C1011" i="108"/>
  <c r="C1070" i="108"/>
  <c r="C1127" i="108"/>
  <c r="C1190" i="108"/>
  <c r="C1106" i="108"/>
  <c r="C1212" i="108"/>
  <c r="C1174" i="108"/>
  <c r="C343" i="108"/>
  <c r="C257" i="108"/>
  <c r="C197" i="108"/>
  <c r="C38" i="108"/>
  <c r="C402" i="108"/>
  <c r="C346" i="108"/>
  <c r="C294" i="108"/>
  <c r="C182" i="108"/>
  <c r="C110" i="108"/>
  <c r="C51" i="108"/>
  <c r="C378" i="108"/>
  <c r="C202" i="108"/>
  <c r="C130" i="108"/>
  <c r="C60" i="108"/>
  <c r="C570" i="108"/>
  <c r="C487" i="108"/>
  <c r="C437" i="108"/>
  <c r="C394" i="108"/>
  <c r="C245" i="108"/>
  <c r="C184" i="108"/>
  <c r="C132" i="108"/>
  <c r="C24" i="108"/>
  <c r="C33" i="108"/>
  <c r="C738" i="108"/>
  <c r="C576" i="108"/>
  <c r="C490" i="108"/>
  <c r="C416" i="108"/>
  <c r="C340" i="108"/>
  <c r="C194" i="108"/>
  <c r="C135" i="108"/>
  <c r="C55" i="108"/>
  <c r="C447" i="108"/>
  <c r="C371" i="108"/>
  <c r="C291" i="108"/>
  <c r="C107" i="108"/>
  <c r="C508" i="108"/>
  <c r="C450" i="108"/>
  <c r="C375" i="108"/>
  <c r="C311" i="108"/>
  <c r="C239" i="108"/>
  <c r="C175" i="108"/>
  <c r="C116" i="108"/>
  <c r="C25" i="108"/>
  <c r="C560" i="108"/>
  <c r="C463" i="108"/>
  <c r="C384" i="108"/>
  <c r="C324" i="108"/>
  <c r="C267" i="108"/>
  <c r="C192" i="108"/>
  <c r="C102" i="108"/>
  <c r="C35" i="108"/>
  <c r="C53" i="108"/>
  <c r="C656" i="108"/>
  <c r="C523" i="108"/>
  <c r="C430" i="108"/>
  <c r="C313" i="108"/>
  <c r="C223" i="108"/>
  <c r="C160" i="108"/>
  <c r="C105" i="108"/>
  <c r="C517" i="108"/>
  <c r="C461" i="108"/>
  <c r="C399" i="108"/>
  <c r="C316" i="108"/>
  <c r="C253" i="108"/>
  <c r="C188" i="108"/>
  <c r="C117" i="108"/>
  <c r="C505" i="108"/>
  <c r="C409" i="108"/>
  <c r="C352" i="108"/>
  <c r="C296" i="108"/>
  <c r="C235" i="108"/>
  <c r="C171" i="108"/>
  <c r="C126" i="108"/>
  <c r="C44" i="108"/>
  <c r="C542" i="108"/>
  <c r="C469" i="108"/>
  <c r="C425" i="108"/>
  <c r="C358" i="108"/>
  <c r="C284" i="108"/>
  <c r="C224" i="108"/>
  <c r="C164" i="108"/>
  <c r="C89" i="108"/>
  <c r="C17" i="108"/>
  <c r="C48" i="108"/>
  <c r="C348" i="108"/>
  <c r="C863" i="108"/>
  <c r="C1014" i="108"/>
  <c r="C579" i="108"/>
  <c r="C703" i="108"/>
  <c r="C552" i="108"/>
  <c r="C712" i="108"/>
  <c r="C801" i="108"/>
  <c r="C864" i="108"/>
  <c r="C984" i="108"/>
  <c r="C1185" i="108"/>
  <c r="C759" i="108"/>
  <c r="C852" i="108"/>
  <c r="C951" i="108"/>
  <c r="C1151" i="108"/>
  <c r="C651" i="108"/>
  <c r="C1017" i="108"/>
  <c r="C1166" i="108"/>
  <c r="C1186" i="108"/>
  <c r="C669" i="108"/>
  <c r="C894" i="108"/>
  <c r="C1015" i="108"/>
  <c r="C1195" i="108"/>
  <c r="C618" i="108"/>
  <c r="C817" i="108"/>
  <c r="C925" i="108"/>
  <c r="C981" i="108"/>
  <c r="C1217" i="108"/>
  <c r="C587" i="108"/>
  <c r="C710" i="108"/>
  <c r="C963" i="108"/>
  <c r="C1030" i="108"/>
  <c r="C822" i="108"/>
  <c r="C900" i="108"/>
  <c r="C1008" i="108"/>
  <c r="C1067" i="108"/>
  <c r="C1121" i="108"/>
  <c r="C1188" i="108"/>
  <c r="C1173" i="108"/>
  <c r="C1196" i="108"/>
  <c r="C383" i="108"/>
  <c r="C514" i="108"/>
  <c r="C731" i="108"/>
  <c r="C775" i="108"/>
  <c r="C673" i="108"/>
  <c r="C716" i="108"/>
  <c r="C819" i="108"/>
  <c r="C882" i="108"/>
  <c r="C1018" i="108"/>
  <c r="C1068" i="108"/>
  <c r="C1097" i="108"/>
  <c r="C610" i="108"/>
  <c r="C694" i="108"/>
  <c r="C756" i="108"/>
  <c r="C794" i="108"/>
  <c r="C842" i="108"/>
  <c r="C910" i="108"/>
  <c r="C974" i="108"/>
  <c r="C1037" i="108"/>
  <c r="C565" i="108"/>
  <c r="C698" i="108"/>
  <c r="C777" i="108"/>
  <c r="C849" i="108"/>
  <c r="C982" i="108"/>
  <c r="C1046" i="108"/>
  <c r="C1193" i="108"/>
  <c r="C638" i="108"/>
  <c r="C764" i="108"/>
  <c r="C964" i="108"/>
  <c r="C1028" i="108"/>
  <c r="C1086" i="108"/>
  <c r="C1145" i="108"/>
  <c r="C1204" i="108"/>
  <c r="C1224" i="108"/>
  <c r="C244" i="108"/>
  <c r="C114" i="108"/>
  <c r="C20" i="108"/>
  <c r="C439" i="108"/>
  <c r="C392" i="108"/>
  <c r="C332" i="108"/>
  <c r="C283" i="108"/>
  <c r="C492" i="108"/>
  <c r="C550" i="108"/>
  <c r="C474" i="108"/>
  <c r="C302" i="108"/>
  <c r="C231" i="108"/>
  <c r="C170" i="108"/>
  <c r="C81" i="108"/>
  <c r="C719" i="108"/>
  <c r="C547" i="108"/>
  <c r="C393" i="108"/>
  <c r="C124" i="108"/>
  <c r="C493" i="108"/>
  <c r="C280" i="108"/>
  <c r="C218" i="108"/>
  <c r="C159" i="108"/>
  <c r="C356" i="108"/>
  <c r="C545" i="108"/>
  <c r="C310" i="108"/>
  <c r="C228" i="108"/>
  <c r="C142" i="108"/>
  <c r="C92" i="108"/>
  <c r="C21" i="108"/>
  <c r="C41" i="108"/>
  <c r="C615" i="108"/>
  <c r="C501" i="108"/>
  <c r="C390" i="108"/>
  <c r="C281" i="108"/>
  <c r="C207" i="108"/>
  <c r="C147" i="108"/>
  <c r="C46" i="108"/>
  <c r="C503" i="108"/>
  <c r="C300" i="108"/>
  <c r="C233" i="108"/>
  <c r="C484" i="108"/>
  <c r="C335" i="108"/>
  <c r="C277" i="108"/>
  <c r="C221" i="108"/>
  <c r="C515" i="108"/>
  <c r="C459" i="108"/>
  <c r="C411" i="108"/>
  <c r="C344" i="108"/>
  <c r="C273" i="108"/>
  <c r="C210" i="108"/>
  <c r="C151" i="108"/>
  <c r="C74" i="108"/>
  <c r="C97" i="108"/>
  <c r="C30" i="108"/>
  <c r="C331" i="108"/>
  <c r="C119" i="108"/>
  <c r="C367" i="108"/>
  <c r="C1177" i="108"/>
  <c r="C702" i="108"/>
  <c r="C1147" i="108"/>
  <c r="C877" i="108"/>
  <c r="C1148" i="108"/>
  <c r="C758" i="108"/>
  <c r="C666" i="108"/>
  <c r="C1119" i="108"/>
  <c r="C564" i="108"/>
  <c r="C640" i="108"/>
  <c r="C730" i="108"/>
  <c r="C814" i="108"/>
  <c r="C861" i="108"/>
  <c r="C721" i="108"/>
  <c r="C1027" i="108"/>
  <c r="C1108" i="108"/>
  <c r="C672" i="108"/>
  <c r="C893" i="108"/>
  <c r="C972" i="108"/>
  <c r="C617" i="108"/>
  <c r="C973" i="108"/>
  <c r="C1214" i="108"/>
  <c r="C895" i="108"/>
  <c r="C940" i="108"/>
  <c r="C989" i="108"/>
  <c r="C859" i="108"/>
  <c r="C978" i="108"/>
  <c r="C1044" i="108"/>
  <c r="C1111" i="108"/>
  <c r="C634" i="108"/>
  <c r="C689" i="108"/>
  <c r="C833" i="108"/>
  <c r="C912" i="108"/>
  <c r="C957" i="108"/>
  <c r="C1083" i="108"/>
  <c r="C1199" i="108"/>
  <c r="C1220" i="108"/>
  <c r="C397" i="108"/>
  <c r="C531" i="108"/>
  <c r="C621" i="108"/>
  <c r="C690" i="108"/>
  <c r="C723" i="108"/>
  <c r="C786" i="108"/>
  <c r="C958" i="108"/>
  <c r="C1032" i="108"/>
  <c r="C1084" i="108"/>
  <c r="C1138" i="108"/>
  <c r="C549" i="108"/>
  <c r="C632" i="108"/>
  <c r="C713" i="108"/>
  <c r="C811" i="108"/>
  <c r="C855" i="108"/>
  <c r="C932" i="108"/>
  <c r="C996" i="108"/>
  <c r="C619" i="108"/>
  <c r="C714" i="108"/>
  <c r="C799" i="108"/>
  <c r="C872" i="108"/>
  <c r="C937" i="108"/>
  <c r="C1000" i="108"/>
  <c r="C1063" i="108"/>
  <c r="C1126" i="108"/>
  <c r="C526" i="108"/>
  <c r="C595" i="108"/>
  <c r="C732" i="108"/>
  <c r="C781" i="108"/>
  <c r="C850" i="108"/>
  <c r="C915" i="108"/>
  <c r="C979" i="108"/>
  <c r="C1042" i="108"/>
  <c r="C1099" i="108"/>
  <c r="C1158" i="108"/>
  <c r="C1218" i="108"/>
  <c r="C1149" i="108"/>
  <c r="C1162" i="108"/>
  <c r="C601" i="108"/>
  <c r="C167" i="108"/>
  <c r="C320" i="108"/>
  <c r="C478" i="108"/>
  <c r="C398" i="108"/>
  <c r="C40" i="108"/>
  <c r="C466" i="108"/>
  <c r="C157" i="108"/>
  <c r="C66" i="108"/>
  <c r="C76" i="108"/>
  <c r="C15" i="108"/>
  <c r="C667" i="108"/>
  <c r="C527" i="108"/>
  <c r="C298" i="108"/>
  <c r="C227" i="108"/>
  <c r="C163" i="108"/>
  <c r="C16" i="108"/>
  <c r="C482" i="108"/>
  <c r="C342" i="108"/>
  <c r="C472" i="108"/>
  <c r="C338" i="108"/>
  <c r="C264" i="108"/>
  <c r="C154" i="108"/>
  <c r="C583" i="108"/>
  <c r="C536" i="108"/>
  <c r="C498" i="108"/>
  <c r="C414" i="108"/>
  <c r="C361" i="108"/>
  <c r="C287" i="108"/>
  <c r="C213" i="108"/>
  <c r="C129" i="108"/>
  <c r="C77" i="108"/>
  <c r="C100" i="108"/>
  <c r="C23" i="108"/>
  <c r="C598" i="108"/>
  <c r="C468" i="108"/>
  <c r="C191" i="108"/>
  <c r="C27" i="108"/>
  <c r="C489" i="108"/>
  <c r="C419" i="108"/>
  <c r="C289" i="108"/>
  <c r="C215" i="108"/>
  <c r="C155" i="108"/>
  <c r="C83" i="108"/>
  <c r="C322" i="108"/>
  <c r="C261" i="108"/>
  <c r="C205" i="108"/>
  <c r="C86" i="108"/>
  <c r="C592" i="108"/>
  <c r="C495" i="108"/>
  <c r="C443" i="108"/>
  <c r="C380" i="108"/>
  <c r="C307" i="108"/>
  <c r="C251" i="108"/>
  <c r="C125" i="108"/>
  <c r="C43" i="108"/>
  <c r="C84" i="108"/>
  <c r="C12" i="108"/>
  <c r="C248" i="108"/>
  <c r="C186" i="108"/>
  <c r="C525" i="108"/>
  <c r="C623" i="108"/>
  <c r="C718" i="108"/>
  <c r="C1102" i="108"/>
  <c r="C772" i="108"/>
  <c r="C578" i="108"/>
  <c r="C729" i="108"/>
  <c r="C1160" i="108"/>
  <c r="C600" i="108"/>
  <c r="C664" i="108"/>
  <c r="C891" i="108"/>
  <c r="C1052" i="108"/>
  <c r="C1041" i="108"/>
  <c r="C1120" i="108"/>
  <c r="C844" i="108"/>
  <c r="C793" i="108"/>
  <c r="C988" i="108"/>
  <c r="C590" i="108"/>
  <c r="C865" i="108"/>
  <c r="C540" i="108"/>
  <c r="C682" i="108"/>
  <c r="C760" i="108"/>
  <c r="C866" i="108"/>
  <c r="C926" i="108"/>
  <c r="C1124" i="108"/>
  <c r="C644" i="108"/>
  <c r="C722" i="108"/>
  <c r="C927" i="108"/>
  <c r="C976" i="108"/>
  <c r="C1039" i="108"/>
  <c r="C1094" i="108"/>
  <c r="C337" i="108"/>
  <c r="C407" i="108"/>
  <c r="C471" i="108"/>
  <c r="C631" i="108"/>
  <c r="C700" i="108"/>
  <c r="C736" i="108"/>
  <c r="C857" i="108"/>
  <c r="C1045" i="108"/>
  <c r="C653" i="108"/>
  <c r="C727" i="108"/>
  <c r="C780" i="108"/>
  <c r="C820" i="108"/>
  <c r="C944" i="108"/>
  <c r="C1009" i="108"/>
  <c r="C1075" i="108"/>
  <c r="C1223" i="108"/>
  <c r="C637" i="108"/>
  <c r="C742" i="108"/>
  <c r="C815" i="108"/>
  <c r="C888" i="108"/>
  <c r="C952" i="108"/>
  <c r="C1079" i="108"/>
  <c r="C1139" i="108"/>
  <c r="C541" i="108"/>
  <c r="C608" i="108"/>
  <c r="C660" i="108"/>
  <c r="C796" i="108"/>
  <c r="C873" i="108"/>
  <c r="C930" i="108"/>
  <c r="C994" i="108"/>
  <c r="C1057" i="108"/>
  <c r="C1112" i="108"/>
  <c r="C1178" i="108"/>
  <c r="C1206" i="108"/>
  <c r="C535" i="108"/>
  <c r="C259" i="108"/>
  <c r="C123" i="108"/>
  <c r="C388" i="108"/>
  <c r="C29" i="108"/>
  <c r="C404" i="108"/>
  <c r="C327" i="108"/>
  <c r="C145" i="108"/>
  <c r="C59" i="108"/>
  <c r="C761" i="108"/>
  <c r="C628" i="108"/>
  <c r="C350" i="108"/>
  <c r="C209" i="108"/>
  <c r="C150" i="108"/>
  <c r="C95" i="108"/>
  <c r="C520" i="108"/>
  <c r="C389" i="108"/>
  <c r="C329" i="108"/>
  <c r="C120" i="108"/>
  <c r="C457" i="108"/>
  <c r="C199" i="108"/>
  <c r="C528" i="108"/>
  <c r="C483" i="108"/>
  <c r="C401" i="108"/>
  <c r="C276" i="108"/>
  <c r="C115" i="108"/>
  <c r="C63" i="108"/>
  <c r="C73" i="108"/>
  <c r="C674" i="108"/>
  <c r="C566" i="108"/>
  <c r="C333" i="108"/>
  <c r="C121" i="108"/>
  <c r="C475" i="108"/>
  <c r="C339" i="108"/>
  <c r="C200" i="108"/>
  <c r="C134" i="108"/>
  <c r="C57" i="108"/>
  <c r="C422" i="108"/>
  <c r="C368" i="108"/>
  <c r="C249" i="108"/>
  <c r="C187" i="108"/>
  <c r="C137" i="108"/>
  <c r="C71" i="108"/>
  <c r="C580" i="108"/>
  <c r="C480" i="108"/>
  <c r="C434" i="108"/>
  <c r="C370" i="108"/>
  <c r="C295" i="108"/>
  <c r="C238" i="108"/>
  <c r="C178" i="108"/>
  <c r="C111" i="108"/>
  <c r="C69" i="108"/>
  <c r="C687" i="108"/>
  <c r="H17" i="108"/>
  <c r="H38" i="108"/>
  <c r="H43" i="108"/>
  <c r="H44" i="108"/>
  <c r="H48" i="108"/>
  <c r="H49" i="108"/>
  <c r="H13" i="108"/>
  <c r="H14" i="108"/>
  <c r="H15" i="108"/>
  <c r="H16" i="108"/>
  <c r="H21" i="108"/>
  <c r="H28" i="108"/>
  <c r="H32" i="108"/>
  <c r="H36" i="108"/>
  <c r="H47" i="108"/>
  <c r="H12" i="108"/>
  <c r="H19" i="108"/>
  <c r="H20" i="108"/>
  <c r="H22" i="108"/>
  <c r="H25" i="108"/>
  <c r="H29" i="108"/>
  <c r="H31" i="108"/>
  <c r="H40" i="108"/>
  <c r="H24" i="108"/>
  <c r="H56" i="108"/>
  <c r="H63" i="108"/>
  <c r="H61" i="108"/>
  <c r="H64" i="108"/>
  <c r="H99" i="108"/>
  <c r="H111" i="108"/>
  <c r="H131" i="108"/>
  <c r="H52" i="108"/>
  <c r="H86" i="108"/>
  <c r="H87" i="108"/>
  <c r="H91" i="108"/>
  <c r="H92" i="108"/>
  <c r="H115" i="108"/>
  <c r="H68" i="108"/>
  <c r="H75" i="108"/>
  <c r="H90" i="108"/>
  <c r="H96" i="108"/>
  <c r="H97" i="108"/>
  <c r="H101" i="108"/>
  <c r="H102" i="108"/>
  <c r="H103" i="108"/>
  <c r="H95" i="108"/>
  <c r="H119" i="108"/>
  <c r="H123" i="108"/>
  <c r="H145" i="108"/>
  <c r="H153" i="108"/>
  <c r="H108" i="108"/>
  <c r="H134" i="108"/>
  <c r="H146" i="108"/>
  <c r="H201" i="108"/>
  <c r="H205" i="108"/>
  <c r="H208" i="108"/>
  <c r="H209" i="108"/>
  <c r="H150" i="108"/>
  <c r="H154" i="108"/>
  <c r="H163" i="108"/>
  <c r="H164" i="108"/>
  <c r="H168" i="108"/>
  <c r="H186" i="108"/>
  <c r="H187" i="108"/>
  <c r="H196" i="108"/>
  <c r="H197" i="108"/>
  <c r="H198" i="108"/>
  <c r="H107" i="108"/>
  <c r="H133" i="108"/>
  <c r="H135" i="108"/>
  <c r="H140" i="108"/>
  <c r="H158" i="108"/>
  <c r="H159" i="108"/>
  <c r="H161" i="108"/>
  <c r="H169" i="108"/>
  <c r="H171" i="108"/>
  <c r="H175" i="108"/>
  <c r="H176" i="108"/>
  <c r="H190" i="108"/>
  <c r="H180" i="108"/>
  <c r="H181" i="108"/>
  <c r="H185" i="108"/>
  <c r="H189" i="108"/>
  <c r="H193" i="108"/>
  <c r="H235" i="108"/>
  <c r="H260" i="108"/>
  <c r="H264" i="108"/>
  <c r="H265" i="108"/>
  <c r="H270" i="108"/>
  <c r="H291" i="108"/>
  <c r="H292" i="108"/>
  <c r="H295" i="108"/>
  <c r="H299" i="108"/>
  <c r="H302" i="108"/>
  <c r="H303" i="108"/>
  <c r="H313" i="108"/>
  <c r="H203" i="108"/>
  <c r="H214" i="108"/>
  <c r="H268" i="108"/>
  <c r="H269" i="108"/>
  <c r="H280" i="108"/>
  <c r="H281" i="108"/>
  <c r="H290" i="108"/>
  <c r="H217" i="108"/>
  <c r="H224" i="108"/>
  <c r="H225" i="108"/>
  <c r="H230" i="108"/>
  <c r="H239" i="108"/>
  <c r="H247" i="108"/>
  <c r="H255" i="108"/>
  <c r="H271" i="108"/>
  <c r="H202" i="108"/>
  <c r="H212" i="108"/>
  <c r="H216" i="108"/>
  <c r="H223" i="108"/>
  <c r="H242" i="108"/>
  <c r="H250" i="108"/>
  <c r="H258" i="108"/>
  <c r="H275" i="108"/>
  <c r="H279" i="108"/>
  <c r="H283" i="108"/>
  <c r="H287" i="108"/>
  <c r="H363" i="108"/>
  <c r="H371" i="108"/>
  <c r="H375" i="108"/>
  <c r="H338" i="108"/>
  <c r="H411" i="108"/>
  <c r="H413" i="108"/>
  <c r="H297" i="108"/>
  <c r="H308" i="108"/>
  <c r="H316" i="108"/>
  <c r="H317" i="108"/>
  <c r="H321" i="108"/>
  <c r="H322" i="108"/>
  <c r="H340" i="108"/>
  <c r="H348" i="108"/>
  <c r="H349" i="108"/>
  <c r="H358" i="108"/>
  <c r="H369" i="108"/>
  <c r="H370" i="108"/>
  <c r="H374" i="108"/>
  <c r="H376" i="108"/>
  <c r="H378" i="108"/>
  <c r="H383" i="108"/>
  <c r="H403" i="108"/>
  <c r="H294" i="108"/>
  <c r="H315" i="108"/>
  <c r="H326" i="108"/>
  <c r="H331" i="108"/>
  <c r="H339" i="108"/>
  <c r="H342" i="108"/>
  <c r="H353" i="108"/>
  <c r="H359" i="108"/>
  <c r="H361" i="108"/>
  <c r="H367" i="108"/>
  <c r="H379" i="108"/>
  <c r="H384" i="108"/>
  <c r="H387" i="108"/>
  <c r="H389" i="108"/>
  <c r="H395" i="108"/>
  <c r="H397" i="108"/>
  <c r="H400" i="108"/>
  <c r="H402" i="108"/>
  <c r="H284" i="108"/>
  <c r="H296" i="108"/>
  <c r="H306" i="108"/>
  <c r="H324" i="108"/>
  <c r="H334" i="108"/>
  <c r="H467" i="108"/>
  <c r="H426" i="108"/>
  <c r="H451" i="108"/>
  <c r="H456" i="108"/>
  <c r="H458" i="108"/>
  <c r="H471" i="108"/>
  <c r="H474" i="108"/>
  <c r="H477" i="108"/>
  <c r="H479" i="108"/>
  <c r="H496" i="108"/>
  <c r="H519" i="108"/>
  <c r="H521" i="108"/>
  <c r="H425" i="108"/>
  <c r="H431" i="108"/>
  <c r="H434" i="108"/>
  <c r="H438" i="108"/>
  <c r="H441" i="108"/>
  <c r="H445" i="108"/>
  <c r="H463" i="108"/>
  <c r="H466" i="108"/>
  <c r="H472" i="108"/>
  <c r="H482" i="108"/>
  <c r="H485" i="108"/>
  <c r="H490" i="108"/>
  <c r="H491" i="108"/>
  <c r="H498" i="108"/>
  <c r="H499" i="108"/>
  <c r="H503" i="108"/>
  <c r="H507" i="108"/>
  <c r="H508" i="108"/>
  <c r="H509" i="108"/>
  <c r="H518" i="108"/>
  <c r="H523" i="108"/>
  <c r="H524" i="108"/>
  <c r="H525" i="108"/>
  <c r="H528" i="108"/>
  <c r="H529" i="108"/>
  <c r="H538" i="108"/>
  <c r="H542" i="108"/>
  <c r="H543" i="108"/>
  <c r="H548" i="108"/>
  <c r="H408" i="108"/>
  <c r="H429" i="108"/>
  <c r="H433" i="108"/>
  <c r="H435" i="108"/>
  <c r="H436" i="108"/>
  <c r="H437" i="108"/>
  <c r="H447" i="108"/>
  <c r="H464" i="108"/>
  <c r="H475" i="108"/>
  <c r="H504" i="108"/>
  <c r="H506" i="108"/>
  <c r="H511" i="108"/>
  <c r="H512" i="108"/>
  <c r="H513" i="108"/>
  <c r="H522" i="108"/>
  <c r="H531" i="108"/>
  <c r="H532" i="108"/>
  <c r="H533" i="108"/>
  <c r="H544" i="108"/>
  <c r="H546" i="108"/>
  <c r="H550" i="108"/>
  <c r="H443" i="108"/>
  <c r="H483" i="108"/>
  <c r="H720" i="108"/>
  <c r="H721" i="108"/>
  <c r="H722" i="108"/>
  <c r="H726" i="108"/>
  <c r="H732" i="108"/>
  <c r="H742" i="108"/>
  <c r="H748" i="108"/>
  <c r="H758" i="108"/>
  <c r="H764" i="108"/>
  <c r="H774" i="108"/>
  <c r="H780" i="108"/>
  <c r="H792" i="108"/>
  <c r="H816" i="108"/>
  <c r="H824" i="108"/>
  <c r="H715" i="108"/>
  <c r="H729" i="108"/>
  <c r="H730" i="108"/>
  <c r="H731" i="108"/>
  <c r="H736" i="108"/>
  <c r="H745" i="108"/>
  <c r="H746" i="108"/>
  <c r="H747" i="108"/>
  <c r="H752" i="108"/>
  <c r="H761" i="108"/>
  <c r="H762" i="108"/>
  <c r="H763" i="108"/>
  <c r="H768" i="108"/>
  <c r="H777" i="108"/>
  <c r="H778" i="108"/>
  <c r="H779" i="108"/>
  <c r="H784" i="108"/>
  <c r="H790" i="108"/>
  <c r="H791" i="108"/>
  <c r="H802" i="108"/>
  <c r="H806" i="108"/>
  <c r="H712" i="108"/>
  <c r="H714" i="108"/>
  <c r="H724" i="108"/>
  <c r="H733" i="108"/>
  <c r="H734" i="108"/>
  <c r="H735" i="108"/>
  <c r="H740" i="108"/>
  <c r="H749" i="108"/>
  <c r="H750" i="108"/>
  <c r="H751" i="108"/>
  <c r="H756" i="108"/>
  <c r="H765" i="108"/>
  <c r="H766" i="108"/>
  <c r="H767" i="108"/>
  <c r="H772" i="108"/>
  <c r="H781" i="108"/>
  <c r="H782" i="108"/>
  <c r="H783" i="108"/>
  <c r="H788" i="108"/>
  <c r="H798" i="108"/>
  <c r="H800" i="108"/>
  <c r="H811" i="108"/>
  <c r="H829" i="108"/>
  <c r="H840" i="108"/>
  <c r="H859" i="108"/>
  <c r="H847" i="108"/>
  <c r="H853" i="108"/>
  <c r="H857" i="108"/>
  <c r="H871" i="108"/>
  <c r="H873" i="108"/>
  <c r="H875" i="108"/>
  <c r="H877" i="108"/>
  <c r="H879" i="108"/>
  <c r="H881" i="108"/>
  <c r="H883" i="108"/>
  <c r="H885" i="108"/>
  <c r="H893" i="108"/>
  <c r="H909" i="108"/>
  <c r="H925" i="108"/>
  <c r="H941" i="108"/>
  <c r="H808" i="108"/>
  <c r="H851" i="108"/>
  <c r="H865" i="108"/>
  <c r="H869" i="108"/>
  <c r="H889" i="108"/>
  <c r="H894" i="108"/>
  <c r="H899" i="108"/>
  <c r="H901" i="108"/>
  <c r="H905" i="108"/>
  <c r="H910" i="108"/>
  <c r="H915" i="108"/>
  <c r="H917" i="108"/>
  <c r="H921" i="108"/>
  <c r="H926" i="108"/>
  <c r="H931" i="108"/>
  <c r="H933" i="108"/>
  <c r="H937" i="108"/>
  <c r="H942" i="108"/>
  <c r="H947" i="108"/>
  <c r="H949" i="108"/>
  <c r="H953" i="108"/>
  <c r="H958" i="108"/>
  <c r="H963" i="108"/>
  <c r="H965" i="108"/>
  <c r="H969" i="108"/>
  <c r="H974" i="108"/>
  <c r="H979" i="108"/>
  <c r="H981" i="108"/>
  <c r="H985" i="108"/>
  <c r="H997" i="108"/>
  <c r="H1001" i="108"/>
  <c r="H826" i="108"/>
  <c r="H830" i="108"/>
  <c r="H831" i="108"/>
  <c r="H842" i="108"/>
  <c r="H846" i="108"/>
  <c r="H897" i="108"/>
  <c r="H913" i="108"/>
  <c r="H929" i="108"/>
  <c r="H945" i="108"/>
  <c r="H961" i="108"/>
  <c r="H977" i="108"/>
  <c r="H993" i="108"/>
  <c r="H1009" i="108"/>
  <c r="H1025" i="108"/>
  <c r="H1041" i="108"/>
  <c r="H1077" i="108"/>
  <c r="H1081" i="108"/>
  <c r="H1085" i="108"/>
  <c r="H1089" i="108"/>
  <c r="H1093" i="108"/>
  <c r="H1097" i="108"/>
  <c r="H1105" i="108"/>
  <c r="H989" i="108"/>
  <c r="H1022" i="108"/>
  <c r="H1030" i="108"/>
  <c r="H1040" i="108"/>
  <c r="H1043" i="108"/>
  <c r="H1056" i="108"/>
  <c r="H1072" i="108"/>
  <c r="H1112" i="108"/>
  <c r="H1115" i="108"/>
  <c r="H1136" i="108"/>
  <c r="H1137" i="108"/>
  <c r="H1141" i="108"/>
  <c r="H1157" i="108"/>
  <c r="H1160" i="108"/>
  <c r="H1211" i="108"/>
  <c r="H1037" i="108"/>
  <c r="H1038" i="108"/>
  <c r="H1045" i="108"/>
  <c r="H1052" i="108"/>
  <c r="H1061" i="108"/>
  <c r="H1068" i="108"/>
  <c r="H1075" i="108"/>
  <c r="H1079" i="108"/>
  <c r="H1083" i="108"/>
  <c r="H1087" i="108"/>
  <c r="H1091" i="108"/>
  <c r="H1095" i="108"/>
  <c r="H1099" i="108"/>
  <c r="H1101" i="108"/>
  <c r="H1103" i="108"/>
  <c r="H1107" i="108"/>
  <c r="H1109" i="108"/>
  <c r="H1111" i="108"/>
  <c r="H1121" i="108"/>
  <c r="H1127" i="108"/>
  <c r="H1131" i="108"/>
  <c r="H1135" i="108"/>
  <c r="H1149" i="108"/>
  <c r="H1153" i="108"/>
  <c r="H1156" i="108"/>
  <c r="H1159" i="108"/>
  <c r="H1163" i="108"/>
  <c r="H1200" i="108"/>
  <c r="H1017" i="108"/>
  <c r="H1057" i="108"/>
  <c r="H1073" i="108"/>
  <c r="H1113" i="108"/>
  <c r="H1117" i="108"/>
  <c r="H1122" i="108"/>
  <c r="H1143" i="108"/>
  <c r="H1155" i="108"/>
  <c r="H1169" i="108"/>
  <c r="H1197" i="108"/>
  <c r="H1125" i="108"/>
  <c r="H1129" i="108"/>
  <c r="H1133" i="108"/>
  <c r="H1145" i="108"/>
  <c r="H1161" i="108"/>
  <c r="H1165" i="108"/>
  <c r="H1173" i="108"/>
  <c r="H1185" i="108"/>
  <c r="H1209" i="108"/>
  <c r="H1164" i="108"/>
  <c r="H1184" i="108"/>
  <c r="H1221" i="108"/>
  <c r="H1220" i="108"/>
  <c r="H1229" i="108"/>
  <c r="H1189" i="108"/>
  <c r="H957" i="108"/>
  <c r="H1217" i="108"/>
  <c r="H1230" i="108"/>
  <c r="H1150" i="108"/>
  <c r="H1119" i="108"/>
  <c r="H1102" i="108"/>
  <c r="H1071" i="108"/>
  <c r="H1053" i="108"/>
  <c r="H1033" i="108"/>
  <c r="H1027" i="108"/>
  <c r="H1005" i="108"/>
  <c r="H960" i="108"/>
  <c r="H1192" i="108"/>
  <c r="H1148" i="108"/>
  <c r="H1059" i="108"/>
  <c r="H860" i="108"/>
  <c r="H998" i="108"/>
  <c r="H1226" i="108"/>
  <c r="H1210" i="108"/>
  <c r="H1188" i="108"/>
  <c r="H1067" i="108"/>
  <c r="H1000" i="108"/>
  <c r="H976" i="108"/>
  <c r="H876" i="108"/>
  <c r="H971" i="108"/>
  <c r="H907" i="108"/>
  <c r="H888" i="108"/>
  <c r="H882" i="108"/>
  <c r="H874" i="108"/>
  <c r="H862" i="108"/>
  <c r="H845" i="108"/>
  <c r="H809" i="108"/>
  <c r="H770" i="108"/>
  <c r="H833" i="108"/>
  <c r="H815" i="108"/>
  <c r="H849" i="108"/>
  <c r="H814" i="108"/>
  <c r="H934" i="108"/>
  <c r="H928" i="108"/>
  <c r="H870" i="108"/>
  <c r="H852" i="108"/>
  <c r="H823" i="108"/>
  <c r="H754" i="108"/>
  <c r="H787" i="108"/>
  <c r="H760" i="108"/>
  <c r="H755" i="108"/>
  <c r="H421" i="108"/>
  <c r="H801" i="108"/>
  <c r="H812" i="108"/>
  <c r="H775" i="108"/>
  <c r="H727" i="108"/>
  <c r="H719" i="108"/>
  <c r="H540" i="108"/>
  <c r="H526" i="108"/>
  <c r="H469" i="108"/>
  <c r="H1168" i="108"/>
  <c r="H1048" i="108"/>
  <c r="H1064" i="108"/>
  <c r="H1201" i="108"/>
  <c r="H1182" i="108"/>
  <c r="H1202" i="108"/>
  <c r="H1110" i="108"/>
  <c r="H1100" i="108"/>
  <c r="H1096" i="108"/>
  <c r="H1092" i="108"/>
  <c r="H1088" i="108"/>
  <c r="H1084" i="108"/>
  <c r="H1080" i="108"/>
  <c r="H1076" i="108"/>
  <c r="H1069" i="108"/>
  <c r="H1016" i="108"/>
  <c r="H858" i="108"/>
  <c r="H1166" i="108"/>
  <c r="H995" i="108"/>
  <c r="H1176" i="108"/>
  <c r="H1120" i="108"/>
  <c r="H1070" i="108"/>
  <c r="H968" i="108"/>
  <c r="H950" i="108"/>
  <c r="H1216" i="108"/>
  <c r="H1144" i="108"/>
  <c r="H1130" i="108"/>
  <c r="H1074" i="108"/>
  <c r="H1065" i="108"/>
  <c r="H1051" i="108"/>
  <c r="H872" i="108"/>
  <c r="H987" i="108"/>
  <c r="H936" i="108"/>
  <c r="H891" i="108"/>
  <c r="H843" i="108"/>
  <c r="H713" i="108"/>
  <c r="H836" i="108"/>
  <c r="H821" i="108"/>
  <c r="H944" i="108"/>
  <c r="H867" i="108"/>
  <c r="H861" i="108"/>
  <c r="H827" i="108"/>
  <c r="H819" i="108"/>
  <c r="H813" i="108"/>
  <c r="H807" i="108"/>
  <c r="H799" i="108"/>
  <c r="H793" i="108"/>
  <c r="H785" i="108"/>
  <c r="H753" i="108"/>
  <c r="H728" i="108"/>
  <c r="H717" i="108"/>
  <c r="H789" i="108"/>
  <c r="H773" i="108"/>
  <c r="H725" i="108"/>
  <c r="H539" i="108"/>
  <c r="H1152" i="108"/>
  <c r="H1124" i="108"/>
  <c r="H1060" i="108"/>
  <c r="H11" i="108"/>
  <c r="H1205" i="108"/>
  <c r="H1181" i="108"/>
  <c r="H1208" i="108"/>
  <c r="H1190" i="108"/>
  <c r="H1158" i="108"/>
  <c r="H1139" i="108"/>
  <c r="H1132" i="108"/>
  <c r="H1108" i="108"/>
  <c r="H1024" i="108"/>
  <c r="H1014" i="108"/>
  <c r="H982" i="108"/>
  <c r="H1174" i="108"/>
  <c r="H1126" i="108"/>
  <c r="H1011" i="108"/>
  <c r="H984" i="108"/>
  <c r="H966" i="108"/>
  <c r="H1118" i="108"/>
  <c r="H1047" i="108"/>
  <c r="H1003" i="108"/>
  <c r="H992" i="108"/>
  <c r="H990" i="108"/>
  <c r="H1167" i="108"/>
  <c r="H1154" i="108"/>
  <c r="H1049" i="108"/>
  <c r="H1032" i="108"/>
  <c r="H952" i="108"/>
  <c r="H939" i="108"/>
  <c r="H920" i="108"/>
  <c r="H878" i="108"/>
  <c r="H838" i="108"/>
  <c r="H835" i="108"/>
  <c r="H844" i="108"/>
  <c r="H863" i="108"/>
  <c r="H738" i="108"/>
  <c r="H902" i="108"/>
  <c r="H896" i="108"/>
  <c r="H837" i="108"/>
  <c r="H820" i="108"/>
  <c r="H868" i="108"/>
  <c r="H803" i="108"/>
  <c r="H776" i="108"/>
  <c r="H771" i="108"/>
  <c r="H744" i="108"/>
  <c r="H739" i="108"/>
  <c r="H716" i="108"/>
  <c r="H537" i="108"/>
  <c r="H796" i="108"/>
  <c r="H515" i="108"/>
  <c r="H453" i="108"/>
  <c r="H797" i="108"/>
  <c r="H416" i="108"/>
  <c r="H805" i="108"/>
  <c r="H759" i="108"/>
  <c r="H743" i="108"/>
  <c r="H1177" i="108"/>
  <c r="H973" i="108"/>
  <c r="H1008" i="108"/>
  <c r="H1223" i="108"/>
  <c r="H1214" i="108"/>
  <c r="H1172" i="108"/>
  <c r="H1227" i="108"/>
  <c r="H1212" i="108"/>
  <c r="H1151" i="108"/>
  <c r="H1138" i="108"/>
  <c r="H1055" i="108"/>
  <c r="H1035" i="108"/>
  <c r="H1013" i="108"/>
  <c r="H1006" i="108"/>
  <c r="H1213" i="108"/>
  <c r="H1134" i="108"/>
  <c r="H1019" i="108"/>
  <c r="H1225" i="108"/>
  <c r="H1140" i="108"/>
  <c r="H1078" i="108"/>
  <c r="H1063" i="108"/>
  <c r="H1204" i="108"/>
  <c r="H1193" i="108"/>
  <c r="H1222" i="108"/>
  <c r="H1147" i="108"/>
  <c r="H1123" i="108"/>
  <c r="H1029" i="108"/>
  <c r="H1021" i="108"/>
  <c r="H880" i="108"/>
  <c r="H955" i="108"/>
  <c r="H923" i="108"/>
  <c r="H904" i="108"/>
  <c r="H886" i="108"/>
  <c r="H794" i="108"/>
  <c r="H723" i="108"/>
  <c r="H856" i="108"/>
  <c r="H828" i="108"/>
  <c r="H786" i="108"/>
  <c r="H810" i="108"/>
  <c r="H918" i="108"/>
  <c r="H912" i="108"/>
  <c r="H855" i="108"/>
  <c r="H841" i="108"/>
  <c r="H839" i="108"/>
  <c r="H854" i="108"/>
  <c r="H825" i="108"/>
  <c r="H817" i="108"/>
  <c r="H769" i="108"/>
  <c r="H737" i="108"/>
  <c r="H718" i="108"/>
  <c r="H804" i="108"/>
  <c r="H535" i="108"/>
  <c r="H440" i="108"/>
  <c r="H822" i="108"/>
  <c r="H795" i="108"/>
  <c r="H757" i="108"/>
  <c r="H741" i="108"/>
  <c r="H541" i="108"/>
  <c r="H517" i="108"/>
  <c r="H455" i="108"/>
  <c r="H419" i="108"/>
  <c r="H495" i="108"/>
  <c r="H364" i="108"/>
  <c r="H510" i="108"/>
  <c r="H450" i="108"/>
  <c r="H319" i="108"/>
  <c r="H427" i="108"/>
  <c r="H461" i="108"/>
  <c r="H428" i="108"/>
  <c r="H360" i="108"/>
  <c r="H534" i="108"/>
  <c r="H418" i="108"/>
  <c r="H394" i="108"/>
  <c r="H343" i="108"/>
  <c r="H228" i="108"/>
  <c r="H305" i="108"/>
  <c r="H285" i="108"/>
  <c r="H310" i="108"/>
  <c r="H207" i="108"/>
  <c r="H243" i="108"/>
  <c r="H236" i="108"/>
  <c r="H229" i="108"/>
  <c r="H267" i="108"/>
  <c r="H182" i="108"/>
  <c r="H141" i="108"/>
  <c r="H113" i="108"/>
  <c r="H127" i="108"/>
  <c r="H76" i="108"/>
  <c r="H112" i="108"/>
  <c r="H80" i="108"/>
  <c r="H71" i="108"/>
  <c r="H83" i="108"/>
  <c r="H79" i="108"/>
  <c r="H58" i="108"/>
  <c r="H42" i="108"/>
  <c r="H1196" i="108"/>
  <c r="H1104" i="108"/>
  <c r="H1203" i="108"/>
  <c r="H1178" i="108"/>
  <c r="H1142" i="108"/>
  <c r="H1086" i="108"/>
  <c r="H1058" i="108"/>
  <c r="H488" i="108"/>
  <c r="H344" i="108"/>
  <c r="H501" i="108"/>
  <c r="H459" i="108"/>
  <c r="H354" i="108"/>
  <c r="H480" i="108"/>
  <c r="H392" i="108"/>
  <c r="H329" i="108"/>
  <c r="H415" i="108"/>
  <c r="H356" i="108"/>
  <c r="H301" i="108"/>
  <c r="H286" i="108"/>
  <c r="H213" i="108"/>
  <c r="H410" i="108"/>
  <c r="H351" i="108"/>
  <c r="H345" i="108"/>
  <c r="H234" i="108"/>
  <c r="H222" i="108"/>
  <c r="H227" i="108"/>
  <c r="H191" i="108"/>
  <c r="H278" i="108"/>
  <c r="H262" i="108"/>
  <c r="H254" i="108"/>
  <c r="H232" i="108"/>
  <c r="H139" i="108"/>
  <c r="H173" i="108"/>
  <c r="H118" i="108"/>
  <c r="H184" i="108"/>
  <c r="H142" i="108"/>
  <c r="H122" i="108"/>
  <c r="H59" i="108"/>
  <c r="H117" i="108"/>
  <c r="H53" i="108"/>
  <c r="H85" i="108"/>
  <c r="H33" i="108"/>
  <c r="H1224" i="108"/>
  <c r="H1116" i="108"/>
  <c r="H1219" i="108"/>
  <c r="H1183" i="108"/>
  <c r="H1198" i="108"/>
  <c r="H1146" i="108"/>
  <c r="H1114" i="108"/>
  <c r="H1090" i="108"/>
  <c r="H1062" i="108"/>
  <c r="H1046" i="108"/>
  <c r="H536" i="108"/>
  <c r="H407" i="108"/>
  <c r="H311" i="108"/>
  <c r="H318" i="108"/>
  <c r="H527" i="108"/>
  <c r="H493" i="108"/>
  <c r="H405" i="108"/>
  <c r="H514" i="108"/>
  <c r="H439" i="108"/>
  <c r="H391" i="108"/>
  <c r="H366" i="108"/>
  <c r="H327" i="108"/>
  <c r="H350" i="108"/>
  <c r="H276" i="108"/>
  <c r="H399" i="108"/>
  <c r="H335" i="108"/>
  <c r="H332" i="108"/>
  <c r="H289" i="108"/>
  <c r="H170" i="108"/>
  <c r="H273" i="108"/>
  <c r="H259" i="108"/>
  <c r="H200" i="108"/>
  <c r="H263" i="108"/>
  <c r="H246" i="108"/>
  <c r="H238" i="108"/>
  <c r="H231" i="108"/>
  <c r="H221" i="108"/>
  <c r="H218" i="108"/>
  <c r="H206" i="108"/>
  <c r="H195" i="108"/>
  <c r="H62" i="108"/>
  <c r="H128" i="108"/>
  <c r="H157" i="108"/>
  <c r="H129" i="108"/>
  <c r="H67" i="108"/>
  <c r="H60" i="108"/>
  <c r="H23" i="108"/>
  <c r="H30" i="108"/>
  <c r="H26" i="108"/>
  <c r="H37" i="108"/>
  <c r="H1128" i="108"/>
  <c r="H1215" i="108"/>
  <c r="H1206" i="108"/>
  <c r="H1186" i="108"/>
  <c r="H1106" i="108"/>
  <c r="H1094" i="108"/>
  <c r="H1066" i="108"/>
  <c r="H1050" i="108"/>
  <c r="H530" i="108"/>
  <c r="H516" i="108"/>
  <c r="H423" i="108"/>
  <c r="H307" i="108"/>
  <c r="H333" i="108"/>
  <c r="H520" i="108"/>
  <c r="H487" i="108"/>
  <c r="H448" i="108"/>
  <c r="H442" i="108"/>
  <c r="H386" i="108"/>
  <c r="H323" i="108"/>
  <c r="H424" i="108"/>
  <c r="H381" i="108"/>
  <c r="H355" i="108"/>
  <c r="H312" i="108"/>
  <c r="H347" i="108"/>
  <c r="H337" i="108"/>
  <c r="H328" i="108"/>
  <c r="H300" i="108"/>
  <c r="H274" i="108"/>
  <c r="H219" i="108"/>
  <c r="H192" i="108"/>
  <c r="H251" i="108"/>
  <c r="H211" i="108"/>
  <c r="H179" i="108"/>
  <c r="H165" i="108"/>
  <c r="H138" i="108"/>
  <c r="H54" i="108"/>
  <c r="H177" i="108"/>
  <c r="H174" i="108"/>
  <c r="H149" i="108"/>
  <c r="H124" i="108"/>
  <c r="H106" i="108"/>
  <c r="H66" i="108"/>
  <c r="H72" i="108"/>
  <c r="H81" i="108"/>
  <c r="H18" i="108"/>
  <c r="H1228" i="108"/>
  <c r="H1180" i="108"/>
  <c r="H1207" i="108"/>
  <c r="H1218" i="108"/>
  <c r="H1194" i="108"/>
  <c r="H1170" i="108"/>
  <c r="H1162" i="108"/>
  <c r="H1098" i="108"/>
  <c r="H1082" i="108"/>
  <c r="H1054" i="108"/>
  <c r="H996" i="108"/>
  <c r="H991" i="108"/>
  <c r="H986" i="108"/>
  <c r="H932" i="108"/>
  <c r="H927" i="108"/>
  <c r="H922" i="108"/>
  <c r="H1023" i="108"/>
  <c r="H1018" i="108"/>
  <c r="H1012" i="108"/>
  <c r="H980" i="108"/>
  <c r="H943" i="108"/>
  <c r="H911" i="108"/>
  <c r="H1195" i="108"/>
  <c r="H1175" i="108"/>
  <c r="H866" i="108"/>
  <c r="H834" i="108"/>
  <c r="H462" i="108"/>
  <c r="H457" i="108"/>
  <c r="H452" i="108"/>
  <c r="H1034" i="108"/>
  <c r="H1028" i="108"/>
  <c r="H959" i="108"/>
  <c r="H954" i="108"/>
  <c r="H948" i="108"/>
  <c r="H916" i="108"/>
  <c r="H1191" i="108"/>
  <c r="H1171" i="108"/>
  <c r="H864" i="108"/>
  <c r="H832" i="108"/>
  <c r="H549" i="108"/>
  <c r="H446" i="108"/>
  <c r="H1039" i="108"/>
  <c r="H1002" i="108"/>
  <c r="H970" i="108"/>
  <c r="H964" i="108"/>
  <c r="H895" i="108"/>
  <c r="H890" i="108"/>
  <c r="H884" i="108"/>
  <c r="H1187" i="108"/>
  <c r="H1042" i="108"/>
  <c r="H1036" i="108"/>
  <c r="H1031" i="108"/>
  <c r="H1026" i="108"/>
  <c r="H1020" i="108"/>
  <c r="H1015" i="108"/>
  <c r="H1010" i="108"/>
  <c r="H1004" i="108"/>
  <c r="H999" i="108"/>
  <c r="H994" i="108"/>
  <c r="H988" i="108"/>
  <c r="H983" i="108"/>
  <c r="H978" i="108"/>
  <c r="H972" i="108"/>
  <c r="H967" i="108"/>
  <c r="H962" i="108"/>
  <c r="H956" i="108"/>
  <c r="H951" i="108"/>
  <c r="H946" i="108"/>
  <c r="H940" i="108"/>
  <c r="H935" i="108"/>
  <c r="H930" i="108"/>
  <c r="H924" i="108"/>
  <c r="H919" i="108"/>
  <c r="H914" i="108"/>
  <c r="H908" i="108"/>
  <c r="H903" i="108"/>
  <c r="H898" i="108"/>
  <c r="H892" i="108"/>
  <c r="H887" i="108"/>
  <c r="H850" i="108"/>
  <c r="H818" i="108"/>
  <c r="H547" i="108"/>
  <c r="H430" i="108"/>
  <c r="H1044" i="108"/>
  <c r="H1007" i="108"/>
  <c r="H975" i="108"/>
  <c r="H938" i="108"/>
  <c r="H906" i="108"/>
  <c r="H900" i="108"/>
  <c r="H1179" i="108"/>
  <c r="H1199" i="108"/>
  <c r="H848" i="108"/>
  <c r="H545" i="108"/>
  <c r="H505" i="108"/>
  <c r="H500" i="108"/>
  <c r="H494" i="108"/>
  <c r="H489" i="108"/>
  <c r="H484" i="108"/>
  <c r="H478" i="108"/>
  <c r="H473" i="108"/>
  <c r="H468" i="108"/>
  <c r="H422" i="108"/>
  <c r="H406" i="108"/>
  <c r="H401" i="108"/>
  <c r="H396" i="108"/>
  <c r="H372" i="108"/>
  <c r="H368" i="108"/>
  <c r="H497" i="108"/>
  <c r="H481" i="108"/>
  <c r="H465" i="108"/>
  <c r="H385" i="108"/>
  <c r="H404" i="108"/>
  <c r="H398" i="108"/>
  <c r="H393" i="108"/>
  <c r="H388" i="108"/>
  <c r="H382" i="108"/>
  <c r="H377" i="108"/>
  <c r="H346" i="108"/>
  <c r="H330" i="108"/>
  <c r="H336" i="108"/>
  <c r="H320" i="108"/>
  <c r="H304" i="108"/>
  <c r="H288" i="108"/>
  <c r="H272" i="108"/>
  <c r="H253" i="108"/>
  <c r="H245" i="108"/>
  <c r="H237" i="108"/>
  <c r="H210" i="108"/>
  <c r="H248" i="108"/>
  <c r="H226" i="108"/>
  <c r="H178" i="108"/>
  <c r="H204" i="108"/>
  <c r="H151" i="108"/>
  <c r="H126" i="108"/>
  <c r="H100" i="108"/>
  <c r="H78" i="108"/>
  <c r="H432" i="108"/>
  <c r="H417" i="108"/>
  <c r="H449" i="108"/>
  <c r="H444" i="108"/>
  <c r="H390" i="108"/>
  <c r="H365" i="108"/>
  <c r="H409" i="108"/>
  <c r="H373" i="108"/>
  <c r="H352" i="108"/>
  <c r="H244" i="108"/>
  <c r="H172" i="108"/>
  <c r="H147" i="108"/>
  <c r="H160" i="108"/>
  <c r="H132" i="108"/>
  <c r="H94" i="108"/>
  <c r="H89" i="108"/>
  <c r="H84" i="108"/>
  <c r="H73" i="108"/>
  <c r="H114" i="108"/>
  <c r="H98" i="108"/>
  <c r="H82" i="108"/>
  <c r="H57" i="108"/>
  <c r="H55" i="108"/>
  <c r="H39" i="108"/>
  <c r="H27" i="108"/>
  <c r="H502" i="108"/>
  <c r="H486" i="108"/>
  <c r="H470" i="108"/>
  <c r="H454" i="108"/>
  <c r="H420" i="108"/>
  <c r="H414" i="108"/>
  <c r="H362" i="108"/>
  <c r="H314" i="108"/>
  <c r="H298" i="108"/>
  <c r="H282" i="108"/>
  <c r="H266" i="108"/>
  <c r="H257" i="108"/>
  <c r="H249" i="108"/>
  <c r="H241" i="108"/>
  <c r="H233" i="108"/>
  <c r="H220" i="108"/>
  <c r="H183" i="108"/>
  <c r="H256" i="108"/>
  <c r="H240" i="108"/>
  <c r="H199" i="108"/>
  <c r="H188" i="108"/>
  <c r="H194" i="108"/>
  <c r="H167" i="108"/>
  <c r="H162" i="108"/>
  <c r="H143" i="108"/>
  <c r="H136" i="108"/>
  <c r="H152" i="108"/>
  <c r="H144" i="108"/>
  <c r="H137" i="108"/>
  <c r="H69" i="108"/>
  <c r="H109" i="108"/>
  <c r="H93" i="108"/>
  <c r="H74" i="108"/>
  <c r="H51" i="108"/>
  <c r="H46" i="108"/>
  <c r="H41" i="108"/>
  <c r="H50" i="108"/>
  <c r="H34" i="108"/>
  <c r="H492" i="108"/>
  <c r="H476" i="108"/>
  <c r="H460" i="108"/>
  <c r="H412" i="108"/>
  <c r="H380" i="108"/>
  <c r="H341" i="108"/>
  <c r="H357" i="108"/>
  <c r="H325" i="108"/>
  <c r="H309" i="108"/>
  <c r="H293" i="108"/>
  <c r="H277" i="108"/>
  <c r="H261" i="108"/>
  <c r="H252" i="108"/>
  <c r="H215" i="108"/>
  <c r="H155" i="108"/>
  <c r="H166" i="108"/>
  <c r="H121" i="108"/>
  <c r="H116" i="108"/>
  <c r="H65" i="108"/>
  <c r="H120" i="108"/>
  <c r="H104" i="108"/>
  <c r="H88" i="108"/>
  <c r="H35" i="108"/>
  <c r="H45" i="108"/>
  <c r="H125" i="108"/>
  <c r="H156" i="108"/>
  <c r="H148" i="108"/>
  <c r="H130" i="108"/>
  <c r="H110" i="108"/>
  <c r="H105" i="108"/>
  <c r="H77" i="108"/>
  <c r="H70" i="108"/>
  <c r="F432" i="108"/>
  <c r="F569" i="108"/>
  <c r="G569" i="108" s="1"/>
  <c r="H569" i="108" s="1"/>
  <c r="F559" i="108"/>
  <c r="G559" i="108" s="1"/>
  <c r="H559" i="108" s="1"/>
  <c r="F868" i="108"/>
  <c r="F567" i="108"/>
  <c r="G567" i="108" s="1"/>
  <c r="H567" i="108" s="1"/>
  <c r="F521" i="108"/>
  <c r="F392" i="108"/>
  <c r="F404" i="108"/>
  <c r="F594" i="108"/>
  <c r="G594" i="108" s="1"/>
  <c r="H594" i="108" s="1"/>
  <c r="F766" i="108"/>
  <c r="F726" i="108"/>
  <c r="G726" i="108" s="1"/>
  <c r="F757" i="108"/>
  <c r="G757" i="108" s="1"/>
  <c r="F789" i="108"/>
  <c r="G789" i="108" s="1"/>
  <c r="F718" i="108"/>
  <c r="F758" i="108"/>
  <c r="G758" i="108" s="1"/>
  <c r="F849" i="108"/>
  <c r="F496" i="108"/>
  <c r="G496" i="108" s="1"/>
  <c r="F698" i="108"/>
  <c r="F746" i="108"/>
  <c r="G746" i="108" s="1"/>
  <c r="F790" i="108"/>
  <c r="F435" i="108"/>
  <c r="F606" i="108"/>
  <c r="G606" i="108" s="1"/>
  <c r="H606" i="108" s="1"/>
  <c r="F782" i="108"/>
  <c r="G782" i="108" s="1"/>
  <c r="F687" i="108"/>
  <c r="G687" i="108" s="1"/>
  <c r="H687" i="108" s="1"/>
  <c r="F837" i="108"/>
  <c r="F817" i="108"/>
  <c r="F717" i="108"/>
  <c r="G717" i="108" s="1"/>
  <c r="F713" i="108"/>
  <c r="G713" i="108" s="1"/>
  <c r="F745" i="108"/>
  <c r="G745" i="108" s="1"/>
  <c r="F683" i="108"/>
  <c r="G683" i="108" s="1"/>
  <c r="H683" i="108" s="1"/>
  <c r="F431" i="108"/>
  <c r="F530" i="108"/>
  <c r="G530" i="108" s="1"/>
  <c r="F570" i="108"/>
  <c r="G570" i="108" s="1"/>
  <c r="H570" i="108" s="1"/>
  <c r="F506" i="108"/>
  <c r="G506" i="108" s="1"/>
  <c r="F590" i="108"/>
  <c r="G590" i="108" s="1"/>
  <c r="H590" i="108" s="1"/>
  <c r="F574" i="108"/>
  <c r="G574" i="108" s="1"/>
  <c r="H574" i="108" s="1"/>
  <c r="F542" i="108"/>
  <c r="G542" i="108" s="1"/>
  <c r="F518" i="108"/>
  <c r="G518" i="108" s="1"/>
  <c r="F463" i="108"/>
  <c r="F447" i="108"/>
  <c r="F15" i="108"/>
  <c r="F31" i="108"/>
  <c r="F19" i="108"/>
  <c r="F24" i="108"/>
  <c r="F29" i="108"/>
  <c r="F23" i="108"/>
  <c r="F35" i="108"/>
  <c r="F41" i="108"/>
  <c r="F51" i="108"/>
  <c r="F52" i="108"/>
  <c r="F53" i="108"/>
  <c r="F63" i="108"/>
  <c r="F75" i="108"/>
  <c r="F84" i="108"/>
  <c r="F90" i="108"/>
  <c r="F110" i="108"/>
  <c r="F130" i="108"/>
  <c r="F68" i="108"/>
  <c r="F80" i="108"/>
  <c r="F95" i="108"/>
  <c r="F96" i="108"/>
  <c r="F106" i="108"/>
  <c r="F116" i="108"/>
  <c r="F71" i="108"/>
  <c r="F76" i="108"/>
  <c r="F99" i="108"/>
  <c r="F56" i="108"/>
  <c r="F64" i="108"/>
  <c r="F126" i="108"/>
  <c r="F138" i="108"/>
  <c r="F145" i="108"/>
  <c r="F154" i="108"/>
  <c r="F161" i="108"/>
  <c r="F186" i="108"/>
  <c r="F216" i="108"/>
  <c r="F112" i="108"/>
  <c r="F119" i="108"/>
  <c r="F122" i="108"/>
  <c r="F123" i="108"/>
  <c r="F139" i="108"/>
  <c r="F153" i="108"/>
  <c r="F162" i="108"/>
  <c r="F169" i="108"/>
  <c r="F181" i="108"/>
  <c r="F185" i="108"/>
  <c r="F189" i="108"/>
  <c r="F190" i="108"/>
  <c r="F193" i="108"/>
  <c r="F202" i="108"/>
  <c r="F111" i="108"/>
  <c r="F165" i="108"/>
  <c r="F170" i="108"/>
  <c r="F174" i="108"/>
  <c r="F184" i="108"/>
  <c r="F131" i="108"/>
  <c r="F146" i="108"/>
  <c r="F201" i="108"/>
  <c r="F206" i="108"/>
  <c r="F268" i="108"/>
  <c r="F271" i="108"/>
  <c r="F280" i="108"/>
  <c r="F218" i="108"/>
  <c r="F242" i="108"/>
  <c r="F247" i="108"/>
  <c r="F250" i="108"/>
  <c r="F255" i="108"/>
  <c r="F258" i="108"/>
  <c r="F262" i="108"/>
  <c r="F275" i="108"/>
  <c r="F279" i="108"/>
  <c r="F283" i="108"/>
  <c r="F284" i="108"/>
  <c r="F287" i="108"/>
  <c r="F209" i="108"/>
  <c r="F235" i="108"/>
  <c r="F263" i="108"/>
  <c r="F267" i="108"/>
  <c r="F278" i="108"/>
  <c r="F205" i="108"/>
  <c r="F291" i="108"/>
  <c r="F300" i="108"/>
  <c r="F342" i="108"/>
  <c r="F348" i="108"/>
  <c r="F366" i="108"/>
  <c r="F367" i="108"/>
  <c r="F368" i="108"/>
  <c r="F376" i="108"/>
  <c r="F378" i="108"/>
  <c r="F331" i="108"/>
  <c r="F359" i="108"/>
  <c r="F363" i="108"/>
  <c r="F379" i="108"/>
  <c r="F386" i="108"/>
  <c r="F388" i="108"/>
  <c r="F295" i="108"/>
  <c r="F296" i="108"/>
  <c r="F303" i="108"/>
  <c r="F310" i="108"/>
  <c r="F323" i="108"/>
  <c r="F327" i="108"/>
  <c r="F344" i="108"/>
  <c r="F347" i="108"/>
  <c r="F360" i="108"/>
  <c r="F364" i="108"/>
  <c r="F371" i="108"/>
  <c r="F299" i="108"/>
  <c r="F374" i="108"/>
  <c r="F375" i="108"/>
  <c r="F411" i="108"/>
  <c r="F475" i="108"/>
  <c r="G475" i="108" s="1"/>
  <c r="F591" i="108"/>
  <c r="G591" i="108" s="1"/>
  <c r="H591" i="108" s="1"/>
  <c r="F595" i="108"/>
  <c r="F599" i="108"/>
  <c r="G599" i="108" s="1"/>
  <c r="H599" i="108" s="1"/>
  <c r="F603" i="108"/>
  <c r="F607" i="108"/>
  <c r="G607" i="108" s="1"/>
  <c r="H607" i="108" s="1"/>
  <c r="F619" i="108"/>
  <c r="F622" i="108"/>
  <c r="G622" i="108" s="1"/>
  <c r="H622" i="108" s="1"/>
  <c r="F627" i="108"/>
  <c r="F419" i="108"/>
  <c r="F467" i="108"/>
  <c r="F483" i="108"/>
  <c r="G483" i="108" s="1"/>
  <c r="F571" i="108"/>
  <c r="F575" i="108"/>
  <c r="F579" i="108"/>
  <c r="F583" i="108"/>
  <c r="G583" i="108" s="1"/>
  <c r="H583" i="108" s="1"/>
  <c r="F587" i="108"/>
  <c r="F647" i="108"/>
  <c r="G647" i="108" s="1"/>
  <c r="H647" i="108" s="1"/>
  <c r="F655" i="108"/>
  <c r="F659" i="108"/>
  <c r="F662" i="108"/>
  <c r="G662" i="108" s="1"/>
  <c r="H662" i="108" s="1"/>
  <c r="F666" i="108"/>
  <c r="G666" i="108" s="1"/>
  <c r="H666" i="108" s="1"/>
  <c r="F682" i="108"/>
  <c r="G682" i="108" s="1"/>
  <c r="H682" i="108" s="1"/>
  <c r="F806" i="108"/>
  <c r="F643" i="108"/>
  <c r="F798" i="108"/>
  <c r="F630" i="108"/>
  <c r="G630" i="108" s="1"/>
  <c r="H630" i="108" s="1"/>
  <c r="F631" i="108"/>
  <c r="G631" i="108" s="1"/>
  <c r="H631" i="108" s="1"/>
  <c r="F674" i="108"/>
  <c r="G674" i="108" s="1"/>
  <c r="H674" i="108" s="1"/>
  <c r="F874" i="108"/>
  <c r="F878" i="108"/>
  <c r="F882" i="108"/>
  <c r="F997" i="108"/>
  <c r="F886" i="108"/>
  <c r="F890" i="108"/>
  <c r="F897" i="108"/>
  <c r="F906" i="108"/>
  <c r="F913" i="108"/>
  <c r="F922" i="108"/>
  <c r="F929" i="108"/>
  <c r="F938" i="108"/>
  <c r="F945" i="108"/>
  <c r="F993" i="108"/>
  <c r="F1001" i="108"/>
  <c r="F1016" i="108"/>
  <c r="F1017" i="108"/>
  <c r="F1018" i="108"/>
  <c r="F1025" i="108"/>
  <c r="F1046" i="108"/>
  <c r="F1057" i="108"/>
  <c r="F1062" i="108"/>
  <c r="F1073" i="108"/>
  <c r="F1102" i="108"/>
  <c r="F1110" i="108"/>
  <c r="F1138" i="108"/>
  <c r="F1185" i="108"/>
  <c r="F1202" i="108"/>
  <c r="F1209" i="108"/>
  <c r="F1201" i="108"/>
  <c r="F954" i="108"/>
  <c r="F1008" i="108"/>
  <c r="F1032" i="108"/>
  <c r="F1033" i="108"/>
  <c r="F1034" i="108"/>
  <c r="F1041" i="108"/>
  <c r="F1053" i="108"/>
  <c r="F1058" i="108"/>
  <c r="F1069" i="108"/>
  <c r="F1074" i="108"/>
  <c r="F1077" i="108"/>
  <c r="F1081" i="108"/>
  <c r="F1085" i="108"/>
  <c r="F1089" i="108"/>
  <c r="F1093" i="108"/>
  <c r="F1097" i="108"/>
  <c r="F1105" i="108"/>
  <c r="F1113" i="108"/>
  <c r="F1122" i="108"/>
  <c r="F1125" i="108"/>
  <c r="F1129" i="108"/>
  <c r="F1133" i="108"/>
  <c r="F1142" i="108"/>
  <c r="F1145" i="108"/>
  <c r="F1158" i="108"/>
  <c r="F1161" i="108"/>
  <c r="F1165" i="108"/>
  <c r="F1173" i="108"/>
  <c r="F1178" i="108"/>
  <c r="F1190" i="108"/>
  <c r="F1230" i="108"/>
  <c r="F1229" i="108"/>
  <c r="F961" i="108"/>
  <c r="F970" i="108"/>
  <c r="F1114" i="108"/>
  <c r="F1137" i="108"/>
  <c r="F1141" i="108"/>
  <c r="F1150" i="108"/>
  <c r="F1154" i="108"/>
  <c r="F1157" i="108"/>
  <c r="F1177" i="108"/>
  <c r="F1182" i="108"/>
  <c r="F1189" i="108"/>
  <c r="F1194" i="108"/>
  <c r="F1218" i="108"/>
  <c r="F977" i="108"/>
  <c r="F986" i="108"/>
  <c r="F1009" i="108"/>
  <c r="F1206" i="108"/>
  <c r="F1221" i="108"/>
  <c r="F1222" i="108"/>
  <c r="F1214" i="108"/>
  <c r="F1066" i="108"/>
  <c r="F1040" i="108"/>
  <c r="F1050" i="108"/>
  <c r="F1109" i="108"/>
  <c r="F1213" i="108"/>
  <c r="F1186" i="108"/>
  <c r="F1225" i="108"/>
  <c r="F989" i="108"/>
  <c r="F982" i="108"/>
  <c r="F973" i="108"/>
  <c r="F966" i="108"/>
  <c r="F1106" i="108"/>
  <c r="F1094" i="108"/>
  <c r="F1086" i="108"/>
  <c r="F1078" i="108"/>
  <c r="F1014" i="108"/>
  <c r="F1004" i="108"/>
  <c r="F968" i="108"/>
  <c r="F948" i="108"/>
  <c r="F1174" i="108"/>
  <c r="F1162" i="108"/>
  <c r="F1146" i="108"/>
  <c r="F1117" i="108"/>
  <c r="F941" i="108"/>
  <c r="F902" i="108"/>
  <c r="F920" i="108"/>
  <c r="F881" i="108"/>
  <c r="F876" i="108"/>
  <c r="F940" i="108"/>
  <c r="F916" i="108"/>
  <c r="F990" i="108"/>
  <c r="F969" i="108"/>
  <c r="F958" i="108"/>
  <c r="F917" i="108"/>
  <c r="F905" i="108"/>
  <c r="F894" i="108"/>
  <c r="F663" i="108"/>
  <c r="G663" i="108" s="1"/>
  <c r="H663" i="108" s="1"/>
  <c r="F611" i="108"/>
  <c r="F658" i="108"/>
  <c r="G658" i="108" s="1"/>
  <c r="H658" i="108" s="1"/>
  <c r="F626" i="108"/>
  <c r="G626" i="108" s="1"/>
  <c r="H626" i="108" s="1"/>
  <c r="F1226" i="108"/>
  <c r="F1134" i="108"/>
  <c r="F1049" i="108"/>
  <c r="F1013" i="108"/>
  <c r="F1169" i="108"/>
  <c r="F1153" i="108"/>
  <c r="F1149" i="108"/>
  <c r="F1036" i="108"/>
  <c r="F980" i="108"/>
  <c r="F960" i="108"/>
  <c r="F1044" i="108"/>
  <c r="F1037" i="108"/>
  <c r="F1030" i="108"/>
  <c r="F1020" i="108"/>
  <c r="F984" i="108"/>
  <c r="F964" i="108"/>
  <c r="F1028" i="108"/>
  <c r="F1021" i="108"/>
  <c r="F1006" i="108"/>
  <c r="F972" i="108"/>
  <c r="F996" i="108"/>
  <c r="F976" i="108"/>
  <c r="F952" i="108"/>
  <c r="F888" i="108"/>
  <c r="F925" i="108"/>
  <c r="F928" i="108"/>
  <c r="F896" i="108"/>
  <c r="F885" i="108"/>
  <c r="F880" i="108"/>
  <c r="F932" i="108"/>
  <c r="F892" i="108"/>
  <c r="F965" i="108"/>
  <c r="F933" i="108"/>
  <c r="F921" i="108"/>
  <c r="F910" i="108"/>
  <c r="F651" i="108"/>
  <c r="F635" i="108"/>
  <c r="G635" i="108" s="1"/>
  <c r="H635" i="108" s="1"/>
  <c r="F1118" i="108"/>
  <c r="F1045" i="108"/>
  <c r="F1029" i="108"/>
  <c r="F1130" i="108"/>
  <c r="F1061" i="108"/>
  <c r="F1198" i="108"/>
  <c r="F1126" i="108"/>
  <c r="F11" i="108"/>
  <c r="F1170" i="108"/>
  <c r="F1121" i="108"/>
  <c r="F1038" i="108"/>
  <c r="F1022" i="108"/>
  <c r="F988" i="108"/>
  <c r="F1098" i="108"/>
  <c r="F1090" i="108"/>
  <c r="F1082" i="108"/>
  <c r="F998" i="108"/>
  <c r="F1210" i="108"/>
  <c r="F956" i="108"/>
  <c r="F934" i="108"/>
  <c r="F909" i="108"/>
  <c r="F936" i="108"/>
  <c r="F904" i="108"/>
  <c r="F884" i="108"/>
  <c r="F873" i="108"/>
  <c r="F908" i="108"/>
  <c r="F814" i="108"/>
  <c r="F985" i="108"/>
  <c r="F974" i="108"/>
  <c r="F953" i="108"/>
  <c r="F937" i="108"/>
  <c r="F926" i="108"/>
  <c r="F654" i="108"/>
  <c r="G654" i="108" s="1"/>
  <c r="H654" i="108" s="1"/>
  <c r="F1024" i="108"/>
  <c r="F1101" i="108"/>
  <c r="F1002" i="108"/>
  <c r="F1065" i="108"/>
  <c r="F1070" i="108"/>
  <c r="F1054" i="108"/>
  <c r="F1197" i="108"/>
  <c r="F1217" i="108"/>
  <c r="F1205" i="108"/>
  <c r="F1193" i="108"/>
  <c r="F1181" i="108"/>
  <c r="F992" i="108"/>
  <c r="F957" i="108"/>
  <c r="F950" i="108"/>
  <c r="F1166" i="108"/>
  <c r="F1012" i="108"/>
  <c r="F1005" i="108"/>
  <c r="F1000" i="108"/>
  <c r="F918" i="108"/>
  <c r="F893" i="108"/>
  <c r="F944" i="108"/>
  <c r="F912" i="108"/>
  <c r="F877" i="108"/>
  <c r="F872" i="108"/>
  <c r="F924" i="108"/>
  <c r="F900" i="108"/>
  <c r="F981" i="108"/>
  <c r="F949" i="108"/>
  <c r="F942" i="108"/>
  <c r="F901" i="108"/>
  <c r="F889" i="108"/>
  <c r="F679" i="108"/>
  <c r="G679" i="108" s="1"/>
  <c r="H679" i="108" s="1"/>
  <c r="F639" i="108"/>
  <c r="G639" i="108" s="1"/>
  <c r="H639" i="108" s="1"/>
  <c r="F615" i="108"/>
  <c r="F618" i="108"/>
  <c r="G618" i="108" s="1"/>
  <c r="H618" i="108" s="1"/>
  <c r="F499" i="108"/>
  <c r="G499" i="108" s="1"/>
  <c r="F491" i="108"/>
  <c r="G491" i="108" s="1"/>
  <c r="F488" i="108"/>
  <c r="F451" i="108"/>
  <c r="F623" i="108"/>
  <c r="F351" i="108"/>
  <c r="F459" i="108"/>
  <c r="F420" i="108"/>
  <c r="F332" i="108"/>
  <c r="F456" i="108"/>
  <c r="F246" i="108"/>
  <c r="F251" i="108"/>
  <c r="F312" i="108"/>
  <c r="F400" i="108"/>
  <c r="F387" i="108"/>
  <c r="F382" i="108"/>
  <c r="F335" i="108"/>
  <c r="F316" i="108"/>
  <c r="F243" i="108"/>
  <c r="F334" i="108"/>
  <c r="F270" i="108"/>
  <c r="F239" i="108"/>
  <c r="F298" i="108"/>
  <c r="F225" i="108"/>
  <c r="F150" i="108"/>
  <c r="F79" i="108"/>
  <c r="F192" i="108"/>
  <c r="F157" i="108"/>
  <c r="F142" i="108"/>
  <c r="F180" i="108"/>
  <c r="F118" i="108"/>
  <c r="F224" i="108"/>
  <c r="F173" i="108"/>
  <c r="F87" i="108"/>
  <c r="F102" i="108"/>
  <c r="F103" i="108"/>
  <c r="F72" i="108"/>
  <c r="F55" i="108"/>
  <c r="F36" i="108"/>
  <c r="F32" i="108"/>
  <c r="F28" i="108"/>
  <c r="F16" i="108"/>
  <c r="F39" i="108"/>
  <c r="F1128" i="108"/>
  <c r="F1104" i="108"/>
  <c r="F1227" i="108"/>
  <c r="F1160" i="108"/>
  <c r="F1152" i="108"/>
  <c r="F1124" i="108"/>
  <c r="F1204" i="108"/>
  <c r="F1176" i="108"/>
  <c r="F1120" i="108"/>
  <c r="F1096" i="108"/>
  <c r="F1068" i="108"/>
  <c r="F1052" i="108"/>
  <c r="F1219" i="108"/>
  <c r="F1195" i="108"/>
  <c r="F1167" i="108"/>
  <c r="F1163" i="108"/>
  <c r="F1147" i="108"/>
  <c r="F1131" i="108"/>
  <c r="F1115" i="108"/>
  <c r="F1099" i="108"/>
  <c r="F472" i="108"/>
  <c r="G472" i="108" s="1"/>
  <c r="F403" i="108"/>
  <c r="F383" i="108"/>
  <c r="F358" i="108"/>
  <c r="F229" i="108"/>
  <c r="F318" i="108"/>
  <c r="F354" i="108"/>
  <c r="F254" i="108"/>
  <c r="F390" i="108"/>
  <c r="F322" i="108"/>
  <c r="F362" i="108"/>
  <c r="F290" i="108"/>
  <c r="F274" i="108"/>
  <c r="F230" i="108"/>
  <c r="F208" i="108"/>
  <c r="F196" i="108"/>
  <c r="F94" i="108"/>
  <c r="F149" i="108"/>
  <c r="F107" i="108"/>
  <c r="F160" i="108"/>
  <c r="F91" i="108"/>
  <c r="F47" i="108"/>
  <c r="F43" i="108"/>
  <c r="F40" i="108"/>
  <c r="F20" i="108"/>
  <c r="F1184" i="108"/>
  <c r="F1164" i="108"/>
  <c r="F1156" i="108"/>
  <c r="F1180" i="108"/>
  <c r="F1172" i="108"/>
  <c r="F1144" i="108"/>
  <c r="F1132" i="108"/>
  <c r="F1224" i="108"/>
  <c r="F1192" i="108"/>
  <c r="F1084" i="108"/>
  <c r="F1056" i="108"/>
  <c r="F1211" i="108"/>
  <c r="F1203" i="108"/>
  <c r="F1199" i="108"/>
  <c r="F1175" i="108"/>
  <c r="F1171" i="108"/>
  <c r="F339" i="108"/>
  <c r="F311" i="108"/>
  <c r="F294" i="108"/>
  <c r="F234" i="108"/>
  <c r="F384" i="108"/>
  <c r="F326" i="108"/>
  <c r="F259" i="108"/>
  <c r="F302" i="108"/>
  <c r="F266" i="108"/>
  <c r="F238" i="108"/>
  <c r="F222" i="108"/>
  <c r="F221" i="108"/>
  <c r="F228" i="108"/>
  <c r="F213" i="108"/>
  <c r="F177" i="108"/>
  <c r="F217" i="108"/>
  <c r="F168" i="108"/>
  <c r="F212" i="108"/>
  <c r="F158" i="108"/>
  <c r="F176" i="108"/>
  <c r="F115" i="108"/>
  <c r="F60" i="108"/>
  <c r="F100" i="108"/>
  <c r="F86" i="108"/>
  <c r="F44" i="108"/>
  <c r="F12" i="108"/>
  <c r="F1116" i="108"/>
  <c r="F1136" i="108"/>
  <c r="F1112" i="108"/>
  <c r="F1212" i="108"/>
  <c r="F1188" i="108"/>
  <c r="F1140" i="108"/>
  <c r="F1208" i="108"/>
  <c r="F1088" i="108"/>
  <c r="F1060" i="108"/>
  <c r="F328" i="108"/>
  <c r="F416" i="108"/>
  <c r="F355" i="108"/>
  <c r="F504" i="108"/>
  <c r="F346" i="108"/>
  <c r="F314" i="108"/>
  <c r="F286" i="108"/>
  <c r="F319" i="108"/>
  <c r="F307" i="108"/>
  <c r="F395" i="108"/>
  <c r="F343" i="108"/>
  <c r="F315" i="108"/>
  <c r="F338" i="108"/>
  <c r="F282" i="108"/>
  <c r="F264" i="108"/>
  <c r="F231" i="108"/>
  <c r="F200" i="108"/>
  <c r="F306" i="108"/>
  <c r="F197" i="108"/>
  <c r="F135" i="108"/>
  <c r="F128" i="108"/>
  <c r="F127" i="108"/>
  <c r="F67" i="108"/>
  <c r="F132" i="108"/>
  <c r="F141" i="108"/>
  <c r="F164" i="108"/>
  <c r="F82" i="108"/>
  <c r="F59" i="108"/>
  <c r="F57" i="108"/>
  <c r="F114" i="108"/>
  <c r="F83" i="108"/>
  <c r="F98" i="108"/>
  <c r="F37" i="108"/>
  <c r="F48" i="108"/>
  <c r="F27" i="108"/>
  <c r="F1200" i="108"/>
  <c r="F1168" i="108"/>
  <c r="F1228" i="108"/>
  <c r="F1196" i="108"/>
  <c r="F1220" i="108"/>
  <c r="F1216" i="108"/>
  <c r="F1148" i="108"/>
  <c r="F1100" i="108"/>
  <c r="F1223" i="108"/>
  <c r="F1108" i="108"/>
  <c r="F1092" i="108"/>
  <c r="F1064" i="108"/>
  <c r="F1048" i="108"/>
  <c r="F1215" i="108"/>
  <c r="F1207" i="108"/>
  <c r="F1191" i="108"/>
  <c r="F1187" i="108"/>
  <c r="F1143" i="108"/>
  <c r="F1127" i="108"/>
  <c r="F1111" i="108"/>
  <c r="F1087" i="108"/>
  <c r="F1071" i="108"/>
  <c r="F1055" i="108"/>
  <c r="F1035" i="108"/>
  <c r="F971" i="108"/>
  <c r="F907" i="108"/>
  <c r="F1151" i="108"/>
  <c r="F1107" i="108"/>
  <c r="F1091" i="108"/>
  <c r="F987" i="108"/>
  <c r="F955" i="108"/>
  <c r="F808" i="108"/>
  <c r="F1072" i="108"/>
  <c r="F804" i="108"/>
  <c r="F871" i="108"/>
  <c r="F855" i="108"/>
  <c r="F839" i="108"/>
  <c r="F823" i="108"/>
  <c r="F807" i="108"/>
  <c r="F791" i="108"/>
  <c r="G791" i="108" s="1"/>
  <c r="F775" i="108"/>
  <c r="G775" i="108" s="1"/>
  <c r="F759" i="108"/>
  <c r="G759" i="108" s="1"/>
  <c r="F743" i="108"/>
  <c r="G743" i="108" s="1"/>
  <c r="F727" i="108"/>
  <c r="G727" i="108" s="1"/>
  <c r="F711" i="108"/>
  <c r="G711" i="108" s="1"/>
  <c r="H711" i="108" s="1"/>
  <c r="F695" i="108"/>
  <c r="G695" i="108" s="1"/>
  <c r="H695" i="108" s="1"/>
  <c r="F668" i="108"/>
  <c r="F676" i="108"/>
  <c r="G676" i="108" s="1"/>
  <c r="H676" i="108" s="1"/>
  <c r="F689" i="108"/>
  <c r="G689" i="108" s="1"/>
  <c r="H689" i="108" s="1"/>
  <c r="F648" i="108"/>
  <c r="G648" i="108" s="1"/>
  <c r="H648" i="108" s="1"/>
  <c r="F788" i="108"/>
  <c r="G788" i="108" s="1"/>
  <c r="F772" i="108"/>
  <c r="G772" i="108" s="1"/>
  <c r="F756" i="108"/>
  <c r="G756" i="108" s="1"/>
  <c r="F740" i="108"/>
  <c r="G740" i="108" s="1"/>
  <c r="F724" i="108"/>
  <c r="G724" i="108" s="1"/>
  <c r="F708" i="108"/>
  <c r="G708" i="108" s="1"/>
  <c r="H708" i="108" s="1"/>
  <c r="F692" i="108"/>
  <c r="G692" i="108" s="1"/>
  <c r="H692" i="108" s="1"/>
  <c r="F612" i="108"/>
  <c r="G612" i="108" s="1"/>
  <c r="H612" i="108" s="1"/>
  <c r="F604" i="108"/>
  <c r="F596" i="108"/>
  <c r="G596" i="108" s="1"/>
  <c r="H596" i="108" s="1"/>
  <c r="F588" i="108"/>
  <c r="F580" i="108"/>
  <c r="G580" i="108" s="1"/>
  <c r="H580" i="108" s="1"/>
  <c r="F572" i="108"/>
  <c r="F552" i="108"/>
  <c r="G552" i="108" s="1"/>
  <c r="H552" i="108" s="1"/>
  <c r="F536" i="108"/>
  <c r="G536" i="108" s="1"/>
  <c r="F1183" i="108"/>
  <c r="F1155" i="108"/>
  <c r="F1135" i="108"/>
  <c r="F1103" i="108"/>
  <c r="F1095" i="108"/>
  <c r="F1051" i="108"/>
  <c r="F1047" i="108"/>
  <c r="F1003" i="108"/>
  <c r="F923" i="108"/>
  <c r="F891" i="108"/>
  <c r="F1031" i="108"/>
  <c r="F999" i="108"/>
  <c r="F967" i="108"/>
  <c r="F935" i="108"/>
  <c r="F903" i="108"/>
  <c r="F812" i="108"/>
  <c r="F1043" i="108"/>
  <c r="F1027" i="108"/>
  <c r="F1011" i="108"/>
  <c r="F995" i="108"/>
  <c r="F979" i="108"/>
  <c r="F963" i="108"/>
  <c r="F947" i="108"/>
  <c r="F931" i="108"/>
  <c r="F915" i="108"/>
  <c r="F899" i="108"/>
  <c r="F1039" i="108"/>
  <c r="F1026" i="108"/>
  <c r="F1007" i="108"/>
  <c r="F994" i="108"/>
  <c r="F975" i="108"/>
  <c r="F962" i="108"/>
  <c r="F943" i="108"/>
  <c r="F930" i="108"/>
  <c r="F911" i="108"/>
  <c r="F898" i="108"/>
  <c r="F883" i="108"/>
  <c r="F867" i="108"/>
  <c r="F851" i="108"/>
  <c r="F835" i="108"/>
  <c r="F819" i="108"/>
  <c r="F811" i="108"/>
  <c r="F795" i="108"/>
  <c r="F787" i="108"/>
  <c r="G787" i="108" s="1"/>
  <c r="F771" i="108"/>
  <c r="G771" i="108" s="1"/>
  <c r="F755" i="108"/>
  <c r="G755" i="108" s="1"/>
  <c r="F739" i="108"/>
  <c r="G739" i="108" s="1"/>
  <c r="F723" i="108"/>
  <c r="G723" i="108" s="1"/>
  <c r="F707" i="108"/>
  <c r="G707" i="108" s="1"/>
  <c r="H707" i="108" s="1"/>
  <c r="F644" i="108"/>
  <c r="G644" i="108" s="1"/>
  <c r="H644" i="108" s="1"/>
  <c r="F617" i="108"/>
  <c r="G617" i="108" s="1"/>
  <c r="H617" i="108" s="1"/>
  <c r="F638" i="108"/>
  <c r="G638" i="108" s="1"/>
  <c r="H638" i="108" s="1"/>
  <c r="F613" i="108"/>
  <c r="G613" i="108" s="1"/>
  <c r="H613" i="108" s="1"/>
  <c r="F784" i="108"/>
  <c r="G784" i="108" s="1"/>
  <c r="F768" i="108"/>
  <c r="G768" i="108" s="1"/>
  <c r="F752" i="108"/>
  <c r="G752" i="108" s="1"/>
  <c r="F736" i="108"/>
  <c r="G736" i="108" s="1"/>
  <c r="F720" i="108"/>
  <c r="G720" i="108" s="1"/>
  <c r="F704" i="108"/>
  <c r="G704" i="108" s="1"/>
  <c r="H704" i="108" s="1"/>
  <c r="F564" i="108"/>
  <c r="G564" i="108" s="1"/>
  <c r="H564" i="108" s="1"/>
  <c r="F548" i="108"/>
  <c r="G548" i="108" s="1"/>
  <c r="F540" i="108"/>
  <c r="G540" i="108" s="1"/>
  <c r="F524" i="108"/>
  <c r="G524" i="108" s="1"/>
  <c r="F520" i="108"/>
  <c r="G520" i="108" s="1"/>
  <c r="F516" i="108"/>
  <c r="G516" i="108" s="1"/>
  <c r="F512" i="108"/>
  <c r="G512" i="108" s="1"/>
  <c r="F508" i="108"/>
  <c r="G508" i="108" s="1"/>
  <c r="F1159" i="108"/>
  <c r="F1123" i="108"/>
  <c r="F1067" i="108"/>
  <c r="F1063" i="108"/>
  <c r="F1059" i="108"/>
  <c r="F939" i="108"/>
  <c r="F792" i="108"/>
  <c r="F1080" i="108"/>
  <c r="F879" i="108"/>
  <c r="F863" i="108"/>
  <c r="F847" i="108"/>
  <c r="F831" i="108"/>
  <c r="F815" i="108"/>
  <c r="F799" i="108"/>
  <c r="F783" i="108"/>
  <c r="G783" i="108" s="1"/>
  <c r="F767" i="108"/>
  <c r="G767" i="108" s="1"/>
  <c r="F751" i="108"/>
  <c r="G751" i="108" s="1"/>
  <c r="F735" i="108"/>
  <c r="G735" i="108" s="1"/>
  <c r="F719" i="108"/>
  <c r="G719" i="108" s="1"/>
  <c r="F703" i="108"/>
  <c r="G703" i="108" s="1"/>
  <c r="H703" i="108" s="1"/>
  <c r="F634" i="108"/>
  <c r="G634" i="108" s="1"/>
  <c r="H634" i="108" s="1"/>
  <c r="F672" i="108"/>
  <c r="G672" i="108" s="1"/>
  <c r="H672" i="108" s="1"/>
  <c r="F646" i="108"/>
  <c r="G646" i="108" s="1"/>
  <c r="H646" i="108" s="1"/>
  <c r="F780" i="108"/>
  <c r="G780" i="108" s="1"/>
  <c r="F764" i="108"/>
  <c r="G764" i="108" s="1"/>
  <c r="F748" i="108"/>
  <c r="G748" i="108" s="1"/>
  <c r="F732" i="108"/>
  <c r="G732" i="108" s="1"/>
  <c r="F716" i="108"/>
  <c r="G716" i="108" s="1"/>
  <c r="F700" i="108"/>
  <c r="G700" i="108" s="1"/>
  <c r="H700" i="108" s="1"/>
  <c r="F684" i="108"/>
  <c r="G684" i="108" s="1"/>
  <c r="H684" i="108" s="1"/>
  <c r="F616" i="108"/>
  <c r="F608" i="108"/>
  <c r="F600" i="108"/>
  <c r="F592" i="108"/>
  <c r="G592" i="108" s="1"/>
  <c r="H592" i="108" s="1"/>
  <c r="F584" i="108"/>
  <c r="F576" i="108"/>
  <c r="G576" i="108" s="1"/>
  <c r="H576" i="108" s="1"/>
  <c r="F568" i="108"/>
  <c r="F560" i="108"/>
  <c r="G560" i="108" s="1"/>
  <c r="H560" i="108" s="1"/>
  <c r="F544" i="108"/>
  <c r="G544" i="108" s="1"/>
  <c r="F528" i="108"/>
  <c r="G528" i="108" s="1"/>
  <c r="F501" i="108"/>
  <c r="G501" i="108" s="1"/>
  <c r="F485" i="108"/>
  <c r="G485" i="108" s="1"/>
  <c r="F469" i="108"/>
  <c r="F519" i="108"/>
  <c r="G519" i="108" s="1"/>
  <c r="F511" i="108"/>
  <c r="G511" i="108" s="1"/>
  <c r="F497" i="108"/>
  <c r="G497" i="108" s="1"/>
  <c r="F481" i="108"/>
  <c r="G481" i="108" s="1"/>
  <c r="F465" i="108"/>
  <c r="F452" i="108"/>
  <c r="F1179" i="108"/>
  <c r="F1139" i="108"/>
  <c r="F1119" i="108"/>
  <c r="F1083" i="108"/>
  <c r="F1079" i="108"/>
  <c r="F1075" i="108"/>
  <c r="F1019" i="108"/>
  <c r="F800" i="108"/>
  <c r="F1015" i="108"/>
  <c r="F983" i="108"/>
  <c r="F951" i="108"/>
  <c r="F919" i="108"/>
  <c r="F887" i="108"/>
  <c r="F796" i="108"/>
  <c r="F1076" i="108"/>
  <c r="F1042" i="108"/>
  <c r="F1023" i="108"/>
  <c r="F1010" i="108"/>
  <c r="F991" i="108"/>
  <c r="F978" i="108"/>
  <c r="F959" i="108"/>
  <c r="F946" i="108"/>
  <c r="F927" i="108"/>
  <c r="F914" i="108"/>
  <c r="F895" i="108"/>
  <c r="F875" i="108"/>
  <c r="F859" i="108"/>
  <c r="F843" i="108"/>
  <c r="F827" i="108"/>
  <c r="F803" i="108"/>
  <c r="F779" i="108"/>
  <c r="G779" i="108" s="1"/>
  <c r="F763" i="108"/>
  <c r="G763" i="108" s="1"/>
  <c r="F747" i="108"/>
  <c r="G747" i="108" s="1"/>
  <c r="F731" i="108"/>
  <c r="G731" i="108" s="1"/>
  <c r="F715" i="108"/>
  <c r="G715" i="108" s="1"/>
  <c r="F699" i="108"/>
  <c r="G699" i="108" s="1"/>
  <c r="H699" i="108" s="1"/>
  <c r="F680" i="108"/>
  <c r="G680" i="108" s="1"/>
  <c r="H680" i="108" s="1"/>
  <c r="F650" i="108"/>
  <c r="G650" i="108" s="1"/>
  <c r="H650" i="108" s="1"/>
  <c r="F642" i="108"/>
  <c r="G642" i="108" s="1"/>
  <c r="H642" i="108" s="1"/>
  <c r="F685" i="108"/>
  <c r="G685" i="108" s="1"/>
  <c r="H685" i="108" s="1"/>
  <c r="F776" i="108"/>
  <c r="G776" i="108" s="1"/>
  <c r="F760" i="108"/>
  <c r="G760" i="108" s="1"/>
  <c r="F744" i="108"/>
  <c r="G744" i="108" s="1"/>
  <c r="F728" i="108"/>
  <c r="G728" i="108" s="1"/>
  <c r="F712" i="108"/>
  <c r="G712" i="108" s="1"/>
  <c r="F696" i="108"/>
  <c r="G696" i="108" s="1"/>
  <c r="H696" i="108" s="1"/>
  <c r="F688" i="108"/>
  <c r="G688" i="108" s="1"/>
  <c r="H688" i="108" s="1"/>
  <c r="F531" i="108"/>
  <c r="G531" i="108" s="1"/>
  <c r="F556" i="108"/>
  <c r="G556" i="108" s="1"/>
  <c r="H556" i="108" s="1"/>
  <c r="F532" i="108"/>
  <c r="G532" i="108" s="1"/>
  <c r="F453" i="108"/>
  <c r="F422" i="108"/>
  <c r="F441" i="108"/>
  <c r="F381" i="108"/>
  <c r="F350" i="108"/>
  <c r="F345" i="108"/>
  <c r="F341" i="108"/>
  <c r="F515" i="108"/>
  <c r="G515" i="108" s="1"/>
  <c r="F445" i="108"/>
  <c r="F505" i="108"/>
  <c r="G505" i="108" s="1"/>
  <c r="F424" i="108"/>
  <c r="F433" i="108"/>
  <c r="F356" i="108"/>
  <c r="F361" i="108"/>
  <c r="F357" i="108"/>
  <c r="F330" i="108"/>
  <c r="F385" i="108"/>
  <c r="F353" i="108"/>
  <c r="F349" i="108"/>
  <c r="F320" i="108"/>
  <c r="F301" i="108"/>
  <c r="F288" i="108"/>
  <c r="F269" i="108"/>
  <c r="F309" i="108"/>
  <c r="F277" i="108"/>
  <c r="F256" i="108"/>
  <c r="F252" i="108"/>
  <c r="F248" i="108"/>
  <c r="F244" i="108"/>
  <c r="F204" i="108"/>
  <c r="F194" i="108"/>
  <c r="F227" i="108"/>
  <c r="F148" i="108"/>
  <c r="F143" i="108"/>
  <c r="F85" i="108"/>
  <c r="F124" i="108"/>
  <c r="F92" i="108"/>
  <c r="F49" i="108"/>
  <c r="F14" i="108"/>
  <c r="F523" i="108"/>
  <c r="G523" i="108" s="1"/>
  <c r="F500" i="108"/>
  <c r="F484" i="108"/>
  <c r="F449" i="108"/>
  <c r="F489" i="108"/>
  <c r="G489" i="108" s="1"/>
  <c r="F429" i="108"/>
  <c r="F397" i="108"/>
  <c r="F409" i="108"/>
  <c r="F393" i="108"/>
  <c r="F377" i="108"/>
  <c r="F421" i="108"/>
  <c r="F372" i="108"/>
  <c r="F340" i="108"/>
  <c r="F324" i="108"/>
  <c r="F308" i="108"/>
  <c r="F292" i="108"/>
  <c r="F276" i="108"/>
  <c r="F260" i="108"/>
  <c r="F172" i="108"/>
  <c r="F313" i="108"/>
  <c r="F281" i="108"/>
  <c r="F257" i="108"/>
  <c r="F253" i="108"/>
  <c r="F249" i="108"/>
  <c r="F245" i="108"/>
  <c r="F241" i="108"/>
  <c r="F237" i="108"/>
  <c r="F233" i="108"/>
  <c r="F240" i="108"/>
  <c r="F163" i="108"/>
  <c r="F104" i="108"/>
  <c r="F113" i="108"/>
  <c r="F81" i="108"/>
  <c r="F93" i="108"/>
  <c r="F77" i="108"/>
  <c r="F73" i="108"/>
  <c r="F69" i="108"/>
  <c r="F65" i="108"/>
  <c r="F42" i="108"/>
  <c r="F54" i="108"/>
  <c r="F34" i="108"/>
  <c r="F13" i="108"/>
  <c r="F468" i="108"/>
  <c r="F493" i="108"/>
  <c r="G493" i="108" s="1"/>
  <c r="F477" i="108"/>
  <c r="G477" i="108" s="1"/>
  <c r="F461" i="108"/>
  <c r="F473" i="108"/>
  <c r="G473" i="108" s="1"/>
  <c r="F413" i="108"/>
  <c r="F370" i="108"/>
  <c r="F401" i="108"/>
  <c r="F336" i="108"/>
  <c r="F369" i="108"/>
  <c r="F220" i="108"/>
  <c r="F210" i="108"/>
  <c r="F183" i="108"/>
  <c r="F333" i="108"/>
  <c r="F317" i="108"/>
  <c r="F304" i="108"/>
  <c r="F285" i="108"/>
  <c r="F272" i="108"/>
  <c r="F226" i="108"/>
  <c r="F199" i="108"/>
  <c r="F188" i="108"/>
  <c r="F178" i="108"/>
  <c r="F325" i="108"/>
  <c r="F293" i="108"/>
  <c r="F261" i="108"/>
  <c r="F236" i="108"/>
  <c r="F211" i="108"/>
  <c r="F198" i="108"/>
  <c r="F179" i="108"/>
  <c r="F125" i="108"/>
  <c r="F223" i="108"/>
  <c r="F191" i="108"/>
  <c r="F159" i="108"/>
  <c r="F219" i="108"/>
  <c r="F187" i="108"/>
  <c r="F129" i="108"/>
  <c r="F167" i="108"/>
  <c r="F117" i="108"/>
  <c r="F88" i="108"/>
  <c r="F121" i="108"/>
  <c r="F105" i="108"/>
  <c r="F89" i="108"/>
  <c r="F61" i="108"/>
  <c r="F62" i="108"/>
  <c r="F46" i="108"/>
  <c r="F30" i="108"/>
  <c r="F22" i="108"/>
  <c r="F17" i="108"/>
  <c r="F507" i="108"/>
  <c r="G507" i="108" s="1"/>
  <c r="F417" i="108"/>
  <c r="F457" i="108"/>
  <c r="F437" i="108"/>
  <c r="F425" i="108"/>
  <c r="F412" i="108"/>
  <c r="F396" i="108"/>
  <c r="F380" i="108"/>
  <c r="F405" i="108"/>
  <c r="F389" i="108"/>
  <c r="F373" i="108"/>
  <c r="F352" i="108"/>
  <c r="F365" i="108"/>
  <c r="F337" i="108"/>
  <c r="F321" i="108"/>
  <c r="F305" i="108"/>
  <c r="F289" i="108"/>
  <c r="F273" i="108"/>
  <c r="F329" i="108"/>
  <c r="F297" i="108"/>
  <c r="F265" i="108"/>
  <c r="F215" i="108"/>
  <c r="F232" i="108"/>
  <c r="F166" i="108"/>
  <c r="F136" i="108"/>
  <c r="F101" i="108"/>
  <c r="F97" i="108"/>
  <c r="F78" i="108"/>
  <c r="F74" i="108"/>
  <c r="F70" i="108"/>
  <c r="F66" i="108"/>
  <c r="F109" i="108"/>
  <c r="F137" i="108"/>
  <c r="F45" i="108"/>
  <c r="F50" i="108"/>
  <c r="F25" i="108"/>
  <c r="F26" i="108"/>
  <c r="F18" i="108"/>
  <c r="F214" i="108"/>
  <c r="F195" i="108"/>
  <c r="F182" i="108"/>
  <c r="F207" i="108"/>
  <c r="F175" i="108"/>
  <c r="F156" i="108"/>
  <c r="F152" i="108"/>
  <c r="F144" i="108"/>
  <c r="F140" i="108"/>
  <c r="F203" i="108"/>
  <c r="F171" i="108"/>
  <c r="F155" i="108"/>
  <c r="F151" i="108"/>
  <c r="F147" i="108"/>
  <c r="F134" i="108"/>
  <c r="F133" i="108"/>
  <c r="F120" i="108"/>
  <c r="F108" i="108"/>
  <c r="F58" i="108"/>
  <c r="F38" i="108"/>
  <c r="F33" i="108"/>
  <c r="F21" i="108"/>
  <c r="F438" i="108"/>
  <c r="F601" i="108"/>
  <c r="G601" i="108" s="1"/>
  <c r="H601" i="108" s="1"/>
  <c r="F633" i="108"/>
  <c r="G633" i="108" s="1"/>
  <c r="H633" i="108" s="1"/>
  <c r="F486" i="108"/>
  <c r="G486" i="108" s="1"/>
  <c r="F555" i="108"/>
  <c r="G555" i="108" s="1"/>
  <c r="H555" i="108" s="1"/>
  <c r="F836" i="108"/>
  <c r="F597" i="108"/>
  <c r="G597" i="108" s="1"/>
  <c r="H597" i="108" s="1"/>
  <c r="F661" i="108"/>
  <c r="G661" i="108" s="1"/>
  <c r="H661" i="108" s="1"/>
  <c r="F503" i="108"/>
  <c r="G503" i="108" s="1"/>
  <c r="F423" i="108"/>
  <c r="F428" i="108"/>
  <c r="F494" i="108"/>
  <c r="G494" i="108" s="1"/>
  <c r="F446" i="108"/>
  <c r="F466" i="108"/>
  <c r="F498" i="108"/>
  <c r="G498" i="108" s="1"/>
  <c r="F549" i="108"/>
  <c r="G549" i="108" s="1"/>
  <c r="F577" i="108"/>
  <c r="G577" i="108" s="1"/>
  <c r="H577" i="108" s="1"/>
  <c r="F609" i="108"/>
  <c r="G609" i="108" s="1"/>
  <c r="H609" i="108" s="1"/>
  <c r="F641" i="108"/>
  <c r="G641" i="108" s="1"/>
  <c r="H641" i="108" s="1"/>
  <c r="F624" i="108"/>
  <c r="G624" i="108" s="1"/>
  <c r="H624" i="108" s="1"/>
  <c r="F502" i="108"/>
  <c r="G502" i="108" s="1"/>
  <c r="F557" i="108"/>
  <c r="G557" i="108" s="1"/>
  <c r="H557" i="108" s="1"/>
  <c r="F832" i="108"/>
  <c r="F864" i="108"/>
  <c r="F490" i="108"/>
  <c r="G490" i="108" s="1"/>
  <c r="F671" i="108"/>
  <c r="G671" i="108" s="1"/>
  <c r="H671" i="108" s="1"/>
  <c r="F573" i="108"/>
  <c r="G573" i="108" s="1"/>
  <c r="H573" i="108" s="1"/>
  <c r="F605" i="108"/>
  <c r="G605" i="108" s="1"/>
  <c r="H605" i="108" s="1"/>
  <c r="F535" i="108"/>
  <c r="G535" i="108" s="1"/>
  <c r="F846" i="108"/>
  <c r="F509" i="108"/>
  <c r="G509" i="108" s="1"/>
  <c r="F525" i="108"/>
  <c r="F649" i="108"/>
  <c r="G649" i="108" s="1"/>
  <c r="H649" i="108" s="1"/>
  <c r="F621" i="108"/>
  <c r="G621" i="108" s="1"/>
  <c r="H621" i="108" s="1"/>
  <c r="F637" i="108"/>
  <c r="G637" i="108" s="1"/>
  <c r="H637" i="108" s="1"/>
  <c r="F657" i="108"/>
  <c r="G657" i="108" s="1"/>
  <c r="H657" i="108" s="1"/>
  <c r="F834" i="108"/>
  <c r="F866" i="108"/>
  <c r="F816" i="108"/>
  <c r="F407" i="108"/>
  <c r="F415" i="108"/>
  <c r="F399" i="108"/>
  <c r="F471" i="108"/>
  <c r="G471" i="108" s="1"/>
  <c r="F514" i="108"/>
  <c r="G514" i="108" s="1"/>
  <c r="F554" i="108"/>
  <c r="G554" i="108" s="1"/>
  <c r="H554" i="108" s="1"/>
  <c r="F610" i="108"/>
  <c r="G610" i="108" s="1"/>
  <c r="H610" i="108" s="1"/>
  <c r="F778" i="108"/>
  <c r="F734" i="108"/>
  <c r="G734" i="108" s="1"/>
  <c r="F738" i="108"/>
  <c r="F797" i="108"/>
  <c r="F678" i="108"/>
  <c r="G678" i="108" s="1"/>
  <c r="H678" i="108" s="1"/>
  <c r="F754" i="108"/>
  <c r="G754" i="108" s="1"/>
  <c r="F693" i="108"/>
  <c r="G693" i="108" s="1"/>
  <c r="H693" i="108" s="1"/>
  <c r="F602" i="108"/>
  <c r="G602" i="108" s="1"/>
  <c r="H602" i="108" s="1"/>
  <c r="F439" i="108"/>
  <c r="F706" i="108"/>
  <c r="G706" i="108" s="1"/>
  <c r="H706" i="108" s="1"/>
  <c r="F741" i="108"/>
  <c r="G741" i="108" s="1"/>
  <c r="F773" i="108"/>
  <c r="G773" i="108" s="1"/>
  <c r="F809" i="108"/>
  <c r="F845" i="108"/>
  <c r="F722" i="108"/>
  <c r="F480" i="108"/>
  <c r="G480" i="108" s="1"/>
  <c r="F694" i="108"/>
  <c r="G694" i="108" s="1"/>
  <c r="H694" i="108" s="1"/>
  <c r="F774" i="108"/>
  <c r="G774" i="108" s="1"/>
  <c r="F841" i="108"/>
  <c r="F813" i="108"/>
  <c r="F829" i="108"/>
  <c r="F869" i="108"/>
  <c r="F769" i="108"/>
  <c r="G769" i="108" s="1"/>
  <c r="F737" i="108"/>
  <c r="G737" i="108" s="1"/>
  <c r="F691" i="108"/>
  <c r="G691" i="108" s="1"/>
  <c r="H691" i="108" s="1"/>
  <c r="F781" i="108"/>
  <c r="G781" i="108" s="1"/>
  <c r="F749" i="108"/>
  <c r="G749" i="108" s="1"/>
  <c r="F705" i="108"/>
  <c r="G705" i="108" s="1"/>
  <c r="H705" i="108" s="1"/>
  <c r="F614" i="108"/>
  <c r="G614" i="108" s="1"/>
  <c r="H614" i="108" s="1"/>
  <c r="F566" i="108"/>
  <c r="G566" i="108" s="1"/>
  <c r="H566" i="108" s="1"/>
  <c r="F510" i="108"/>
  <c r="G510" i="108" s="1"/>
  <c r="F464" i="108"/>
  <c r="F443" i="108"/>
  <c r="F586" i="108"/>
  <c r="G586" i="108" s="1"/>
  <c r="H586" i="108" s="1"/>
  <c r="F562" i="108"/>
  <c r="G562" i="108" s="1"/>
  <c r="H562" i="108" s="1"/>
  <c r="F538" i="108"/>
  <c r="G538" i="108" s="1"/>
  <c r="F640" i="108"/>
  <c r="G640" i="108" s="1"/>
  <c r="H640" i="108" s="1"/>
  <c r="F632" i="108"/>
  <c r="G632" i="108" s="1"/>
  <c r="H632" i="108" s="1"/>
  <c r="F398" i="108"/>
  <c r="F636" i="108"/>
  <c r="G636" i="108" s="1"/>
  <c r="H636" i="108" s="1"/>
  <c r="F402" i="108"/>
  <c r="F426" i="108"/>
  <c r="F414" i="108"/>
  <c r="F410" i="108"/>
  <c r="F406" i="108"/>
  <c r="F551" i="108"/>
  <c r="G551" i="108" s="1"/>
  <c r="H551" i="108" s="1"/>
  <c r="F585" i="108"/>
  <c r="G585" i="108" s="1"/>
  <c r="H585" i="108" s="1"/>
  <c r="F539" i="108"/>
  <c r="G539" i="108" s="1"/>
  <c r="F652" i="108"/>
  <c r="G652" i="108" s="1"/>
  <c r="H652" i="108" s="1"/>
  <c r="F830" i="108"/>
  <c r="F862" i="108"/>
  <c r="F458" i="108"/>
  <c r="F543" i="108"/>
  <c r="G543" i="108" s="1"/>
  <c r="F826" i="108"/>
  <c r="F858" i="108"/>
  <c r="F581" i="108"/>
  <c r="G581" i="108" s="1"/>
  <c r="H581" i="108" s="1"/>
  <c r="F545" i="108"/>
  <c r="G545" i="108" s="1"/>
  <c r="F656" i="108"/>
  <c r="G656" i="108" s="1"/>
  <c r="H656" i="108" s="1"/>
  <c r="F690" i="108"/>
  <c r="G690" i="108" s="1"/>
  <c r="H690" i="108" s="1"/>
  <c r="F645" i="108"/>
  <c r="G645" i="108" s="1"/>
  <c r="H645" i="108" s="1"/>
  <c r="F653" i="108"/>
  <c r="F677" i="108"/>
  <c r="G677" i="108" s="1"/>
  <c r="H677" i="108" s="1"/>
  <c r="F828" i="108"/>
  <c r="F860" i="108"/>
  <c r="F513" i="108"/>
  <c r="G513" i="108" s="1"/>
  <c r="F565" i="108"/>
  <c r="G565" i="108" s="1"/>
  <c r="H565" i="108" s="1"/>
  <c r="F681" i="108"/>
  <c r="G681" i="108" s="1"/>
  <c r="H681" i="108" s="1"/>
  <c r="F842" i="108"/>
  <c r="F838" i="108"/>
  <c r="F870" i="108"/>
  <c r="F427" i="108"/>
  <c r="F444" i="108"/>
  <c r="F391" i="108"/>
  <c r="F702" i="108"/>
  <c r="G702" i="108" s="1"/>
  <c r="H702" i="108" s="1"/>
  <c r="F794" i="108"/>
  <c r="F448" i="108"/>
  <c r="F821" i="108"/>
  <c r="F861" i="108"/>
  <c r="F476" i="108"/>
  <c r="G476" i="108" s="1"/>
  <c r="F762" i="108"/>
  <c r="G762" i="108" s="1"/>
  <c r="F810" i="108"/>
  <c r="F833" i="108"/>
  <c r="F492" i="108"/>
  <c r="G492" i="108" s="1"/>
  <c r="F709" i="108"/>
  <c r="G709" i="108" s="1"/>
  <c r="H709" i="108" s="1"/>
  <c r="F725" i="108"/>
  <c r="G725" i="108" s="1"/>
  <c r="F761" i="108"/>
  <c r="G761" i="108" s="1"/>
  <c r="F558" i="108"/>
  <c r="G558" i="108" s="1"/>
  <c r="H558" i="108" s="1"/>
  <c r="F522" i="108"/>
  <c r="G522" i="108" s="1"/>
  <c r="F582" i="108"/>
  <c r="G582" i="108" s="1"/>
  <c r="H582" i="108" s="1"/>
  <c r="F550" i="108"/>
  <c r="G550" i="108" s="1"/>
  <c r="F442" i="108"/>
  <c r="F527" i="108"/>
  <c r="G527" i="108" s="1"/>
  <c r="F628" i="108"/>
  <c r="G628" i="108" s="1"/>
  <c r="H628" i="108" s="1"/>
  <c r="G14" i="108"/>
  <c r="G47" i="108"/>
  <c r="G22" i="108"/>
  <c r="G31" i="108"/>
  <c r="G40" i="108"/>
  <c r="G24" i="108"/>
  <c r="G26" i="108"/>
  <c r="G30" i="108"/>
  <c r="G56" i="108"/>
  <c r="G63" i="108"/>
  <c r="G75" i="108"/>
  <c r="G90" i="108"/>
  <c r="G101" i="108"/>
  <c r="G110" i="108"/>
  <c r="G95" i="108"/>
  <c r="G106" i="108"/>
  <c r="G137" i="108"/>
  <c r="G168" i="108"/>
  <c r="G196" i="108"/>
  <c r="G223" i="108"/>
  <c r="G126" i="108"/>
  <c r="G133" i="108"/>
  <c r="G135" i="108"/>
  <c r="G138" i="108"/>
  <c r="G145" i="108"/>
  <c r="G161" i="108"/>
  <c r="G179" i="108"/>
  <c r="G119" i="108"/>
  <c r="G121" i="108"/>
  <c r="G123" i="108"/>
  <c r="G139" i="108"/>
  <c r="G141" i="108"/>
  <c r="G153" i="108"/>
  <c r="G180" i="108"/>
  <c r="G181" i="108"/>
  <c r="G185" i="108"/>
  <c r="G189" i="108"/>
  <c r="G191" i="108"/>
  <c r="G193" i="108"/>
  <c r="G195" i="108"/>
  <c r="G117" i="108"/>
  <c r="G269" i="108"/>
  <c r="G290" i="108"/>
  <c r="G230" i="108"/>
  <c r="G239" i="108"/>
  <c r="G271" i="108"/>
  <c r="G212" i="108"/>
  <c r="G213" i="108"/>
  <c r="G216" i="108"/>
  <c r="G228" i="108"/>
  <c r="G242" i="108"/>
  <c r="G250" i="108"/>
  <c r="G258" i="108"/>
  <c r="G262" i="108"/>
  <c r="G274" i="108"/>
  <c r="G275" i="108"/>
  <c r="G279" i="108"/>
  <c r="G283" i="108"/>
  <c r="G235" i="108"/>
  <c r="G317" i="108"/>
  <c r="G321" i="108"/>
  <c r="G349" i="108"/>
  <c r="G358" i="108"/>
  <c r="G369" i="108"/>
  <c r="G374" i="108"/>
  <c r="G375" i="108"/>
  <c r="G377" i="108"/>
  <c r="G403" i="108"/>
  <c r="G414" i="108"/>
  <c r="G285" i="108"/>
  <c r="G315" i="108"/>
  <c r="G326" i="108"/>
  <c r="G339" i="108"/>
  <c r="G342" i="108"/>
  <c r="G367" i="108"/>
  <c r="G382" i="108"/>
  <c r="G397" i="108"/>
  <c r="G425" i="108"/>
  <c r="G429" i="108"/>
  <c r="G287" i="108"/>
  <c r="G289" i="108"/>
  <c r="G306" i="108"/>
  <c r="G307" i="108"/>
  <c r="G311" i="108"/>
  <c r="G319" i="108"/>
  <c r="G337" i="108"/>
  <c r="G343" i="108"/>
  <c r="G354" i="108"/>
  <c r="G363" i="108"/>
  <c r="G386" i="108"/>
  <c r="G391" i="108"/>
  <c r="G398" i="108"/>
  <c r="G310" i="108"/>
  <c r="G338" i="108"/>
  <c r="G371" i="108"/>
  <c r="G415" i="108"/>
  <c r="G431" i="108"/>
  <c r="G449" i="108"/>
  <c r="G433" i="108"/>
  <c r="G447" i="108"/>
  <c r="G465" i="108"/>
  <c r="G469" i="108"/>
  <c r="G439" i="108"/>
  <c r="G443" i="108"/>
  <c r="G453" i="108"/>
  <c r="G454" i="108"/>
  <c r="G418" i="108"/>
  <c r="G458" i="108"/>
  <c r="G467" i="108"/>
  <c r="G811" i="108"/>
  <c r="G829" i="108"/>
  <c r="G793" i="108"/>
  <c r="G799" i="108"/>
  <c r="G803" i="108"/>
  <c r="G807" i="108"/>
  <c r="G813" i="108"/>
  <c r="G835" i="108"/>
  <c r="G847" i="108"/>
  <c r="G857" i="108"/>
  <c r="G871" i="108"/>
  <c r="G875" i="108"/>
  <c r="G879" i="108"/>
  <c r="G883" i="108"/>
  <c r="G825" i="108"/>
  <c r="G827" i="108"/>
  <c r="G837" i="108"/>
  <c r="G839" i="108"/>
  <c r="G851" i="108"/>
  <c r="G869" i="108"/>
  <c r="G889" i="108"/>
  <c r="G895" i="108"/>
  <c r="G901" i="108"/>
  <c r="G905" i="108"/>
  <c r="G911" i="108"/>
  <c r="G917" i="108"/>
  <c r="G921" i="108"/>
  <c r="G927" i="108"/>
  <c r="G933" i="108"/>
  <c r="G937" i="108"/>
  <c r="G943" i="108"/>
  <c r="G891" i="108"/>
  <c r="G897" i="108"/>
  <c r="G907" i="108"/>
  <c r="G913" i="108"/>
  <c r="G923" i="108"/>
  <c r="G929" i="108"/>
  <c r="G939" i="108"/>
  <c r="G945" i="108"/>
  <c r="G955" i="108"/>
  <c r="G961" i="108"/>
  <c r="G971" i="108"/>
  <c r="G977" i="108"/>
  <c r="G987" i="108"/>
  <c r="G993" i="108"/>
  <c r="G817" i="108"/>
  <c r="G819" i="108"/>
  <c r="G859" i="108"/>
  <c r="G949" i="108"/>
  <c r="G969" i="108"/>
  <c r="G991" i="108"/>
  <c r="G997" i="108"/>
  <c r="G1009" i="108"/>
  <c r="G1019" i="108"/>
  <c r="G1037" i="108"/>
  <c r="G1045" i="108"/>
  <c r="G1059" i="108"/>
  <c r="G1103" i="108"/>
  <c r="G1111" i="108"/>
  <c r="G1209" i="108"/>
  <c r="G965" i="108"/>
  <c r="G985" i="108"/>
  <c r="G1001" i="108"/>
  <c r="G1007" i="108"/>
  <c r="G1017" i="108"/>
  <c r="G1025" i="108"/>
  <c r="G1035" i="108"/>
  <c r="G1055" i="108"/>
  <c r="G1057" i="108"/>
  <c r="G1071" i="108"/>
  <c r="G1073" i="108"/>
  <c r="G1117" i="108"/>
  <c r="G959" i="108"/>
  <c r="G981" i="108"/>
  <c r="G1041" i="108"/>
  <c r="G1051" i="108"/>
  <c r="G1067" i="108"/>
  <c r="G1069" i="108"/>
  <c r="G1077" i="108"/>
  <c r="G1081" i="108"/>
  <c r="G1085" i="108"/>
  <c r="G1089" i="108"/>
  <c r="G1093" i="108"/>
  <c r="G1097" i="108"/>
  <c r="G1105" i="108"/>
  <c r="G1119" i="108"/>
  <c r="G1125" i="108"/>
  <c r="G1129" i="108"/>
  <c r="G1133" i="108"/>
  <c r="G1145" i="108"/>
  <c r="G1161" i="108"/>
  <c r="G1165" i="108"/>
  <c r="G1173" i="108"/>
  <c r="G1185" i="108"/>
  <c r="G953" i="108"/>
  <c r="G975" i="108"/>
  <c r="G1115" i="108"/>
  <c r="G1169" i="108"/>
  <c r="G11" i="108"/>
  <c r="G1012" i="108"/>
  <c r="G1181" i="108"/>
  <c r="G1224" i="108"/>
  <c r="G1197" i="108"/>
  <c r="G1220" i="108"/>
  <c r="G1203" i="108"/>
  <c r="G1137" i="108"/>
  <c r="G1107" i="108"/>
  <c r="G1063" i="108"/>
  <c r="G1047" i="108"/>
  <c r="G1021" i="108"/>
  <c r="G989" i="108"/>
  <c r="G861" i="108"/>
  <c r="G1013" i="108"/>
  <c r="G973" i="108"/>
  <c r="G900" i="108"/>
  <c r="G833" i="108"/>
  <c r="G1219" i="108"/>
  <c r="G1131" i="108"/>
  <c r="G1101" i="108"/>
  <c r="G1061" i="108"/>
  <c r="G1011" i="108"/>
  <c r="G1008" i="108"/>
  <c r="G896" i="108"/>
  <c r="G979" i="108"/>
  <c r="G947" i="108"/>
  <c r="G941" i="108"/>
  <c r="G885" i="108"/>
  <c r="G831" i="108"/>
  <c r="G805" i="108"/>
  <c r="G795" i="108"/>
  <c r="G801" i="108"/>
  <c r="G451" i="108"/>
  <c r="G1193" i="108"/>
  <c r="G1005" i="108"/>
  <c r="G1229" i="108"/>
  <c r="G1141" i="108"/>
  <c r="G1123" i="108"/>
  <c r="G1113" i="108"/>
  <c r="G1053" i="108"/>
  <c r="G992" i="108"/>
  <c r="G1195" i="108"/>
  <c r="G1155" i="108"/>
  <c r="G1109" i="108"/>
  <c r="G944" i="108"/>
  <c r="G867" i="108"/>
  <c r="G855" i="108"/>
  <c r="G899" i="108"/>
  <c r="G893" i="108"/>
  <c r="G881" i="108"/>
  <c r="G427" i="108"/>
  <c r="G1039" i="108"/>
  <c r="G1225" i="108"/>
  <c r="G1217" i="108"/>
  <c r="G1201" i="108"/>
  <c r="G1065" i="108"/>
  <c r="G1049" i="108"/>
  <c r="G1029" i="108"/>
  <c r="G1003" i="108"/>
  <c r="G1043" i="108"/>
  <c r="G1040" i="108"/>
  <c r="G1033" i="108"/>
  <c r="G916" i="108"/>
  <c r="G841" i="108"/>
  <c r="G1027" i="108"/>
  <c r="G1024" i="108"/>
  <c r="G948" i="108"/>
  <c r="G1149" i="108"/>
  <c r="G1127" i="108"/>
  <c r="G1121" i="108"/>
  <c r="G884" i="108"/>
  <c r="G928" i="108"/>
  <c r="G853" i="108"/>
  <c r="G809" i="108"/>
  <c r="G815" i="108"/>
  <c r="G845" i="108"/>
  <c r="G995" i="108"/>
  <c r="G963" i="108"/>
  <c r="G915" i="108"/>
  <c r="G909" i="108"/>
  <c r="G877" i="108"/>
  <c r="G823" i="108"/>
  <c r="G797" i="108"/>
  <c r="G1044" i="108"/>
  <c r="G1023" i="108"/>
  <c r="G1028" i="108"/>
  <c r="G1171" i="108"/>
  <c r="G1205" i="108"/>
  <c r="G1221" i="108"/>
  <c r="G1189" i="108"/>
  <c r="G1177" i="108"/>
  <c r="G1157" i="108"/>
  <c r="G1099" i="108"/>
  <c r="G1095" i="108"/>
  <c r="G1091" i="108"/>
  <c r="G1087" i="108"/>
  <c r="G1083" i="108"/>
  <c r="G1079" i="108"/>
  <c r="G1075" i="108"/>
  <c r="G980" i="108"/>
  <c r="G960" i="108"/>
  <c r="G932" i="108"/>
  <c r="G964" i="108"/>
  <c r="G957" i="108"/>
  <c r="G1213" i="108"/>
  <c r="G1153" i="108"/>
  <c r="G1135" i="108"/>
  <c r="G996" i="108"/>
  <c r="G976" i="108"/>
  <c r="G843" i="108"/>
  <c r="G912" i="108"/>
  <c r="G863" i="108"/>
  <c r="G849" i="108"/>
  <c r="G821" i="108"/>
  <c r="G931" i="108"/>
  <c r="G925" i="108"/>
  <c r="G873" i="108"/>
  <c r="G865" i="108"/>
  <c r="G437" i="108"/>
  <c r="G381" i="108"/>
  <c r="G461" i="108"/>
  <c r="G441" i="108"/>
  <c r="G421" i="108"/>
  <c r="G455" i="108"/>
  <c r="G359" i="108"/>
  <c r="G395" i="108"/>
  <c r="G351" i="108"/>
  <c r="G353" i="108"/>
  <c r="G323" i="108"/>
  <c r="G365" i="108"/>
  <c r="G299" i="108"/>
  <c r="G291" i="108"/>
  <c r="G263" i="108"/>
  <c r="G255" i="108"/>
  <c r="G221" i="108"/>
  <c r="G257" i="108"/>
  <c r="G211" i="108"/>
  <c r="G200" i="108"/>
  <c r="G243" i="108"/>
  <c r="G234" i="108"/>
  <c r="G217" i="108"/>
  <c r="G237" i="108"/>
  <c r="G209" i="108"/>
  <c r="G184" i="108"/>
  <c r="G163" i="108"/>
  <c r="G173" i="108"/>
  <c r="G175" i="108"/>
  <c r="G165" i="108"/>
  <c r="G156" i="108"/>
  <c r="G70" i="108"/>
  <c r="G62" i="108"/>
  <c r="G74" i="108"/>
  <c r="G48" i="108"/>
  <c r="G52" i="108"/>
  <c r="G16" i="108"/>
  <c r="G1116" i="108"/>
  <c r="G1200" i="108"/>
  <c r="G1152" i="108"/>
  <c r="G1136" i="108"/>
  <c r="G1148" i="108"/>
  <c r="G1140" i="108"/>
  <c r="G1100" i="108"/>
  <c r="G1228" i="108"/>
  <c r="G1215" i="108"/>
  <c r="G1207" i="108"/>
  <c r="G1199" i="108"/>
  <c r="G1191" i="108"/>
  <c r="G1167" i="108"/>
  <c r="G1159" i="108"/>
  <c r="G1147" i="108"/>
  <c r="G1226" i="108"/>
  <c r="G1214" i="108"/>
  <c r="G1206" i="108"/>
  <c r="G1182" i="108"/>
  <c r="G1178" i="108"/>
  <c r="G1158" i="108"/>
  <c r="G1154" i="108"/>
  <c r="G1142" i="108"/>
  <c r="G1126" i="108"/>
  <c r="G1110" i="108"/>
  <c r="G423" i="108"/>
  <c r="G407" i="108"/>
  <c r="G419" i="108"/>
  <c r="G405" i="108"/>
  <c r="G379" i="108"/>
  <c r="G331" i="108"/>
  <c r="G335" i="108"/>
  <c r="G387" i="108"/>
  <c r="G305" i="108"/>
  <c r="G294" i="108"/>
  <c r="G399" i="108"/>
  <c r="G355" i="108"/>
  <c r="G327" i="108"/>
  <c r="G303" i="108"/>
  <c r="G278" i="108"/>
  <c r="G267" i="108"/>
  <c r="G246" i="108"/>
  <c r="G207" i="108"/>
  <c r="G249" i="108"/>
  <c r="G233" i="108"/>
  <c r="G201" i="108"/>
  <c r="G169" i="108"/>
  <c r="G148" i="108"/>
  <c r="G127" i="108"/>
  <c r="G140" i="108"/>
  <c r="G197" i="108"/>
  <c r="G152" i="108"/>
  <c r="G111" i="108"/>
  <c r="G78" i="108"/>
  <c r="G79" i="108"/>
  <c r="G94" i="108"/>
  <c r="G87" i="108"/>
  <c r="G67" i="108"/>
  <c r="G20" i="108"/>
  <c r="G12" i="108"/>
  <c r="G32" i="108"/>
  <c r="G1168" i="108"/>
  <c r="G1160" i="108"/>
  <c r="G1196" i="108"/>
  <c r="G1216" i="108"/>
  <c r="G1204" i="108"/>
  <c r="G1172" i="108"/>
  <c r="G1132" i="108"/>
  <c r="G1223" i="108"/>
  <c r="G1176" i="108"/>
  <c r="G1187" i="108"/>
  <c r="G1175" i="108"/>
  <c r="G1163" i="108"/>
  <c r="G1190" i="108"/>
  <c r="G1186" i="108"/>
  <c r="G413" i="108"/>
  <c r="G393" i="108"/>
  <c r="G470" i="108"/>
  <c r="G435" i="108"/>
  <c r="G445" i="108"/>
  <c r="G301" i="108"/>
  <c r="G238" i="108"/>
  <c r="G389" i="108"/>
  <c r="G322" i="108"/>
  <c r="G295" i="108"/>
  <c r="G247" i="108"/>
  <c r="G241" i="108"/>
  <c r="G227" i="108"/>
  <c r="G259" i="108"/>
  <c r="G253" i="108"/>
  <c r="G229" i="108"/>
  <c r="G225" i="108"/>
  <c r="G144" i="108"/>
  <c r="G177" i="108"/>
  <c r="G167" i="108"/>
  <c r="G66" i="108"/>
  <c r="G103" i="108"/>
  <c r="G51" i="108"/>
  <c r="G105" i="108"/>
  <c r="G71" i="108"/>
  <c r="G42" i="108"/>
  <c r="G28" i="108"/>
  <c r="G1128" i="108"/>
  <c r="G1104" i="108"/>
  <c r="G1227" i="108"/>
  <c r="G1184" i="108"/>
  <c r="G1124" i="108"/>
  <c r="G1112" i="108"/>
  <c r="G1212" i="108"/>
  <c r="G1144" i="108"/>
  <c r="G1192" i="108"/>
  <c r="G1120" i="108"/>
  <c r="G1211" i="108"/>
  <c r="G1151" i="108"/>
  <c r="G1143" i="108"/>
  <c r="G1230" i="108"/>
  <c r="G1222" i="108"/>
  <c r="G1218" i="108"/>
  <c r="G463" i="108"/>
  <c r="G409" i="108"/>
  <c r="G459" i="108"/>
  <c r="G402" i="108"/>
  <c r="G411" i="108"/>
  <c r="G347" i="108"/>
  <c r="G373" i="108"/>
  <c r="G333" i="108"/>
  <c r="G273" i="108"/>
  <c r="G231" i="108"/>
  <c r="G383" i="108"/>
  <c r="G370" i="108"/>
  <c r="G149" i="108"/>
  <c r="G254" i="108"/>
  <c r="G251" i="108"/>
  <c r="G245" i="108"/>
  <c r="G205" i="108"/>
  <c r="G83" i="108"/>
  <c r="G58" i="108"/>
  <c r="G107" i="108"/>
  <c r="G89" i="108"/>
  <c r="G157" i="108"/>
  <c r="G122" i="108"/>
  <c r="G131" i="108"/>
  <c r="G99" i="108"/>
  <c r="G46" i="108"/>
  <c r="G115" i="108"/>
  <c r="G91" i="108"/>
  <c r="G85" i="108"/>
  <c r="G60" i="108"/>
  <c r="G44" i="108"/>
  <c r="G36" i="108"/>
  <c r="G18" i="108"/>
  <c r="G1164" i="108"/>
  <c r="G1156" i="108"/>
  <c r="G1180" i="108"/>
  <c r="G1188" i="108"/>
  <c r="G1208" i="108"/>
  <c r="G1108" i="108"/>
  <c r="G1179" i="108"/>
  <c r="G1202" i="108"/>
  <c r="G1198" i="108"/>
  <c r="G1174" i="108"/>
  <c r="G1170" i="108"/>
  <c r="G1150" i="108"/>
  <c r="G1138" i="108"/>
  <c r="G1122" i="108"/>
  <c r="G1106" i="108"/>
  <c r="G1090" i="108"/>
  <c r="G1074" i="108"/>
  <c r="G1058" i="108"/>
  <c r="G1016" i="108"/>
  <c r="G982" i="108"/>
  <c r="G952" i="108"/>
  <c r="G918" i="108"/>
  <c r="G888" i="108"/>
  <c r="G1166" i="108"/>
  <c r="G1118" i="108"/>
  <c r="G1086" i="108"/>
  <c r="G1082" i="108"/>
  <c r="G1078" i="108"/>
  <c r="G1030" i="108"/>
  <c r="G1000" i="108"/>
  <c r="G968" i="108"/>
  <c r="G950" i="108"/>
  <c r="G860" i="108"/>
  <c r="G846" i="108"/>
  <c r="G828" i="108"/>
  <c r="G1072" i="108"/>
  <c r="G1068" i="108"/>
  <c r="G1060" i="108"/>
  <c r="G1052" i="108"/>
  <c r="G792" i="108"/>
  <c r="G1183" i="108"/>
  <c r="G1020" i="108"/>
  <c r="G1015" i="108"/>
  <c r="G988" i="108"/>
  <c r="G983" i="108"/>
  <c r="G956" i="108"/>
  <c r="G951" i="108"/>
  <c r="G924" i="108"/>
  <c r="G919" i="108"/>
  <c r="G892" i="108"/>
  <c r="G887" i="108"/>
  <c r="G802" i="108"/>
  <c r="G778" i="108"/>
  <c r="G698" i="108"/>
  <c r="H698" i="108" s="1"/>
  <c r="G655" i="108"/>
  <c r="H655" i="108" s="1"/>
  <c r="G623" i="108"/>
  <c r="H623" i="108" s="1"/>
  <c r="G615" i="108"/>
  <c r="H615" i="108" s="1"/>
  <c r="G603" i="108"/>
  <c r="H603" i="108" s="1"/>
  <c r="G587" i="108"/>
  <c r="H587" i="108" s="1"/>
  <c r="G571" i="108"/>
  <c r="H571" i="108" s="1"/>
  <c r="G604" i="108"/>
  <c r="H604" i="108" s="1"/>
  <c r="G588" i="108"/>
  <c r="H588" i="108" s="1"/>
  <c r="G572" i="108"/>
  <c r="H572" i="108" s="1"/>
  <c r="G448" i="108"/>
  <c r="G434" i="108"/>
  <c r="G1210" i="108"/>
  <c r="G1194" i="108"/>
  <c r="G1162" i="108"/>
  <c r="G1114" i="108"/>
  <c r="G966" i="108"/>
  <c r="G936" i="108"/>
  <c r="G904" i="108"/>
  <c r="G886" i="108"/>
  <c r="G800" i="108"/>
  <c r="G1042" i="108"/>
  <c r="G1010" i="108"/>
  <c r="G978" i="108"/>
  <c r="G946" i="108"/>
  <c r="G914" i="108"/>
  <c r="G864" i="108"/>
  <c r="G848" i="108"/>
  <c r="G832" i="108"/>
  <c r="G796" i="108"/>
  <c r="G1096" i="108"/>
  <c r="G1088" i="108"/>
  <c r="G1080" i="108"/>
  <c r="G1076" i="108"/>
  <c r="G1038" i="108"/>
  <c r="G1022" i="108"/>
  <c r="G1006" i="108"/>
  <c r="G990" i="108"/>
  <c r="G974" i="108"/>
  <c r="G958" i="108"/>
  <c r="G942" i="108"/>
  <c r="G926" i="108"/>
  <c r="G910" i="108"/>
  <c r="G894" i="108"/>
  <c r="G868" i="108"/>
  <c r="G854" i="108"/>
  <c r="G836" i="108"/>
  <c r="G822" i="108"/>
  <c r="G1139" i="108"/>
  <c r="G1034" i="108"/>
  <c r="G1002" i="108"/>
  <c r="G970" i="108"/>
  <c r="G938" i="108"/>
  <c r="G906" i="108"/>
  <c r="G880" i="108"/>
  <c r="G876" i="108"/>
  <c r="G872" i="108"/>
  <c r="G858" i="108"/>
  <c r="G840" i="108"/>
  <c r="G826" i="108"/>
  <c r="G806" i="108"/>
  <c r="G790" i="108"/>
  <c r="G668" i="108"/>
  <c r="H668" i="108" s="1"/>
  <c r="G653" i="108"/>
  <c r="H653" i="108" s="1"/>
  <c r="G575" i="108"/>
  <c r="H575" i="108" s="1"/>
  <c r="G466" i="108"/>
  <c r="G422" i="108"/>
  <c r="G1146" i="108"/>
  <c r="G1134" i="108"/>
  <c r="G1102" i="108"/>
  <c r="G1094" i="108"/>
  <c r="G1054" i="108"/>
  <c r="G1050" i="108"/>
  <c r="G1046" i="108"/>
  <c r="G998" i="108"/>
  <c r="G984" i="108"/>
  <c r="G902" i="108"/>
  <c r="G862" i="108"/>
  <c r="G844" i="108"/>
  <c r="G830" i="108"/>
  <c r="G1064" i="108"/>
  <c r="G1056" i="108"/>
  <c r="G1048" i="108"/>
  <c r="G808" i="108"/>
  <c r="G1036" i="108"/>
  <c r="G1031" i="108"/>
  <c r="G1004" i="108"/>
  <c r="G999" i="108"/>
  <c r="G972" i="108"/>
  <c r="G967" i="108"/>
  <c r="G940" i="108"/>
  <c r="G935" i="108"/>
  <c r="G908" i="108"/>
  <c r="G903" i="108"/>
  <c r="G804" i="108"/>
  <c r="G810" i="108"/>
  <c r="G794" i="108"/>
  <c r="G738" i="108"/>
  <c r="G722" i="108"/>
  <c r="G659" i="108"/>
  <c r="H659" i="108" s="1"/>
  <c r="G651" i="108"/>
  <c r="H651" i="108" s="1"/>
  <c r="G643" i="108"/>
  <c r="H643" i="108" s="1"/>
  <c r="G627" i="108"/>
  <c r="H627" i="108" s="1"/>
  <c r="G619" i="108"/>
  <c r="H619" i="108" s="1"/>
  <c r="G611" i="108"/>
  <c r="H611" i="108" s="1"/>
  <c r="G595" i="108"/>
  <c r="H595" i="108" s="1"/>
  <c r="G579" i="108"/>
  <c r="H579" i="108" s="1"/>
  <c r="G608" i="108"/>
  <c r="H608" i="108" s="1"/>
  <c r="G600" i="108"/>
  <c r="H600" i="108" s="1"/>
  <c r="G584" i="108"/>
  <c r="H584" i="108" s="1"/>
  <c r="G568" i="108"/>
  <c r="H568" i="108" s="1"/>
  <c r="G450" i="108"/>
  <c r="G436" i="108"/>
  <c r="G460" i="108"/>
  <c r="G438" i="108"/>
  <c r="G417" i="108"/>
  <c r="G1130" i="108"/>
  <c r="G1098" i="108"/>
  <c r="G1070" i="108"/>
  <c r="G1066" i="108"/>
  <c r="G1062" i="108"/>
  <c r="G1032" i="108"/>
  <c r="G1014" i="108"/>
  <c r="G934" i="108"/>
  <c r="G920" i="108"/>
  <c r="G816" i="108"/>
  <c r="G1026" i="108"/>
  <c r="G994" i="108"/>
  <c r="G962" i="108"/>
  <c r="G930" i="108"/>
  <c r="G898" i="108"/>
  <c r="G866" i="108"/>
  <c r="G850" i="108"/>
  <c r="G834" i="108"/>
  <c r="G818" i="108"/>
  <c r="G812" i="108"/>
  <c r="G1092" i="108"/>
  <c r="G1084" i="108"/>
  <c r="G882" i="108"/>
  <c r="G878" i="108"/>
  <c r="G874" i="108"/>
  <c r="G870" i="108"/>
  <c r="G852" i="108"/>
  <c r="G838" i="108"/>
  <c r="G820" i="108"/>
  <c r="G1018" i="108"/>
  <c r="G986" i="108"/>
  <c r="G954" i="108"/>
  <c r="G922" i="108"/>
  <c r="G890" i="108"/>
  <c r="G856" i="108"/>
  <c r="G842" i="108"/>
  <c r="G824" i="108"/>
  <c r="G814" i="108"/>
  <c r="G798" i="108"/>
  <c r="G766" i="108"/>
  <c r="G718" i="108"/>
  <c r="G616" i="108"/>
  <c r="H616" i="108" s="1"/>
  <c r="G464" i="108"/>
  <c r="G462" i="108"/>
  <c r="G457" i="108"/>
  <c r="G521" i="108"/>
  <c r="G392" i="108"/>
  <c r="G406" i="108"/>
  <c r="G401" i="108"/>
  <c r="G426" i="108"/>
  <c r="G444" i="108"/>
  <c r="G525" i="108"/>
  <c r="G404" i="108"/>
  <c r="G388" i="108"/>
  <c r="G350" i="108"/>
  <c r="G396" i="108"/>
  <c r="G372" i="108"/>
  <c r="G362" i="108"/>
  <c r="G336" i="108"/>
  <c r="G364" i="108"/>
  <c r="G334" i="108"/>
  <c r="G329" i="108"/>
  <c r="G313" i="108"/>
  <c r="G297" i="108"/>
  <c r="G281" i="108"/>
  <c r="G265" i="108"/>
  <c r="G220" i="108"/>
  <c r="G210" i="108"/>
  <c r="G183" i="108"/>
  <c r="G360" i="108"/>
  <c r="G328" i="108"/>
  <c r="G296" i="108"/>
  <c r="G264" i="108"/>
  <c r="G226" i="108"/>
  <c r="G199" i="108"/>
  <c r="G188" i="108"/>
  <c r="G178" i="108"/>
  <c r="G320" i="108"/>
  <c r="G288" i="108"/>
  <c r="G236" i="108"/>
  <c r="G222" i="108"/>
  <c r="G218" i="108"/>
  <c r="G186" i="108"/>
  <c r="G100" i="108"/>
  <c r="G504" i="108"/>
  <c r="G488" i="108"/>
  <c r="G456" i="108"/>
  <c r="G500" i="108"/>
  <c r="G452" i="108"/>
  <c r="G432" i="108"/>
  <c r="G410" i="108"/>
  <c r="G378" i="108"/>
  <c r="G420" i="108"/>
  <c r="G385" i="108"/>
  <c r="G341" i="108"/>
  <c r="G416" i="108"/>
  <c r="G357" i="108"/>
  <c r="G316" i="108"/>
  <c r="G300" i="108"/>
  <c r="G284" i="108"/>
  <c r="G268" i="108"/>
  <c r="G325" i="108"/>
  <c r="G298" i="108"/>
  <c r="G293" i="108"/>
  <c r="G266" i="108"/>
  <c r="G261" i="108"/>
  <c r="G324" i="108"/>
  <c r="G292" i="108"/>
  <c r="G260" i="108"/>
  <c r="G215" i="108"/>
  <c r="G232" i="108"/>
  <c r="G224" i="108"/>
  <c r="G219" i="108"/>
  <c r="G192" i="108"/>
  <c r="G187" i="108"/>
  <c r="G164" i="108"/>
  <c r="G150" i="108"/>
  <c r="G109" i="108"/>
  <c r="G98" i="108"/>
  <c r="G124" i="108"/>
  <c r="G92" i="108"/>
  <c r="G104" i="108"/>
  <c r="G132" i="108"/>
  <c r="G118" i="108"/>
  <c r="G102" i="108"/>
  <c r="G86" i="108"/>
  <c r="G72" i="108"/>
  <c r="G53" i="108"/>
  <c r="G34" i="108"/>
  <c r="G35" i="108"/>
  <c r="G27" i="108"/>
  <c r="G45" i="108"/>
  <c r="G25" i="108"/>
  <c r="G59" i="108"/>
  <c r="G43" i="108"/>
  <c r="G19" i="108"/>
  <c r="G446" i="108"/>
  <c r="G440" i="108"/>
  <c r="G428" i="108"/>
  <c r="G424" i="108"/>
  <c r="G376" i="108"/>
  <c r="G390" i="108"/>
  <c r="G366" i="108"/>
  <c r="G361" i="108"/>
  <c r="G352" i="108"/>
  <c r="G346" i="108"/>
  <c r="G330" i="108"/>
  <c r="G412" i="108"/>
  <c r="G380" i="108"/>
  <c r="G348" i="108"/>
  <c r="G318" i="108"/>
  <c r="G302" i="108"/>
  <c r="G286" i="108"/>
  <c r="G270" i="108"/>
  <c r="G344" i="108"/>
  <c r="G312" i="108"/>
  <c r="G280" i="108"/>
  <c r="G304" i="108"/>
  <c r="G272" i="108"/>
  <c r="G256" i="108"/>
  <c r="G252" i="108"/>
  <c r="G248" i="108"/>
  <c r="G244" i="108"/>
  <c r="G204" i="108"/>
  <c r="G194" i="108"/>
  <c r="G206" i="108"/>
  <c r="G174" i="108"/>
  <c r="G158" i="108"/>
  <c r="G125" i="108"/>
  <c r="G202" i="108"/>
  <c r="G170" i="108"/>
  <c r="G198" i="108"/>
  <c r="G166" i="108"/>
  <c r="G155" i="108"/>
  <c r="G151" i="108"/>
  <c r="G147" i="108"/>
  <c r="G143" i="108"/>
  <c r="G130" i="108"/>
  <c r="G146" i="108"/>
  <c r="G93" i="108"/>
  <c r="G82" i="108"/>
  <c r="G68" i="108"/>
  <c r="G55" i="108"/>
  <c r="G37" i="108"/>
  <c r="G13" i="108"/>
  <c r="G57" i="108"/>
  <c r="G442" i="108"/>
  <c r="G484" i="108"/>
  <c r="G468" i="108"/>
  <c r="G430" i="108"/>
  <c r="G408" i="108"/>
  <c r="G394" i="108"/>
  <c r="G368" i="108"/>
  <c r="G356" i="108"/>
  <c r="G345" i="108"/>
  <c r="G400" i="108"/>
  <c r="G384" i="108"/>
  <c r="G332" i="108"/>
  <c r="G314" i="108"/>
  <c r="G309" i="108"/>
  <c r="G282" i="108"/>
  <c r="G277" i="108"/>
  <c r="G172" i="108"/>
  <c r="G340" i="108"/>
  <c r="G308" i="108"/>
  <c r="G276" i="108"/>
  <c r="G240" i="108"/>
  <c r="G208" i="108"/>
  <c r="G203" i="108"/>
  <c r="G176" i="108"/>
  <c r="G171" i="108"/>
  <c r="G160" i="108"/>
  <c r="G129" i="108"/>
  <c r="G159" i="108"/>
  <c r="G134" i="108"/>
  <c r="G142" i="108"/>
  <c r="G128" i="108"/>
  <c r="G112" i="108"/>
  <c r="G108" i="108"/>
  <c r="G120" i="108"/>
  <c r="G88" i="108"/>
  <c r="G77" i="108"/>
  <c r="G73" i="108"/>
  <c r="G69" i="108"/>
  <c r="G65" i="108"/>
  <c r="G113" i="108"/>
  <c r="G97" i="108"/>
  <c r="G81" i="108"/>
  <c r="G80" i="108"/>
  <c r="G64" i="108"/>
  <c r="G50" i="108"/>
  <c r="G39" i="108"/>
  <c r="G29" i="108"/>
  <c r="G33" i="108"/>
  <c r="G61" i="108"/>
  <c r="G54" i="108"/>
  <c r="G38" i="108"/>
  <c r="G21" i="108"/>
  <c r="G23" i="108"/>
  <c r="G15" i="108"/>
  <c r="G190" i="108"/>
  <c r="G136" i="108"/>
  <c r="G214" i="108"/>
  <c r="G182" i="108"/>
  <c r="G162" i="108"/>
  <c r="G154" i="108"/>
  <c r="G114" i="108"/>
  <c r="G96" i="108"/>
  <c r="G116" i="108"/>
  <c r="G84" i="108"/>
  <c r="G76" i="108"/>
  <c r="G49" i="108"/>
  <c r="G41" i="108"/>
  <c r="G17" i="108"/>
  <c r="F462" i="108"/>
  <c r="F418" i="108"/>
  <c r="F440" i="108"/>
  <c r="F454" i="108"/>
  <c r="F394" i="108"/>
  <c r="F430" i="108"/>
  <c r="F478" i="108"/>
  <c r="G478" i="108" s="1"/>
  <c r="F450" i="108"/>
  <c r="F482" i="108"/>
  <c r="G482" i="108" s="1"/>
  <c r="F436" i="108"/>
  <c r="F537" i="108"/>
  <c r="G537" i="108" s="1"/>
  <c r="F593" i="108"/>
  <c r="G593" i="108" s="1"/>
  <c r="H593" i="108" s="1"/>
  <c r="F553" i="108"/>
  <c r="G553" i="108" s="1"/>
  <c r="H553" i="108" s="1"/>
  <c r="F660" i="108"/>
  <c r="G660" i="108" s="1"/>
  <c r="H660" i="108" s="1"/>
  <c r="F625" i="108"/>
  <c r="G625" i="108" s="1"/>
  <c r="H625" i="108" s="1"/>
  <c r="F665" i="108"/>
  <c r="G665" i="108" s="1"/>
  <c r="H665" i="108" s="1"/>
  <c r="F844" i="108"/>
  <c r="F470" i="108"/>
  <c r="F533" i="108"/>
  <c r="G533" i="108" s="1"/>
  <c r="F667" i="108"/>
  <c r="G667" i="108" s="1"/>
  <c r="H667" i="108" s="1"/>
  <c r="F673" i="108"/>
  <c r="G673" i="108" s="1"/>
  <c r="H673" i="108" s="1"/>
  <c r="F840" i="108"/>
  <c r="F822" i="108"/>
  <c r="F854" i="108"/>
  <c r="F848" i="108"/>
  <c r="F434" i="108"/>
  <c r="F474" i="108"/>
  <c r="G474" i="108" s="1"/>
  <c r="F529" i="108"/>
  <c r="G529" i="108" s="1"/>
  <c r="F561" i="108"/>
  <c r="G561" i="108" s="1"/>
  <c r="H561" i="108" s="1"/>
  <c r="F589" i="108"/>
  <c r="G589" i="108" s="1"/>
  <c r="H589" i="108" s="1"/>
  <c r="F547" i="108"/>
  <c r="G547" i="108" s="1"/>
  <c r="F664" i="108"/>
  <c r="G664" i="108" s="1"/>
  <c r="H664" i="108" s="1"/>
  <c r="F620" i="108"/>
  <c r="G620" i="108" s="1"/>
  <c r="H620" i="108" s="1"/>
  <c r="F669" i="108"/>
  <c r="G669" i="108" s="1"/>
  <c r="H669" i="108" s="1"/>
  <c r="F517" i="108"/>
  <c r="G517" i="108" s="1"/>
  <c r="F541" i="108"/>
  <c r="G541" i="108" s="1"/>
  <c r="F563" i="108"/>
  <c r="G563" i="108" s="1"/>
  <c r="H563" i="108" s="1"/>
  <c r="F686" i="108"/>
  <c r="G686" i="108" s="1"/>
  <c r="H686" i="108" s="1"/>
  <c r="F629" i="108"/>
  <c r="G629" i="108" s="1"/>
  <c r="H629" i="108" s="1"/>
  <c r="F824" i="108"/>
  <c r="F856" i="108"/>
  <c r="F820" i="108"/>
  <c r="F852" i="108"/>
  <c r="F818" i="108"/>
  <c r="F850" i="108"/>
  <c r="F598" i="108"/>
  <c r="G598" i="108" s="1"/>
  <c r="H598" i="108" s="1"/>
  <c r="F408" i="108"/>
  <c r="F460" i="108"/>
  <c r="F534" i="108"/>
  <c r="G534" i="108" s="1"/>
  <c r="F730" i="108"/>
  <c r="G730" i="108" s="1"/>
  <c r="F802" i="108"/>
  <c r="F714" i="108"/>
  <c r="G714" i="108" s="1"/>
  <c r="F487" i="108"/>
  <c r="G487" i="108" s="1"/>
  <c r="F710" i="108"/>
  <c r="G710" i="108" s="1"/>
  <c r="H710" i="108" s="1"/>
  <c r="F675" i="108"/>
  <c r="G675" i="108" s="1"/>
  <c r="H675" i="108" s="1"/>
  <c r="F750" i="108"/>
  <c r="G750" i="108" s="1"/>
  <c r="F770" i="108"/>
  <c r="G770" i="108" s="1"/>
  <c r="F721" i="108"/>
  <c r="G721" i="108" s="1"/>
  <c r="F786" i="108"/>
  <c r="G786" i="108" s="1"/>
  <c r="F742" i="108"/>
  <c r="G742" i="108" s="1"/>
  <c r="F801" i="108"/>
  <c r="F825" i="108"/>
  <c r="F857" i="108"/>
  <c r="F865" i="108"/>
  <c r="F853" i="108"/>
  <c r="F697" i="108"/>
  <c r="G697" i="108" s="1"/>
  <c r="H697" i="108" s="1"/>
  <c r="F805" i="108"/>
  <c r="F785" i="108"/>
  <c r="G785" i="108" s="1"/>
  <c r="F753" i="108"/>
  <c r="G753" i="108" s="1"/>
  <c r="F701" i="108"/>
  <c r="G701" i="108" s="1"/>
  <c r="H701" i="108" s="1"/>
  <c r="F793" i="108"/>
  <c r="F765" i="108"/>
  <c r="G765" i="108" s="1"/>
  <c r="F733" i="108"/>
  <c r="G733" i="108" s="1"/>
  <c r="F777" i="108"/>
  <c r="G777" i="108" s="1"/>
  <c r="F729" i="108"/>
  <c r="G729" i="108" s="1"/>
  <c r="F670" i="108"/>
  <c r="G670" i="108" s="1"/>
  <c r="H670" i="108" s="1"/>
  <c r="F479" i="108"/>
  <c r="G479" i="108" s="1"/>
  <c r="F526" i="108"/>
  <c r="G526" i="108" s="1"/>
  <c r="F455" i="108"/>
  <c r="F546" i="108"/>
  <c r="G546" i="108" s="1"/>
  <c r="F578" i="108"/>
  <c r="G578" i="108" s="1"/>
  <c r="H578" i="108" s="1"/>
  <c r="F495" i="108"/>
  <c r="G495" i="108" s="1"/>
  <c r="G10" i="108"/>
  <c r="H10" i="108"/>
  <c r="F10" i="108"/>
  <c r="C37" i="106"/>
  <c r="C31" i="106"/>
  <c r="L1" i="97"/>
  <c r="F10" i="117" l="1"/>
  <c r="G10" i="117"/>
  <c r="E11" i="117"/>
  <c r="D12" i="117" s="1"/>
  <c r="B3" i="97"/>
  <c r="B27" i="119" s="1"/>
  <c r="B2" i="97"/>
  <c r="B26" i="119" s="1"/>
  <c r="P5" i="49"/>
  <c r="P6" i="49"/>
  <c r="P7" i="49"/>
  <c r="P8" i="49"/>
  <c r="P9" i="49"/>
  <c r="P10" i="49"/>
  <c r="P11" i="49"/>
  <c r="P12" i="49"/>
  <c r="P13" i="49"/>
  <c r="P14" i="49"/>
  <c r="P15" i="49"/>
  <c r="P16" i="49"/>
  <c r="P17" i="49"/>
  <c r="P18" i="49"/>
  <c r="P19" i="49"/>
  <c r="P20" i="49"/>
  <c r="P21" i="49"/>
  <c r="P22" i="49"/>
  <c r="P23" i="49"/>
  <c r="P24" i="49"/>
  <c r="P25" i="49"/>
  <c r="P26" i="49"/>
  <c r="P27" i="49"/>
  <c r="P2" i="49"/>
  <c r="P1" i="49"/>
  <c r="AK2" i="104"/>
  <c r="AN2" i="104"/>
  <c r="B28" i="104" s="1"/>
  <c r="F11" i="117" l="1"/>
  <c r="B40" i="119"/>
  <c r="B33" i="119"/>
  <c r="B34" i="119"/>
  <c r="C34" i="119" s="1"/>
  <c r="B39" i="119"/>
  <c r="E12" i="117"/>
  <c r="D13" i="117" s="1"/>
  <c r="G11" i="117"/>
  <c r="B26" i="106"/>
  <c r="B27" i="106"/>
  <c r="AR2" i="104"/>
  <c r="B27" i="104"/>
  <c r="AU2" i="104"/>
  <c r="C40" i="119" l="1"/>
  <c r="E13" i="117"/>
  <c r="D14" i="117" s="1"/>
  <c r="F12" i="117"/>
  <c r="G12" i="117"/>
  <c r="AV2" i="104"/>
  <c r="B26" i="104"/>
  <c r="C40" i="106"/>
  <c r="D28" i="104"/>
  <c r="D27" i="104"/>
  <c r="D26" i="104"/>
  <c r="F13" i="117" l="1"/>
  <c r="E14" i="117"/>
  <c r="D15" i="117" s="1"/>
  <c r="G13" i="117"/>
  <c r="C34" i="106"/>
  <c r="W2" i="104"/>
  <c r="B23" i="104" s="1"/>
  <c r="T2" i="104"/>
  <c r="B31" i="104" s="1"/>
  <c r="G14" i="117" l="1"/>
  <c r="E15" i="117"/>
  <c r="D16" i="117" s="1"/>
  <c r="F14" i="117"/>
  <c r="B22" i="104"/>
  <c r="AA2" i="104"/>
  <c r="AD2" i="104"/>
  <c r="F15" i="117" l="1"/>
  <c r="G15" i="117"/>
  <c r="E16" i="117"/>
  <c r="G16" i="117" s="1"/>
  <c r="AE2" i="104"/>
  <c r="B21" i="104"/>
  <c r="A17" i="101"/>
  <c r="G14" i="101"/>
  <c r="A9" i="101"/>
  <c r="E6" i="97"/>
  <c r="F6" i="97" s="1"/>
  <c r="K5" i="97"/>
  <c r="A43" i="94"/>
  <c r="A36" i="94" s="1"/>
  <c r="A42" i="94"/>
  <c r="A35" i="94" s="1"/>
  <c r="A41" i="94"/>
  <c r="A34" i="94" s="1"/>
  <c r="A40" i="94"/>
  <c r="A33" i="94" s="1"/>
  <c r="A37" i="94"/>
  <c r="D33" i="94" a="1"/>
  <c r="D37" i="94" s="1"/>
  <c r="C33" i="94" a="1"/>
  <c r="B33" i="94" a="1"/>
  <c r="B37" i="94" s="1"/>
  <c r="D18" i="94"/>
  <c r="C18" i="94"/>
  <c r="B18" i="94"/>
  <c r="D17" i="94"/>
  <c r="C17" i="94"/>
  <c r="B17" i="94"/>
  <c r="D16" i="94"/>
  <c r="C16" i="94"/>
  <c r="B16" i="94"/>
  <c r="D15" i="94"/>
  <c r="C15" i="94"/>
  <c r="B15" i="94"/>
  <c r="D13" i="94"/>
  <c r="D14" i="94" s="1"/>
  <c r="C13" i="94"/>
  <c r="C14" i="94" s="1"/>
  <c r="B13" i="94"/>
  <c r="B14" i="94" s="1"/>
  <c r="F16" i="117" l="1"/>
  <c r="L3" i="97"/>
  <c r="G6" i="97"/>
  <c r="C35" i="94"/>
  <c r="C34" i="94"/>
  <c r="A1" i="97"/>
  <c r="K3" i="97"/>
  <c r="D7" i="97"/>
  <c r="C36" i="94"/>
  <c r="D34" i="94"/>
  <c r="B34" i="94"/>
  <c r="B35" i="94"/>
  <c r="C33" i="94"/>
  <c r="C37" i="94"/>
  <c r="D35" i="94"/>
  <c r="B36" i="94"/>
  <c r="D36" i="94"/>
  <c r="B33" i="94"/>
  <c r="D33" i="94"/>
  <c r="E30" i="93"/>
  <c r="B30" i="93"/>
  <c r="E29" i="93"/>
  <c r="B29" i="93"/>
  <c r="E23" i="93"/>
  <c r="B23" i="93"/>
  <c r="C164" i="92"/>
  <c r="B164" i="92"/>
  <c r="C141" i="92"/>
  <c r="B141" i="92"/>
  <c r="A127" i="92"/>
  <c r="A128" i="92" s="1"/>
  <c r="A129" i="92" s="1"/>
  <c r="A130" i="92" s="1"/>
  <c r="A131" i="92" s="1"/>
  <c r="A132" i="92" s="1"/>
  <c r="A133" i="92" s="1"/>
  <c r="A134" i="92" s="1"/>
  <c r="A135" i="92" s="1"/>
  <c r="A136" i="92" s="1"/>
  <c r="A137" i="92" s="1"/>
  <c r="A138" i="92" s="1"/>
  <c r="A139" i="92" s="1"/>
  <c r="A140" i="92" s="1"/>
  <c r="F118" i="92"/>
  <c r="C118" i="92"/>
  <c r="E98" i="92"/>
  <c r="F114" i="92" s="1"/>
  <c r="B98" i="92"/>
  <c r="C107" i="92" s="1"/>
  <c r="E97" i="92"/>
  <c r="B97" i="92"/>
  <c r="F86" i="92"/>
  <c r="C86" i="92"/>
  <c r="F85" i="92"/>
  <c r="C85" i="92"/>
  <c r="F84" i="92"/>
  <c r="C84" i="92"/>
  <c r="F83" i="92"/>
  <c r="C83" i="92"/>
  <c r="F82" i="92"/>
  <c r="C82" i="92"/>
  <c r="F81" i="92"/>
  <c r="C81" i="92"/>
  <c r="F80" i="92"/>
  <c r="C80" i="92"/>
  <c r="F79" i="92"/>
  <c r="C79" i="92"/>
  <c r="F78" i="92"/>
  <c r="C78" i="92"/>
  <c r="F77" i="92"/>
  <c r="C77" i="92"/>
  <c r="F76" i="92"/>
  <c r="C76" i="92"/>
  <c r="F75" i="92"/>
  <c r="C75" i="92"/>
  <c r="F74" i="92"/>
  <c r="C74" i="92"/>
  <c r="F73" i="92"/>
  <c r="C73" i="92"/>
  <c r="F72" i="92"/>
  <c r="C72" i="92"/>
  <c r="E70" i="92"/>
  <c r="B70" i="92"/>
  <c r="E68" i="92"/>
  <c r="E69" i="92" s="1"/>
  <c r="B68" i="92"/>
  <c r="B69" i="92" s="1"/>
  <c r="F11" i="91"/>
  <c r="C11" i="91"/>
  <c r="B164" i="32"/>
  <c r="C164" i="32"/>
  <c r="B19" i="41"/>
  <c r="C19" i="41"/>
  <c r="B19" i="27"/>
  <c r="C19" i="27"/>
  <c r="C141" i="32"/>
  <c r="B141" i="32"/>
  <c r="A127" i="32"/>
  <c r="A128" i="32" s="1"/>
  <c r="A129" i="32" s="1"/>
  <c r="A130" i="32" s="1"/>
  <c r="A131" i="32" s="1"/>
  <c r="A132" i="32" s="1"/>
  <c r="A133" i="32" s="1"/>
  <c r="A134" i="32" s="1"/>
  <c r="A135" i="32" s="1"/>
  <c r="A136" i="32" s="1"/>
  <c r="A137" i="32" s="1"/>
  <c r="A138" i="32" s="1"/>
  <c r="A139" i="32" s="1"/>
  <c r="A140" i="32" s="1"/>
  <c r="C31" i="87"/>
  <c r="B31" i="87"/>
  <c r="G29" i="87"/>
  <c r="F29" i="87"/>
  <c r="E29" i="87"/>
  <c r="G28" i="87"/>
  <c r="F28" i="87"/>
  <c r="E28" i="87"/>
  <c r="G21" i="87"/>
  <c r="F21" i="87"/>
  <c r="G20" i="87"/>
  <c r="G22" i="87" s="1"/>
  <c r="F20" i="87"/>
  <c r="G19" i="87"/>
  <c r="F19" i="87"/>
  <c r="B11" i="86"/>
  <c r="C11" i="86" s="1"/>
  <c r="F9" i="86"/>
  <c r="C9" i="86"/>
  <c r="D8" i="86"/>
  <c r="F7" i="86"/>
  <c r="C7" i="86"/>
  <c r="D6" i="86"/>
  <c r="F5" i="86"/>
  <c r="C5" i="86"/>
  <c r="D4" i="86"/>
  <c r="F3" i="86"/>
  <c r="C3" i="86"/>
  <c r="D2" i="86"/>
  <c r="A619" i="85"/>
  <c r="G130" i="85"/>
  <c r="G129" i="85"/>
  <c r="G128" i="85"/>
  <c r="G127" i="85"/>
  <c r="G126" i="85"/>
  <c r="G125" i="85"/>
  <c r="F121" i="85"/>
  <c r="F120" i="85"/>
  <c r="F119" i="85"/>
  <c r="F118" i="85"/>
  <c r="F117" i="85"/>
  <c r="I114" i="85"/>
  <c r="F114" i="85"/>
  <c r="I113" i="85"/>
  <c r="F113" i="85"/>
  <c r="I112" i="85"/>
  <c r="F112" i="85"/>
  <c r="I111" i="85"/>
  <c r="F111" i="85"/>
  <c r="L110" i="85"/>
  <c r="L111" i="85" s="1"/>
  <c r="I110" i="85"/>
  <c r="F110" i="85"/>
  <c r="F106" i="85"/>
  <c r="F105" i="85"/>
  <c r="E99" i="85"/>
  <c r="E98" i="85"/>
  <c r="E97" i="85"/>
  <c r="E96" i="85"/>
  <c r="E95" i="85"/>
  <c r="E94" i="85"/>
  <c r="E93" i="85"/>
  <c r="E92" i="85"/>
  <c r="E91" i="85"/>
  <c r="E90" i="85"/>
  <c r="E89" i="85"/>
  <c r="E88" i="85"/>
  <c r="E87" i="85"/>
  <c r="E86" i="85"/>
  <c r="E85" i="85"/>
  <c r="E84" i="85"/>
  <c r="E83" i="85"/>
  <c r="E82" i="85"/>
  <c r="F76" i="85"/>
  <c r="F75" i="85"/>
  <c r="F74" i="85"/>
  <c r="F73" i="85"/>
  <c r="F72" i="85"/>
  <c r="F71" i="85"/>
  <c r="F70" i="85"/>
  <c r="F69" i="85"/>
  <c r="F68" i="85"/>
  <c r="F65" i="85"/>
  <c r="F64" i="85"/>
  <c r="F63" i="85"/>
  <c r="F62" i="85"/>
  <c r="F50" i="85"/>
  <c r="F49" i="85"/>
  <c r="F48" i="85"/>
  <c r="F45" i="85"/>
  <c r="F44" i="85"/>
  <c r="F43" i="85"/>
  <c r="H45" i="85" s="1"/>
  <c r="G42" i="85"/>
  <c r="F35" i="85"/>
  <c r="E36" i="85" s="1"/>
  <c r="F32" i="85"/>
  <c r="F29" i="85"/>
  <c r="E27" i="85"/>
  <c r="F26" i="85"/>
  <c r="E26" i="85"/>
  <c r="E25" i="85"/>
  <c r="F23" i="85"/>
  <c r="F24" i="85" s="1"/>
  <c r="F25" i="85" s="1"/>
  <c r="H25" i="85" s="1"/>
  <c r="G22" i="85"/>
  <c r="F11" i="86" l="1"/>
  <c r="D10" i="86"/>
  <c r="F22" i="87"/>
  <c r="F2" i="86"/>
  <c r="C4" i="86"/>
  <c r="D5" i="86"/>
  <c r="F6" i="86"/>
  <c r="C8" i="86"/>
  <c r="D9" i="86"/>
  <c r="F10" i="86"/>
  <c r="C2" i="86"/>
  <c r="D3" i="86"/>
  <c r="F4" i="86"/>
  <c r="C6" i="86"/>
  <c r="D7" i="86"/>
  <c r="F8" i="86"/>
  <c r="C10" i="86"/>
  <c r="D11" i="86"/>
  <c r="F30" i="87"/>
  <c r="H44" i="85"/>
  <c r="E31" i="93"/>
  <c r="F88" i="92"/>
  <c r="F89" i="92" s="1"/>
  <c r="M3" i="97"/>
  <c r="D21" i="104"/>
  <c r="D23" i="104"/>
  <c r="D22" i="104"/>
  <c r="G30" i="87"/>
  <c r="B31" i="93"/>
  <c r="F27" i="85"/>
  <c r="H27" i="85" s="1"/>
  <c r="C88" i="92"/>
  <c r="C89" i="92" s="1"/>
  <c r="E7" i="97"/>
  <c r="D8" i="97" s="1"/>
  <c r="C103" i="92"/>
  <c r="C105" i="92"/>
  <c r="C109" i="92"/>
  <c r="C111" i="92"/>
  <c r="C113" i="92"/>
  <c r="F101" i="92"/>
  <c r="F103" i="92"/>
  <c r="F105" i="92"/>
  <c r="F107" i="92"/>
  <c r="F109" i="92"/>
  <c r="F111" i="92"/>
  <c r="F113" i="92"/>
  <c r="C100" i="92"/>
  <c r="C102" i="92"/>
  <c r="C104" i="92"/>
  <c r="C106" i="92"/>
  <c r="C108" i="92"/>
  <c r="C110" i="92"/>
  <c r="C112" i="92"/>
  <c r="C114" i="92"/>
  <c r="C101" i="92"/>
  <c r="F100" i="92"/>
  <c r="F102" i="92"/>
  <c r="F104" i="92"/>
  <c r="F106" i="92"/>
  <c r="F108" i="92"/>
  <c r="F110" i="92"/>
  <c r="F112" i="92"/>
  <c r="H43" i="85"/>
  <c r="E83" i="20"/>
  <c r="E84" i="20"/>
  <c r="E85" i="20"/>
  <c r="E86" i="20"/>
  <c r="E87" i="20"/>
  <c r="E88" i="20"/>
  <c r="E89" i="20"/>
  <c r="E90" i="20"/>
  <c r="E91" i="20"/>
  <c r="E92" i="20"/>
  <c r="E93" i="20"/>
  <c r="E94" i="20"/>
  <c r="E95" i="20"/>
  <c r="E96" i="20"/>
  <c r="E97" i="20"/>
  <c r="E98" i="20"/>
  <c r="E99" i="20"/>
  <c r="E82" i="20"/>
  <c r="G42" i="20"/>
  <c r="H21" i="20"/>
  <c r="A619" i="20"/>
  <c r="L110" i="20"/>
  <c r="L111" i="20" s="1"/>
  <c r="F28" i="85" l="1"/>
  <c r="H30" i="85" s="1"/>
  <c r="F7" i="97"/>
  <c r="G7" i="97"/>
  <c r="E8" i="97"/>
  <c r="D9" i="97" s="1"/>
  <c r="F116" i="92"/>
  <c r="F117" i="92" s="1"/>
  <c r="C116" i="92"/>
  <c r="C117" i="92" s="1"/>
  <c r="H28" i="85"/>
  <c r="H29" i="85"/>
  <c r="E9" i="97" l="1"/>
  <c r="D10" i="97" s="1"/>
  <c r="F8" i="97"/>
  <c r="G8" i="97"/>
  <c r="G54" i="82" a="1"/>
  <c r="G54" i="82" s="1"/>
  <c r="G54" i="19" a="1"/>
  <c r="G54" i="19" s="1"/>
  <c r="H67" i="82"/>
  <c r="H66" i="82"/>
  <c r="H65" i="82"/>
  <c r="H64" i="82"/>
  <c r="G58" i="82"/>
  <c r="C44" i="82"/>
  <c r="D44" i="82" s="1"/>
  <c r="C43" i="82"/>
  <c r="D43" i="82" s="1"/>
  <c r="C42" i="82"/>
  <c r="D42" i="82" s="1"/>
  <c r="C41" i="82"/>
  <c r="D41" i="82" s="1"/>
  <c r="C40" i="82"/>
  <c r="D40" i="82" s="1"/>
  <c r="C39" i="82"/>
  <c r="D39" i="82" s="1"/>
  <c r="C38" i="82"/>
  <c r="D38" i="82" s="1"/>
  <c r="C37" i="82"/>
  <c r="D37" i="82" s="1"/>
  <c r="C36" i="82"/>
  <c r="D36" i="82" s="1"/>
  <c r="C35" i="82"/>
  <c r="D35" i="82" s="1"/>
  <c r="C34" i="82"/>
  <c r="D34" i="82" s="1"/>
  <c r="C33" i="82"/>
  <c r="D33" i="82" s="1"/>
  <c r="G32" i="82"/>
  <c r="G47" i="82" s="1"/>
  <c r="C32" i="82"/>
  <c r="G31" i="82"/>
  <c r="G46" i="82" s="1"/>
  <c r="G58" i="19"/>
  <c r="B31" i="80"/>
  <c r="C30" i="80" s="1"/>
  <c r="D30" i="80" s="1"/>
  <c r="B16" i="80"/>
  <c r="D15" i="80"/>
  <c r="D14" i="80"/>
  <c r="D13" i="80"/>
  <c r="D12" i="80"/>
  <c r="D11" i="80"/>
  <c r="D10" i="80"/>
  <c r="D9" i="80"/>
  <c r="D8" i="80"/>
  <c r="D7" i="80"/>
  <c r="G6" i="80"/>
  <c r="G8" i="80" s="1"/>
  <c r="D6" i="80"/>
  <c r="D5" i="80"/>
  <c r="AA2" i="80"/>
  <c r="B22" i="79"/>
  <c r="D14" i="79"/>
  <c r="E14" i="79" s="1"/>
  <c r="D13" i="79"/>
  <c r="E13" i="79" s="1"/>
  <c r="D12" i="79"/>
  <c r="E12" i="79" s="1"/>
  <c r="D11" i="79"/>
  <c r="E11" i="79" s="1"/>
  <c r="D10" i="79"/>
  <c r="E10" i="79" s="1"/>
  <c r="D9" i="79"/>
  <c r="B16" i="17"/>
  <c r="A43" i="76"/>
  <c r="A36" i="76" s="1"/>
  <c r="A42" i="76"/>
  <c r="A35" i="76" s="1"/>
  <c r="A41" i="76"/>
  <c r="A34" i="76" s="1"/>
  <c r="A40" i="76"/>
  <c r="A33" i="76" s="1"/>
  <c r="A37" i="76"/>
  <c r="D33" i="76" a="1"/>
  <c r="D37" i="76" s="1"/>
  <c r="C33" i="76" a="1"/>
  <c r="C35" i="76" s="1"/>
  <c r="B33" i="76" a="1"/>
  <c r="B37" i="76" s="1"/>
  <c r="D18" i="76"/>
  <c r="C18" i="76"/>
  <c r="B18" i="76"/>
  <c r="D17" i="76"/>
  <c r="C17" i="76"/>
  <c r="B17" i="76"/>
  <c r="D16" i="76"/>
  <c r="C16" i="76"/>
  <c r="B16" i="76"/>
  <c r="D15" i="76"/>
  <c r="C15" i="76"/>
  <c r="B15" i="76"/>
  <c r="D13" i="76"/>
  <c r="D14" i="76" s="1"/>
  <c r="C13" i="76"/>
  <c r="C14" i="76" s="1"/>
  <c r="B13" i="76"/>
  <c r="B14" i="76" s="1"/>
  <c r="E16" i="75"/>
  <c r="D17" i="75" s="1"/>
  <c r="B16" i="75"/>
  <c r="B15" i="75"/>
  <c r="B14" i="75"/>
  <c r="B13" i="75"/>
  <c r="G60" i="82"/>
  <c r="G9" i="80" l="1"/>
  <c r="G11" i="80" s="1"/>
  <c r="A17" i="75" a="1"/>
  <c r="A17" i="75" s="1"/>
  <c r="C34" i="76"/>
  <c r="C23" i="80"/>
  <c r="D23" i="80" s="1"/>
  <c r="G69" i="82"/>
  <c r="D16" i="80"/>
  <c r="G5" i="80" s="1"/>
  <c r="C25" i="80"/>
  <c r="D25" i="80" s="1"/>
  <c r="D15" i="79"/>
  <c r="C27" i="80"/>
  <c r="D27" i="80" s="1"/>
  <c r="C21" i="80"/>
  <c r="D21" i="80" s="1"/>
  <c r="C29" i="80"/>
  <c r="D29" i="80" s="1"/>
  <c r="F9" i="97"/>
  <c r="E10" i="97"/>
  <c r="D11" i="97" s="1"/>
  <c r="G9" i="97"/>
  <c r="G34" i="82"/>
  <c r="D32" i="82"/>
  <c r="G33" i="82"/>
  <c r="G42" i="82"/>
  <c r="G50" i="82" s="1"/>
  <c r="C20" i="80"/>
  <c r="C22" i="80"/>
  <c r="D22" i="80" s="1"/>
  <c r="C24" i="80"/>
  <c r="D24" i="80" s="1"/>
  <c r="C26" i="80"/>
  <c r="D26" i="80" s="1"/>
  <c r="C28" i="80"/>
  <c r="D28" i="80" s="1"/>
  <c r="E9" i="79"/>
  <c r="E15" i="79" s="1"/>
  <c r="D17" i="79" s="1"/>
  <c r="D18" i="79"/>
  <c r="B34" i="76"/>
  <c r="C36" i="76"/>
  <c r="D34" i="76"/>
  <c r="B35" i="76"/>
  <c r="C33" i="76"/>
  <c r="C37" i="76"/>
  <c r="D35" i="76"/>
  <c r="B36" i="76"/>
  <c r="D36" i="76"/>
  <c r="B33" i="76"/>
  <c r="D33" i="76"/>
  <c r="K12" i="74"/>
  <c r="I13" i="74" s="1"/>
  <c r="D12" i="74"/>
  <c r="C12" i="74"/>
  <c r="A13" i="74" s="1"/>
  <c r="K11" i="74"/>
  <c r="C11" i="74"/>
  <c r="E10" i="73"/>
  <c r="D11" i="73" s="1"/>
  <c r="B10" i="73"/>
  <c r="A11" i="73" s="1"/>
  <c r="B18" i="72"/>
  <c r="E9" i="72"/>
  <c r="E8" i="72"/>
  <c r="E7" i="72"/>
  <c r="E6" i="72"/>
  <c r="E5" i="72"/>
  <c r="E4" i="72"/>
  <c r="E3" i="72"/>
  <c r="E2" i="72"/>
  <c r="D13" i="10"/>
  <c r="D9" i="71"/>
  <c r="D5" i="71"/>
  <c r="E11" i="72" l="1"/>
  <c r="D13" i="72" s="1"/>
  <c r="G35" i="82"/>
  <c r="H35" i="82" s="1"/>
  <c r="G49" i="82"/>
  <c r="G10" i="97"/>
  <c r="E11" i="97"/>
  <c r="D12" i="97" s="1"/>
  <c r="F10" i="97"/>
  <c r="G48" i="82"/>
  <c r="G40" i="82"/>
  <c r="G41" i="82"/>
  <c r="G43" i="82" s="1"/>
  <c r="H43" i="82" s="1"/>
  <c r="D20" i="80"/>
  <c r="D31" i="80" s="1"/>
  <c r="G19" i="80" s="1"/>
  <c r="G20" i="80"/>
  <c r="C31" i="80"/>
  <c r="B17" i="2"/>
  <c r="B16" i="2"/>
  <c r="B13" i="2"/>
  <c r="B14" i="2"/>
  <c r="B9" i="2"/>
  <c r="B8" i="2"/>
  <c r="B456" i="67"/>
  <c r="B457" i="67"/>
  <c r="A471" i="67"/>
  <c r="A472" i="67" s="1"/>
  <c r="A473" i="67" s="1"/>
  <c r="A474" i="67" s="1"/>
  <c r="B471" i="67"/>
  <c r="B472" i="67" s="1"/>
  <c r="B473" i="67" s="1"/>
  <c r="B474" i="67" s="1"/>
  <c r="B458" i="67"/>
  <c r="B459" i="67"/>
  <c r="B460" i="67"/>
  <c r="B461" i="67"/>
  <c r="B462" i="67"/>
  <c r="C77" i="68"/>
  <c r="I76" i="68" s="1"/>
  <c r="B77" i="68"/>
  <c r="E76" i="68" s="1"/>
  <c r="AA119" i="64"/>
  <c r="AB119" i="64" s="1"/>
  <c r="AO23" i="60"/>
  <c r="AO24" i="60"/>
  <c r="AO25" i="60"/>
  <c r="AO26" i="60"/>
  <c r="AO27" i="60"/>
  <c r="AO28" i="60"/>
  <c r="AO29" i="60"/>
  <c r="AO30" i="60"/>
  <c r="AO31" i="60"/>
  <c r="AO32" i="60"/>
  <c r="AO33" i="60"/>
  <c r="U19" i="58"/>
  <c r="U18" i="58"/>
  <c r="R26" i="58"/>
  <c r="P27" i="58"/>
  <c r="O26" i="58"/>
  <c r="F24" i="58"/>
  <c r="F11" i="97" l="1"/>
  <c r="G11" i="97"/>
  <c r="E12" i="97"/>
  <c r="D13" i="97" s="1"/>
  <c r="AQ22" i="60"/>
  <c r="B453" i="67"/>
  <c r="B467" i="67"/>
  <c r="E77" i="68"/>
  <c r="I77" i="68"/>
  <c r="E13" i="97" l="1"/>
  <c r="D14" i="97" s="1"/>
  <c r="F12" i="97"/>
  <c r="G12" i="97"/>
  <c r="C55" i="68"/>
  <c r="I55" i="68" s="1"/>
  <c r="B55" i="68"/>
  <c r="E55" i="68" s="1"/>
  <c r="C10" i="68"/>
  <c r="I10" i="68" s="1"/>
  <c r="B10" i="68"/>
  <c r="E9" i="68" s="1"/>
  <c r="C32" i="68"/>
  <c r="I32" i="68" s="1"/>
  <c r="B32" i="68"/>
  <c r="E32" i="68" s="1"/>
  <c r="E14" i="97" l="1"/>
  <c r="D15" i="97" s="1"/>
  <c r="F13" i="97"/>
  <c r="G13" i="97"/>
  <c r="I31" i="68"/>
  <c r="E54" i="68"/>
  <c r="I54" i="68"/>
  <c r="E31" i="68"/>
  <c r="E10" i="68"/>
  <c r="I9" i="68"/>
  <c r="G14" i="97" l="1"/>
  <c r="F14" i="97"/>
  <c r="E15" i="97"/>
  <c r="D16" i="97" s="1"/>
  <c r="G15" i="97" l="1"/>
  <c r="E16" i="97"/>
  <c r="G16" i="97" s="1"/>
  <c r="F15" i="97"/>
  <c r="A3" i="61"/>
  <c r="A4" i="61"/>
  <c r="A5" i="61"/>
  <c r="A6" i="61"/>
  <c r="A7" i="61"/>
  <c r="B2" i="61"/>
  <c r="C2" i="61"/>
  <c r="D2" i="61"/>
  <c r="E2" i="61"/>
  <c r="F2" i="61"/>
  <c r="F16" i="97" l="1"/>
  <c r="D1" i="63"/>
  <c r="D2" i="63"/>
  <c r="D3" i="63"/>
  <c r="D4" i="63"/>
  <c r="D5" i="63"/>
  <c r="E14" i="63"/>
  <c r="E15" i="63"/>
  <c r="D18" i="63"/>
  <c r="C24" i="63"/>
  <c r="C25" i="63"/>
  <c r="C26" i="63"/>
  <c r="C27" i="63"/>
  <c r="D6" i="63" l="1"/>
  <c r="D14" i="63" s="1"/>
  <c r="G30" i="63" s="1"/>
  <c r="D26" i="63"/>
  <c r="D27" i="63"/>
  <c r="F16" i="61"/>
  <c r="F17" i="61"/>
  <c r="F18" i="61"/>
  <c r="F19" i="61"/>
  <c r="F20" i="61"/>
  <c r="F21" i="61"/>
  <c r="F22" i="61"/>
  <c r="F23" i="61"/>
  <c r="F24" i="61"/>
  <c r="F25" i="61"/>
  <c r="F26" i="61"/>
  <c r="F27" i="61"/>
  <c r="F28" i="61"/>
  <c r="F29" i="61"/>
  <c r="F30" i="61"/>
  <c r="F31" i="61"/>
  <c r="F32" i="61"/>
  <c r="F33" i="61"/>
  <c r="F34" i="61"/>
  <c r="F35" i="61"/>
  <c r="F36" i="61"/>
  <c r="F37" i="61"/>
  <c r="F38" i="61"/>
  <c r="F39" i="61"/>
  <c r="F40" i="61"/>
  <c r="F41" i="61"/>
  <c r="F42" i="61"/>
  <c r="F43" i="61"/>
  <c r="F44" i="61"/>
  <c r="F45" i="61"/>
  <c r="F46" i="61"/>
  <c r="F47" i="61"/>
  <c r="F48" i="61"/>
  <c r="F49" i="61"/>
  <c r="F50" i="61"/>
  <c r="F51" i="61"/>
  <c r="F52" i="61"/>
  <c r="F53" i="61"/>
  <c r="F54" i="61"/>
  <c r="F55" i="61"/>
  <c r="F56" i="61"/>
  <c r="F57" i="61"/>
  <c r="F58" i="61"/>
  <c r="F59" i="61"/>
  <c r="F60" i="61"/>
  <c r="F61" i="61"/>
  <c r="F62" i="61"/>
  <c r="F63" i="61"/>
  <c r="F64" i="61"/>
  <c r="F65" i="61"/>
  <c r="F66" i="61"/>
  <c r="F67" i="61"/>
  <c r="F68" i="61"/>
  <c r="F69" i="61"/>
  <c r="F70" i="61"/>
  <c r="F71" i="61"/>
  <c r="F72" i="61"/>
  <c r="F73" i="61"/>
  <c r="F74" i="61"/>
  <c r="F75" i="61"/>
  <c r="F76" i="61"/>
  <c r="F77" i="61"/>
  <c r="F78" i="61"/>
  <c r="F79" i="61"/>
  <c r="F80" i="61"/>
  <c r="F81" i="61"/>
  <c r="F82" i="61"/>
  <c r="F83" i="61"/>
  <c r="F84" i="61"/>
  <c r="F85" i="61"/>
  <c r="F86" i="61"/>
  <c r="F87" i="61"/>
  <c r="F88" i="61"/>
  <c r="F89" i="61"/>
  <c r="F90" i="61"/>
  <c r="F91" i="61"/>
  <c r="F92" i="61"/>
  <c r="F93" i="61"/>
  <c r="F94" i="61"/>
  <c r="F95" i="61"/>
  <c r="F96" i="61"/>
  <c r="F97" i="61"/>
  <c r="F98" i="61"/>
  <c r="F99" i="61"/>
  <c r="F100" i="61"/>
  <c r="F101" i="61"/>
  <c r="F102" i="61"/>
  <c r="F103" i="61"/>
  <c r="F104" i="61"/>
  <c r="F105" i="61"/>
  <c r="F106" i="61"/>
  <c r="F107" i="61"/>
  <c r="F108" i="61"/>
  <c r="F109" i="61"/>
  <c r="F110" i="61"/>
  <c r="F111" i="61"/>
  <c r="F112" i="61"/>
  <c r="F113" i="61"/>
  <c r="F114" i="61"/>
  <c r="F115" i="61"/>
  <c r="F116" i="61"/>
  <c r="F117" i="61"/>
  <c r="F118" i="61"/>
  <c r="F119" i="61"/>
  <c r="F120" i="61"/>
  <c r="F121" i="61"/>
  <c r="F122" i="61"/>
  <c r="F123" i="61"/>
  <c r="F124" i="61"/>
  <c r="F125" i="61"/>
  <c r="F126" i="61"/>
  <c r="F127" i="61"/>
  <c r="F128" i="61"/>
  <c r="F129" i="61"/>
  <c r="F130" i="61"/>
  <c r="F131" i="61"/>
  <c r="F132" i="61"/>
  <c r="F133" i="61"/>
  <c r="F134" i="61"/>
  <c r="F135" i="61"/>
  <c r="F136" i="61"/>
  <c r="F137" i="61"/>
  <c r="F138" i="61"/>
  <c r="F139" i="61"/>
  <c r="F140" i="61"/>
  <c r="F141" i="61"/>
  <c r="F142" i="61"/>
  <c r="F143" i="61"/>
  <c r="F144" i="61"/>
  <c r="F145" i="61"/>
  <c r="F146" i="61"/>
  <c r="F147" i="61"/>
  <c r="F148" i="61"/>
  <c r="F149" i="61"/>
  <c r="F150" i="61"/>
  <c r="F151" i="61"/>
  <c r="F152" i="61"/>
  <c r="F153" i="61"/>
  <c r="F154" i="61"/>
  <c r="F155" i="61"/>
  <c r="F156" i="61"/>
  <c r="F157" i="61"/>
  <c r="F158" i="61"/>
  <c r="F159" i="61"/>
  <c r="F160" i="61"/>
  <c r="F161" i="61"/>
  <c r="F162" i="61"/>
  <c r="F163" i="61"/>
  <c r="F164" i="61"/>
  <c r="F165" i="61"/>
  <c r="F166" i="61"/>
  <c r="F167" i="61"/>
  <c r="F168" i="61"/>
  <c r="F169" i="61"/>
  <c r="F170" i="61"/>
  <c r="F171" i="61"/>
  <c r="F172" i="61"/>
  <c r="F173" i="61"/>
  <c r="F174" i="61"/>
  <c r="F175" i="61"/>
  <c r="F176" i="61"/>
  <c r="F177" i="61"/>
  <c r="F178" i="61"/>
  <c r="F179" i="61"/>
  <c r="F180" i="61"/>
  <c r="F181" i="61"/>
  <c r="F182" i="61"/>
  <c r="F183" i="61"/>
  <c r="F184" i="61"/>
  <c r="F185" i="61"/>
  <c r="F186" i="61"/>
  <c r="F187" i="61"/>
  <c r="F188" i="61"/>
  <c r="F189" i="61"/>
  <c r="F190" i="61"/>
  <c r="F191" i="61"/>
  <c r="F192" i="61"/>
  <c r="F193" i="61"/>
  <c r="F194" i="61"/>
  <c r="F195" i="61"/>
  <c r="F196" i="61"/>
  <c r="F197" i="61"/>
  <c r="F198" i="61"/>
  <c r="F199" i="61"/>
  <c r="F200" i="61"/>
  <c r="F201" i="61"/>
  <c r="F202" i="61"/>
  <c r="F203" i="61"/>
  <c r="F204" i="61"/>
  <c r="F205" i="61"/>
  <c r="F206" i="61"/>
  <c r="F207" i="61"/>
  <c r="F208" i="61"/>
  <c r="F209" i="61"/>
  <c r="F210" i="61"/>
  <c r="F211" i="61"/>
  <c r="F212" i="61"/>
  <c r="F213" i="61"/>
  <c r="F214" i="61"/>
  <c r="F215" i="61"/>
  <c r="F216" i="61"/>
  <c r="F217" i="61"/>
  <c r="F218" i="61"/>
  <c r="F219" i="61"/>
  <c r="F220" i="61"/>
  <c r="F221" i="61"/>
  <c r="F222" i="61"/>
  <c r="F223" i="61"/>
  <c r="F224" i="61"/>
  <c r="F225" i="61"/>
  <c r="F226" i="61"/>
  <c r="F227" i="61"/>
  <c r="F228" i="61"/>
  <c r="F229" i="61"/>
  <c r="F230" i="61"/>
  <c r="F231" i="61"/>
  <c r="F232" i="61"/>
  <c r="F233" i="61"/>
  <c r="F234" i="61"/>
  <c r="F235" i="61"/>
  <c r="F236" i="61"/>
  <c r="F237" i="61"/>
  <c r="F238" i="61"/>
  <c r="F239" i="61"/>
  <c r="F240" i="61"/>
  <c r="F241" i="61"/>
  <c r="F242" i="61"/>
  <c r="F243" i="61"/>
  <c r="F244" i="61"/>
  <c r="F245" i="61"/>
  <c r="F246" i="61"/>
  <c r="F247" i="61"/>
  <c r="F248" i="61"/>
  <c r="F249" i="61"/>
  <c r="F250" i="61"/>
  <c r="F251" i="61"/>
  <c r="F252" i="61"/>
  <c r="F253" i="61"/>
  <c r="F254" i="61"/>
  <c r="F255" i="61"/>
  <c r="F256" i="61"/>
  <c r="F257" i="61"/>
  <c r="F258" i="61"/>
  <c r="F259" i="61"/>
  <c r="F260" i="61"/>
  <c r="F261" i="61"/>
  <c r="F262" i="61"/>
  <c r="F263" i="61"/>
  <c r="F264" i="61"/>
  <c r="F265" i="61"/>
  <c r="F266" i="61"/>
  <c r="F267" i="61"/>
  <c r="F268" i="61"/>
  <c r="F269" i="61"/>
  <c r="F270" i="61"/>
  <c r="F271" i="61"/>
  <c r="F272" i="61"/>
  <c r="F273" i="61"/>
  <c r="F274" i="61"/>
  <c r="F275" i="61"/>
  <c r="F276" i="61"/>
  <c r="F277" i="61"/>
  <c r="F278" i="61"/>
  <c r="F279" i="61"/>
  <c r="F280" i="61"/>
  <c r="F281" i="61"/>
  <c r="F282" i="61"/>
  <c r="F283" i="61"/>
  <c r="F284" i="61"/>
  <c r="F285" i="61"/>
  <c r="F286" i="61"/>
  <c r="F287" i="61"/>
  <c r="F288" i="61"/>
  <c r="F289" i="61"/>
  <c r="F290" i="61"/>
  <c r="F291" i="61"/>
  <c r="F292" i="61"/>
  <c r="F293" i="61"/>
  <c r="F294" i="61"/>
  <c r="F295" i="61"/>
  <c r="F296" i="61"/>
  <c r="F297" i="61"/>
  <c r="F298" i="61"/>
  <c r="F299" i="61"/>
  <c r="F300" i="61"/>
  <c r="F301" i="61"/>
  <c r="F302" i="61"/>
  <c r="F303" i="61"/>
  <c r="F304" i="61"/>
  <c r="F305" i="61"/>
  <c r="F306" i="61"/>
  <c r="F307" i="61"/>
  <c r="F308" i="61"/>
  <c r="F309" i="61"/>
  <c r="F310" i="61"/>
  <c r="F311" i="61"/>
  <c r="F312" i="61"/>
  <c r="F313" i="61"/>
  <c r="F314" i="61"/>
  <c r="F315" i="61"/>
  <c r="F316" i="61"/>
  <c r="F317" i="61"/>
  <c r="F318" i="61"/>
  <c r="F319" i="61"/>
  <c r="F320" i="61"/>
  <c r="F321" i="61"/>
  <c r="F322" i="61"/>
  <c r="F323" i="61"/>
  <c r="F324" i="61"/>
  <c r="F325" i="61"/>
  <c r="F326" i="61"/>
  <c r="F327" i="61"/>
  <c r="F328" i="61"/>
  <c r="F329" i="61"/>
  <c r="F330" i="61"/>
  <c r="F331" i="61"/>
  <c r="F332" i="61"/>
  <c r="F333" i="61"/>
  <c r="F334" i="61"/>
  <c r="F335" i="61"/>
  <c r="F336" i="61"/>
  <c r="F337" i="61"/>
  <c r="F338" i="61"/>
  <c r="F339" i="61"/>
  <c r="F340" i="61"/>
  <c r="F341" i="61"/>
  <c r="F342" i="61"/>
  <c r="F343" i="61"/>
  <c r="F344" i="61"/>
  <c r="F345" i="61"/>
  <c r="F346" i="61"/>
  <c r="F347" i="61"/>
  <c r="F348" i="61"/>
  <c r="F349" i="61"/>
  <c r="F350" i="61"/>
  <c r="F351" i="61"/>
  <c r="F352" i="61"/>
  <c r="F353" i="61"/>
  <c r="F354" i="61"/>
  <c r="F355" i="61"/>
  <c r="F356" i="61"/>
  <c r="F357" i="61"/>
  <c r="F358" i="61"/>
  <c r="F359" i="61"/>
  <c r="F360" i="61"/>
  <c r="F361" i="61"/>
  <c r="F362" i="61"/>
  <c r="F363" i="61"/>
  <c r="F364" i="61"/>
  <c r="F365" i="61"/>
  <c r="F366" i="61"/>
  <c r="F367" i="61"/>
  <c r="F368" i="61"/>
  <c r="F369" i="61"/>
  <c r="F370" i="61"/>
  <c r="F371" i="61"/>
  <c r="F372" i="61"/>
  <c r="F373" i="61"/>
  <c r="F374" i="61"/>
  <c r="F375" i="61"/>
  <c r="F376" i="61"/>
  <c r="F377" i="61"/>
  <c r="F378" i="61"/>
  <c r="F379" i="61"/>
  <c r="F380" i="61"/>
  <c r="F381" i="61"/>
  <c r="F382" i="61"/>
  <c r="F383" i="61"/>
  <c r="F384" i="61"/>
  <c r="F385" i="61"/>
  <c r="F386" i="61"/>
  <c r="F387" i="61"/>
  <c r="F388" i="61"/>
  <c r="F389" i="61"/>
  <c r="F390" i="61"/>
  <c r="F391" i="61"/>
  <c r="F392" i="61"/>
  <c r="F393" i="61"/>
  <c r="F394" i="61"/>
  <c r="F395" i="61"/>
  <c r="F396" i="61"/>
  <c r="F397" i="61"/>
  <c r="F398" i="61"/>
  <c r="E17" i="61"/>
  <c r="E18" i="61"/>
  <c r="E19" i="61"/>
  <c r="E20" i="61"/>
  <c r="E21" i="61"/>
  <c r="E22" i="61"/>
  <c r="E23" i="61"/>
  <c r="E24" i="61"/>
  <c r="E25" i="61"/>
  <c r="E26" i="61"/>
  <c r="E27" i="61"/>
  <c r="E28" i="61"/>
  <c r="E29" i="61"/>
  <c r="E30" i="61"/>
  <c r="E31" i="61"/>
  <c r="E32" i="61"/>
  <c r="E33" i="61"/>
  <c r="E34" i="61"/>
  <c r="E35" i="61"/>
  <c r="E36" i="61"/>
  <c r="E37" i="61"/>
  <c r="E38" i="61"/>
  <c r="E39" i="61"/>
  <c r="E40" i="61"/>
  <c r="E41" i="61"/>
  <c r="E42" i="61"/>
  <c r="E43" i="61"/>
  <c r="E44" i="61"/>
  <c r="E45" i="61"/>
  <c r="E46" i="61"/>
  <c r="E47" i="61"/>
  <c r="E48" i="61"/>
  <c r="E49" i="61"/>
  <c r="E50" i="61"/>
  <c r="E51" i="61"/>
  <c r="E52" i="61"/>
  <c r="E53" i="61"/>
  <c r="E54" i="61"/>
  <c r="E55" i="61"/>
  <c r="E56" i="61"/>
  <c r="E57" i="61"/>
  <c r="E58" i="61"/>
  <c r="E59" i="61"/>
  <c r="E60" i="61"/>
  <c r="E61" i="61"/>
  <c r="E62" i="61"/>
  <c r="E63" i="61"/>
  <c r="E64" i="61"/>
  <c r="E65" i="61"/>
  <c r="E66" i="61"/>
  <c r="E67" i="61"/>
  <c r="E68" i="61"/>
  <c r="E69" i="61"/>
  <c r="E70" i="61"/>
  <c r="E71" i="61"/>
  <c r="E72" i="61"/>
  <c r="E73" i="61"/>
  <c r="E74" i="61"/>
  <c r="E75" i="61"/>
  <c r="E76" i="61"/>
  <c r="E77" i="61"/>
  <c r="E78" i="61"/>
  <c r="E79" i="61"/>
  <c r="E80" i="61"/>
  <c r="E81" i="61"/>
  <c r="E82" i="61"/>
  <c r="E83" i="61"/>
  <c r="E84" i="61"/>
  <c r="E85" i="61"/>
  <c r="E86" i="61"/>
  <c r="E87" i="61"/>
  <c r="E88" i="61"/>
  <c r="E89" i="61"/>
  <c r="E90" i="61"/>
  <c r="E91" i="61"/>
  <c r="E92" i="61"/>
  <c r="E93" i="61"/>
  <c r="E94" i="61"/>
  <c r="E95" i="61"/>
  <c r="E96" i="61"/>
  <c r="E97" i="61"/>
  <c r="E98" i="61"/>
  <c r="E99" i="61"/>
  <c r="E100" i="61"/>
  <c r="E101" i="61"/>
  <c r="E102" i="61"/>
  <c r="E103" i="61"/>
  <c r="E104" i="61"/>
  <c r="E105" i="61"/>
  <c r="E106" i="61"/>
  <c r="E107" i="61"/>
  <c r="E108" i="61"/>
  <c r="E109" i="61"/>
  <c r="E110" i="61"/>
  <c r="E111" i="61"/>
  <c r="E112" i="61"/>
  <c r="E113" i="61"/>
  <c r="E114" i="61"/>
  <c r="E115" i="61"/>
  <c r="E116" i="61"/>
  <c r="E117" i="61"/>
  <c r="E118" i="61"/>
  <c r="E119" i="61"/>
  <c r="E120" i="61"/>
  <c r="E121" i="61"/>
  <c r="E122" i="61"/>
  <c r="E123" i="61"/>
  <c r="E124" i="61"/>
  <c r="E125" i="61"/>
  <c r="E126" i="61"/>
  <c r="E127" i="61"/>
  <c r="E128" i="61"/>
  <c r="E129" i="61"/>
  <c r="E130" i="61"/>
  <c r="E131" i="61"/>
  <c r="E132" i="61"/>
  <c r="E133" i="61"/>
  <c r="E134" i="61"/>
  <c r="E135" i="61"/>
  <c r="E136" i="61"/>
  <c r="E137" i="61"/>
  <c r="E138" i="61"/>
  <c r="E139" i="61"/>
  <c r="E140" i="61"/>
  <c r="E141" i="61"/>
  <c r="E142" i="61"/>
  <c r="E143" i="61"/>
  <c r="E144" i="61"/>
  <c r="E145" i="61"/>
  <c r="E146" i="61"/>
  <c r="E147" i="61"/>
  <c r="E148" i="61"/>
  <c r="E149" i="61"/>
  <c r="E150" i="61"/>
  <c r="E151" i="61"/>
  <c r="E152" i="61"/>
  <c r="E153" i="61"/>
  <c r="E154" i="61"/>
  <c r="E155" i="61"/>
  <c r="E156" i="61"/>
  <c r="E157" i="61"/>
  <c r="E158" i="61"/>
  <c r="E159" i="61"/>
  <c r="E160" i="61"/>
  <c r="E161" i="61"/>
  <c r="E162" i="61"/>
  <c r="E163" i="61"/>
  <c r="E164" i="61"/>
  <c r="E165" i="61"/>
  <c r="E166" i="61"/>
  <c r="E167" i="61"/>
  <c r="E168" i="61"/>
  <c r="E169" i="61"/>
  <c r="E170" i="61"/>
  <c r="E171" i="61"/>
  <c r="E172" i="61"/>
  <c r="E173" i="61"/>
  <c r="E174" i="61"/>
  <c r="E175" i="61"/>
  <c r="E176" i="61"/>
  <c r="E177" i="61"/>
  <c r="E178" i="61"/>
  <c r="E179" i="61"/>
  <c r="E180" i="61"/>
  <c r="E181" i="61"/>
  <c r="E182" i="61"/>
  <c r="E183" i="61"/>
  <c r="E184" i="61"/>
  <c r="E185" i="61"/>
  <c r="E186" i="61"/>
  <c r="E187" i="61"/>
  <c r="E188" i="61"/>
  <c r="E189" i="61"/>
  <c r="E190" i="61"/>
  <c r="E191" i="61"/>
  <c r="E192" i="61"/>
  <c r="E193" i="61"/>
  <c r="E194" i="61"/>
  <c r="E195" i="61"/>
  <c r="E196" i="61"/>
  <c r="E197" i="61"/>
  <c r="E198" i="61"/>
  <c r="E199" i="61"/>
  <c r="E200" i="61"/>
  <c r="E201" i="61"/>
  <c r="E202" i="61"/>
  <c r="E203" i="61"/>
  <c r="E204" i="61"/>
  <c r="E205" i="61"/>
  <c r="E206" i="61"/>
  <c r="E207" i="61"/>
  <c r="E208" i="61"/>
  <c r="E209" i="61"/>
  <c r="E210" i="61"/>
  <c r="E211" i="61"/>
  <c r="E212" i="61"/>
  <c r="E213" i="61"/>
  <c r="E214" i="61"/>
  <c r="E215" i="61"/>
  <c r="E216" i="61"/>
  <c r="E217" i="61"/>
  <c r="E218" i="61"/>
  <c r="E219" i="61"/>
  <c r="E220" i="61"/>
  <c r="E221" i="61"/>
  <c r="E222" i="61"/>
  <c r="E223" i="61"/>
  <c r="E224" i="61"/>
  <c r="E225" i="61"/>
  <c r="E226" i="61"/>
  <c r="E227" i="61"/>
  <c r="E228" i="61"/>
  <c r="E229" i="61"/>
  <c r="E230" i="61"/>
  <c r="E231" i="61"/>
  <c r="E232" i="61"/>
  <c r="E233" i="61"/>
  <c r="E234" i="61"/>
  <c r="E235" i="61"/>
  <c r="E236" i="61"/>
  <c r="E237" i="61"/>
  <c r="E238" i="61"/>
  <c r="E239" i="61"/>
  <c r="E240" i="61"/>
  <c r="E241" i="61"/>
  <c r="E242" i="61"/>
  <c r="E243" i="61"/>
  <c r="E244" i="61"/>
  <c r="E245" i="61"/>
  <c r="E246" i="61"/>
  <c r="E247" i="61"/>
  <c r="E248" i="61"/>
  <c r="E249" i="61"/>
  <c r="E250" i="61"/>
  <c r="E251" i="61"/>
  <c r="E252" i="61"/>
  <c r="E253" i="61"/>
  <c r="E254" i="61"/>
  <c r="E255" i="61"/>
  <c r="E256" i="61"/>
  <c r="E257" i="61"/>
  <c r="E258" i="61"/>
  <c r="E259" i="61"/>
  <c r="E260" i="61"/>
  <c r="E261" i="61"/>
  <c r="E262" i="61"/>
  <c r="E263" i="61"/>
  <c r="E264" i="61"/>
  <c r="E265" i="61"/>
  <c r="E266" i="61"/>
  <c r="E267" i="61"/>
  <c r="E268" i="61"/>
  <c r="E269" i="61"/>
  <c r="E270" i="61"/>
  <c r="E271" i="61"/>
  <c r="E272" i="61"/>
  <c r="E273" i="61"/>
  <c r="E274" i="61"/>
  <c r="E275" i="61"/>
  <c r="E276" i="61"/>
  <c r="E277" i="61"/>
  <c r="E278" i="61"/>
  <c r="E279" i="61"/>
  <c r="E280" i="61"/>
  <c r="E281" i="61"/>
  <c r="E282" i="61"/>
  <c r="E283" i="61"/>
  <c r="E284" i="61"/>
  <c r="E285" i="61"/>
  <c r="E286" i="61"/>
  <c r="E287" i="61"/>
  <c r="E288" i="61"/>
  <c r="E289" i="61"/>
  <c r="E290" i="61"/>
  <c r="E291" i="61"/>
  <c r="E292" i="61"/>
  <c r="E293" i="61"/>
  <c r="E294" i="61"/>
  <c r="E295" i="61"/>
  <c r="E296" i="61"/>
  <c r="E297" i="61"/>
  <c r="E298" i="61"/>
  <c r="E299" i="61"/>
  <c r="E300" i="61"/>
  <c r="E301" i="61"/>
  <c r="E302" i="61"/>
  <c r="E303" i="61"/>
  <c r="E304" i="61"/>
  <c r="E305" i="61"/>
  <c r="E306" i="61"/>
  <c r="E307" i="61"/>
  <c r="E308" i="61"/>
  <c r="E309" i="61"/>
  <c r="E310" i="61"/>
  <c r="E311" i="61"/>
  <c r="E312" i="61"/>
  <c r="E313" i="61"/>
  <c r="E314" i="61"/>
  <c r="E315" i="61"/>
  <c r="E316" i="61"/>
  <c r="E317" i="61"/>
  <c r="E318" i="61"/>
  <c r="E319" i="61"/>
  <c r="E320" i="61"/>
  <c r="E321" i="61"/>
  <c r="E322" i="61"/>
  <c r="E323" i="61"/>
  <c r="E324" i="61"/>
  <c r="E325" i="61"/>
  <c r="E326" i="61"/>
  <c r="E327" i="61"/>
  <c r="E328" i="61"/>
  <c r="E329" i="61"/>
  <c r="E330" i="61"/>
  <c r="E331" i="61"/>
  <c r="E332" i="61"/>
  <c r="E333" i="61"/>
  <c r="E334" i="61"/>
  <c r="E335" i="61"/>
  <c r="E336" i="61"/>
  <c r="E337" i="61"/>
  <c r="E338" i="61"/>
  <c r="E339" i="61"/>
  <c r="E340" i="61"/>
  <c r="E341" i="61"/>
  <c r="E342" i="61"/>
  <c r="E343" i="61"/>
  <c r="E344" i="61"/>
  <c r="E345" i="61"/>
  <c r="E346" i="61"/>
  <c r="E347" i="61"/>
  <c r="E348" i="61"/>
  <c r="E349" i="61"/>
  <c r="E350" i="61"/>
  <c r="E351" i="61"/>
  <c r="E352" i="61"/>
  <c r="E353" i="61"/>
  <c r="E354" i="61"/>
  <c r="E355" i="61"/>
  <c r="E356" i="61"/>
  <c r="E357" i="61"/>
  <c r="E358" i="61"/>
  <c r="E359" i="61"/>
  <c r="E360" i="61"/>
  <c r="E361" i="61"/>
  <c r="E362" i="61"/>
  <c r="E363" i="61"/>
  <c r="E364" i="61"/>
  <c r="E365" i="61"/>
  <c r="E366" i="61"/>
  <c r="E367" i="61"/>
  <c r="E368" i="61"/>
  <c r="E369" i="61"/>
  <c r="E370" i="61"/>
  <c r="E371" i="61"/>
  <c r="E372" i="61"/>
  <c r="E373" i="61"/>
  <c r="E374" i="61"/>
  <c r="E375" i="61"/>
  <c r="E376" i="61"/>
  <c r="E377" i="61"/>
  <c r="E378" i="61"/>
  <c r="E379" i="61"/>
  <c r="E380" i="61"/>
  <c r="E381" i="61"/>
  <c r="E382" i="61"/>
  <c r="E383" i="61"/>
  <c r="E384" i="61"/>
  <c r="E385" i="61"/>
  <c r="E386" i="61"/>
  <c r="E387" i="61"/>
  <c r="E388" i="61"/>
  <c r="E389" i="61"/>
  <c r="E390" i="61"/>
  <c r="E391" i="61"/>
  <c r="E392" i="61"/>
  <c r="E393" i="61"/>
  <c r="E394" i="61"/>
  <c r="E395" i="61"/>
  <c r="E396" i="61"/>
  <c r="E397" i="61"/>
  <c r="E398" i="61"/>
  <c r="E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50" i="61"/>
  <c r="C51" i="61"/>
  <c r="C52" i="61"/>
  <c r="C53" i="61"/>
  <c r="C54" i="61"/>
  <c r="C55" i="61"/>
  <c r="C56" i="61"/>
  <c r="C57" i="61"/>
  <c r="C58" i="61"/>
  <c r="C59" i="61"/>
  <c r="C60" i="61"/>
  <c r="C61" i="61"/>
  <c r="C62" i="61"/>
  <c r="C63" i="61"/>
  <c r="C64" i="61"/>
  <c r="C65" i="61"/>
  <c r="C66" i="61"/>
  <c r="C67" i="61"/>
  <c r="C68" i="61"/>
  <c r="C69" i="61"/>
  <c r="C70" i="61"/>
  <c r="C71" i="61"/>
  <c r="C72" i="61"/>
  <c r="C73" i="61"/>
  <c r="C74" i="61"/>
  <c r="C75" i="61"/>
  <c r="C76" i="61"/>
  <c r="C77" i="61"/>
  <c r="C78" i="61"/>
  <c r="C79" i="61"/>
  <c r="C80" i="61"/>
  <c r="C81" i="61"/>
  <c r="C82" i="61"/>
  <c r="C83" i="61"/>
  <c r="C84" i="61"/>
  <c r="C85" i="61"/>
  <c r="C86" i="61"/>
  <c r="C87" i="61"/>
  <c r="C88" i="61"/>
  <c r="C89" i="61"/>
  <c r="C90" i="61"/>
  <c r="C91" i="61"/>
  <c r="C92" i="61"/>
  <c r="C93" i="61"/>
  <c r="C94" i="61"/>
  <c r="C95" i="61"/>
  <c r="C96" i="61"/>
  <c r="C97" i="61"/>
  <c r="C98" i="61"/>
  <c r="C99" i="61"/>
  <c r="C100" i="61"/>
  <c r="C101" i="61"/>
  <c r="C102" i="61"/>
  <c r="C103" i="61"/>
  <c r="C104" i="61"/>
  <c r="C105" i="61"/>
  <c r="C106" i="61"/>
  <c r="C107" i="61"/>
  <c r="C108" i="61"/>
  <c r="C109" i="61"/>
  <c r="C110" i="61"/>
  <c r="C111" i="61"/>
  <c r="C112" i="61"/>
  <c r="C113" i="61"/>
  <c r="C114" i="61"/>
  <c r="C115" i="61"/>
  <c r="C116" i="61"/>
  <c r="C117" i="61"/>
  <c r="C118" i="61"/>
  <c r="C119" i="61"/>
  <c r="C120" i="61"/>
  <c r="C121" i="61"/>
  <c r="C122" i="61"/>
  <c r="C123" i="61"/>
  <c r="C124" i="61"/>
  <c r="C125" i="61"/>
  <c r="C126" i="61"/>
  <c r="C127" i="61"/>
  <c r="C128" i="61"/>
  <c r="C129" i="61"/>
  <c r="C130" i="61"/>
  <c r="C131" i="61"/>
  <c r="C132" i="61"/>
  <c r="C133" i="61"/>
  <c r="C134" i="61"/>
  <c r="C135" i="61"/>
  <c r="C136" i="61"/>
  <c r="C137" i="61"/>
  <c r="C138" i="61"/>
  <c r="C139" i="61"/>
  <c r="C140" i="61"/>
  <c r="C141" i="61"/>
  <c r="C142" i="61"/>
  <c r="C143" i="61"/>
  <c r="C144" i="61"/>
  <c r="C145" i="61"/>
  <c r="C146" i="61"/>
  <c r="C147" i="61"/>
  <c r="C148" i="61"/>
  <c r="C149" i="61"/>
  <c r="C150" i="61"/>
  <c r="C151" i="61"/>
  <c r="C152" i="61"/>
  <c r="C153" i="61"/>
  <c r="C154" i="61"/>
  <c r="C155" i="61"/>
  <c r="C156" i="61"/>
  <c r="C157" i="61"/>
  <c r="C158" i="61"/>
  <c r="C159" i="61"/>
  <c r="C160" i="61"/>
  <c r="C161" i="61"/>
  <c r="C162" i="61"/>
  <c r="C163" i="61"/>
  <c r="C164" i="61"/>
  <c r="C165" i="61"/>
  <c r="C166" i="61"/>
  <c r="C167" i="61"/>
  <c r="C168" i="61"/>
  <c r="C169" i="61"/>
  <c r="C170" i="61"/>
  <c r="C171" i="61"/>
  <c r="C172" i="61"/>
  <c r="C173" i="61"/>
  <c r="C174" i="61"/>
  <c r="C175" i="61"/>
  <c r="C176" i="61"/>
  <c r="C177" i="61"/>
  <c r="C178" i="61"/>
  <c r="C179" i="61"/>
  <c r="C180" i="61"/>
  <c r="C181" i="61"/>
  <c r="C182" i="61"/>
  <c r="C183" i="61"/>
  <c r="C184" i="61"/>
  <c r="C185" i="61"/>
  <c r="C186" i="61"/>
  <c r="C187" i="61"/>
  <c r="C188" i="61"/>
  <c r="C189" i="61"/>
  <c r="C190" i="61"/>
  <c r="C191" i="61"/>
  <c r="C192" i="61"/>
  <c r="C193" i="61"/>
  <c r="C194" i="61"/>
  <c r="C195" i="61"/>
  <c r="C196" i="61"/>
  <c r="C197" i="61"/>
  <c r="C198" i="61"/>
  <c r="C199" i="61"/>
  <c r="C200" i="61"/>
  <c r="C201" i="61"/>
  <c r="C202" i="61"/>
  <c r="C203" i="61"/>
  <c r="C204" i="61"/>
  <c r="C205" i="61"/>
  <c r="C206" i="61"/>
  <c r="C207" i="61"/>
  <c r="C208" i="61"/>
  <c r="C209" i="61"/>
  <c r="C210" i="61"/>
  <c r="C211" i="61"/>
  <c r="C212" i="61"/>
  <c r="C213" i="61"/>
  <c r="C214" i="61"/>
  <c r="C215" i="61"/>
  <c r="C216" i="61"/>
  <c r="C217" i="61"/>
  <c r="C218" i="61"/>
  <c r="C219" i="61"/>
  <c r="C220" i="61"/>
  <c r="C221" i="61"/>
  <c r="C222" i="61"/>
  <c r="C223" i="61"/>
  <c r="C224" i="61"/>
  <c r="C225" i="61"/>
  <c r="C226" i="61"/>
  <c r="C227" i="61"/>
  <c r="C228" i="61"/>
  <c r="C229" i="61"/>
  <c r="C230" i="61"/>
  <c r="C231" i="61"/>
  <c r="C232" i="61"/>
  <c r="C233" i="61"/>
  <c r="C234" i="61"/>
  <c r="C235" i="61"/>
  <c r="C236" i="61"/>
  <c r="C237" i="61"/>
  <c r="C238" i="61"/>
  <c r="C239" i="61"/>
  <c r="C240" i="61"/>
  <c r="C241" i="61"/>
  <c r="C242" i="61"/>
  <c r="C243" i="61"/>
  <c r="C244" i="61"/>
  <c r="C245" i="61"/>
  <c r="C246" i="61"/>
  <c r="C247" i="61"/>
  <c r="C248" i="61"/>
  <c r="C249" i="61"/>
  <c r="C250" i="61"/>
  <c r="C251" i="61"/>
  <c r="C252" i="61"/>
  <c r="C253" i="61"/>
  <c r="C254" i="61"/>
  <c r="C255" i="61"/>
  <c r="C256" i="61"/>
  <c r="C257" i="61"/>
  <c r="C258" i="61"/>
  <c r="C259" i="61"/>
  <c r="C260" i="61"/>
  <c r="C261" i="61"/>
  <c r="C262" i="61"/>
  <c r="C263" i="61"/>
  <c r="C264" i="61"/>
  <c r="C265" i="61"/>
  <c r="C266" i="61"/>
  <c r="C267" i="61"/>
  <c r="C268" i="61"/>
  <c r="C269" i="61"/>
  <c r="C270" i="61"/>
  <c r="C271" i="61"/>
  <c r="C272" i="61"/>
  <c r="C273" i="61"/>
  <c r="C274" i="61"/>
  <c r="C275" i="61"/>
  <c r="C276" i="61"/>
  <c r="C277" i="61"/>
  <c r="C278" i="61"/>
  <c r="C279" i="61"/>
  <c r="C280" i="61"/>
  <c r="C281" i="61"/>
  <c r="C282" i="61"/>
  <c r="C283" i="61"/>
  <c r="C284" i="61"/>
  <c r="C285" i="61"/>
  <c r="C286" i="61"/>
  <c r="C287" i="61"/>
  <c r="C288" i="61"/>
  <c r="C289" i="61"/>
  <c r="C290" i="61"/>
  <c r="C291" i="61"/>
  <c r="C292" i="61"/>
  <c r="C293" i="61"/>
  <c r="C294" i="61"/>
  <c r="C295" i="61"/>
  <c r="C296" i="61"/>
  <c r="C297" i="61"/>
  <c r="C298" i="61"/>
  <c r="C299" i="61"/>
  <c r="C300" i="61"/>
  <c r="C301" i="61"/>
  <c r="C302" i="61"/>
  <c r="C303" i="61"/>
  <c r="C304" i="61"/>
  <c r="C305" i="61"/>
  <c r="C306" i="61"/>
  <c r="C307" i="61"/>
  <c r="C308" i="61"/>
  <c r="C309" i="61"/>
  <c r="C310" i="61"/>
  <c r="C311" i="61"/>
  <c r="C312" i="61"/>
  <c r="C313" i="61"/>
  <c r="C314" i="61"/>
  <c r="C315" i="61"/>
  <c r="C316" i="61"/>
  <c r="C317" i="61"/>
  <c r="C318" i="61"/>
  <c r="C319" i="61"/>
  <c r="C320" i="61"/>
  <c r="C321" i="61"/>
  <c r="C322" i="61"/>
  <c r="C323" i="61"/>
  <c r="C324" i="61"/>
  <c r="C325" i="61"/>
  <c r="C326" i="61"/>
  <c r="C327" i="61"/>
  <c r="C328" i="61"/>
  <c r="C329" i="61"/>
  <c r="C330" i="61"/>
  <c r="C331" i="61"/>
  <c r="C332" i="61"/>
  <c r="C333" i="61"/>
  <c r="C334" i="61"/>
  <c r="C335" i="61"/>
  <c r="C336" i="61"/>
  <c r="C337" i="61"/>
  <c r="C338" i="61"/>
  <c r="C339" i="61"/>
  <c r="C340" i="61"/>
  <c r="C341" i="61"/>
  <c r="C342" i="61"/>
  <c r="C343" i="61"/>
  <c r="C344" i="61"/>
  <c r="C345" i="61"/>
  <c r="C346" i="61"/>
  <c r="C347" i="61"/>
  <c r="C348" i="61"/>
  <c r="C349" i="61"/>
  <c r="C350" i="61"/>
  <c r="C351" i="61"/>
  <c r="C352" i="61"/>
  <c r="C353" i="61"/>
  <c r="C354" i="61"/>
  <c r="C355" i="61"/>
  <c r="C356" i="61"/>
  <c r="C357" i="61"/>
  <c r="C358" i="61"/>
  <c r="C359" i="61"/>
  <c r="C360" i="61"/>
  <c r="C361" i="61"/>
  <c r="C362" i="61"/>
  <c r="C363" i="61"/>
  <c r="C364" i="61"/>
  <c r="C365" i="61"/>
  <c r="C366" i="61"/>
  <c r="C367" i="61"/>
  <c r="C368" i="61"/>
  <c r="C369" i="61"/>
  <c r="C370" i="61"/>
  <c r="C371" i="61"/>
  <c r="C372" i="61"/>
  <c r="C373" i="61"/>
  <c r="C374" i="61"/>
  <c r="C375" i="61"/>
  <c r="C376" i="61"/>
  <c r="C377" i="61"/>
  <c r="C378" i="61"/>
  <c r="C379" i="61"/>
  <c r="C380" i="61"/>
  <c r="C381" i="61"/>
  <c r="C382" i="61"/>
  <c r="C383" i="61"/>
  <c r="C384" i="61"/>
  <c r="C385" i="61"/>
  <c r="C386" i="61"/>
  <c r="C387" i="61"/>
  <c r="C388" i="61"/>
  <c r="C389" i="61"/>
  <c r="C390" i="61"/>
  <c r="C391" i="61"/>
  <c r="C392" i="61"/>
  <c r="C393" i="61"/>
  <c r="C394" i="61"/>
  <c r="C395" i="61"/>
  <c r="C396" i="61"/>
  <c r="C397" i="61"/>
  <c r="C398" i="61"/>
  <c r="C16" i="61"/>
  <c r="B16" i="61"/>
  <c r="D16" i="61"/>
  <c r="B17" i="61"/>
  <c r="D17" i="61"/>
  <c r="B18" i="61"/>
  <c r="D18" i="61"/>
  <c r="B19" i="61"/>
  <c r="D19" i="61"/>
  <c r="B20" i="61"/>
  <c r="D20" i="61"/>
  <c r="B21" i="61"/>
  <c r="D21" i="61"/>
  <c r="B22" i="61"/>
  <c r="D22" i="61"/>
  <c r="B23" i="61"/>
  <c r="D23" i="61"/>
  <c r="B24" i="61"/>
  <c r="D24" i="61"/>
  <c r="B25" i="61"/>
  <c r="D25" i="61"/>
  <c r="B26" i="61"/>
  <c r="D26" i="61"/>
  <c r="B27" i="61"/>
  <c r="D27" i="61"/>
  <c r="B28" i="61"/>
  <c r="D28" i="61"/>
  <c r="B29" i="61"/>
  <c r="D29" i="61"/>
  <c r="B30" i="61"/>
  <c r="D30" i="61"/>
  <c r="B31" i="61"/>
  <c r="D31" i="61"/>
  <c r="B32" i="61"/>
  <c r="D32" i="61"/>
  <c r="B33" i="61"/>
  <c r="D33" i="61"/>
  <c r="B34" i="61"/>
  <c r="D34" i="61"/>
  <c r="B35" i="61"/>
  <c r="D35" i="61"/>
  <c r="B36" i="61"/>
  <c r="D36" i="61"/>
  <c r="B37" i="61"/>
  <c r="D37" i="61"/>
  <c r="B38" i="61"/>
  <c r="D38" i="61"/>
  <c r="B39" i="61"/>
  <c r="D39" i="61"/>
  <c r="B40" i="61"/>
  <c r="D40" i="61"/>
  <c r="B41" i="61"/>
  <c r="D41" i="61"/>
  <c r="B42" i="61"/>
  <c r="D42" i="61"/>
  <c r="B43" i="61"/>
  <c r="D43" i="61"/>
  <c r="B44" i="61"/>
  <c r="D44" i="61"/>
  <c r="B45" i="61"/>
  <c r="D45" i="61"/>
  <c r="B46" i="61"/>
  <c r="D46" i="61"/>
  <c r="B47" i="61"/>
  <c r="D47" i="61"/>
  <c r="B48" i="61"/>
  <c r="D48" i="61"/>
  <c r="B49" i="61"/>
  <c r="D49" i="61"/>
  <c r="B50" i="61"/>
  <c r="D50" i="61"/>
  <c r="B51" i="61"/>
  <c r="D51" i="61"/>
  <c r="B52" i="61"/>
  <c r="D52" i="61"/>
  <c r="B53" i="61"/>
  <c r="D53" i="61"/>
  <c r="B54" i="61"/>
  <c r="D54" i="61"/>
  <c r="B55" i="61"/>
  <c r="D55" i="61"/>
  <c r="B56" i="61"/>
  <c r="D56" i="61"/>
  <c r="B57" i="61"/>
  <c r="D57" i="61"/>
  <c r="B58" i="61"/>
  <c r="D58" i="61"/>
  <c r="B59" i="61"/>
  <c r="D59" i="61"/>
  <c r="B60" i="61"/>
  <c r="D60" i="61"/>
  <c r="B61" i="61"/>
  <c r="D61" i="61"/>
  <c r="B62" i="61"/>
  <c r="D62" i="61"/>
  <c r="B63" i="61"/>
  <c r="D63" i="61"/>
  <c r="B64" i="61"/>
  <c r="D64" i="61"/>
  <c r="B65" i="61"/>
  <c r="D65" i="61"/>
  <c r="B66" i="61"/>
  <c r="D66" i="61"/>
  <c r="B67" i="61"/>
  <c r="D67" i="61"/>
  <c r="B68" i="61"/>
  <c r="D68" i="61"/>
  <c r="B69" i="61"/>
  <c r="D69" i="61"/>
  <c r="B70" i="61"/>
  <c r="D70" i="61"/>
  <c r="B71" i="61"/>
  <c r="D71" i="61"/>
  <c r="B72" i="61"/>
  <c r="D72" i="61"/>
  <c r="B73" i="61"/>
  <c r="D73" i="61"/>
  <c r="B74" i="61"/>
  <c r="D74" i="61"/>
  <c r="B75" i="61"/>
  <c r="D75" i="61"/>
  <c r="B76" i="61"/>
  <c r="D76" i="61"/>
  <c r="B77" i="61"/>
  <c r="D77" i="61"/>
  <c r="B78" i="61"/>
  <c r="D78" i="61"/>
  <c r="B79" i="61"/>
  <c r="D79" i="61"/>
  <c r="B80" i="61"/>
  <c r="D80" i="61"/>
  <c r="B81" i="61"/>
  <c r="D81" i="61"/>
  <c r="B82" i="61"/>
  <c r="D82" i="61"/>
  <c r="B83" i="61"/>
  <c r="D83" i="61"/>
  <c r="B84" i="61"/>
  <c r="D84" i="61"/>
  <c r="B85" i="61"/>
  <c r="D85" i="61"/>
  <c r="B86" i="61"/>
  <c r="D86" i="61"/>
  <c r="B87" i="61"/>
  <c r="D87" i="61"/>
  <c r="B88" i="61"/>
  <c r="D88" i="61"/>
  <c r="B89" i="61"/>
  <c r="D89" i="61"/>
  <c r="B90" i="61"/>
  <c r="D90" i="61"/>
  <c r="B91" i="61"/>
  <c r="D91" i="61"/>
  <c r="B92" i="61"/>
  <c r="D92" i="61"/>
  <c r="B93" i="61"/>
  <c r="D93" i="61"/>
  <c r="B94" i="61"/>
  <c r="D94" i="61"/>
  <c r="B95" i="61"/>
  <c r="D95" i="61"/>
  <c r="B96" i="61"/>
  <c r="D96" i="61"/>
  <c r="B97" i="61"/>
  <c r="D97" i="61"/>
  <c r="B98" i="61"/>
  <c r="D98" i="61"/>
  <c r="B99" i="61"/>
  <c r="D99" i="61"/>
  <c r="B100" i="61"/>
  <c r="D100" i="61"/>
  <c r="B101" i="61"/>
  <c r="D101" i="61"/>
  <c r="B102" i="61"/>
  <c r="D102" i="61"/>
  <c r="B103" i="61"/>
  <c r="D103" i="61"/>
  <c r="B104" i="61"/>
  <c r="D104" i="61"/>
  <c r="B105" i="61"/>
  <c r="D105" i="61"/>
  <c r="B106" i="61"/>
  <c r="D106" i="61"/>
  <c r="B107" i="61"/>
  <c r="D107" i="61"/>
  <c r="B108" i="61"/>
  <c r="D108" i="61"/>
  <c r="B109" i="61"/>
  <c r="D109" i="61"/>
  <c r="B110" i="61"/>
  <c r="D110" i="61"/>
  <c r="B111" i="61"/>
  <c r="D111" i="61"/>
  <c r="B112" i="61"/>
  <c r="D112" i="61"/>
  <c r="B113" i="61"/>
  <c r="D113" i="61"/>
  <c r="B114" i="61"/>
  <c r="D114" i="61"/>
  <c r="B115" i="61"/>
  <c r="D115" i="61"/>
  <c r="B116" i="61"/>
  <c r="D116" i="61"/>
  <c r="B117" i="61"/>
  <c r="D117" i="61"/>
  <c r="B118" i="61"/>
  <c r="D118" i="61"/>
  <c r="B119" i="61"/>
  <c r="D119" i="61"/>
  <c r="B120" i="61"/>
  <c r="D120" i="61"/>
  <c r="B121" i="61"/>
  <c r="D121" i="61"/>
  <c r="B122" i="61"/>
  <c r="D122" i="61"/>
  <c r="B123" i="61"/>
  <c r="D123" i="61"/>
  <c r="B124" i="61"/>
  <c r="D124" i="61"/>
  <c r="B125" i="61"/>
  <c r="D125" i="61"/>
  <c r="B126" i="61"/>
  <c r="D126" i="61"/>
  <c r="B127" i="61"/>
  <c r="D127" i="61"/>
  <c r="B128" i="61"/>
  <c r="D128" i="61"/>
  <c r="B129" i="61"/>
  <c r="D129" i="61"/>
  <c r="B130" i="61"/>
  <c r="D130" i="61"/>
  <c r="B131" i="61"/>
  <c r="D131" i="61"/>
  <c r="B132" i="61"/>
  <c r="D132" i="61"/>
  <c r="B133" i="61"/>
  <c r="D133" i="61"/>
  <c r="B134" i="61"/>
  <c r="D134" i="61"/>
  <c r="B135" i="61"/>
  <c r="D135" i="61"/>
  <c r="B136" i="61"/>
  <c r="D136" i="61"/>
  <c r="B137" i="61"/>
  <c r="D137" i="61"/>
  <c r="B138" i="61"/>
  <c r="D138" i="61"/>
  <c r="B139" i="61"/>
  <c r="D139" i="61"/>
  <c r="B140" i="61"/>
  <c r="D140" i="61"/>
  <c r="B141" i="61"/>
  <c r="D141" i="61"/>
  <c r="B142" i="61"/>
  <c r="D142" i="61"/>
  <c r="B143" i="61"/>
  <c r="D143" i="61"/>
  <c r="B144" i="61"/>
  <c r="D144" i="61"/>
  <c r="B145" i="61"/>
  <c r="D145" i="61"/>
  <c r="B146" i="61"/>
  <c r="D146" i="61"/>
  <c r="B147" i="61"/>
  <c r="D147" i="61"/>
  <c r="B148" i="61"/>
  <c r="D148" i="61"/>
  <c r="B149" i="61"/>
  <c r="D149" i="61"/>
  <c r="B150" i="61"/>
  <c r="D150" i="61"/>
  <c r="B151" i="61"/>
  <c r="D151" i="61"/>
  <c r="B152" i="61"/>
  <c r="D152" i="61"/>
  <c r="B153" i="61"/>
  <c r="D153" i="61"/>
  <c r="B154" i="61"/>
  <c r="D154" i="61"/>
  <c r="B155" i="61"/>
  <c r="D155" i="61"/>
  <c r="B156" i="61"/>
  <c r="D156" i="61"/>
  <c r="B157" i="61"/>
  <c r="D157" i="61"/>
  <c r="B158" i="61"/>
  <c r="D158" i="61"/>
  <c r="B159" i="61"/>
  <c r="D159" i="61"/>
  <c r="B160" i="61"/>
  <c r="D160" i="61"/>
  <c r="B161" i="61"/>
  <c r="D161" i="61"/>
  <c r="B162" i="61"/>
  <c r="D162" i="61"/>
  <c r="B163" i="61"/>
  <c r="D163" i="61"/>
  <c r="B164" i="61"/>
  <c r="D164" i="61"/>
  <c r="B165" i="61"/>
  <c r="D165" i="61"/>
  <c r="B166" i="61"/>
  <c r="D166" i="61"/>
  <c r="B167" i="61"/>
  <c r="D167" i="61"/>
  <c r="B168" i="61"/>
  <c r="D168" i="61"/>
  <c r="B169" i="61"/>
  <c r="D169" i="61"/>
  <c r="B170" i="61"/>
  <c r="D170" i="61"/>
  <c r="B171" i="61"/>
  <c r="D171" i="61"/>
  <c r="B172" i="61"/>
  <c r="D172" i="61"/>
  <c r="B173" i="61"/>
  <c r="D173" i="61"/>
  <c r="B174" i="61"/>
  <c r="D174" i="61"/>
  <c r="B175" i="61"/>
  <c r="D175" i="61"/>
  <c r="B176" i="61"/>
  <c r="D176" i="61"/>
  <c r="B177" i="61"/>
  <c r="D177" i="61"/>
  <c r="B178" i="61"/>
  <c r="D178" i="61"/>
  <c r="B179" i="61"/>
  <c r="D179" i="61"/>
  <c r="B180" i="61"/>
  <c r="D180" i="61"/>
  <c r="B181" i="61"/>
  <c r="D181" i="61"/>
  <c r="B182" i="61"/>
  <c r="D182" i="61"/>
  <c r="B183" i="61"/>
  <c r="D183" i="61"/>
  <c r="B184" i="61"/>
  <c r="D184" i="61"/>
  <c r="B185" i="61"/>
  <c r="D185" i="61"/>
  <c r="B186" i="61"/>
  <c r="D186" i="61"/>
  <c r="B187" i="61"/>
  <c r="D187" i="61"/>
  <c r="B188" i="61"/>
  <c r="D188" i="61"/>
  <c r="B189" i="61"/>
  <c r="D189" i="61"/>
  <c r="B190" i="61"/>
  <c r="D190" i="61"/>
  <c r="B191" i="61"/>
  <c r="D191" i="61"/>
  <c r="B192" i="61"/>
  <c r="D192" i="61"/>
  <c r="B193" i="61"/>
  <c r="D193" i="61"/>
  <c r="B194" i="61"/>
  <c r="D194" i="61"/>
  <c r="B195" i="61"/>
  <c r="D195" i="61"/>
  <c r="B196" i="61"/>
  <c r="D196" i="61"/>
  <c r="B197" i="61"/>
  <c r="D197" i="61"/>
  <c r="B198" i="61"/>
  <c r="D198" i="61"/>
  <c r="B199" i="61"/>
  <c r="D199" i="61"/>
  <c r="B200" i="61"/>
  <c r="D200" i="61"/>
  <c r="B201" i="61"/>
  <c r="D201" i="61"/>
  <c r="B202" i="61"/>
  <c r="D202" i="61"/>
  <c r="B203" i="61"/>
  <c r="D203" i="61"/>
  <c r="B204" i="61"/>
  <c r="D204" i="61"/>
  <c r="B205" i="61"/>
  <c r="D205" i="61"/>
  <c r="B206" i="61"/>
  <c r="D206" i="61"/>
  <c r="B207" i="61"/>
  <c r="D207" i="61"/>
  <c r="B208" i="61"/>
  <c r="D208" i="61"/>
  <c r="B209" i="61"/>
  <c r="D209" i="61"/>
  <c r="B210" i="61"/>
  <c r="D210" i="61"/>
  <c r="B211" i="61"/>
  <c r="D211" i="61"/>
  <c r="B212" i="61"/>
  <c r="D212" i="61"/>
  <c r="B213" i="61"/>
  <c r="D213" i="61"/>
  <c r="B214" i="61"/>
  <c r="D214" i="61"/>
  <c r="B215" i="61"/>
  <c r="D215" i="61"/>
  <c r="B216" i="61"/>
  <c r="D216" i="61"/>
  <c r="B217" i="61"/>
  <c r="D217" i="61"/>
  <c r="B218" i="61"/>
  <c r="D218" i="61"/>
  <c r="B219" i="61"/>
  <c r="D219" i="61"/>
  <c r="B220" i="61"/>
  <c r="D220" i="61"/>
  <c r="B221" i="61"/>
  <c r="D221" i="61"/>
  <c r="B222" i="61"/>
  <c r="D222" i="61"/>
  <c r="B223" i="61"/>
  <c r="D223" i="61"/>
  <c r="B224" i="61"/>
  <c r="D224" i="61"/>
  <c r="B225" i="61"/>
  <c r="D225" i="61"/>
  <c r="B226" i="61"/>
  <c r="D226" i="61"/>
  <c r="B227" i="61"/>
  <c r="D227" i="61"/>
  <c r="B228" i="61"/>
  <c r="D228" i="61"/>
  <c r="B229" i="61"/>
  <c r="D229" i="61"/>
  <c r="B230" i="61"/>
  <c r="D230" i="61"/>
  <c r="B231" i="61"/>
  <c r="D231" i="61"/>
  <c r="B232" i="61"/>
  <c r="D232" i="61"/>
  <c r="B233" i="61"/>
  <c r="D233" i="61"/>
  <c r="B234" i="61"/>
  <c r="D234" i="61"/>
  <c r="B235" i="61"/>
  <c r="D235" i="61"/>
  <c r="B236" i="61"/>
  <c r="D236" i="61"/>
  <c r="B237" i="61"/>
  <c r="D237" i="61"/>
  <c r="B238" i="61"/>
  <c r="D238" i="61"/>
  <c r="B239" i="61"/>
  <c r="D239" i="61"/>
  <c r="B240" i="61"/>
  <c r="D240" i="61"/>
  <c r="B241" i="61"/>
  <c r="D241" i="61"/>
  <c r="B242" i="61"/>
  <c r="D242" i="61"/>
  <c r="B243" i="61"/>
  <c r="D243" i="61"/>
  <c r="B244" i="61"/>
  <c r="D244" i="61"/>
  <c r="B245" i="61"/>
  <c r="D245" i="61"/>
  <c r="B246" i="61"/>
  <c r="D246" i="61"/>
  <c r="B247" i="61"/>
  <c r="D247" i="61"/>
  <c r="B248" i="61"/>
  <c r="D248" i="61"/>
  <c r="B249" i="61"/>
  <c r="D249" i="61"/>
  <c r="B250" i="61"/>
  <c r="D250" i="61"/>
  <c r="B251" i="61"/>
  <c r="D251" i="61"/>
  <c r="B252" i="61"/>
  <c r="D252" i="61"/>
  <c r="B253" i="61"/>
  <c r="D253" i="61"/>
  <c r="B254" i="61"/>
  <c r="D254" i="61"/>
  <c r="B255" i="61"/>
  <c r="D255" i="61"/>
  <c r="B256" i="61"/>
  <c r="D256" i="61"/>
  <c r="B257" i="61"/>
  <c r="D257" i="61"/>
  <c r="B258" i="61"/>
  <c r="D258" i="61"/>
  <c r="B259" i="61"/>
  <c r="D259" i="61"/>
  <c r="B260" i="61"/>
  <c r="D260" i="61"/>
  <c r="B261" i="61"/>
  <c r="D261" i="61"/>
  <c r="B262" i="61"/>
  <c r="D262" i="61"/>
  <c r="B263" i="61"/>
  <c r="D263" i="61"/>
  <c r="B264" i="61"/>
  <c r="D264" i="61"/>
  <c r="B265" i="61"/>
  <c r="D265" i="61"/>
  <c r="B266" i="61"/>
  <c r="D266" i="61"/>
  <c r="B267" i="61"/>
  <c r="D267" i="61"/>
  <c r="B268" i="61"/>
  <c r="D268" i="61"/>
  <c r="B269" i="61"/>
  <c r="D269" i="61"/>
  <c r="B270" i="61"/>
  <c r="D270" i="61"/>
  <c r="B271" i="61"/>
  <c r="D271" i="61"/>
  <c r="B272" i="61"/>
  <c r="D272" i="61"/>
  <c r="B273" i="61"/>
  <c r="D273" i="61"/>
  <c r="B274" i="61"/>
  <c r="D274" i="61"/>
  <c r="B275" i="61"/>
  <c r="D275" i="61"/>
  <c r="B276" i="61"/>
  <c r="D276" i="61"/>
  <c r="B277" i="61"/>
  <c r="D277" i="61"/>
  <c r="B278" i="61"/>
  <c r="D278" i="61"/>
  <c r="B279" i="61"/>
  <c r="D279" i="61"/>
  <c r="B280" i="61"/>
  <c r="D280" i="61"/>
  <c r="B281" i="61"/>
  <c r="D281" i="61"/>
  <c r="B282" i="61"/>
  <c r="D282" i="61"/>
  <c r="B283" i="61"/>
  <c r="D283" i="61"/>
  <c r="B284" i="61"/>
  <c r="D284" i="61"/>
  <c r="B285" i="61"/>
  <c r="D285" i="61"/>
  <c r="B286" i="61"/>
  <c r="D286" i="61"/>
  <c r="B287" i="61"/>
  <c r="D287" i="61"/>
  <c r="B288" i="61"/>
  <c r="D288" i="61"/>
  <c r="B289" i="61"/>
  <c r="D289" i="61"/>
  <c r="B290" i="61"/>
  <c r="D290" i="61"/>
  <c r="B291" i="61"/>
  <c r="D291" i="61"/>
  <c r="B292" i="61"/>
  <c r="D292" i="61"/>
  <c r="B293" i="61"/>
  <c r="D293" i="61"/>
  <c r="B294" i="61"/>
  <c r="D294" i="61"/>
  <c r="B295" i="61"/>
  <c r="D295" i="61"/>
  <c r="B296" i="61"/>
  <c r="D296" i="61"/>
  <c r="B297" i="61"/>
  <c r="D297" i="61"/>
  <c r="B298" i="61"/>
  <c r="D298" i="61"/>
  <c r="B299" i="61"/>
  <c r="D299" i="61"/>
  <c r="B300" i="61"/>
  <c r="D300" i="61"/>
  <c r="B301" i="61"/>
  <c r="D301" i="61"/>
  <c r="B302" i="61"/>
  <c r="D302" i="61"/>
  <c r="B303" i="61"/>
  <c r="D303" i="61"/>
  <c r="B304" i="61"/>
  <c r="D304" i="61"/>
  <c r="B305" i="61"/>
  <c r="D305" i="61"/>
  <c r="B306" i="61"/>
  <c r="D306" i="61"/>
  <c r="B307" i="61"/>
  <c r="D307" i="61"/>
  <c r="B308" i="61"/>
  <c r="D308" i="61"/>
  <c r="B309" i="61"/>
  <c r="D309" i="61"/>
  <c r="B310" i="61"/>
  <c r="D310" i="61"/>
  <c r="B311" i="61"/>
  <c r="D311" i="61"/>
  <c r="B312" i="61"/>
  <c r="D312" i="61"/>
  <c r="B313" i="61"/>
  <c r="D313" i="61"/>
  <c r="B314" i="61"/>
  <c r="D314" i="61"/>
  <c r="B315" i="61"/>
  <c r="D315" i="61"/>
  <c r="B316" i="61"/>
  <c r="D316" i="61"/>
  <c r="B317" i="61"/>
  <c r="D317" i="61"/>
  <c r="B318" i="61"/>
  <c r="D318" i="61"/>
  <c r="B319" i="61"/>
  <c r="D319" i="61"/>
  <c r="B320" i="61"/>
  <c r="D320" i="61"/>
  <c r="B321" i="61"/>
  <c r="D321" i="61"/>
  <c r="B322" i="61"/>
  <c r="D322" i="61"/>
  <c r="B323" i="61"/>
  <c r="D323" i="61"/>
  <c r="B324" i="61"/>
  <c r="D324" i="61"/>
  <c r="B325" i="61"/>
  <c r="D325" i="61"/>
  <c r="B326" i="61"/>
  <c r="D326" i="61"/>
  <c r="B327" i="61"/>
  <c r="D327" i="61"/>
  <c r="B328" i="61"/>
  <c r="D328" i="61"/>
  <c r="B329" i="61"/>
  <c r="D329" i="61"/>
  <c r="B330" i="61"/>
  <c r="D330" i="61"/>
  <c r="B331" i="61"/>
  <c r="D331" i="61"/>
  <c r="B332" i="61"/>
  <c r="D332" i="61"/>
  <c r="B333" i="61"/>
  <c r="D333" i="61"/>
  <c r="B334" i="61"/>
  <c r="D334" i="61"/>
  <c r="B335" i="61"/>
  <c r="D335" i="61"/>
  <c r="B336" i="61"/>
  <c r="D336" i="61"/>
  <c r="B337" i="61"/>
  <c r="D337" i="61"/>
  <c r="B338" i="61"/>
  <c r="D338" i="61"/>
  <c r="B339" i="61"/>
  <c r="D339" i="61"/>
  <c r="B340" i="61"/>
  <c r="D340" i="61"/>
  <c r="B341" i="61"/>
  <c r="D341" i="61"/>
  <c r="B342" i="61"/>
  <c r="D342" i="61"/>
  <c r="B343" i="61"/>
  <c r="D343" i="61"/>
  <c r="B344" i="61"/>
  <c r="D344" i="61"/>
  <c r="B345" i="61"/>
  <c r="D345" i="61"/>
  <c r="B346" i="61"/>
  <c r="D346" i="61"/>
  <c r="B347" i="61"/>
  <c r="D347" i="61"/>
  <c r="B348" i="61"/>
  <c r="D348" i="61"/>
  <c r="B349" i="61"/>
  <c r="D349" i="61"/>
  <c r="B350" i="61"/>
  <c r="D350" i="61"/>
  <c r="B351" i="61"/>
  <c r="D351" i="61"/>
  <c r="B352" i="61"/>
  <c r="D352" i="61"/>
  <c r="B353" i="61"/>
  <c r="D353" i="61"/>
  <c r="B354" i="61"/>
  <c r="D354" i="61"/>
  <c r="B355" i="61"/>
  <c r="D355" i="61"/>
  <c r="B356" i="61"/>
  <c r="D356" i="61"/>
  <c r="B357" i="61"/>
  <c r="D357" i="61"/>
  <c r="B358" i="61"/>
  <c r="D358" i="61"/>
  <c r="B359" i="61"/>
  <c r="D359" i="61"/>
  <c r="B360" i="61"/>
  <c r="D360" i="61"/>
  <c r="B361" i="61"/>
  <c r="D361" i="61"/>
  <c r="B362" i="61"/>
  <c r="D362" i="61"/>
  <c r="B363" i="61"/>
  <c r="D363" i="61"/>
  <c r="B364" i="61"/>
  <c r="D364" i="61"/>
  <c r="B365" i="61"/>
  <c r="D365" i="61"/>
  <c r="B366" i="61"/>
  <c r="D366" i="61"/>
  <c r="B367" i="61"/>
  <c r="D367" i="61"/>
  <c r="B368" i="61"/>
  <c r="D368" i="61"/>
  <c r="B369" i="61"/>
  <c r="D369" i="61"/>
  <c r="B370" i="61"/>
  <c r="D370" i="61"/>
  <c r="B371" i="61"/>
  <c r="D371" i="61"/>
  <c r="B372" i="61"/>
  <c r="D372" i="61"/>
  <c r="B373" i="61"/>
  <c r="D373" i="61"/>
  <c r="B374" i="61"/>
  <c r="D374" i="61"/>
  <c r="B375" i="61"/>
  <c r="D375" i="61"/>
  <c r="B376" i="61"/>
  <c r="D376" i="61"/>
  <c r="B377" i="61"/>
  <c r="D377" i="61"/>
  <c r="B378" i="61"/>
  <c r="D378" i="61"/>
  <c r="B379" i="61"/>
  <c r="D379" i="61"/>
  <c r="B380" i="61"/>
  <c r="D380" i="61"/>
  <c r="B381" i="61"/>
  <c r="D381" i="61"/>
  <c r="B382" i="61"/>
  <c r="D382" i="61"/>
  <c r="B383" i="61"/>
  <c r="D383" i="61"/>
  <c r="B384" i="61"/>
  <c r="D384" i="61"/>
  <c r="B385" i="61"/>
  <c r="D385" i="61"/>
  <c r="B386" i="61"/>
  <c r="D386" i="61"/>
  <c r="B387" i="61"/>
  <c r="D387" i="61"/>
  <c r="B388" i="61"/>
  <c r="D388" i="61"/>
  <c r="B389" i="61"/>
  <c r="D389" i="61"/>
  <c r="B390" i="61"/>
  <c r="D390" i="61"/>
  <c r="B391" i="61"/>
  <c r="D391" i="61"/>
  <c r="B392" i="61"/>
  <c r="D392" i="61"/>
  <c r="B393" i="61"/>
  <c r="D393" i="61"/>
  <c r="B394" i="61"/>
  <c r="D394" i="61"/>
  <c r="B395" i="61"/>
  <c r="D395" i="61"/>
  <c r="B396" i="61"/>
  <c r="D396" i="61"/>
  <c r="B397" i="61"/>
  <c r="D397" i="61"/>
  <c r="B398" i="61"/>
  <c r="D398" i="61"/>
  <c r="E2" i="60"/>
  <c r="E15" i="60" s="1"/>
  <c r="E3" i="60"/>
  <c r="E4" i="60"/>
  <c r="E5" i="60"/>
  <c r="E6" i="60"/>
  <c r="E10" i="60"/>
  <c r="D15" i="60"/>
  <c r="D16" i="60"/>
  <c r="D17" i="60"/>
  <c r="D18" i="60"/>
  <c r="D19" i="60"/>
  <c r="E19" i="60" l="1"/>
  <c r="E18" i="60"/>
  <c r="E7" i="60"/>
  <c r="E9" i="60" s="1"/>
  <c r="E16" i="60"/>
  <c r="D22" i="63"/>
  <c r="D28" i="63" s="1"/>
  <c r="D15" i="63"/>
  <c r="D13" i="61"/>
  <c r="B13" i="61"/>
  <c r="E10" i="61"/>
  <c r="E13" i="61"/>
  <c r="C13" i="61"/>
  <c r="F13" i="61"/>
  <c r="D12" i="61"/>
  <c r="D10" i="61"/>
  <c r="C11" i="61"/>
  <c r="F12" i="61"/>
  <c r="B12" i="61"/>
  <c r="B10" i="61"/>
  <c r="F11" i="61"/>
  <c r="D11" i="61"/>
  <c r="C10" i="61"/>
  <c r="E12" i="61"/>
  <c r="F10" i="61"/>
  <c r="B11" i="61"/>
  <c r="C12" i="61"/>
  <c r="E11" i="61"/>
  <c r="E9" i="61"/>
  <c r="E3" i="61" s="1"/>
  <c r="C9" i="61"/>
  <c r="C3" i="61" s="1"/>
  <c r="D9" i="61"/>
  <c r="D3" i="61" s="1"/>
  <c r="B9" i="61"/>
  <c r="B3" i="61" s="1"/>
  <c r="F9" i="61"/>
  <c r="F3" i="61" s="1"/>
  <c r="D10" i="63"/>
  <c r="F34" i="63"/>
  <c r="F46" i="63" s="1" a="1"/>
  <c r="F46" i="63" s="1"/>
  <c r="F36" i="63"/>
  <c r="F38" i="63"/>
  <c r="F40" i="63"/>
  <c r="F42" i="63"/>
  <c r="F35" i="63"/>
  <c r="F37" i="63"/>
  <c r="F39" i="63"/>
  <c r="F41" i="63"/>
  <c r="G46" i="63" a="1"/>
  <c r="G46" i="63" s="1"/>
  <c r="L3" i="60"/>
  <c r="L2" i="60"/>
  <c r="E17" i="60"/>
  <c r="E8" i="60" l="1"/>
  <c r="D21" i="63"/>
  <c r="D11" i="63"/>
  <c r="D30" i="63"/>
  <c r="E4" i="61"/>
  <c r="F6" i="61"/>
  <c r="B7" i="61"/>
  <c r="C5" i="61"/>
  <c r="C6" i="61"/>
  <c r="F4" i="61"/>
  <c r="D5" i="61"/>
  <c r="B6" i="61"/>
  <c r="F7" i="61"/>
  <c r="E7" i="61"/>
  <c r="E5" i="61"/>
  <c r="D4" i="61"/>
  <c r="D6" i="61"/>
  <c r="F5" i="61"/>
  <c r="E6" i="61"/>
  <c r="B4" i="61"/>
  <c r="C7" i="61"/>
  <c r="C4" i="61"/>
  <c r="B5" i="61"/>
  <c r="D7" i="61"/>
  <c r="I3" i="60" l="1"/>
  <c r="I2" i="60"/>
  <c r="C41" i="63"/>
  <c r="C40" i="63"/>
  <c r="C35" i="63"/>
  <c r="C34" i="63"/>
  <c r="C46" i="63" s="1" a="1"/>
  <c r="C46" i="63" s="1"/>
  <c r="C42" i="63"/>
  <c r="C39" i="63"/>
  <c r="C38" i="63"/>
  <c r="C37" i="63"/>
  <c r="C36" i="63"/>
  <c r="D46" i="63" a="1"/>
  <c r="D46" i="63" s="1"/>
  <c r="D24" i="63"/>
  <c r="D25" i="63"/>
  <c r="S18" i="58"/>
  <c r="S19" i="58"/>
  <c r="S20" i="58"/>
  <c r="U17" i="58"/>
  <c r="S17" i="58"/>
  <c r="O17" i="58"/>
  <c r="T18" i="58"/>
  <c r="T19" i="58"/>
  <c r="T20" i="58"/>
  <c r="V17" i="58"/>
  <c r="N22" i="58"/>
  <c r="F25" i="58"/>
  <c r="O22" i="58"/>
  <c r="T17" i="58" l="1"/>
  <c r="O21" i="58"/>
  <c r="O18" i="58"/>
  <c r="O20" i="58"/>
  <c r="O19" i="58"/>
  <c r="V18" i="58" l="1"/>
  <c r="O28" i="58"/>
  <c r="O27" i="58"/>
  <c r="V19" i="58" l="1"/>
  <c r="R28" i="58"/>
  <c r="R27" i="58"/>
  <c r="C36" i="40" l="1"/>
  <c r="D36" i="40"/>
  <c r="E36" i="40"/>
  <c r="F36" i="40"/>
  <c r="G36" i="40"/>
  <c r="H36" i="40"/>
  <c r="I36" i="40"/>
  <c r="J36" i="40"/>
  <c r="K36" i="40"/>
  <c r="L36" i="40"/>
  <c r="M36" i="40"/>
  <c r="N36" i="40"/>
  <c r="B36" i="40"/>
  <c r="B35" i="40"/>
  <c r="C35" i="40"/>
  <c r="D35" i="40"/>
  <c r="E35" i="40"/>
  <c r="F35" i="40"/>
  <c r="G35" i="40"/>
  <c r="H35" i="40"/>
  <c r="I35" i="40"/>
  <c r="J35" i="40"/>
  <c r="K35" i="40"/>
  <c r="L35" i="40"/>
  <c r="M35" i="40"/>
  <c r="N35" i="40"/>
  <c r="A36" i="40"/>
  <c r="A35" i="40"/>
  <c r="A7" i="47" l="1"/>
  <c r="A8" i="47"/>
  <c r="A9" i="47"/>
  <c r="A10" i="47"/>
  <c r="A11" i="47"/>
  <c r="A12" i="47"/>
  <c r="A13" i="47"/>
  <c r="A14" i="47"/>
  <c r="C14" i="47"/>
  <c r="D14" i="47"/>
  <c r="A15" i="47"/>
  <c r="A16" i="47"/>
  <c r="A17" i="47"/>
  <c r="A18" i="47"/>
  <c r="D18" i="47"/>
  <c r="E18" i="47" s="1"/>
  <c r="F18" i="47" s="1"/>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7" i="46"/>
  <c r="A8" i="46"/>
  <c r="A9" i="46"/>
  <c r="A10" i="46"/>
  <c r="A11" i="46"/>
  <c r="A12" i="46"/>
  <c r="A13" i="46"/>
  <c r="A14" i="46"/>
  <c r="C14" i="46"/>
  <c r="D14" i="46"/>
  <c r="A15" i="46"/>
  <c r="A16" i="46"/>
  <c r="A17" i="46"/>
  <c r="A18" i="46"/>
  <c r="D18" i="46"/>
  <c r="E18" i="46" s="1"/>
  <c r="A19" i="46"/>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7" i="45"/>
  <c r="A8" i="45"/>
  <c r="A9" i="45"/>
  <c r="A10" i="45"/>
  <c r="A11" i="45"/>
  <c r="A12" i="45"/>
  <c r="A13" i="45"/>
  <c r="A14" i="45"/>
  <c r="C14" i="45"/>
  <c r="D14" i="45"/>
  <c r="A15" i="45"/>
  <c r="A16" i="45"/>
  <c r="A17" i="45"/>
  <c r="A18" i="45"/>
  <c r="D18" i="45"/>
  <c r="E18" i="45" s="1"/>
  <c r="A19" i="45"/>
  <c r="A20" i="45"/>
  <c r="A21" i="45"/>
  <c r="A22" i="45"/>
  <c r="A23" i="45"/>
  <c r="A24" i="45"/>
  <c r="A25" i="45"/>
  <c r="A26" i="45"/>
  <c r="A27" i="45"/>
  <c r="A28" i="45"/>
  <c r="A29" i="45"/>
  <c r="A30" i="45"/>
  <c r="A31" i="45"/>
  <c r="A32" i="45"/>
  <c r="A33" i="45"/>
  <c r="A34" i="45"/>
  <c r="A35" i="45"/>
  <c r="A36" i="45"/>
  <c r="A37" i="45"/>
  <c r="A38" i="45"/>
  <c r="A39" i="45"/>
  <c r="A40" i="45"/>
  <c r="A41" i="45"/>
  <c r="A42" i="45"/>
  <c r="A43" i="45"/>
  <c r="A44" i="45"/>
  <c r="A45" i="45"/>
  <c r="A46" i="45"/>
  <c r="A47" i="45"/>
  <c r="A7" i="44"/>
  <c r="A8" i="44"/>
  <c r="A9" i="44"/>
  <c r="A10" i="44"/>
  <c r="A11" i="44"/>
  <c r="A12" i="44"/>
  <c r="A13" i="44"/>
  <c r="A14" i="44"/>
  <c r="C14" i="44"/>
  <c r="D14" i="44"/>
  <c r="A15" i="44"/>
  <c r="A16" i="44"/>
  <c r="A17" i="44"/>
  <c r="A18" i="44"/>
  <c r="D18" i="44"/>
  <c r="E18" i="44" s="1"/>
  <c r="F18" i="44" s="1"/>
  <c r="A19" i="44"/>
  <c r="A20" i="44"/>
  <c r="A21" i="44"/>
  <c r="A22" i="44"/>
  <c r="A23" i="44"/>
  <c r="A24" i="44"/>
  <c r="A25" i="44"/>
  <c r="A26" i="44"/>
  <c r="A27" i="44"/>
  <c r="A28" i="44"/>
  <c r="A29" i="44"/>
  <c r="A30" i="44"/>
  <c r="A31" i="44"/>
  <c r="A32" i="44"/>
  <c r="A33" i="44"/>
  <c r="A34" i="44"/>
  <c r="A35" i="44"/>
  <c r="A36" i="44"/>
  <c r="A37" i="44"/>
  <c r="A38" i="44"/>
  <c r="A39" i="44"/>
  <c r="A40" i="44"/>
  <c r="A41" i="44"/>
  <c r="A42" i="44"/>
  <c r="A43" i="44"/>
  <c r="A44" i="44"/>
  <c r="A45" i="44"/>
  <c r="A46" i="44"/>
  <c r="A47" i="44"/>
  <c r="A53" i="44"/>
  <c r="A54" i="44"/>
  <c r="A55" i="44"/>
  <c r="A56" i="44"/>
  <c r="A57" i="44"/>
  <c r="A58" i="44"/>
  <c r="A59" i="44"/>
  <c r="A60" i="44"/>
  <c r="C60" i="44"/>
  <c r="D60" i="44"/>
  <c r="A61" i="44"/>
  <c r="A62" i="44"/>
  <c r="A63" i="44"/>
  <c r="A64" i="44"/>
  <c r="D64" i="44"/>
  <c r="E64" i="44" s="1"/>
  <c r="D65" i="44" s="1"/>
  <c r="E65" i="44" s="1"/>
  <c r="D66" i="44" s="1"/>
  <c r="E66" i="44" s="1"/>
  <c r="D67" i="44" s="1"/>
  <c r="E67" i="44" s="1"/>
  <c r="D68" i="44" s="1"/>
  <c r="E68" i="44" s="1"/>
  <c r="D69" i="44" s="1"/>
  <c r="E69" i="44" s="1"/>
  <c r="D70" i="44" s="1"/>
  <c r="E70" i="44" s="1"/>
  <c r="A65" i="44"/>
  <c r="A66" i="44"/>
  <c r="A67" i="44"/>
  <c r="A68" i="44"/>
  <c r="A69" i="44"/>
  <c r="A70" i="44"/>
  <c r="A71" i="44"/>
  <c r="A72" i="44"/>
  <c r="A73" i="44"/>
  <c r="A74" i="44"/>
  <c r="A75" i="44"/>
  <c r="A76" i="44"/>
  <c r="A77" i="44"/>
  <c r="A78" i="44"/>
  <c r="A79" i="44"/>
  <c r="A80" i="44"/>
  <c r="A81" i="44"/>
  <c r="A82" i="44"/>
  <c r="A83" i="44"/>
  <c r="A84" i="44"/>
  <c r="A85" i="44"/>
  <c r="A86" i="44"/>
  <c r="A87" i="44"/>
  <c r="A88" i="44"/>
  <c r="A89" i="44"/>
  <c r="A90" i="44"/>
  <c r="A91" i="44"/>
  <c r="A92" i="44"/>
  <c r="A93" i="44"/>
  <c r="F64" i="44" l="1"/>
  <c r="F65" i="44"/>
  <c r="G18" i="44"/>
  <c r="R8" i="45"/>
  <c r="R11" i="46"/>
  <c r="D6" i="47"/>
  <c r="D11" i="47" s="1"/>
  <c r="D6" i="46"/>
  <c r="D11" i="46" s="1"/>
  <c r="D7" i="46"/>
  <c r="D7" i="47"/>
  <c r="O5" i="44"/>
  <c r="D7" i="44"/>
  <c r="F18" i="45"/>
  <c r="D19" i="45"/>
  <c r="G18" i="45"/>
  <c r="F70" i="44"/>
  <c r="F69" i="44"/>
  <c r="F68" i="44"/>
  <c r="F67" i="44"/>
  <c r="F66" i="44"/>
  <c r="O17" i="44"/>
  <c r="D52" i="44"/>
  <c r="D54" i="44"/>
  <c r="D53" i="44"/>
  <c r="G18" i="46"/>
  <c r="D19" i="46"/>
  <c r="G70" i="44"/>
  <c r="G69" i="44"/>
  <c r="G68" i="44"/>
  <c r="G67" i="44"/>
  <c r="G66" i="44"/>
  <c r="G65" i="44"/>
  <c r="G64" i="44"/>
  <c r="D8" i="45"/>
  <c r="D6" i="45"/>
  <c r="F18" i="46"/>
  <c r="D8" i="44"/>
  <c r="D6" i="44"/>
  <c r="G18" i="47"/>
  <c r="D8" i="46"/>
  <c r="D19" i="47"/>
  <c r="D7" i="45"/>
  <c r="D19" i="44"/>
  <c r="D8" i="47"/>
  <c r="D9" i="46" l="1"/>
  <c r="C12" i="46" s="1"/>
  <c r="C11" i="47"/>
  <c r="C9" i="47"/>
  <c r="C11" i="46"/>
  <c r="D9" i="47"/>
  <c r="C12" i="47" s="1"/>
  <c r="C9" i="45"/>
  <c r="D12" i="45"/>
  <c r="D9" i="45"/>
  <c r="C12" i="45" s="1"/>
  <c r="C11" i="44"/>
  <c r="D11" i="44"/>
  <c r="G71" i="44"/>
  <c r="E19" i="47"/>
  <c r="F19" i="47" s="1"/>
  <c r="C55" i="44"/>
  <c r="D58" i="44"/>
  <c r="D55" i="44"/>
  <c r="C58" i="44" s="1"/>
  <c r="C9" i="46"/>
  <c r="D12" i="47"/>
  <c r="D12" i="46"/>
  <c r="E19" i="45"/>
  <c r="F19" i="45" s="1"/>
  <c r="C9" i="44"/>
  <c r="D12" i="44"/>
  <c r="D9" i="44"/>
  <c r="C12" i="44" s="1"/>
  <c r="E19" i="44"/>
  <c r="C11" i="45"/>
  <c r="D11" i="45"/>
  <c r="E19" i="46"/>
  <c r="F19" i="46" s="1"/>
  <c r="C57" i="44"/>
  <c r="D57" i="44"/>
  <c r="D20" i="44" l="1"/>
  <c r="G19" i="44"/>
  <c r="G19" i="47"/>
  <c r="D20" i="47"/>
  <c r="F19" i="44"/>
  <c r="D20" i="46"/>
  <c r="G19" i="46"/>
  <c r="G19" i="45"/>
  <c r="D20" i="45"/>
  <c r="E20" i="47" l="1"/>
  <c r="F20" i="47" s="1"/>
  <c r="E20" i="46"/>
  <c r="F20" i="46" s="1"/>
  <c r="E20" i="45"/>
  <c r="F20" i="45" s="1"/>
  <c r="E20" i="44"/>
  <c r="D21" i="44" l="1"/>
  <c r="G20" i="44"/>
  <c r="F20" i="44"/>
  <c r="D21" i="47"/>
  <c r="G20" i="47"/>
  <c r="D21" i="45"/>
  <c r="G20" i="45"/>
  <c r="G20" i="46"/>
  <c r="D21" i="46"/>
  <c r="E21" i="47" l="1"/>
  <c r="F21" i="47" s="1"/>
  <c r="E21" i="46"/>
  <c r="F21" i="46" s="1"/>
  <c r="E21" i="45"/>
  <c r="F21" i="45" s="1"/>
  <c r="E21" i="44"/>
  <c r="D22" i="44" l="1"/>
  <c r="G21" i="44"/>
  <c r="F21" i="44"/>
  <c r="D22" i="46"/>
  <c r="G21" i="46"/>
  <c r="G21" i="47"/>
  <c r="D22" i="47"/>
  <c r="G21" i="45"/>
  <c r="D22" i="45"/>
  <c r="E22" i="46" l="1"/>
  <c r="F22" i="46" s="1"/>
  <c r="E22" i="45"/>
  <c r="F22" i="45" s="1"/>
  <c r="E22" i="47"/>
  <c r="F22" i="47" s="1"/>
  <c r="E22" i="44"/>
  <c r="F22" i="44" s="1"/>
  <c r="G22" i="45" l="1"/>
  <c r="D23" i="45"/>
  <c r="G22" i="46"/>
  <c r="D23" i="46"/>
  <c r="D23" i="44"/>
  <c r="G22" i="44"/>
  <c r="D23" i="47"/>
  <c r="G22" i="47"/>
  <c r="E23" i="44" l="1"/>
  <c r="E23" i="46"/>
  <c r="F23" i="46"/>
  <c r="E23" i="45"/>
  <c r="F23" i="45" s="1"/>
  <c r="E23" i="47"/>
  <c r="F23" i="47" s="1"/>
  <c r="G23" i="45" l="1"/>
  <c r="D24" i="45"/>
  <c r="D24" i="44"/>
  <c r="G23" i="44"/>
  <c r="G23" i="47"/>
  <c r="D24" i="47"/>
  <c r="D24" i="46"/>
  <c r="G23" i="46"/>
  <c r="F23" i="44"/>
  <c r="E24" i="46" l="1"/>
  <c r="G24" i="46" s="1"/>
  <c r="E24" i="44"/>
  <c r="G24" i="44" s="1"/>
  <c r="E24" i="47"/>
  <c r="G24" i="47" s="1"/>
  <c r="E24" i="45"/>
  <c r="G24" i="45" s="1"/>
  <c r="F24" i="45" l="1"/>
  <c r="G25" i="47"/>
  <c r="F24" i="46"/>
  <c r="G25" i="44"/>
  <c r="H24" i="44" s="1"/>
  <c r="G25" i="45"/>
  <c r="H24" i="45" s="1"/>
  <c r="F24" i="44"/>
  <c r="G25" i="46"/>
  <c r="F24" i="47"/>
  <c r="H18" i="47" l="1"/>
  <c r="H19" i="47"/>
  <c r="H20" i="47"/>
  <c r="H21" i="47"/>
  <c r="H22" i="47"/>
  <c r="H23" i="47"/>
  <c r="H18" i="45"/>
  <c r="H19" i="45"/>
  <c r="H20" i="45"/>
  <c r="H21" i="45"/>
  <c r="H22" i="45"/>
  <c r="H23" i="45"/>
  <c r="H18" i="46"/>
  <c r="H19" i="46"/>
  <c r="H20" i="46"/>
  <c r="H21" i="46"/>
  <c r="H22" i="46"/>
  <c r="H23" i="46"/>
  <c r="H24" i="46"/>
  <c r="H18" i="44"/>
  <c r="H65" i="44"/>
  <c r="H69" i="44"/>
  <c r="H66" i="44"/>
  <c r="H64" i="44"/>
  <c r="H70" i="44"/>
  <c r="H67" i="44"/>
  <c r="H68" i="44"/>
  <c r="H19" i="44"/>
  <c r="H20" i="44"/>
  <c r="H21" i="44"/>
  <c r="H22" i="44"/>
  <c r="H23" i="44"/>
  <c r="H24" i="47"/>
  <c r="H71" i="44" l="1"/>
  <c r="H25" i="44"/>
  <c r="H25" i="45"/>
  <c r="H25" i="46"/>
  <c r="H25" i="47"/>
  <c r="I5" i="40" l="1"/>
  <c r="I6" i="40"/>
  <c r="I7" i="40"/>
  <c r="I8" i="40"/>
  <c r="I9" i="40"/>
  <c r="I10" i="40"/>
  <c r="I11" i="40"/>
  <c r="I12" i="40"/>
  <c r="I13" i="40"/>
  <c r="I14" i="40"/>
  <c r="I15" i="40"/>
  <c r="I16" i="40"/>
  <c r="I17" i="40"/>
  <c r="J5" i="40"/>
  <c r="J6" i="40"/>
  <c r="J7" i="40"/>
  <c r="J8" i="40"/>
  <c r="J9" i="40"/>
  <c r="J10" i="40"/>
  <c r="J11" i="40"/>
  <c r="J12" i="40"/>
  <c r="J13" i="40"/>
  <c r="J14" i="40"/>
  <c r="J15" i="40"/>
  <c r="J16" i="40"/>
  <c r="J17" i="40"/>
  <c r="I19" i="40"/>
  <c r="J4" i="40"/>
  <c r="I4" i="40"/>
  <c r="A43" i="42" l="1"/>
  <c r="A36" i="42" s="1"/>
  <c r="A42" i="42"/>
  <c r="A41" i="42"/>
  <c r="A34" i="42" s="1"/>
  <c r="A40" i="42"/>
  <c r="A33" i="42" s="1"/>
  <c r="A37" i="42"/>
  <c r="A35" i="42"/>
  <c r="D33" i="42" a="1"/>
  <c r="D37" i="42" s="1"/>
  <c r="C33" i="42" a="1"/>
  <c r="C35" i="42" s="1"/>
  <c r="B33" i="42" a="1"/>
  <c r="B37" i="42" s="1"/>
  <c r="D18" i="42"/>
  <c r="C18" i="42"/>
  <c r="B18" i="42"/>
  <c r="D17" i="42"/>
  <c r="C17" i="42"/>
  <c r="B17" i="42"/>
  <c r="D16" i="42"/>
  <c r="C16" i="42"/>
  <c r="B16" i="42"/>
  <c r="D13" i="42"/>
  <c r="D14" i="42" s="1"/>
  <c r="C13" i="42"/>
  <c r="C14" i="42" s="1"/>
  <c r="B13" i="42"/>
  <c r="B14" i="42" s="1"/>
  <c r="B75" i="41"/>
  <c r="B63" i="41"/>
  <c r="C63" i="41" s="1"/>
  <c r="Z2" i="41"/>
  <c r="Y2" i="41"/>
  <c r="D41" i="41"/>
  <c r="D43" i="41"/>
  <c r="D44" i="41"/>
  <c r="D45" i="41"/>
  <c r="D46" i="41"/>
  <c r="D47" i="41"/>
  <c r="D48" i="41"/>
  <c r="D49" i="41"/>
  <c r="D50" i="41"/>
  <c r="D51" i="41"/>
  <c r="D52" i="41"/>
  <c r="D53" i="41"/>
  <c r="D54" i="41"/>
  <c r="D55" i="41"/>
  <c r="A41" i="41"/>
  <c r="A42" i="41"/>
  <c r="D42" i="41"/>
  <c r="A43" i="41"/>
  <c r="A44" i="41"/>
  <c r="A45" i="41"/>
  <c r="A46" i="41"/>
  <c r="A47" i="41"/>
  <c r="A48" i="41"/>
  <c r="A49" i="41"/>
  <c r="A50" i="41"/>
  <c r="A51" i="41"/>
  <c r="A52" i="41"/>
  <c r="A53" i="41"/>
  <c r="A54" i="41"/>
  <c r="A55" i="41"/>
  <c r="E40" i="41"/>
  <c r="E57" i="41" s="1"/>
  <c r="B40" i="41"/>
  <c r="B57" i="41" s="1"/>
  <c r="B24" i="40"/>
  <c r="C24" i="40"/>
  <c r="B22" i="40"/>
  <c r="C22" i="40"/>
  <c r="B21" i="40"/>
  <c r="C21" i="40"/>
  <c r="B20" i="40"/>
  <c r="C20" i="40"/>
  <c r="C23" i="40" l="1"/>
  <c r="B23" i="40"/>
  <c r="C34" i="42"/>
  <c r="B34" i="42"/>
  <c r="C36" i="42"/>
  <c r="D34" i="42"/>
  <c r="B35" i="42"/>
  <c r="C33" i="42"/>
  <c r="C37" i="42"/>
  <c r="D35" i="42"/>
  <c r="B36" i="42"/>
  <c r="D36" i="42"/>
  <c r="B33" i="42"/>
  <c r="D33" i="42"/>
  <c r="D63" i="41"/>
  <c r="D58" i="41"/>
  <c r="A58" i="41"/>
  <c r="A64" i="41"/>
  <c r="B64" i="41" l="1"/>
  <c r="C64" i="41" s="1"/>
  <c r="A65" i="41" l="1"/>
  <c r="B65" i="41" s="1"/>
  <c r="A66" i="41" s="1"/>
  <c r="E63" i="41"/>
  <c r="D64" i="41"/>
  <c r="E64" i="41"/>
  <c r="C65" i="41" l="1"/>
  <c r="B66" i="41"/>
  <c r="A67" i="41" s="1"/>
  <c r="C66" i="41"/>
  <c r="D65" i="41"/>
  <c r="E65" i="41"/>
  <c r="E66" i="41" l="1"/>
  <c r="B67" i="41"/>
  <c r="C67" i="41"/>
  <c r="D66" i="41"/>
  <c r="A68" i="41"/>
  <c r="B68" i="41" l="1"/>
  <c r="C68" i="41"/>
  <c r="A69" i="41"/>
  <c r="D67" i="41"/>
  <c r="E67" i="41"/>
  <c r="B69" i="41" l="1"/>
  <c r="C69" i="41"/>
  <c r="D68" i="41"/>
  <c r="E68" i="41"/>
  <c r="A70" i="41"/>
  <c r="B70" i="41" l="1"/>
  <c r="A71" i="41" s="1"/>
  <c r="C70" i="41"/>
  <c r="E69" i="41"/>
  <c r="D69" i="41"/>
  <c r="B71" i="41" l="1"/>
  <c r="A72" i="41" s="1"/>
  <c r="E71" i="41"/>
  <c r="D71" i="41"/>
  <c r="E70" i="41"/>
  <c r="D70" i="41"/>
  <c r="B72" i="41" l="1"/>
  <c r="A73" i="41" s="1"/>
  <c r="D72" i="41"/>
  <c r="E72" i="41"/>
  <c r="C71" i="41"/>
  <c r="V2" i="36"/>
  <c r="U2" i="36"/>
  <c r="B6" i="36"/>
  <c r="T2" i="36"/>
  <c r="S2" i="36"/>
  <c r="D6" i="36"/>
  <c r="D5" i="36"/>
  <c r="F118" i="32"/>
  <c r="C118" i="32"/>
  <c r="E98" i="32"/>
  <c r="F101" i="32" s="1"/>
  <c r="B98" i="32"/>
  <c r="C103" i="32" s="1"/>
  <c r="E97" i="32"/>
  <c r="B97" i="32"/>
  <c r="C72" i="32"/>
  <c r="C73" i="32"/>
  <c r="C74" i="32"/>
  <c r="C75" i="32"/>
  <c r="C76" i="32"/>
  <c r="C77" i="32"/>
  <c r="C78" i="32"/>
  <c r="C79" i="32"/>
  <c r="C80" i="32"/>
  <c r="C81" i="32"/>
  <c r="C82" i="32"/>
  <c r="C83" i="32"/>
  <c r="C84" i="32"/>
  <c r="C85" i="32"/>
  <c r="C86" i="32"/>
  <c r="F72" i="32"/>
  <c r="F73" i="32"/>
  <c r="F74" i="32"/>
  <c r="F75" i="32"/>
  <c r="F76" i="32"/>
  <c r="F77" i="32"/>
  <c r="F78" i="32"/>
  <c r="F79" i="32"/>
  <c r="F80" i="32"/>
  <c r="F81" i="32"/>
  <c r="F82" i="32"/>
  <c r="F83" i="32"/>
  <c r="F84" i="32"/>
  <c r="F85" i="32"/>
  <c r="F86" i="32"/>
  <c r="E70" i="32"/>
  <c r="B70" i="32"/>
  <c r="E68" i="32"/>
  <c r="E69" i="32" s="1"/>
  <c r="B68" i="32"/>
  <c r="B69" i="32" s="1"/>
  <c r="F11" i="30"/>
  <c r="C11" i="30"/>
  <c r="F110" i="32" l="1"/>
  <c r="F107" i="32"/>
  <c r="F112" i="32"/>
  <c r="F111" i="32"/>
  <c r="F106" i="32"/>
  <c r="F100" i="32"/>
  <c r="C102" i="32"/>
  <c r="C100" i="32"/>
  <c r="F104" i="32"/>
  <c r="C114" i="32"/>
  <c r="F114" i="32"/>
  <c r="F108" i="32"/>
  <c r="F103" i="32"/>
  <c r="C110" i="32"/>
  <c r="B73" i="41"/>
  <c r="D73" i="41" s="1"/>
  <c r="F102" i="32"/>
  <c r="C106" i="32"/>
  <c r="C72" i="41"/>
  <c r="B4" i="36"/>
  <c r="C113" i="32"/>
  <c r="C109" i="32"/>
  <c r="C105" i="32"/>
  <c r="C101" i="32"/>
  <c r="F113" i="32"/>
  <c r="F109" i="32"/>
  <c r="F105" i="32"/>
  <c r="C112" i="32"/>
  <c r="C108" i="32"/>
  <c r="C104" i="32"/>
  <c r="C111" i="32"/>
  <c r="C107" i="32"/>
  <c r="C88" i="32"/>
  <c r="C89" i="32" s="1"/>
  <c r="F88" i="32"/>
  <c r="F89" i="32" s="1"/>
  <c r="F116" i="32" l="1"/>
  <c r="F117" i="32" s="1"/>
  <c r="E73" i="41"/>
  <c r="C73" i="41"/>
  <c r="C116" i="32"/>
  <c r="C117" i="32" s="1"/>
  <c r="B2" i="36"/>
  <c r="B3" i="36"/>
  <c r="B11" i="33" l="1"/>
  <c r="F19" i="31" l="1"/>
  <c r="G19" i="31"/>
  <c r="C31" i="31"/>
  <c r="B31" i="31"/>
  <c r="E29" i="31"/>
  <c r="E28" i="31"/>
  <c r="B85" i="29"/>
  <c r="C71" i="29" s="1"/>
  <c r="B67" i="27"/>
  <c r="B60" i="26"/>
  <c r="A61" i="26" s="1"/>
  <c r="C70" i="29" l="1"/>
  <c r="B81" i="29"/>
  <c r="B79" i="29"/>
  <c r="B77" i="29"/>
  <c r="B75" i="29"/>
  <c r="B73" i="29"/>
  <c r="B71" i="29"/>
  <c r="C82" i="29"/>
  <c r="C80" i="29"/>
  <c r="C78" i="29"/>
  <c r="C76" i="29"/>
  <c r="C74" i="29"/>
  <c r="C72" i="29"/>
  <c r="B82" i="29"/>
  <c r="B80" i="29"/>
  <c r="B78" i="29"/>
  <c r="B76" i="29"/>
  <c r="B74" i="29"/>
  <c r="B72" i="29"/>
  <c r="B70" i="29"/>
  <c r="C81" i="29"/>
  <c r="C79" i="29"/>
  <c r="C77" i="29"/>
  <c r="C75" i="29"/>
  <c r="C73" i="29"/>
  <c r="C60" i="26"/>
  <c r="A68" i="27"/>
  <c r="C67" i="27"/>
  <c r="B61" i="26"/>
  <c r="A62" i="26" s="1"/>
  <c r="C19" i="29"/>
  <c r="D66" i="29" s="1"/>
  <c r="B19" i="29"/>
  <c r="A66" i="29" s="1"/>
  <c r="D63" i="29"/>
  <c r="A63" i="29"/>
  <c r="D62" i="29"/>
  <c r="A62" i="29"/>
  <c r="D61" i="29"/>
  <c r="A61" i="29"/>
  <c r="D60" i="29"/>
  <c r="A60" i="29"/>
  <c r="D59" i="29"/>
  <c r="A59" i="29"/>
  <c r="D58" i="29"/>
  <c r="A58" i="29"/>
  <c r="D57" i="29"/>
  <c r="A57" i="29"/>
  <c r="D56" i="29"/>
  <c r="A56" i="29"/>
  <c r="D55" i="29"/>
  <c r="A55" i="29"/>
  <c r="D54" i="29"/>
  <c r="A54" i="29"/>
  <c r="D53" i="29"/>
  <c r="A53" i="29"/>
  <c r="D52" i="29"/>
  <c r="A52" i="29"/>
  <c r="D51" i="29"/>
  <c r="A51" i="29"/>
  <c r="D50" i="29"/>
  <c r="A50" i="29"/>
  <c r="D49" i="29"/>
  <c r="A49" i="29"/>
  <c r="E48" i="29"/>
  <c r="B48" i="29"/>
  <c r="B19" i="26" a="1"/>
  <c r="B19" i="26" s="1"/>
  <c r="C19" i="26" a="1"/>
  <c r="C19" i="26" s="1"/>
  <c r="D62" i="27"/>
  <c r="A62" i="27"/>
  <c r="A5" i="27"/>
  <c r="D59" i="27"/>
  <c r="A59" i="27"/>
  <c r="D58" i="27"/>
  <c r="A58" i="27"/>
  <c r="D57" i="27"/>
  <c r="A57" i="27"/>
  <c r="D56" i="27"/>
  <c r="A56" i="27"/>
  <c r="D55" i="27"/>
  <c r="A55" i="27"/>
  <c r="D54" i="27"/>
  <c r="A54" i="27"/>
  <c r="D53" i="27"/>
  <c r="A53" i="27"/>
  <c r="D52" i="27"/>
  <c r="A52" i="27"/>
  <c r="D51" i="27"/>
  <c r="A51" i="27"/>
  <c r="D50" i="27"/>
  <c r="A50" i="27"/>
  <c r="D49" i="27"/>
  <c r="A49" i="27"/>
  <c r="D48" i="27"/>
  <c r="A48" i="27"/>
  <c r="D47" i="27"/>
  <c r="A47" i="27"/>
  <c r="D46" i="27"/>
  <c r="A46" i="27"/>
  <c r="D45" i="27"/>
  <c r="A45" i="27"/>
  <c r="E44" i="27"/>
  <c r="B44" i="27"/>
  <c r="B83" i="29" l="1"/>
  <c r="C83" i="29"/>
  <c r="C61" i="26"/>
  <c r="B68" i="27"/>
  <c r="A69" i="27" s="1"/>
  <c r="A6" i="27"/>
  <c r="A7" i="27" s="1"/>
  <c r="A8" i="27" s="1"/>
  <c r="A9" i="27" s="1"/>
  <c r="A10" i="27" s="1"/>
  <c r="A11" i="27" s="1"/>
  <c r="A12" i="27" s="1"/>
  <c r="A13" i="27" s="1"/>
  <c r="A14" i="27" s="1"/>
  <c r="A15" i="27" s="1"/>
  <c r="A16" i="27" s="1"/>
  <c r="A17" i="27" s="1"/>
  <c r="A18" i="27" s="1"/>
  <c r="B62" i="26"/>
  <c r="A63" i="26" s="1"/>
  <c r="E37" i="26"/>
  <c r="B37" i="26"/>
  <c r="D39" i="26"/>
  <c r="D40" i="26"/>
  <c r="D41" i="26"/>
  <c r="D42" i="26"/>
  <c r="D43" i="26"/>
  <c r="D44" i="26"/>
  <c r="D45" i="26"/>
  <c r="D46" i="26"/>
  <c r="D47" i="26"/>
  <c r="D48" i="26"/>
  <c r="D49" i="26"/>
  <c r="D50" i="26"/>
  <c r="D51" i="26"/>
  <c r="D52" i="26"/>
  <c r="D38" i="26"/>
  <c r="A39" i="26"/>
  <c r="A40" i="26"/>
  <c r="A41" i="26"/>
  <c r="A42" i="26"/>
  <c r="A43" i="26"/>
  <c r="A44" i="26"/>
  <c r="A45" i="26"/>
  <c r="A46" i="26"/>
  <c r="A47" i="26"/>
  <c r="A48" i="26"/>
  <c r="A49" i="26"/>
  <c r="A50" i="26"/>
  <c r="A51" i="26"/>
  <c r="A52" i="26"/>
  <c r="A38" i="26"/>
  <c r="D55" i="26"/>
  <c r="A55" i="26"/>
  <c r="A5" i="26"/>
  <c r="B74" i="27" l="1"/>
  <c r="D67" i="27" s="1"/>
  <c r="C62" i="26"/>
  <c r="E68" i="27"/>
  <c r="D68" i="27"/>
  <c r="A6" i="26"/>
  <c r="A7" i="26" s="1"/>
  <c r="A8" i="26" s="1"/>
  <c r="A9" i="26" s="1"/>
  <c r="A10" i="26" s="1"/>
  <c r="A11" i="26" s="1"/>
  <c r="A12" i="26" s="1"/>
  <c r="A13" i="26" s="1"/>
  <c r="A14" i="26" s="1"/>
  <c r="A15" i="26" s="1"/>
  <c r="A16" i="26" s="1"/>
  <c r="A17" i="26" s="1"/>
  <c r="A18" i="26" s="1"/>
  <c r="B69" i="27"/>
  <c r="A70" i="27" s="1"/>
  <c r="C68" i="27"/>
  <c r="B63" i="26"/>
  <c r="A64" i="26" s="1"/>
  <c r="E67" i="27" l="1"/>
  <c r="B71" i="26"/>
  <c r="E62" i="26" s="1"/>
  <c r="C63" i="26"/>
  <c r="D60" i="26"/>
  <c r="E61" i="26"/>
  <c r="D61" i="26"/>
  <c r="E63" i="26"/>
  <c r="D63" i="26"/>
  <c r="E69" i="27"/>
  <c r="D69" i="27"/>
  <c r="B70" i="27"/>
  <c r="A71" i="27" s="1"/>
  <c r="C69" i="27"/>
  <c r="B64" i="26"/>
  <c r="A65" i="26" s="1"/>
  <c r="F9" i="23"/>
  <c r="N5" i="23"/>
  <c r="N3" i="23"/>
  <c r="D3" i="23"/>
  <c r="F3" i="23" s="1"/>
  <c r="E60" i="26" l="1"/>
  <c r="D62" i="26"/>
  <c r="D64" i="26"/>
  <c r="E64" i="26"/>
  <c r="C64" i="26"/>
  <c r="E70" i="27"/>
  <c r="D70" i="27"/>
  <c r="B71" i="27"/>
  <c r="A72" i="27" s="1"/>
  <c r="C70" i="27"/>
  <c r="B65" i="26"/>
  <c r="A66" i="26" s="1"/>
  <c r="H3" i="23"/>
  <c r="E3" i="23"/>
  <c r="C4" i="23"/>
  <c r="D65" i="26" l="1"/>
  <c r="E65" i="26"/>
  <c r="C65" i="26"/>
  <c r="E71" i="27"/>
  <c r="D71" i="27"/>
  <c r="B72" i="27"/>
  <c r="C72" i="27" s="1"/>
  <c r="C71" i="27"/>
  <c r="B66" i="26"/>
  <c r="A67" i="26" s="1"/>
  <c r="D4" i="23"/>
  <c r="C5" i="23" s="1"/>
  <c r="D66" i="26" l="1"/>
  <c r="C66" i="26"/>
  <c r="E66" i="26"/>
  <c r="E72" i="27"/>
  <c r="D72" i="27"/>
  <c r="B67" i="26"/>
  <c r="A68" i="26" s="1"/>
  <c r="D5" i="23"/>
  <c r="C6" i="23" s="1"/>
  <c r="F4" i="23"/>
  <c r="H4" i="23"/>
  <c r="E4" i="23"/>
  <c r="F5" i="23" l="1"/>
  <c r="C67" i="26"/>
  <c r="E67" i="26"/>
  <c r="D67" i="26"/>
  <c r="B68" i="26"/>
  <c r="A69" i="26" s="1"/>
  <c r="E5" i="23"/>
  <c r="H5" i="23"/>
  <c r="D6" i="23"/>
  <c r="F6" i="23" s="1"/>
  <c r="F7" i="23" l="1"/>
  <c r="E68" i="26"/>
  <c r="D68" i="26"/>
  <c r="C68" i="26"/>
  <c r="B69" i="26"/>
  <c r="E69" i="26" s="1"/>
  <c r="H6" i="23"/>
  <c r="F11" i="23" s="1"/>
  <c r="E6" i="23"/>
  <c r="C69" i="26" l="1"/>
  <c r="D69" i="26"/>
  <c r="E27" i="20" l="1"/>
  <c r="E26" i="20"/>
  <c r="E25" i="20"/>
  <c r="E36" i="20"/>
  <c r="H43" i="20" l="1"/>
  <c r="H25" i="20" l="1"/>
  <c r="H27" i="20"/>
  <c r="H44" i="20" l="1"/>
  <c r="H45" i="20"/>
  <c r="H29" i="20"/>
  <c r="H28" i="20"/>
  <c r="H30" i="20"/>
  <c r="G32" i="19" l="1"/>
  <c r="G47" i="19" s="1"/>
  <c r="G31" i="19"/>
  <c r="G46" i="19" l="1"/>
  <c r="H35" i="19" l="1"/>
  <c r="H43" i="19" l="1"/>
  <c r="D10" i="18"/>
  <c r="D11" i="18"/>
  <c r="D12" i="18"/>
  <c r="D13" i="18"/>
  <c r="D14" i="18"/>
  <c r="D9" i="18"/>
  <c r="B31" i="17"/>
  <c r="AA2" i="17"/>
  <c r="B15" i="16" l="1"/>
  <c r="C15" i="16"/>
  <c r="D15" i="16"/>
  <c r="B13" i="16"/>
  <c r="B14" i="16" s="1"/>
  <c r="C13" i="16"/>
  <c r="C14" i="16" s="1"/>
  <c r="D13" i="16"/>
  <c r="D14" i="16" s="1"/>
  <c r="B33" i="16" a="1"/>
  <c r="B33" i="16" s="1"/>
  <c r="C33" i="16" a="1"/>
  <c r="C33" i="16" s="1"/>
  <c r="D33" i="16" a="1"/>
  <c r="D33" i="16" s="1"/>
  <c r="A37" i="16"/>
  <c r="A40" i="16"/>
  <c r="A33" i="16" s="1"/>
  <c r="A41" i="16"/>
  <c r="A34" i="16" s="1"/>
  <c r="A42" i="16"/>
  <c r="A35" i="16" s="1"/>
  <c r="A43" i="16"/>
  <c r="A36" i="16" s="1"/>
  <c r="D17" i="15"/>
  <c r="A17" i="15" a="1"/>
  <c r="A17" i="15" s="1"/>
  <c r="D37" i="16" l="1"/>
  <c r="D35" i="16"/>
  <c r="D34" i="16"/>
  <c r="D36" i="16"/>
  <c r="B35" i="16"/>
  <c r="B36" i="16"/>
  <c r="B37" i="16"/>
  <c r="B34" i="16"/>
  <c r="C37" i="16"/>
  <c r="C36" i="16"/>
  <c r="C35" i="16"/>
  <c r="C34" i="16"/>
  <c r="D11" i="8" l="1"/>
  <c r="E9" i="10"/>
  <c r="E8" i="10"/>
  <c r="E7" i="10"/>
  <c r="E6" i="10"/>
  <c r="E5" i="10"/>
  <c r="E4" i="10"/>
  <c r="E3" i="10"/>
  <c r="E2" i="10"/>
  <c r="A11" i="8"/>
  <c r="C3" i="3" l="1"/>
  <c r="B3" i="3"/>
  <c r="A3" i="3"/>
  <c r="B5" i="36" l="1"/>
</calcChain>
</file>

<file path=xl/sharedStrings.xml><?xml version="1.0" encoding="utf-8"?>
<sst xmlns="http://schemas.openxmlformats.org/spreadsheetml/2006/main" count="5005" uniqueCount="1144">
  <si>
    <t>Topics</t>
  </si>
  <si>
    <t>Sheet Name (link to jump)</t>
  </si>
  <si>
    <t>Number</t>
  </si>
  <si>
    <t>Topic In Video and minute mark in Video.</t>
  </si>
  <si>
    <t>Time In Video</t>
  </si>
  <si>
    <t>Text</t>
  </si>
  <si>
    <t>Primary Key</t>
  </si>
  <si>
    <t>Action</t>
  </si>
  <si>
    <t>Keyboard Short Cut</t>
  </si>
  <si>
    <t>Category</t>
  </si>
  <si>
    <t>Move the Active Worksheet up or down</t>
  </si>
  <si>
    <t>Ctrl + PageUp/PageDown</t>
  </si>
  <si>
    <t>Navigation</t>
  </si>
  <si>
    <t>Put content in Cell and move selected Cell down</t>
  </si>
  <si>
    <t>Enter</t>
  </si>
  <si>
    <t>Entering Data in a Cell</t>
  </si>
  <si>
    <t>Put content in Cell and keep Cell selected</t>
  </si>
  <si>
    <t>Ctrl + Enter</t>
  </si>
  <si>
    <t>Undo</t>
  </si>
  <si>
    <t>Ctrl + Z</t>
  </si>
  <si>
    <t>Basic</t>
  </si>
  <si>
    <t>Copy</t>
  </si>
  <si>
    <t>Ctrl + C</t>
  </si>
  <si>
    <t>Paste</t>
  </si>
  <si>
    <t>Ctrl + V</t>
  </si>
  <si>
    <t>Cut</t>
  </si>
  <si>
    <t>Ctrl + X</t>
  </si>
  <si>
    <t>Bold</t>
  </si>
  <si>
    <t>Ctrl + B</t>
  </si>
  <si>
    <t>Put Cell in Edit Mode</t>
  </si>
  <si>
    <t>F2</t>
  </si>
  <si>
    <t>Formula Edit Mode Keys</t>
  </si>
  <si>
    <t>Arrow to point to a formula Cell Reference</t>
  </si>
  <si>
    <t>Arrow Keys</t>
  </si>
  <si>
    <t>SUM function</t>
  </si>
  <si>
    <t>Alt + =</t>
  </si>
  <si>
    <t>Delete Cell content</t>
  </si>
  <si>
    <t>Delete</t>
  </si>
  <si>
    <t>Lock Cell Reference (make Absolute)</t>
  </si>
  <si>
    <t>F4</t>
  </si>
  <si>
    <t>Put content in Cell and move selected Cell to right</t>
  </si>
  <si>
    <t>Tab</t>
  </si>
  <si>
    <t>Put content in Cell and move selected Cell to left</t>
  </si>
  <si>
    <t>Shift + Tab</t>
  </si>
  <si>
    <t>Jump to bottom of data set (Current Range)</t>
  </si>
  <si>
    <t>Ctrl + Arrow</t>
  </si>
  <si>
    <t>Select to bottom of data set (Current Range)</t>
  </si>
  <si>
    <t>Ctrl + Shift + Enter</t>
  </si>
  <si>
    <t>Put content in Cell and move selected Cell up</t>
  </si>
  <si>
    <t>Shift + Enter</t>
  </si>
  <si>
    <t>Jump Back to Active Cell</t>
  </si>
  <si>
    <t>Ctrl + Backspace</t>
  </si>
  <si>
    <t>Open Create PivotTable  dialog box</t>
  </si>
  <si>
    <t>Alt, N, V</t>
  </si>
  <si>
    <t>PivotTable</t>
  </si>
  <si>
    <t>Format Chart Element with Task Pane</t>
  </si>
  <si>
    <t>Ctrl + 1</t>
  </si>
  <si>
    <t>Chart</t>
  </si>
  <si>
    <t>Open Format Cells dialog box</t>
  </si>
  <si>
    <t>Format Cells</t>
  </si>
  <si>
    <t>Jump to Cell A1</t>
  </si>
  <si>
    <t>Ctrl + Home</t>
  </si>
  <si>
    <t>Jump to last Cell used</t>
  </si>
  <si>
    <t>Ctrl + End</t>
  </si>
  <si>
    <t>Open Control Panel</t>
  </si>
  <si>
    <t>Window + Pause/Break</t>
  </si>
  <si>
    <t>Window Key</t>
  </si>
  <si>
    <t>Show Desktop</t>
  </si>
  <si>
    <t>Window + D
or
Window + M</t>
  </si>
  <si>
    <t>Select Whole Table (Select Current Region)</t>
  </si>
  <si>
    <t>Ctrl + * (on Number Pad)
or
Ctrl + Shift + 8</t>
  </si>
  <si>
    <t>Selection</t>
  </si>
  <si>
    <t>Select Ranges not next to each other (noncontiguous ranges)</t>
  </si>
  <si>
    <t>Ctrl + Mouse Click</t>
  </si>
  <si>
    <t>Open Print Options and Print Preview view</t>
  </si>
  <si>
    <t>Ctrl + P</t>
  </si>
  <si>
    <t xml:space="preserve">Close Print Options and Print Preview view </t>
  </si>
  <si>
    <t>Esc</t>
  </si>
  <si>
    <t>New Workbook File</t>
  </si>
  <si>
    <t>Ctrl + N</t>
  </si>
  <si>
    <t>Save As Dialog Box</t>
  </si>
  <si>
    <t>F12</t>
  </si>
  <si>
    <t>Find and Replace</t>
  </si>
  <si>
    <t>Descriptive Statistics: Tabular, Graphical and Numerical summaries of data.</t>
  </si>
  <si>
    <r>
      <t xml:space="preserve">Chapter 2: Descriptive Statistics: </t>
    </r>
    <r>
      <rPr>
        <b/>
        <sz val="12"/>
        <color theme="1"/>
        <rFont val="Calibri"/>
        <family val="2"/>
        <scheme val="minor"/>
      </rPr>
      <t>Tabular</t>
    </r>
    <r>
      <rPr>
        <sz val="12"/>
        <color theme="1"/>
        <rFont val="Calibri"/>
        <family val="2"/>
        <scheme val="minor"/>
      </rPr>
      <t xml:space="preserve"> and </t>
    </r>
    <r>
      <rPr>
        <b/>
        <sz val="12"/>
        <color theme="1"/>
        <rFont val="Calibri"/>
        <family val="2"/>
        <scheme val="minor"/>
      </rPr>
      <t>Graphical</t>
    </r>
    <r>
      <rPr>
        <sz val="12"/>
        <color theme="1"/>
        <rFont val="Calibri"/>
        <family val="2"/>
        <scheme val="minor"/>
      </rPr>
      <t xml:space="preserve"> summaries of data.</t>
    </r>
  </si>
  <si>
    <t>Mean</t>
  </si>
  <si>
    <t>Median</t>
  </si>
  <si>
    <t>Mode</t>
  </si>
  <si>
    <t>Weighted Mean</t>
  </si>
  <si>
    <t>Skew and Mean, Median, Mode</t>
  </si>
  <si>
    <t>Percentiles</t>
  </si>
  <si>
    <t>Quartiles</t>
  </si>
  <si>
    <t>Percentile Rank</t>
  </si>
  <si>
    <t>Average = Typical Value</t>
  </si>
  <si>
    <t>Visual</t>
  </si>
  <si>
    <t>Range</t>
  </si>
  <si>
    <t>Interquartile Range</t>
  </si>
  <si>
    <t>Variance</t>
  </si>
  <si>
    <t>Standard Deviation</t>
  </si>
  <si>
    <t>Coefficient of Variation</t>
  </si>
  <si>
    <t>Measures of Location:</t>
  </si>
  <si>
    <t>Measures of Variability:</t>
  </si>
  <si>
    <t>Z-scores</t>
  </si>
  <si>
    <t>Empirical Rule</t>
  </si>
  <si>
    <t>Chebyshev's Rule</t>
  </si>
  <si>
    <t>Detecting Outliers</t>
  </si>
  <si>
    <t>Descriptive Statistics Data Analysis Tool</t>
  </si>
  <si>
    <r>
      <t xml:space="preserve">If the measures are computed for data from a sample, they are called </t>
    </r>
    <r>
      <rPr>
        <b/>
        <i/>
        <u/>
        <sz val="11"/>
        <color indexed="8"/>
        <rFont val="Calibri"/>
        <family val="2"/>
      </rPr>
      <t>sample statistics</t>
    </r>
    <r>
      <rPr>
        <sz val="11"/>
        <color theme="1"/>
        <rFont val="Calibri"/>
        <family val="2"/>
        <scheme val="minor"/>
      </rPr>
      <t xml:space="preserve">.
</t>
    </r>
  </si>
  <si>
    <r>
      <t xml:space="preserve">If the measures are computed for data from a population, they are called </t>
    </r>
    <r>
      <rPr>
        <b/>
        <i/>
        <u/>
        <sz val="11"/>
        <color indexed="8"/>
        <rFont val="Calibri"/>
        <family val="2"/>
      </rPr>
      <t>population parameters</t>
    </r>
    <r>
      <rPr>
        <sz val="11"/>
        <color theme="1"/>
        <rFont val="Calibri"/>
        <family val="2"/>
        <scheme val="minor"/>
      </rPr>
      <t xml:space="preserve">.
</t>
    </r>
  </si>
  <si>
    <r>
      <t xml:space="preserve">Since it is usually impossible to get all the numbers for a population, we have to use </t>
    </r>
    <r>
      <rPr>
        <b/>
        <u/>
        <sz val="11"/>
        <color theme="1"/>
        <rFont val="Calibri"/>
        <family val="2"/>
        <scheme val="minor"/>
      </rPr>
      <t>sample statistics</t>
    </r>
    <r>
      <rPr>
        <sz val="11"/>
        <color theme="1"/>
        <rFont val="Calibri"/>
        <family val="2"/>
        <scheme val="minor"/>
      </rPr>
      <t xml:space="preserve"> to </t>
    </r>
    <r>
      <rPr>
        <b/>
        <u/>
        <sz val="11"/>
        <color theme="1"/>
        <rFont val="Calibri"/>
        <family val="2"/>
        <scheme val="minor"/>
      </rPr>
      <t>reasonably estimate</t>
    </r>
    <r>
      <rPr>
        <sz val="11"/>
        <color theme="1"/>
        <rFont val="Calibri"/>
        <family val="2"/>
        <scheme val="minor"/>
      </rPr>
      <t xml:space="preserve"> the </t>
    </r>
    <r>
      <rPr>
        <b/>
        <u/>
        <sz val="11"/>
        <color theme="1"/>
        <rFont val="Calibri"/>
        <family val="2"/>
        <scheme val="minor"/>
      </rPr>
      <t>population parameter</t>
    </r>
    <r>
      <rPr>
        <sz val="11"/>
        <color theme="1"/>
        <rFont val="Calibri"/>
        <family val="2"/>
        <scheme val="minor"/>
      </rPr>
      <t>!</t>
    </r>
  </si>
  <si>
    <t>Example: calculate an sample average of number of salmon in Puget Sound and use it as the estimate of the population average of number of salmon in Puget Sound - "We can't count all the fish in the sea!!"</t>
  </si>
  <si>
    <t>Measures of Association:</t>
  </si>
  <si>
    <r>
      <t xml:space="preserve">In Statistical Inference, a </t>
    </r>
    <r>
      <rPr>
        <b/>
        <i/>
        <u/>
        <sz val="11"/>
        <color indexed="8"/>
        <rFont val="Calibri"/>
        <family val="2"/>
      </rPr>
      <t>sample statistic</t>
    </r>
    <r>
      <rPr>
        <sz val="11"/>
        <color theme="1"/>
        <rFont val="Calibri"/>
        <family val="2"/>
        <scheme val="minor"/>
      </rPr>
      <t xml:space="preserve"> is referred to as the </t>
    </r>
    <r>
      <rPr>
        <b/>
        <i/>
        <u/>
        <sz val="11"/>
        <color indexed="8"/>
        <rFont val="Calibri"/>
        <family val="2"/>
      </rPr>
      <t>point estimator</t>
    </r>
    <r>
      <rPr>
        <sz val="11"/>
        <color theme="1"/>
        <rFont val="Calibri"/>
        <family val="2"/>
        <scheme val="minor"/>
      </rPr>
      <t xml:space="preserve"> of the corresponding </t>
    </r>
    <r>
      <rPr>
        <b/>
        <i/>
        <u/>
        <sz val="11"/>
        <color indexed="8"/>
        <rFont val="Calibri"/>
        <family val="2"/>
      </rPr>
      <t>population parameter</t>
    </r>
    <r>
      <rPr>
        <sz val="11"/>
        <color theme="1"/>
        <rFont val="Calibri"/>
        <family val="2"/>
        <scheme val="minor"/>
      </rPr>
      <t xml:space="preserve">.
</t>
    </r>
  </si>
  <si>
    <r>
      <rPr>
        <b/>
        <sz val="11"/>
        <color theme="1"/>
        <rFont val="Calibri"/>
        <family val="2"/>
        <scheme val="minor"/>
      </rPr>
      <t>Population</t>
    </r>
    <r>
      <rPr>
        <sz val="11"/>
        <color theme="1"/>
        <rFont val="Calibri"/>
        <family val="2"/>
        <scheme val="minor"/>
      </rPr>
      <t>: The set of all elements of interest in a particular study</t>
    </r>
  </si>
  <si>
    <r>
      <rPr>
        <b/>
        <sz val="11"/>
        <color theme="1"/>
        <rFont val="Calibri"/>
        <family val="2"/>
        <scheme val="minor"/>
      </rPr>
      <t>Sample</t>
    </r>
    <r>
      <rPr>
        <sz val="11"/>
        <color theme="1"/>
        <rFont val="Calibri"/>
        <family val="2"/>
        <scheme val="minor"/>
      </rPr>
      <t>: A subset of the population</t>
    </r>
  </si>
  <si>
    <r>
      <rPr>
        <b/>
        <sz val="11"/>
        <color theme="1"/>
        <rFont val="Calibri"/>
        <family val="2"/>
        <scheme val="minor"/>
      </rPr>
      <t>Inferential Statistics</t>
    </r>
    <r>
      <rPr>
        <sz val="11"/>
        <color theme="1"/>
        <rFont val="Calibri"/>
        <family val="2"/>
        <scheme val="minor"/>
      </rPr>
      <t>: The process of using data obtained from a sample to make estimates and test hypotheses about the characteristics/attribute of a population</t>
    </r>
  </si>
  <si>
    <t>Terms</t>
  </si>
  <si>
    <t>Arithmetic Mean: Add them up and divide by the count</t>
  </si>
  <si>
    <t>Good for quantitative data when there are not extreme values - extreme values can make the mean look too big or too small (Median more representative of a typical value in that case)</t>
  </si>
  <si>
    <t>Use AVERAGE function</t>
  </si>
  <si>
    <t>"Typical Values" calculated so that we have one value that can represent all the data points.</t>
  </si>
  <si>
    <t>More about Point estimation in chapter 7.</t>
  </si>
  <si>
    <t>Good for quantitative data when there are extreme values (like house prices and salaries)</t>
  </si>
  <si>
    <t>Use MEDIAN function</t>
  </si>
  <si>
    <t>One that occurs most frequently (can be bimodal, multimodal)</t>
  </si>
  <si>
    <t>Good for Categorical Data (Nominal and Ordinal)</t>
  </si>
  <si>
    <t>Geometric Mean</t>
  </si>
  <si>
    <t>Percentiles/Quartiles</t>
  </si>
  <si>
    <t>For quantitative data without a lot of duplicates</t>
  </si>
  <si>
    <t>Use QUARTILE.EXC function</t>
  </si>
  <si>
    <t>Average = Typical Value = Measure of central location</t>
  </si>
  <si>
    <t>Marker that divides the sorted data set and says what % are above and what % are below</t>
  </si>
  <si>
    <t>Mean Test Scores</t>
  </si>
  <si>
    <t>Mean Weights (oz.)</t>
  </si>
  <si>
    <t>Test Scores (Population)</t>
  </si>
  <si>
    <t>Weights (oz.) of Salad Bag from Filling Machine (Sample)</t>
  </si>
  <si>
    <t>Particular X</t>
  </si>
  <si>
    <t>Sample Data</t>
  </si>
  <si>
    <r>
      <t>X</t>
    </r>
    <r>
      <rPr>
        <vertAlign val="subscript"/>
        <sz val="11"/>
        <color theme="1"/>
        <rFont val="Calibri"/>
        <family val="2"/>
        <scheme val="minor"/>
      </rPr>
      <t>1</t>
    </r>
  </si>
  <si>
    <r>
      <t>X</t>
    </r>
    <r>
      <rPr>
        <vertAlign val="subscript"/>
        <sz val="11"/>
        <color theme="1"/>
        <rFont val="Calibri"/>
        <family val="2"/>
        <scheme val="minor"/>
      </rPr>
      <t>2</t>
    </r>
    <r>
      <rPr>
        <sz val="11"/>
        <color theme="1"/>
        <rFont val="Calibri"/>
        <family val="2"/>
        <scheme val="minor"/>
      </rPr>
      <t/>
    </r>
  </si>
  <si>
    <r>
      <t>X</t>
    </r>
    <r>
      <rPr>
        <vertAlign val="subscript"/>
        <sz val="11"/>
        <color theme="1"/>
        <rFont val="Calibri"/>
        <family val="2"/>
        <scheme val="minor"/>
      </rPr>
      <t>3</t>
    </r>
    <r>
      <rPr>
        <sz val="11"/>
        <color theme="1"/>
        <rFont val="Calibri"/>
        <family val="2"/>
        <scheme val="minor"/>
      </rPr>
      <t/>
    </r>
  </si>
  <si>
    <r>
      <t>X</t>
    </r>
    <r>
      <rPr>
        <vertAlign val="subscript"/>
        <sz val="11"/>
        <color theme="1"/>
        <rFont val="Calibri"/>
        <family val="2"/>
        <scheme val="minor"/>
      </rPr>
      <t>4</t>
    </r>
    <r>
      <rPr>
        <sz val="11"/>
        <color theme="1"/>
        <rFont val="Calibri"/>
        <family val="2"/>
        <scheme val="minor"/>
      </rPr>
      <t/>
    </r>
  </si>
  <si>
    <r>
      <t>X</t>
    </r>
    <r>
      <rPr>
        <vertAlign val="subscript"/>
        <sz val="11"/>
        <color theme="1"/>
        <rFont val="Calibri"/>
        <family val="2"/>
        <scheme val="minor"/>
      </rPr>
      <t>5</t>
    </r>
    <r>
      <rPr>
        <sz val="11"/>
        <color theme="1"/>
        <rFont val="Calibri"/>
        <family val="2"/>
        <scheme val="minor"/>
      </rPr>
      <t/>
    </r>
  </si>
  <si>
    <r>
      <t>X</t>
    </r>
    <r>
      <rPr>
        <vertAlign val="subscript"/>
        <sz val="11"/>
        <color theme="1"/>
        <rFont val="Calibri"/>
        <family val="2"/>
        <scheme val="minor"/>
      </rPr>
      <t>6</t>
    </r>
    <r>
      <rPr>
        <sz val="11"/>
        <color theme="1"/>
        <rFont val="Calibri"/>
        <family val="2"/>
        <scheme val="minor"/>
      </rPr>
      <t/>
    </r>
  </si>
  <si>
    <r>
      <t>X</t>
    </r>
    <r>
      <rPr>
        <vertAlign val="subscript"/>
        <sz val="11"/>
        <color theme="1"/>
        <rFont val="Calibri"/>
        <family val="2"/>
        <scheme val="minor"/>
      </rPr>
      <t>7</t>
    </r>
    <r>
      <rPr>
        <sz val="11"/>
        <color theme="1"/>
        <rFont val="Calibri"/>
        <family val="2"/>
        <scheme val="minor"/>
      </rPr>
      <t/>
    </r>
  </si>
  <si>
    <r>
      <t>X</t>
    </r>
    <r>
      <rPr>
        <vertAlign val="subscript"/>
        <sz val="11"/>
        <color theme="1"/>
        <rFont val="Calibri"/>
        <family val="2"/>
        <scheme val="minor"/>
      </rPr>
      <t>8</t>
    </r>
    <r>
      <rPr>
        <sz val="11"/>
        <color theme="1"/>
        <rFont val="Calibri"/>
        <family val="2"/>
        <scheme val="minor"/>
      </rPr>
      <t/>
    </r>
  </si>
  <si>
    <r>
      <t>X</t>
    </r>
    <r>
      <rPr>
        <vertAlign val="subscript"/>
        <sz val="11"/>
        <color theme="1"/>
        <rFont val="Calibri"/>
        <family val="2"/>
        <scheme val="minor"/>
      </rPr>
      <t>9</t>
    </r>
    <r>
      <rPr>
        <sz val="11"/>
        <color theme="1"/>
        <rFont val="Calibri"/>
        <family val="2"/>
        <scheme val="minor"/>
      </rPr>
      <t/>
    </r>
  </si>
  <si>
    <r>
      <t>X</t>
    </r>
    <r>
      <rPr>
        <vertAlign val="subscript"/>
        <sz val="11"/>
        <color theme="1"/>
        <rFont val="Calibri"/>
        <family val="2"/>
        <scheme val="minor"/>
      </rPr>
      <t>10</t>
    </r>
    <r>
      <rPr>
        <sz val="11"/>
        <color theme="1"/>
        <rFont val="Calibri"/>
        <family val="2"/>
        <scheme val="minor"/>
      </rPr>
      <t/>
    </r>
  </si>
  <si>
    <t xml:space="preserve">Xbar = </t>
  </si>
  <si>
    <r>
      <t>X</t>
    </r>
    <r>
      <rPr>
        <vertAlign val="subscript"/>
        <sz val="11"/>
        <color theme="1"/>
        <rFont val="Calibri"/>
        <family val="2"/>
        <scheme val="minor"/>
      </rPr>
      <t>11</t>
    </r>
    <r>
      <rPr>
        <sz val="11"/>
        <color theme="1"/>
        <rFont val="Calibri"/>
        <family val="2"/>
        <scheme val="minor"/>
      </rPr>
      <t/>
    </r>
  </si>
  <si>
    <r>
      <t>X</t>
    </r>
    <r>
      <rPr>
        <vertAlign val="subscript"/>
        <sz val="11"/>
        <color theme="1"/>
        <rFont val="Calibri"/>
        <family val="2"/>
        <scheme val="minor"/>
      </rPr>
      <t>12</t>
    </r>
    <r>
      <rPr>
        <sz val="11"/>
        <color theme="1"/>
        <rFont val="Calibri"/>
        <family val="2"/>
        <scheme val="minor"/>
      </rPr>
      <t/>
    </r>
  </si>
  <si>
    <r>
      <t>X</t>
    </r>
    <r>
      <rPr>
        <vertAlign val="subscript"/>
        <sz val="11"/>
        <color theme="1"/>
        <rFont val="Calibri"/>
        <family val="2"/>
        <scheme val="minor"/>
      </rPr>
      <t>13</t>
    </r>
    <r>
      <rPr>
        <sz val="11"/>
        <color theme="1"/>
        <rFont val="Calibri"/>
        <family val="2"/>
        <scheme val="minor"/>
      </rPr>
      <t/>
    </r>
  </si>
  <si>
    <r>
      <t>X</t>
    </r>
    <r>
      <rPr>
        <vertAlign val="subscript"/>
        <sz val="11"/>
        <color theme="1"/>
        <rFont val="Calibri"/>
        <family val="2"/>
        <scheme val="minor"/>
      </rPr>
      <t>14</t>
    </r>
    <r>
      <rPr>
        <sz val="11"/>
        <color theme="1"/>
        <rFont val="Calibri"/>
        <family val="2"/>
        <scheme val="minor"/>
      </rPr>
      <t/>
    </r>
  </si>
  <si>
    <r>
      <t>X</t>
    </r>
    <r>
      <rPr>
        <vertAlign val="subscript"/>
        <sz val="11"/>
        <color theme="1"/>
        <rFont val="Calibri"/>
        <family val="2"/>
        <scheme val="minor"/>
      </rPr>
      <t>15</t>
    </r>
    <r>
      <rPr>
        <sz val="11"/>
        <color theme="1"/>
        <rFont val="Calibri"/>
        <family val="2"/>
        <scheme val="minor"/>
      </rPr>
      <t/>
    </r>
  </si>
  <si>
    <r>
      <t xml:space="preserve">Mew = </t>
    </r>
    <r>
      <rPr>
        <sz val="11"/>
        <color theme="1"/>
        <rFont val="Arial"/>
        <family val="2"/>
      </rPr>
      <t>μ</t>
    </r>
    <r>
      <rPr>
        <sz val="11"/>
        <color theme="1"/>
        <rFont val="Calibri"/>
        <family val="2"/>
      </rPr>
      <t xml:space="preserve"> = </t>
    </r>
  </si>
  <si>
    <t>Mean House Price</t>
  </si>
  <si>
    <t>Mean Salary</t>
  </si>
  <si>
    <t>Median House Price</t>
  </si>
  <si>
    <t>Median Salary</t>
  </si>
  <si>
    <t>House Prices</t>
  </si>
  <si>
    <t>Salaries at Accounting Firm</t>
  </si>
  <si>
    <t>Median can be a better measure of central location when there are extreme values</t>
  </si>
  <si>
    <t>Fast way to calculate Mean when you have a Frequency Table or Relative Frequency Table</t>
  </si>
  <si>
    <t>Scores on Quiz</t>
  </si>
  <si>
    <t>Frequency</t>
  </si>
  <si>
    <t>Total</t>
  </si>
  <si>
    <t>Rate Your Professor</t>
  </si>
  <si>
    <t>Bad</t>
  </si>
  <si>
    <t>&lt;&lt; Mode is one that occurs most frequently</t>
  </si>
  <si>
    <t>Okay</t>
  </si>
  <si>
    <t>Good</t>
  </si>
  <si>
    <t>Great</t>
  </si>
  <si>
    <t>Mode For Test Data</t>
  </si>
  <si>
    <t>See this video for more about MODE.MULT</t>
  </si>
  <si>
    <t>Bins</t>
  </si>
  <si>
    <t>Low</t>
  </si>
  <si>
    <t>Labels</t>
  </si>
  <si>
    <t>Data 3</t>
  </si>
  <si>
    <t>Data 2</t>
  </si>
  <si>
    <t>Data 1</t>
  </si>
  <si>
    <t>Highly Skewed</t>
  </si>
  <si>
    <t>No Skew</t>
  </si>
  <si>
    <t>Moderate Skew</t>
  </si>
  <si>
    <t>Skew</t>
  </si>
  <si>
    <t>count = n</t>
  </si>
  <si>
    <t>Positive (Right) Skew
big values pull Mean up</t>
  </si>
  <si>
    <t>No Skew (Normal or Bell)
Mean = Median = Mode</t>
  </si>
  <si>
    <t>Negative (Left) Skew
small values pull Mean down</t>
  </si>
  <si>
    <t>We can use the SKEW function to calculate the Skew</t>
  </si>
  <si>
    <t>If the Skew is 0, the Mean = Median = Mode = Normal or Bell Distribution</t>
  </si>
  <si>
    <t>Skew tells to which way the distribution is tilting. If the average is being pulled up by a few big values, the skew is positive, or to the right. If the average is being pulled down by a few small values, the skew is negative, or to the left. Range of Skew is between -3 and 3.</t>
  </si>
  <si>
    <t>Purchases Last Year of Quad Boomerangs</t>
  </si>
  <si>
    <t>Date</t>
  </si>
  <si>
    <t>Price per Unit</t>
  </si>
  <si>
    <t>The Accounting Department needs the weighted average to calculate the End Inventory</t>
  </si>
  <si>
    <t>Units Sold in 2014</t>
  </si>
  <si>
    <t>Weighted Average M1</t>
  </si>
  <si>
    <t>Weighted Average M2</t>
  </si>
  <si>
    <t>Xbar</t>
  </si>
  <si>
    <t xml:space="preserve"> =</t>
  </si>
  <si>
    <t>Sample Mean</t>
  </si>
  <si>
    <t>Particular Value</t>
  </si>
  <si>
    <t>∑</t>
  </si>
  <si>
    <t>"Xbar"</t>
  </si>
  <si>
    <t>"x sub i"</t>
  </si>
  <si>
    <t>Greek Letter used for "adding"</t>
  </si>
  <si>
    <t>n</t>
  </si>
  <si>
    <t>"n"</t>
  </si>
  <si>
    <t>"Sigma"</t>
  </si>
  <si>
    <t>xi</t>
  </si>
  <si>
    <t>µ</t>
  </si>
  <si>
    <t>N</t>
  </si>
  <si>
    <t>"N"</t>
  </si>
  <si>
    <t>"Mew"</t>
  </si>
  <si>
    <t>Sort, then take the one in the middle. If count odd, take one in middle, if even, average middle two.</t>
  </si>
  <si>
    <t>Marks the point in the sorted list (an actual number) where 50% of the numbers are above and 50% of the numbers are below</t>
  </si>
  <si>
    <t xml:space="preserve">Excel Magic Trick 1118: MODE for Text Values, Extract Word That Occurs Most Frequently </t>
  </si>
  <si>
    <t>https://www.youtube.com/watch?v=pki8C60Diz0</t>
  </si>
  <si>
    <t xml:space="preserve">Excel Magic Trick 973: List Multiple MODEs in Excel 2007 or earlier: COUNTIF or PivotTable </t>
  </si>
  <si>
    <t>https://www.youtube.com/watch?v=NjV4BZZRAQY</t>
  </si>
  <si>
    <t>Weighted Average M3</t>
  </si>
  <si>
    <t>Weighted Average M4</t>
  </si>
  <si>
    <t>M3</t>
  </si>
  <si>
    <r>
      <t>Price per Unit x</t>
    </r>
    <r>
      <rPr>
        <b/>
        <vertAlign val="subscript"/>
        <sz val="11"/>
        <color theme="0"/>
        <rFont val="Calibri"/>
        <family val="2"/>
        <scheme val="minor"/>
      </rPr>
      <t>i</t>
    </r>
  </si>
  <si>
    <r>
      <t>Quantity Purchased w</t>
    </r>
    <r>
      <rPr>
        <b/>
        <vertAlign val="subscript"/>
        <sz val="11"/>
        <color theme="0"/>
        <rFont val="Calibri"/>
        <family val="2"/>
        <scheme val="minor"/>
      </rPr>
      <t>i</t>
    </r>
  </si>
  <si>
    <r>
      <t>w</t>
    </r>
    <r>
      <rPr>
        <b/>
        <vertAlign val="subscript"/>
        <sz val="11"/>
        <color theme="0"/>
        <rFont val="Calibri"/>
        <family val="2"/>
        <scheme val="minor"/>
      </rPr>
      <t>i</t>
    </r>
    <r>
      <rPr>
        <b/>
        <sz val="11"/>
        <color theme="0"/>
        <rFont val="Calibri"/>
        <family val="2"/>
        <scheme val="minor"/>
      </rPr>
      <t xml:space="preserve"> * x</t>
    </r>
    <r>
      <rPr>
        <b/>
        <vertAlign val="subscript"/>
        <sz val="11"/>
        <color theme="0"/>
        <rFont val="Calibri"/>
        <family val="2"/>
        <scheme val="minor"/>
      </rPr>
      <t>i</t>
    </r>
    <r>
      <rPr>
        <b/>
        <sz val="11"/>
        <color theme="0"/>
        <rFont val="Calibri"/>
        <family val="2"/>
        <scheme val="minor"/>
      </rPr>
      <t xml:space="preserve"> 
= M1</t>
    </r>
  </si>
  <si>
    <t>Chapter 5, they will call this sort of Weighted</t>
  </si>
  <si>
    <t>Average an "Expected Value"</t>
  </si>
  <si>
    <t>"w sub i"</t>
  </si>
  <si>
    <r>
      <t>w</t>
    </r>
    <r>
      <rPr>
        <b/>
        <vertAlign val="subscript"/>
        <sz val="11"/>
        <color rgb="FFFFFFFF"/>
        <rFont val="Calibri"/>
        <family val="2"/>
        <scheme val="minor"/>
      </rPr>
      <t>i</t>
    </r>
  </si>
  <si>
    <t>Particular Weight</t>
  </si>
  <si>
    <r>
      <t>w</t>
    </r>
    <r>
      <rPr>
        <b/>
        <vertAlign val="subscript"/>
        <sz val="11"/>
        <color rgb="FFFFFFFF"/>
        <rFont val="Calibri"/>
        <family val="2"/>
        <scheme val="minor"/>
      </rPr>
      <t>i</t>
    </r>
    <r>
      <rPr>
        <b/>
        <sz val="11"/>
        <color rgb="FFFFFFFF"/>
        <rFont val="Calibri"/>
        <family val="2"/>
        <scheme val="minor"/>
      </rPr>
      <t xml:space="preserve"> * x</t>
    </r>
    <r>
      <rPr>
        <b/>
        <vertAlign val="subscript"/>
        <sz val="11"/>
        <color rgb="FFFFFFFF"/>
        <rFont val="Calibri"/>
        <family val="2"/>
        <scheme val="minor"/>
      </rPr>
      <t>i</t>
    </r>
    <r>
      <rPr>
        <b/>
        <sz val="11"/>
        <color rgb="FFFFFFFF"/>
        <rFont val="Calibri"/>
        <family val="2"/>
        <scheme val="minor"/>
      </rPr>
      <t xml:space="preserve"> = M1</t>
    </r>
  </si>
  <si>
    <t>Mean M1</t>
  </si>
  <si>
    <t>Mean M2</t>
  </si>
  <si>
    <t>Quiz Scores (list of scores)</t>
  </si>
  <si>
    <t>Adj Close</t>
  </si>
  <si>
    <t>Returns for MSFT stock:</t>
  </si>
  <si>
    <t>Prove it!</t>
  </si>
  <si>
    <t>GeoMean</t>
  </si>
  <si>
    <t>% Change from Prev (Growth Rate)</t>
  </si>
  <si>
    <t>FV formula = Beg*(1+rate)^n</t>
  </si>
  <si>
    <t>Count, n</t>
  </si>
  <si>
    <t>Arithmetic Mean overstates the return!</t>
  </si>
  <si>
    <t>Geomean is for multiplicative processes</t>
  </si>
  <si>
    <t>Growth Factor</t>
  </si>
  <si>
    <t>Growth Rate</t>
  </si>
  <si>
    <t>Start</t>
  </si>
  <si>
    <t>End</t>
  </si>
  <si>
    <r>
      <t>(GM1 = X</t>
    </r>
    <r>
      <rPr>
        <vertAlign val="subscript"/>
        <sz val="11"/>
        <color theme="1"/>
        <rFont val="Calibri"/>
        <family val="2"/>
        <scheme val="minor"/>
      </rPr>
      <t>1</t>
    </r>
    <r>
      <rPr>
        <sz val="11"/>
        <color theme="1"/>
        <rFont val="Calibri"/>
        <family val="2"/>
        <scheme val="minor"/>
      </rPr>
      <t>*X</t>
    </r>
    <r>
      <rPr>
        <vertAlign val="subscript"/>
        <sz val="11"/>
        <color theme="1"/>
        <rFont val="Calibri"/>
        <family val="2"/>
        <scheme val="minor"/>
      </rPr>
      <t>2</t>
    </r>
    <r>
      <rPr>
        <sz val="11"/>
        <color theme="1"/>
        <rFont val="Calibri"/>
        <family val="2"/>
        <scheme val="minor"/>
      </rPr>
      <t>*…X</t>
    </r>
    <r>
      <rPr>
        <vertAlign val="subscript"/>
        <sz val="11"/>
        <color theme="1"/>
        <rFont val="Calibri"/>
        <family val="2"/>
        <scheme val="minor"/>
      </rPr>
      <t>n</t>
    </r>
    <r>
      <rPr>
        <sz val="11"/>
        <color theme="1"/>
        <rFont val="Calibri"/>
        <family val="2"/>
        <scheme val="minor"/>
      </rPr>
      <t>)^(1/n)-1</t>
    </r>
  </si>
  <si>
    <t>(End/Beg)^(1/n)-1</t>
  </si>
  <si>
    <t>Marks the point in the ascending sorted list (an actual number) where approximately X% of the numbers are below and approximately 1-X% of the numbers are above the marking point.</t>
  </si>
  <si>
    <t>Video about another method for calculating percentile:</t>
  </si>
  <si>
    <t xml:space="preserve">Excel 2010 Statistics #27: Excel 2010 Functions for Percentile, Quartile and Rank </t>
  </si>
  <si>
    <t>https://www.youtube.com/watch?v=XllEMSjVGGk</t>
  </si>
  <si>
    <t>Entrance Exam Scores</t>
  </si>
  <si>
    <t>Your Score</t>
  </si>
  <si>
    <t>Name</t>
  </si>
  <si>
    <t>Jo</t>
  </si>
  <si>
    <t>Don</t>
  </si>
  <si>
    <t>Tyrone</t>
  </si>
  <si>
    <t>Chin</t>
  </si>
  <si>
    <t>Sioux</t>
  </si>
  <si>
    <t>Bob</t>
  </si>
  <si>
    <t>Minny</t>
  </si>
  <si>
    <t>Gigi</t>
  </si>
  <si>
    <t>Lim</t>
  </si>
  <si>
    <t>Chris</t>
  </si>
  <si>
    <t>Shelia</t>
  </si>
  <si>
    <t>Tommy</t>
  </si>
  <si>
    <t>Fran</t>
  </si>
  <si>
    <t>Homer</t>
  </si>
  <si>
    <t>Tina</t>
  </si>
  <si>
    <t>Sue</t>
  </si>
  <si>
    <t>Karen</t>
  </si>
  <si>
    <t>Your Name</t>
  </si>
  <si>
    <t>Position in List</t>
  </si>
  <si>
    <t>Formula for position = P%*(n+1)</t>
  </si>
  <si>
    <t>Percentile Marker</t>
  </si>
  <si>
    <t>Percentile Marker with PERCENTILE.EXC</t>
  </si>
  <si>
    <t>Company Policy with percentile</t>
  </si>
  <si>
    <t>Company Policy with quartile</t>
  </si>
  <si>
    <t>Percentile rank with PERCENTRANK.EXC</t>
  </si>
  <si>
    <t>Median = 50% Percentile Marker = "in the middle"</t>
  </si>
  <si>
    <t>Average Middle Two</t>
  </si>
  <si>
    <t>Quartile Marker with QUARTILE.EXC</t>
  </si>
  <si>
    <t>Quartile 1</t>
  </si>
  <si>
    <t>Quartile 2</t>
  </si>
  <si>
    <t>Quartile 3</t>
  </si>
  <si>
    <t>Percentile</t>
  </si>
  <si>
    <t>PERCENTILE.EXC, exclude 1 and 0, where 1 = max and 0 = min</t>
  </si>
  <si>
    <t>Function</t>
  </si>
  <si>
    <t>%</t>
  </si>
  <si>
    <t>Result</t>
  </si>
  <si>
    <t>PERCENTILE.EXC</t>
  </si>
  <si>
    <t>PERCENTILE.INC</t>
  </si>
  <si>
    <t>QUARTILE.EXC</t>
  </si>
  <si>
    <t>QUARTILE.INC</t>
  </si>
  <si>
    <t>PERCENTRANK.EXC</t>
  </si>
  <si>
    <t>PERCENTRANK.INC</t>
  </si>
  <si>
    <t>P%</t>
  </si>
  <si>
    <t>Quartile</t>
  </si>
  <si>
    <t>Marker</t>
  </si>
  <si>
    <t>Inclusive Example:</t>
  </si>
  <si>
    <t>Quintiles (5 parts with 4 markers):</t>
  </si>
  <si>
    <t>Marker 1</t>
  </si>
  <si>
    <t>Marker 2</t>
  </si>
  <si>
    <t>Marker 3</t>
  </si>
  <si>
    <t>Marker 4</t>
  </si>
  <si>
    <t>Marker 5</t>
  </si>
  <si>
    <t>Marker 6</t>
  </si>
  <si>
    <t>Marker 7</t>
  </si>
  <si>
    <t>Marker 8</t>
  </si>
  <si>
    <t>Marker 9</t>
  </si>
  <si>
    <t>Age</t>
  </si>
  <si>
    <t>Quantitative: Integer, COUNTIFS</t>
  </si>
  <si>
    <t>Lower</t>
  </si>
  <si>
    <t>Upper</t>
  </si>
  <si>
    <t>Midpoint</t>
  </si>
  <si>
    <t>Min</t>
  </si>
  <si>
    <t>Max</t>
  </si>
  <si>
    <t>Average Age</t>
  </si>
  <si>
    <t>Average Age from Grouped Data</t>
  </si>
  <si>
    <t>** will not be the same as actual mean because we are</t>
  </si>
  <si>
    <t>estimating the data points when we use midpoint for the</t>
  </si>
  <si>
    <t>unknown data points</t>
  </si>
  <si>
    <t>Increment For FD</t>
  </si>
  <si>
    <t>Remove 5% of smallest and largest values from data set. Then calculate the Mean</t>
  </si>
  <si>
    <t>trim</t>
  </si>
  <si>
    <t>No</t>
  </si>
  <si>
    <t>Salaries</t>
  </si>
  <si>
    <t>n =</t>
  </si>
  <si>
    <t># values to drop</t>
  </si>
  <si>
    <t>Round up to integer</t>
  </si>
  <si>
    <t>Method 1</t>
  </si>
  <si>
    <t>Trimmed Mean</t>
  </si>
  <si>
    <t>GeoMean, M1</t>
  </si>
  <si>
    <t>Growth Rate + 1 = Growth Factor</t>
  </si>
  <si>
    <t>"Rates of Change" and "Growth Rates" are synonyms</t>
  </si>
  <si>
    <t>Arithmetic Mean overestimates</t>
  </si>
  <si>
    <t>Use when you are given all the Growth Rates</t>
  </si>
  <si>
    <t>Use when you are given the Begin Value, End Value and the number of periods</t>
  </si>
  <si>
    <t>Geometric Mean Formula 1:</t>
  </si>
  <si>
    <t>Geometric Mean Formula 2:</t>
  </si>
  <si>
    <t>True "Average" Compounding Rate per Period</t>
  </si>
  <si>
    <t>GeoMean From Just Start and End and number of periods</t>
  </si>
  <si>
    <t>GeoMean, single Cell Formula</t>
  </si>
  <si>
    <t>Average Compound Factor</t>
  </si>
  <si>
    <t>Average Compound Rate</t>
  </si>
  <si>
    <t>Year</t>
  </si>
  <si>
    <t>Month</t>
  </si>
  <si>
    <t>Order 1</t>
  </si>
  <si>
    <t>Order 2</t>
  </si>
  <si>
    <t>Order 3</t>
  </si>
  <si>
    <t>Order 4</t>
  </si>
  <si>
    <t>Order 5</t>
  </si>
  <si>
    <t>Order 6</t>
  </si>
  <si>
    <t>Order 7</t>
  </si>
  <si>
    <t>Order 8</t>
  </si>
  <si>
    <t>Order 9</t>
  </si>
  <si>
    <t>Order 10</t>
  </si>
  <si>
    <t>Order 11</t>
  </si>
  <si>
    <t>Order 12</t>
  </si>
  <si>
    <t>Order 13</t>
  </si>
  <si>
    <t>Order 14</t>
  </si>
  <si>
    <t>Order 15</t>
  </si>
  <si>
    <t>X</t>
  </si>
  <si>
    <t>Average Stock A</t>
  </si>
  <si>
    <t>Average Stock B</t>
  </si>
  <si>
    <t>Ave Hours/Week Job 1</t>
  </si>
  <si>
    <t>Ave Hours/Week Job 2</t>
  </si>
  <si>
    <t>Based on Average Returns, which stock do you prefer?</t>
  </si>
  <si>
    <t>Return Bins</t>
  </si>
  <si>
    <t>Hour Bins</t>
  </si>
  <si>
    <t>Stock Returns B</t>
  </si>
  <si>
    <t>Stock Returns A</t>
  </si>
  <si>
    <t>Count</t>
  </si>
  <si>
    <t>RF Stock A</t>
  </si>
  <si>
    <t>RF Stock B</t>
  </si>
  <si>
    <t>RF Job 1</t>
  </si>
  <si>
    <t>RF Job 2</t>
  </si>
  <si>
    <t>Days</t>
  </si>
  <si>
    <t>Variability</t>
  </si>
  <si>
    <t>Dispersion</t>
  </si>
  <si>
    <t>Spread In Data</t>
  </si>
  <si>
    <t>How Spread Out Is Data?</t>
  </si>
  <si>
    <t>Are the Data Points Clustered Around the Mean?</t>
  </si>
  <si>
    <t>Does the Mean Fairly Represent the Data Points?</t>
  </si>
  <si>
    <t># of Hours/Week worked Job 1</t>
  </si>
  <si>
    <t># of Hours/Week worked Job 2</t>
  </si>
  <si>
    <t>Visually Portray Variability</t>
  </si>
  <si>
    <t>Create X-Y Scatter Diagram</t>
  </si>
  <si>
    <t>Max - Min</t>
  </si>
  <si>
    <t>Simple to calculate. It is very sensitive to the smallest and largest data values (extreme values).</t>
  </si>
  <si>
    <t>Quartile 3 - Quartile 1</t>
  </si>
  <si>
    <t>The range for the middle 50% of the data. It overcomes the sensitivity to extreme data values.</t>
  </si>
  <si>
    <t>Order #</t>
  </si>
  <si>
    <t>(EndValue/BegValue)^(1/NumberOfPeriods)-1</t>
  </si>
  <si>
    <t>Arithmetic Mean is for additive processes</t>
  </si>
  <si>
    <t>Arithmetic Mean is for additive processes; Geomean is for multiplicative processes</t>
  </si>
  <si>
    <t>Simple to calculate. Sensitive to extreme values</t>
  </si>
  <si>
    <t>The range for the middle 50% of the data. It overcomes the sensitivity to extreme values</t>
  </si>
  <si>
    <t>s</t>
  </si>
  <si>
    <t>Sample Standard Deviation</t>
  </si>
  <si>
    <t>"s"</t>
  </si>
  <si>
    <t>GR</t>
  </si>
  <si>
    <t>Growth Rate or Rate of Change for period</t>
  </si>
  <si>
    <t>Beg Value</t>
  </si>
  <si>
    <t>Number Of Total Periods</t>
  </si>
  <si>
    <t>Value at beginning of first period</t>
  </si>
  <si>
    <t>"Beg"</t>
  </si>
  <si>
    <t>"End"</t>
  </si>
  <si>
    <t>Value at end of last period</t>
  </si>
  <si>
    <t>End Value</t>
  </si>
  <si>
    <t>GR + 1</t>
  </si>
  <si>
    <t>Factor you can multiply by Beg to get End</t>
  </si>
  <si>
    <t>Count of sample items</t>
  </si>
  <si>
    <t>Provides information about how the data are spread over an interval from smallest to largest value.</t>
  </si>
  <si>
    <t>PERCENTILE.INC, include 1 and 0, where 1 = max and 0 = min</t>
  </si>
  <si>
    <r>
      <t>Must enter array formula with:</t>
    </r>
    <r>
      <rPr>
        <sz val="11"/>
        <color rgb="FFFF0000"/>
        <rFont val="Calibri"/>
        <family val="2"/>
        <scheme val="minor"/>
      </rPr>
      <t xml:space="preserve"> </t>
    </r>
    <r>
      <rPr>
        <b/>
        <sz val="11"/>
        <color rgb="FFFF0000"/>
        <rFont val="Calibri"/>
        <family val="2"/>
        <scheme val="minor"/>
      </rPr>
      <t>Ctrl + Shift + Enter</t>
    </r>
    <r>
      <rPr>
        <sz val="11"/>
        <rFont val="Calibri"/>
        <family val="2"/>
        <scheme val="minor"/>
      </rPr>
      <t>,</t>
    </r>
    <r>
      <rPr>
        <sz val="11"/>
        <color rgb="FFFF0000"/>
        <rFont val="Calibri"/>
        <family val="2"/>
        <scheme val="minor"/>
      </rPr>
      <t xml:space="preserve"> </t>
    </r>
    <r>
      <rPr>
        <sz val="11"/>
        <rFont val="Calibri"/>
        <family val="2"/>
        <scheme val="minor"/>
      </rPr>
      <t>then verify that</t>
    </r>
    <r>
      <rPr>
        <sz val="11"/>
        <color rgb="FFFF0000"/>
        <rFont val="Calibri"/>
        <family val="2"/>
        <scheme val="minor"/>
      </rPr>
      <t xml:space="preserve"> </t>
    </r>
    <r>
      <rPr>
        <b/>
        <sz val="11"/>
        <color rgb="FFFF0000"/>
        <rFont val="Calibri"/>
        <family val="2"/>
        <scheme val="minor"/>
      </rPr>
      <t>curly brackets can be seen in formula bar</t>
    </r>
    <r>
      <rPr>
        <sz val="11"/>
        <rFont val="Calibri"/>
        <family val="2"/>
        <scheme val="minor"/>
      </rPr>
      <t>.</t>
    </r>
  </si>
  <si>
    <t>Population Mean</t>
  </si>
  <si>
    <t>Count of population items</t>
  </si>
  <si>
    <t>Population Data</t>
  </si>
  <si>
    <t>Measures of Distribution of Shape:</t>
  </si>
  <si>
    <t>Remember Histograms</t>
  </si>
  <si>
    <t>"sigma"</t>
  </si>
  <si>
    <t>Sales Reps</t>
  </si>
  <si>
    <t>Sales</t>
  </si>
  <si>
    <t>RANK.EQ</t>
  </si>
  <si>
    <t>RANK.AVE</t>
  </si>
  <si>
    <t>Phil</t>
  </si>
  <si>
    <t>Herb</t>
  </si>
  <si>
    <t>Luong</t>
  </si>
  <si>
    <t>Fred</t>
  </si>
  <si>
    <t>Choi</t>
  </si>
  <si>
    <r>
      <t xml:space="preserve">RANK.EQ or RANK.AVE function:
</t>
    </r>
    <r>
      <rPr>
        <b/>
        <i/>
        <sz val="11"/>
        <color indexed="8"/>
        <rFont val="Calibri"/>
        <family val="2"/>
      </rPr>
      <t>ref</t>
    </r>
    <r>
      <rPr>
        <sz val="11"/>
        <color theme="1"/>
        <rFont val="Calibri"/>
        <family val="2"/>
        <scheme val="minor"/>
      </rPr>
      <t xml:space="preserve"> is all the values,
</t>
    </r>
    <r>
      <rPr>
        <b/>
        <i/>
        <sz val="11"/>
        <color indexed="8"/>
        <rFont val="Calibri"/>
        <family val="2"/>
      </rPr>
      <t>number</t>
    </r>
    <r>
      <rPr>
        <sz val="11"/>
        <color theme="1"/>
        <rFont val="Calibri"/>
        <family val="2"/>
        <scheme val="minor"/>
      </rPr>
      <t xml:space="preserve"> is the particular value to rank,
0 = big to small (</t>
    </r>
    <r>
      <rPr>
        <b/>
        <i/>
        <sz val="11"/>
        <color indexed="8"/>
        <rFont val="Calibri"/>
        <family val="2"/>
      </rPr>
      <t>order</t>
    </r>
    <r>
      <rPr>
        <sz val="11"/>
        <color theme="1"/>
        <rFont val="Calibri"/>
        <family val="2"/>
        <scheme val="minor"/>
      </rPr>
      <t>)</t>
    </r>
  </si>
  <si>
    <t>Screen shot of Rank &amp; Percentile Excel tool:</t>
  </si>
  <si>
    <t>Rank</t>
  </si>
  <si>
    <t>Counting, 1st, 2nd, 3rd for "Biggest to Smallest" or "Smallest to Biggest"</t>
  </si>
  <si>
    <t>PERCENTRANK.EXC opposite of PERCENTILE.EXC. Whereas PERCENTILE.EXC calculates the marker value when you give it a P%, PERCENTRANK.EXC calculates P% when you give it a value.</t>
  </si>
  <si>
    <t>Point</t>
  </si>
  <si>
    <t>Percent</t>
  </si>
  <si>
    <t>Deviation</t>
  </si>
  <si>
    <t>How far one datum is from the mean</t>
  </si>
  <si>
    <t>Standard Deviation Is Like An Average Of The Deviations</t>
  </si>
  <si>
    <t>Standard Deviation tells us how fairly the mean represents its data points</t>
  </si>
  <si>
    <t>Standard Deviation tells us how clustered the data points are around the mean</t>
  </si>
  <si>
    <t>A Numerical Measure that says how much variability there is in the data points</t>
  </si>
  <si>
    <t>Variance uses all the data points, not just some like Range and Interquartile Range</t>
  </si>
  <si>
    <t>"Deviation about the mean"</t>
  </si>
  <si>
    <t>How far one datum is from the mean. "How far above or below the mean is the particular value?"</t>
  </si>
  <si>
    <t>Standard Deviation uses all the data points, not just some like Range and Interquartile Range</t>
  </si>
  <si>
    <t>Variance has squared units, which makes interpreting it difficult. Standard Deviation undoes the squared units and is thus easier to interpret and is more commonly used</t>
  </si>
  <si>
    <t>For any data set, the sum of the deviations is always zero!!!! This is why mathematically, we either square (Variance or Standard Deviation) or take the absolute value (Mean Absolute Value)</t>
  </si>
  <si>
    <t>Standard Deviation = SD</t>
  </si>
  <si>
    <r>
      <t xml:space="preserve">Population SD = "little sigma" = </t>
    </r>
    <r>
      <rPr>
        <sz val="11"/>
        <color theme="1"/>
        <rFont val="Symbol"/>
        <family val="1"/>
        <charset val="2"/>
      </rPr>
      <t>s</t>
    </r>
    <r>
      <rPr>
        <sz val="11"/>
        <color theme="1"/>
        <rFont val="Calibri"/>
        <family val="2"/>
      </rPr>
      <t xml:space="preserve"> ; Sample SD = s</t>
    </r>
  </si>
  <si>
    <t>Use STDEV. Function</t>
  </si>
  <si>
    <t>Use RANK.AVG or RANK.EQ functions</t>
  </si>
  <si>
    <t>Interpretation of Standard Deviation:</t>
  </si>
  <si>
    <t>The sample standard deviation is a point estimator of the population standard deviation</t>
  </si>
  <si>
    <t>For financial assets standard deviation is a measure of risk or fluctuation in asset value</t>
  </si>
  <si>
    <t>If you add Percent Number Formatting, it shows SD as a percentage of Mean</t>
  </si>
  <si>
    <t>Use Coefficient Of Variation to compare:</t>
  </si>
  <si>
    <t>1) Data in different units.</t>
  </si>
  <si>
    <t xml:space="preserve">     or</t>
  </si>
  <si>
    <t>2) Data in the same units, but the means are far apart.</t>
  </si>
  <si>
    <t>Formula = SD/Mean</t>
  </si>
  <si>
    <t>What percentage is SD in relation to the Mean?</t>
  </si>
  <si>
    <t>Coefficient of Variation converts the SD to SD per unit of Mean</t>
  </si>
  <si>
    <t>Excel Notes:</t>
  </si>
  <si>
    <t>Descriptive Statistics Tool to quickly calculate many statistics quickly</t>
  </si>
  <si>
    <t>This feature calculates many statistics quickly, but the output in not linked to the source data cells and will NOT update if source data changes, like formulas would</t>
  </si>
  <si>
    <t>Standard Error</t>
  </si>
  <si>
    <t>Sample Variance</t>
  </si>
  <si>
    <t>Kurtosis</t>
  </si>
  <si>
    <t>Skewness</t>
  </si>
  <si>
    <t>Minimum</t>
  </si>
  <si>
    <t>Maximum</t>
  </si>
  <si>
    <t>Sum</t>
  </si>
  <si>
    <t>Data Ribbon Tab, Analysis group, Data Analysis button, select "Descriptive Statistics", in Input Range text box select column of values and Field Name, select dialog button for "Columns", check the check box for "Labels in First Row", select output location you want, check the check box for "Summary Statistics"</t>
  </si>
  <si>
    <t>ALTERNATIVE TO CALCULATE Sample SD</t>
  </si>
  <si>
    <t>Alternative for variability measure called Mean Absolute Error</t>
  </si>
  <si>
    <t>These two not required for this class:</t>
  </si>
  <si>
    <t>Count -1</t>
  </si>
  <si>
    <t>Sample data divided by just the count underestimates</t>
  </si>
  <si>
    <t>Mean = Xbar</t>
  </si>
  <si>
    <t>What minus one does: 10/5 = 2, but 10/(5-1) = 2.5</t>
  </si>
  <si>
    <r>
      <t>Sample Variance = s</t>
    </r>
    <r>
      <rPr>
        <vertAlign val="superscript"/>
        <sz val="11"/>
        <color theme="1"/>
        <rFont val="Calibri"/>
        <family val="2"/>
        <scheme val="minor"/>
      </rPr>
      <t>2</t>
    </r>
  </si>
  <si>
    <t>Units are squared</t>
  </si>
  <si>
    <t>Sample Standard Deviation = s</t>
  </si>
  <si>
    <t>Square root to get back to same unit</t>
  </si>
  <si>
    <t>STDEV.S (Standard Deviation for Sample)</t>
  </si>
  <si>
    <t>The sample SD, s, is a point estimator  of the population SD, sigma σ</t>
  </si>
  <si>
    <t>Sum Deviations ALWAYS = 0!</t>
  </si>
  <si>
    <t>Why we have to square!!!</t>
  </si>
  <si>
    <r>
      <t>x</t>
    </r>
    <r>
      <rPr>
        <vertAlign val="subscript"/>
        <sz val="11"/>
        <color theme="0"/>
        <rFont val="Calibri"/>
        <family val="2"/>
        <scheme val="minor"/>
      </rPr>
      <t>i</t>
    </r>
    <r>
      <rPr>
        <sz val="11"/>
        <color theme="0"/>
        <rFont val="Calibri"/>
        <family val="2"/>
        <scheme val="minor"/>
      </rPr>
      <t>^2</t>
    </r>
  </si>
  <si>
    <t>ABS(Xi - Xbar)</t>
  </si>
  <si>
    <t>VAR.S (Variance for Sample)</t>
  </si>
  <si>
    <t>AVEDEV (Mean Absolute Error or Average Absolute Deviations)</t>
  </si>
  <si>
    <t>Often used when you have "Growth Rates" or "Rates of Change"</t>
  </si>
  <si>
    <t>Growth Rates or Rate of Change = % change from one period to the next</t>
  </si>
  <si>
    <t>Standard Deviation does not have squared units (like Variance) and is thus easier to interpret; the standard deviation has the same units as the data!!</t>
  </si>
  <si>
    <t>For every one unit of mean, what is the SD?</t>
  </si>
  <si>
    <t>Growth Factor = Growth Rate + 1 = Factor you can multiply by Begin Value to get End Value. Growth Factor ALWAYS &gt;= 0</t>
  </si>
  <si>
    <t>**Authors of our textbook do an admirable job of pointing this out, especially</t>
  </si>
  <si>
    <t>given that some finance textbooks do not</t>
  </si>
  <si>
    <t>Mean Days for S 1</t>
  </si>
  <si>
    <t>Mean Days for S 2</t>
  </si>
  <si>
    <t>Wage Data</t>
  </si>
  <si>
    <t>Sample1</t>
  </si>
  <si>
    <t>Sample2</t>
  </si>
  <si>
    <t>STDEV.S</t>
  </si>
  <si>
    <t>STDEV.P</t>
  </si>
  <si>
    <t>Set 1</t>
  </si>
  <si>
    <t>Create 1</t>
  </si>
  <si>
    <t>Create 2</t>
  </si>
  <si>
    <t>Compare Relative Variability (Dispersion) in Two Distributions</t>
  </si>
  <si>
    <t>Coefficient of Variance</t>
  </si>
  <si>
    <t>There is more variability relative to the mean in the distribution of bonus paid
compared with the distribution of years worked</t>
  </si>
  <si>
    <t>*Notice here that the units cancel out</t>
  </si>
  <si>
    <t>Sample of 200 sales from www.boomerangs.com. Use Descriptive Statistics to reveal patterns in raw data.</t>
  </si>
  <si>
    <t>No.</t>
  </si>
  <si>
    <t>Coupon</t>
  </si>
  <si>
    <t>Payment Method</t>
  </si>
  <si>
    <t>Region</t>
  </si>
  <si>
    <t>Price</t>
  </si>
  <si>
    <t>Units</t>
  </si>
  <si>
    <t>Amount of Transaction (Revenue)</t>
  </si>
  <si>
    <t>Product (Boomerang Name)</t>
  </si>
  <si>
    <t>Customer Age</t>
  </si>
  <si>
    <t>Range (Flight out meters)</t>
  </si>
  <si>
    <t>Mastercard</t>
  </si>
  <si>
    <t>West</t>
  </si>
  <si>
    <t>Carlota</t>
  </si>
  <si>
    <t>Yanaki</t>
  </si>
  <si>
    <t>No Coupon</t>
  </si>
  <si>
    <t>East</t>
  </si>
  <si>
    <t>Aspen</t>
  </si>
  <si>
    <t>American Express</t>
  </si>
  <si>
    <t>Visa</t>
  </si>
  <si>
    <t>PayPal</t>
  </si>
  <si>
    <t>South</t>
  </si>
  <si>
    <t>Discover</t>
  </si>
  <si>
    <t>Mid West</t>
  </si>
  <si>
    <t>Sunset</t>
  </si>
  <si>
    <t>Delicate Arch</t>
  </si>
  <si>
    <t>Bellen</t>
  </si>
  <si>
    <t>Number of Days to Fill Order for Custom Birch Plywood for boomerang manufacturer</t>
  </si>
  <si>
    <t>Banderson's</t>
  </si>
  <si>
    <t>Plywood &amp; Floor</t>
  </si>
  <si>
    <t>Sample SD = s</t>
  </si>
  <si>
    <t>Although they both deliver in an average of 9 days, Banderson's has a standard deviation of</t>
  </si>
  <si>
    <t>about 3.5 days and Plywood and Floor has a standard deviation of about 1.2 days.</t>
  </si>
  <si>
    <t>For planning business activities, a smaller standard Deviation (average deviation) is more</t>
  </si>
  <si>
    <t>helpful and reliable.</t>
  </si>
  <si>
    <t>Days to fill order Banderson's</t>
  </si>
  <si>
    <t>Ave Days To Fill Order, Banderson's</t>
  </si>
  <si>
    <t>RF Banderson's</t>
  </si>
  <si>
    <t>Days to fill order Plywood &amp; Floor</t>
  </si>
  <si>
    <t>RF Plywood &amp; Floor</t>
  </si>
  <si>
    <t>Days to fill order Banderson's, xi</t>
  </si>
  <si>
    <t>Which Mean More Fairly Represents Its Data Points?</t>
  </si>
  <si>
    <t>Gas Prices Burien</t>
  </si>
  <si>
    <t>Gas Prices Seattle</t>
  </si>
  <si>
    <t>Where are gas prices more volatile?</t>
  </si>
  <si>
    <t>Sample 1</t>
  </si>
  <si>
    <t>Sample 2</t>
  </si>
  <si>
    <t>Sample 3</t>
  </si>
  <si>
    <t>Sample 4</t>
  </si>
  <si>
    <t>Sample 5</t>
  </si>
  <si>
    <t>Sample 6</t>
  </si>
  <si>
    <t>Sample 7</t>
  </si>
  <si>
    <t>Sample 8</t>
  </si>
  <si>
    <t>Sample 9</t>
  </si>
  <si>
    <t>Sample 10</t>
  </si>
  <si>
    <t>Sample 11</t>
  </si>
  <si>
    <t>Sample 12</t>
  </si>
  <si>
    <t>Sample 13</t>
  </si>
  <si>
    <t>Sample 14</t>
  </si>
  <si>
    <t>Sample 15</t>
  </si>
  <si>
    <t>Based on Average Days To Fill Order, which supplier is more reliable?</t>
  </si>
  <si>
    <t>Distribution, Relative Location, Outliers</t>
  </si>
  <si>
    <t>Histograms</t>
  </si>
  <si>
    <t>A few short column heights to the left means skew negative of left</t>
  </si>
  <si>
    <t>A few tall column heights to the right means skew positive or right</t>
  </si>
  <si>
    <t>Use SKEW function</t>
  </si>
  <si>
    <t>Left or Negative Skew</t>
  </si>
  <si>
    <t>Right or Positive Skew</t>
  </si>
  <si>
    <t>Mean usually less than Median</t>
  </si>
  <si>
    <t>Mean usually greater than Median</t>
  </si>
  <si>
    <t>Mean and Median equal</t>
  </si>
  <si>
    <t>A few small values pull the Mean down away from Median</t>
  </si>
  <si>
    <t>A smaller standard deviation indicates that there is less variation in the number of</t>
  </si>
  <si>
    <t>days it will take to deliver the custom birch plywood.</t>
  </si>
  <si>
    <t xml:space="preserve">Relative Location = </t>
  </si>
  <si>
    <t>% Frequency</t>
  </si>
  <si>
    <t>Class</t>
  </si>
  <si>
    <t>This is a judgment call (the art side of statistics)</t>
  </si>
  <si>
    <t>Lower Limit of First Class (look at MIN then estimate)</t>
  </si>
  <si>
    <t xml:space="preserve">Class width = </t>
  </si>
  <si>
    <t># of Classes = k =</t>
  </si>
  <si>
    <t>MIN function</t>
  </si>
  <si>
    <t>MAX function</t>
  </si>
  <si>
    <t>COUNT function = No. in Sample = n =</t>
  </si>
  <si>
    <t>Tests Scores can be bi-modal</t>
  </si>
  <si>
    <t>Tests Scores often Skewed Left - a few small values will tend to pull the Average (Mean) down</t>
  </si>
  <si>
    <t>Death Rates</t>
  </si>
  <si>
    <t>Other Examples of Skew Left/Negative:</t>
  </si>
  <si>
    <t>For Quantitative Data, Create Frequency Distribution and Histogram</t>
  </si>
  <si>
    <t>Human Height often Close to Symmetrical - bell shape - high in the middle and tapering off in both directions</t>
  </si>
  <si>
    <t>SAT scores</t>
  </si>
  <si>
    <t>Cereal box weight</t>
  </si>
  <si>
    <t>Human height &amp; weight</t>
  </si>
  <si>
    <t>Few population distributions have a Bell Shape, but some are close:</t>
  </si>
  <si>
    <t>Notes for Bell Shaped Curve:</t>
  </si>
  <si>
    <t>Skew:</t>
  </si>
  <si>
    <t>the likelihood of getting a high value is low: thus positive/right skew</t>
  </si>
  <si>
    <t>All these examples start at zero and have no theoretical upper limit, but</t>
  </si>
  <si>
    <t>House Prices ($)  often Skewed Right - a few small values will tend to pull the Average (Mean) down</t>
  </si>
  <si>
    <t>Manufacturing Defects</t>
  </si>
  <si>
    <t>Data Entry Errors</t>
  </si>
  <si>
    <t>Notes about Skew Right:</t>
  </si>
  <si>
    <t>Last 2 range</t>
  </si>
  <si>
    <t>Amount Spent at Department Store ($) often Highly Skewed Right - a few small values will tend to pull the Average (Mean) down</t>
  </si>
  <si>
    <t>Skew tells to which way the distribution is tilting. If the average is being pulled up by a few big values, the skew is positive, or to the right. If the average is being pulled down by a few small values, the skew is negative, or to the left.</t>
  </si>
  <si>
    <t>Skew measures the shape of the distribution</t>
  </si>
  <si>
    <r>
      <t>z = (Particular Value - Mean)/StandardDeviation = z</t>
    </r>
    <r>
      <rPr>
        <vertAlign val="subscript"/>
        <sz val="11"/>
        <rFont val="Calibri"/>
        <family val="2"/>
        <scheme val="minor"/>
      </rPr>
      <t>i</t>
    </r>
    <r>
      <rPr>
        <sz val="11"/>
        <rFont val="Calibri"/>
        <family val="2"/>
        <scheme val="minor"/>
      </rPr>
      <t xml:space="preserve"> = (x</t>
    </r>
    <r>
      <rPr>
        <vertAlign val="subscript"/>
        <sz val="11"/>
        <rFont val="Calibri"/>
        <family val="2"/>
        <scheme val="minor"/>
      </rPr>
      <t>i</t>
    </r>
    <r>
      <rPr>
        <sz val="11"/>
        <rFont val="Calibri"/>
        <family val="2"/>
        <scheme val="minor"/>
      </rPr>
      <t>-Xbar)/s</t>
    </r>
  </si>
  <si>
    <t>Use STANDARDIZE function</t>
  </si>
  <si>
    <t>z Score = Standardized Value</t>
  </si>
  <si>
    <t>Observations in 2 different data sets that have the same z-score are said to have the same relative location or the same number of standard deviations away from the mean.</t>
  </si>
  <si>
    <r>
      <t>z</t>
    </r>
    <r>
      <rPr>
        <vertAlign val="subscript"/>
        <sz val="11"/>
        <color theme="1"/>
        <rFont val="Calibri"/>
        <family val="2"/>
        <scheme val="minor"/>
      </rPr>
      <t>i</t>
    </r>
    <r>
      <rPr>
        <sz val="11"/>
        <color theme="1"/>
        <rFont val="Calibri"/>
        <family val="2"/>
        <scheme val="minor"/>
      </rPr>
      <t xml:space="preserve"> &lt;  0, value below mean
z</t>
    </r>
    <r>
      <rPr>
        <vertAlign val="subscript"/>
        <sz val="11"/>
        <color theme="1"/>
        <rFont val="Calibri"/>
        <family val="2"/>
        <scheme val="minor"/>
      </rPr>
      <t>i</t>
    </r>
    <r>
      <rPr>
        <sz val="11"/>
        <color theme="1"/>
        <rFont val="Calibri"/>
        <family val="2"/>
        <scheme val="minor"/>
      </rPr>
      <t xml:space="preserve"> &gt;  0, value above mean
z</t>
    </r>
    <r>
      <rPr>
        <vertAlign val="subscript"/>
        <sz val="11"/>
        <color theme="1"/>
        <rFont val="Calibri"/>
        <family val="2"/>
        <scheme val="minor"/>
      </rPr>
      <t xml:space="preserve">i </t>
    </r>
    <r>
      <rPr>
        <sz val="11"/>
        <color theme="1"/>
        <rFont val="Calibri"/>
        <family val="2"/>
        <scheme val="minor"/>
      </rPr>
      <t>= 0, value is equal to mean</t>
    </r>
  </si>
  <si>
    <t>z score</t>
  </si>
  <si>
    <t>z = (x - Xbar)/s =</t>
  </si>
  <si>
    <t>STANDARDIZE function</t>
  </si>
  <si>
    <t>z</t>
  </si>
  <si>
    <t>Days To Fill Order</t>
  </si>
  <si>
    <t>Russian Mathematician, P.L. Chebyshev (1821-1894)</t>
  </si>
  <si>
    <t>Chebyshev's Theorem</t>
  </si>
  <si>
    <t xml:space="preserve">Rule:
At least (1 - 1/z^2) of the values in any data set will be
 within z standard deviations of the mean, where z is
 any value greater than 1.
</t>
  </si>
  <si>
    <t>Real power of this Theorem:
Applies to any data set regardless of the shape of the distribution of the data!</t>
  </si>
  <si>
    <t>Given the Proportions from Chebyshev's Theorem, what are the low and high values?</t>
  </si>
  <si>
    <t>Sample SD</t>
  </si>
  <si>
    <t>SD</t>
  </si>
  <si>
    <t>z =</t>
  </si>
  <si>
    <t>Test 1 Scores</t>
  </si>
  <si>
    <t>At least 0.75, or 75.00%, of the data values must be within z = 2 standard deviations of the mean</t>
  </si>
  <si>
    <t>At least 0.89, or 89.00%, of the data values must be within z = 3 standard deviations of the mean</t>
  </si>
  <si>
    <t>At least 0.94, or 94.00%, of the data values must be within z = 4 standard deviations of the mean</t>
  </si>
  <si>
    <t>Empirical Rule:</t>
  </si>
  <si>
    <t>1/2 area</t>
  </si>
  <si>
    <t xml:space="preserve"> +/- 3 SD</t>
  </si>
  <si>
    <t xml:space="preserve"> +/- 2 SD</t>
  </si>
  <si>
    <t xml:space="preserve"> +/- 1 SD</t>
  </si>
  <si>
    <t>.</t>
  </si>
  <si>
    <t>Upper Value</t>
  </si>
  <si>
    <t>Lower Values</t>
  </si>
  <si>
    <t>Percent =</t>
  </si>
  <si>
    <t># SD</t>
  </si>
  <si>
    <t>oz</t>
  </si>
  <si>
    <t>If the distribution of weights for a Lettuce Filling Machine are normally distributed (Bell Shape) with a mean of 13 oz and a standard deviation of .1 oz, what percent of the values should lie between 2 standard deviations and what are the low and high values associated with the percentage?</t>
  </si>
  <si>
    <t>An outlier is an unusually small or unusually large value in a data set.</t>
  </si>
  <si>
    <t>A data value with a z-score less than -3 or greater than +3 might be considered an outlier.</t>
  </si>
  <si>
    <t xml:space="preserve">   It might be:
1)an incorrectly recorded data value
2)a data value that was incorrectly included in the data set
3) a correctly recorded data value that belongs in
     the data set</t>
  </si>
  <si>
    <t>ABS is absolute Value function in Excel (Distance away from zero)</t>
  </si>
  <si>
    <t>Outlier = z &gt;3</t>
  </si>
  <si>
    <t>https://www.youtube.com/watch?v=WSflSmcNRFI</t>
  </si>
  <si>
    <t>Tukey, J.W. (1977). Exploratory Data Analysis. Reading, MA: Addison-Wesley.</t>
  </si>
  <si>
    <t>Hoaglin, D.C., Iglewicz, B., and Tukey, J.W. (1986). Performance of some resistant rules for outlier labeling, Journal of American Statistical Association, 81, 991-999.</t>
  </si>
  <si>
    <t>Hoaglin, D. C., and Iglewicz, B. (1987), Fine tuning some resistant rules for outlier labeling, Journal of American Statistical Association, 82, 1147-1149.</t>
  </si>
  <si>
    <t>https://www.youtube.com/watch?v=bRdC1u9veg8</t>
  </si>
  <si>
    <t>https://www.youtube.com/watch?v=2HmopqF6V6w</t>
  </si>
  <si>
    <t>Multiplier, g</t>
  </si>
  <si>
    <t># Outliers Above</t>
  </si>
  <si>
    <t># Outliers Below</t>
  </si>
  <si>
    <t>Upper Limit</t>
  </si>
  <si>
    <t>Lower Limit</t>
  </si>
  <si>
    <t>Y</t>
  </si>
  <si>
    <t>Plot Points:</t>
  </si>
  <si>
    <t>Q3</t>
  </si>
  <si>
    <t>Q2</t>
  </si>
  <si>
    <t>Q1</t>
  </si>
  <si>
    <t>Quiz Scores</t>
  </si>
  <si>
    <t>Picture Link:</t>
  </si>
  <si>
    <t>Add Lower Limit and Upper Limit as X-Y Scatter Line.</t>
  </si>
  <si>
    <t>Edit Source data for X - Y Scatter and change X to Mean Value and Y to 1.</t>
  </si>
  <si>
    <t>Change that data point to X - Y Scatter</t>
  </si>
  <si>
    <t>Add Mean to Chart</t>
  </si>
  <si>
    <t>Calculate Mean</t>
  </si>
  <si>
    <t>Add Error Bar to 4th part of bar with Plus / Custom / Positive = Max - Q3</t>
  </si>
  <si>
    <t>Add Error Bar to 2nd part of bar with Minus / Custom / Negative = Quartile 1 - MIN</t>
  </si>
  <si>
    <t>Add fill = "No Fill" to 1st two parts of bar and last</t>
  </si>
  <si>
    <t>Switch Row and Column</t>
  </si>
  <si>
    <t>Create Stacked Bar Chart</t>
  </si>
  <si>
    <t>Calculate the difference between each of the values: 1) Min - 0, 2) Q1 - MIN, 3) Q2 - Q1,  4) Q3 - Q3, 5) Max - Q3</t>
  </si>
  <si>
    <t>Calculate 5 number summary</t>
  </si>
  <si>
    <t>Excel Box Plot Notes:</t>
  </si>
  <si>
    <t>Scores</t>
  </si>
  <si>
    <t>differences</t>
  </si>
  <si>
    <t>Quartile 3 + 1.5*Interquartile Range</t>
  </si>
  <si>
    <t xml:space="preserve"> Quartile 1 - 1.5*Interquartile Range</t>
  </si>
  <si>
    <t>middle 50% of values</t>
  </si>
  <si>
    <t>MIN</t>
  </si>
  <si>
    <t>Test Scores</t>
  </si>
  <si>
    <t>CPA Scores 5</t>
  </si>
  <si>
    <t>CPA Scores 4</t>
  </si>
  <si>
    <t>CPA Scores 3</t>
  </si>
  <si>
    <t>CPA Scores 2</t>
  </si>
  <si>
    <t>CPA Scores 1</t>
  </si>
  <si>
    <t>Pos. Errors Bar</t>
  </si>
  <si>
    <t>Neg. Errors Bar</t>
  </si>
  <si>
    <t>Differences to Determine Bar Lengths</t>
  </si>
  <si>
    <t>Sample of Monthly Salary for Accounting in Oakland:</t>
  </si>
  <si>
    <t>MIN, MAX, QUARTILE.EXC Function</t>
  </si>
  <si>
    <t>For 5 Number Summary Use:</t>
  </si>
  <si>
    <t>Basis for build Box Plot</t>
  </si>
  <si>
    <t>Interquartile Range = Qart 3 - Quart 1 = range for middle 50%</t>
  </si>
  <si>
    <t>Range, Max - Min</t>
  </si>
  <si>
    <t>Maximum Value</t>
  </si>
  <si>
    <t>5 Number Summary Provides information like:</t>
  </si>
  <si>
    <t>y</t>
  </si>
  <si>
    <t>x</t>
  </si>
  <si>
    <t>Dynamic Ranges:</t>
  </si>
  <si>
    <t>Outliers Above</t>
  </si>
  <si>
    <t>Outliers Below</t>
  </si>
  <si>
    <t>Count Above Upper</t>
  </si>
  <si>
    <t>Count Below Lower</t>
  </si>
  <si>
    <t>Larget Value Inside Limit</t>
  </si>
  <si>
    <t>Smallest value Inside Limit</t>
  </si>
  <si>
    <t>Plot Stack Bar</t>
  </si>
  <si>
    <t>Uper Limits</t>
  </si>
  <si>
    <t>Lower Limits</t>
  </si>
  <si>
    <t>Salary</t>
  </si>
  <si>
    <t>Independent, Predictor Variable = x</t>
  </si>
  <si>
    <t>Dependent, Predicted Variable = y</t>
  </si>
  <si>
    <t>Direct, Positive Relationship: As x increases, y increases</t>
  </si>
  <si>
    <t>Indirect, Negative Relationship: As x increases, y decreases</t>
  </si>
  <si>
    <t>No relationship: no pattern can be seen</t>
  </si>
  <si>
    <t>Plot Markers: Move along x axis a given amount and then along the y axis a certain amount.</t>
  </si>
  <si>
    <t>Example 1:</t>
  </si>
  <si>
    <t>Independent Variable</t>
  </si>
  <si>
    <t>Dependent Variable</t>
  </si>
  <si>
    <t>Predictor Variable</t>
  </si>
  <si>
    <t>Predicted Variable</t>
  </si>
  <si>
    <t>Sample Point</t>
  </si>
  <si>
    <t>Time Studying (hours)</t>
  </si>
  <si>
    <t>Score on Test</t>
  </si>
  <si>
    <t>Example 2:</t>
  </si>
  <si>
    <t>Temperature (F)</t>
  </si>
  <si>
    <t>Sales Chicken Soup</t>
  </si>
  <si>
    <t>Example 3:</t>
  </si>
  <si>
    <t>Sales Ice Cream</t>
  </si>
  <si>
    <t>Example 4:</t>
  </si>
  <si>
    <t>Expert Level (Rating 1 - 10))</t>
  </si>
  <si>
    <t>Number Of Years Using Excel</t>
  </si>
  <si>
    <t>Relationship Between Temperature &amp; Ice Cream Sales?</t>
  </si>
  <si>
    <t>Relationship Between Temperature &amp; Chicken Soup Sales?</t>
  </si>
  <si>
    <t>Relationship Between Study Time &amp; Score?</t>
  </si>
  <si>
    <t>Relationship Between Number of Years Using Excel and Expert Rating</t>
  </si>
  <si>
    <t>What we already did:</t>
  </si>
  <si>
    <t>Scatter Plot with Trendline &amp; X and Y Mean Lines</t>
  </si>
  <si>
    <t>Create Scatter Plot with Trendline &amp; X and Y Mean Lines to divide</t>
  </si>
  <si>
    <t>chart into four quadrants in order to further define the pattern and</t>
  </si>
  <si>
    <t>relationship between the two variables</t>
  </si>
  <si>
    <t>Xbar (F)</t>
  </si>
  <si>
    <t>Ybar (IC Sales)</t>
  </si>
  <si>
    <t>Ybar (CS Sales)</t>
  </si>
  <si>
    <t># Of Years Using Excel</t>
  </si>
  <si>
    <t>Xbar (Years)</t>
  </si>
  <si>
    <t>Ybar (Rating)</t>
  </si>
  <si>
    <t>Excel Expert Rating</t>
  </si>
  <si>
    <t>Relationship Between # of Years Using Excel &amp; Expert Rating</t>
  </si>
  <si>
    <t>Visually, Graphically, we used: Scatter Chart to look and see if there was a relationship</t>
  </si>
  <si>
    <t>Sample Covariance</t>
  </si>
  <si>
    <t xml:space="preserve">Coefficient of Determination = R^2 = "Goodness of fit for our line" </t>
  </si>
  <si>
    <t>r^2</t>
  </si>
  <si>
    <t>SD = s</t>
  </si>
  <si>
    <t>Total / n-1</t>
  </si>
  <si>
    <t>(Total / n-1)/(Sx*Sy)</t>
  </si>
  <si>
    <t>Coefficient of Correlation = Measures Strength and Direction Of Liner Relationship</t>
  </si>
  <si>
    <t>Sample Covariance = Measures Strength of Relationship, but problem with units</t>
  </si>
  <si>
    <t>COVARIANCE.S</t>
  </si>
  <si>
    <t>CORREL or PEARSON</t>
  </si>
  <si>
    <t>RSQ</t>
  </si>
  <si>
    <t>Outliers</t>
  </si>
  <si>
    <t>Basis for building Box Plot</t>
  </si>
  <si>
    <t>Example:</t>
  </si>
  <si>
    <t>2) Box or rectangle is drawn with box ends at Quartile 1 and Quartile 2</t>
  </si>
  <si>
    <t>3) Vertical line drawn at Quartile 2 (Median)</t>
  </si>
  <si>
    <t>Outlier</t>
  </si>
  <si>
    <t>+/- 3 Z Scores Outlier Rule</t>
  </si>
  <si>
    <t>Use 5 Number Summary and create hand draw chart Box Plot:</t>
  </si>
  <si>
    <t>Textbook uses Multiplier of 1.5</t>
  </si>
  <si>
    <t>The references in video are:</t>
  </si>
  <si>
    <t>Other Multipliers can be used, like 2.2</t>
  </si>
  <si>
    <t>Video Title: "The Right Way to Detect Outliers - Outlier Labeling Rule"</t>
  </si>
  <si>
    <t>Multiplier</t>
  </si>
  <si>
    <t>Quartile 1 - 1.5*Interquartile Range, or 0.</t>
  </si>
  <si>
    <t>Quartile 1 - 2.2*Interquartile Range, or 0.</t>
  </si>
  <si>
    <t>Quartile 3 + 2.2*Interquartile Range</t>
  </si>
  <si>
    <t>or:</t>
  </si>
  <si>
    <t>4) Vertical lines for Lower and Upper Limits that indicate that anything past is an Outlier.
Lower Limit = Quartile 1 - 1.5*Interquartile Range, or 0.
Upper Limit = Quartile 3 + 1.5*Interquartile Range
**Although for this class we will use 1.5, other multiples can be used (see note on "5 Number &amp; Box Blot" Worksheet</t>
  </si>
  <si>
    <t>5) "Whiskers", lines, are drawn from Q1 to Min and Q3 to Max</t>
  </si>
  <si>
    <t>6) Outliers can be drawn as an "X", "dot" or "small box"</t>
  </si>
  <si>
    <t>1) Calculate 5 number summary
2) Calculate the difference between each of the values: 1) Min - 0, 2) Q1 - MIN, 3) Q2 - Q1,  4) Q3 - Q3, 5) Max - Q3
3) Create Stacked Bar Chart
4) Switch Row and Column
5) Add fill = "No Fill" to 1st two parts of bar and last
6) Add Error Bar to 2nd part of bar with Minus / Custom / Negative = Quartile 1 - MIN
7) Add Error Bar to 4th part of bar with Plus / Custom / Positive = Max - Q3
8) Calculate Mean
9) Add Mean to Chart
10) Change that data point to X - Y Scatter
11) Edit Source data for X - Y Scatter and change X to Mean Value and Y to 1.</t>
  </si>
  <si>
    <t>Outlier Notes:</t>
  </si>
  <si>
    <t>Measures of Association or Linear Relationship Between 2 Variables</t>
  </si>
  <si>
    <t>Covariance</t>
  </si>
  <si>
    <r>
      <t>Sample Covariance = s</t>
    </r>
    <r>
      <rPr>
        <vertAlign val="subscript"/>
        <sz val="11"/>
        <color theme="1"/>
        <rFont val="Calibri"/>
        <family val="2"/>
        <scheme val="minor"/>
      </rPr>
      <t>xy</t>
    </r>
    <r>
      <rPr>
        <sz val="11"/>
        <color theme="1"/>
        <rFont val="Calibri"/>
        <family val="2"/>
        <scheme val="minor"/>
      </rPr>
      <t xml:space="preserve"> = (</t>
    </r>
    <r>
      <rPr>
        <sz val="11"/>
        <color theme="1"/>
        <rFont val="Calibri"/>
        <family val="2"/>
      </rPr>
      <t>∑(x</t>
    </r>
    <r>
      <rPr>
        <vertAlign val="subscript"/>
        <sz val="11"/>
        <color theme="1"/>
        <rFont val="Calibri"/>
        <family val="2"/>
      </rPr>
      <t>i</t>
    </r>
    <r>
      <rPr>
        <sz val="11"/>
        <color theme="1"/>
        <rFont val="Calibri"/>
        <family val="2"/>
      </rPr>
      <t xml:space="preserve"> - Xbar)*(y</t>
    </r>
    <r>
      <rPr>
        <vertAlign val="subscript"/>
        <sz val="11"/>
        <color theme="1"/>
        <rFont val="Calibri"/>
        <family val="2"/>
      </rPr>
      <t>i</t>
    </r>
    <r>
      <rPr>
        <sz val="11"/>
        <color theme="1"/>
        <rFont val="Calibri"/>
        <family val="2"/>
      </rPr>
      <t xml:space="preserve"> - Ybar))/(n-1)</t>
    </r>
  </si>
  <si>
    <t>Use COVARIANCE.S function</t>
  </si>
  <si>
    <r>
      <t xml:space="preserve">Population Covariance = </t>
    </r>
    <r>
      <rPr>
        <sz val="11"/>
        <color theme="1"/>
        <rFont val="Symbol"/>
        <family val="1"/>
        <charset val="2"/>
      </rPr>
      <t>s</t>
    </r>
    <r>
      <rPr>
        <vertAlign val="subscript"/>
        <sz val="11"/>
        <color theme="1"/>
        <rFont val="Calibri"/>
        <family val="2"/>
        <scheme val="minor"/>
      </rPr>
      <t>xy</t>
    </r>
    <r>
      <rPr>
        <sz val="11"/>
        <color theme="1"/>
        <rFont val="Calibri"/>
        <family val="2"/>
        <scheme val="minor"/>
      </rPr>
      <t xml:space="preserve"> = (</t>
    </r>
    <r>
      <rPr>
        <sz val="11"/>
        <color theme="1"/>
        <rFont val="Calibri"/>
        <family val="2"/>
      </rPr>
      <t>∑(x</t>
    </r>
    <r>
      <rPr>
        <vertAlign val="subscript"/>
        <sz val="11"/>
        <color theme="1"/>
        <rFont val="Calibri"/>
        <family val="2"/>
      </rPr>
      <t>i</t>
    </r>
    <r>
      <rPr>
        <sz val="11"/>
        <color theme="1"/>
        <rFont val="Calibri"/>
        <family val="2"/>
      </rPr>
      <t xml:space="preserve"> - µ</t>
    </r>
    <r>
      <rPr>
        <vertAlign val="subscript"/>
        <sz val="11"/>
        <color theme="1"/>
        <rFont val="Calibri"/>
        <family val="2"/>
      </rPr>
      <t>x</t>
    </r>
    <r>
      <rPr>
        <sz val="11"/>
        <color theme="1"/>
        <rFont val="Calibri"/>
        <family val="2"/>
      </rPr>
      <t>)*(y</t>
    </r>
    <r>
      <rPr>
        <vertAlign val="subscript"/>
        <sz val="11"/>
        <color theme="1"/>
        <rFont val="Calibri"/>
        <family val="2"/>
      </rPr>
      <t>i</t>
    </r>
    <r>
      <rPr>
        <sz val="11"/>
        <color theme="1"/>
        <rFont val="Calibri"/>
        <family val="2"/>
      </rPr>
      <t xml:space="preserve"> - µ</t>
    </r>
    <r>
      <rPr>
        <vertAlign val="subscript"/>
        <sz val="11"/>
        <color theme="1"/>
        <rFont val="Calibri"/>
        <family val="2"/>
      </rPr>
      <t>y</t>
    </r>
    <r>
      <rPr>
        <sz val="11"/>
        <color theme="1"/>
        <rFont val="Calibri"/>
        <family val="2"/>
      </rPr>
      <t>))/N</t>
    </r>
  </si>
  <si>
    <t>Use COVARIANCE.P function</t>
  </si>
  <si>
    <t>Understanding how Covariance works:</t>
  </si>
  <si>
    <t>Covariance measures the strength of the linear relationship between 2 variables</t>
  </si>
  <si>
    <t>Plot a Mean Line for X and a Mean Line for Y to divide chart into 4 quadrants</t>
  </si>
  <si>
    <t>Use PEARSON or CORREL functions</t>
  </si>
  <si>
    <t>When preponderance of the "X-Deviations Times Y-Deviations" are positive (X-Y markers are quadrant 1 and 3), the line will show a positive liner association or relationship: "As X Increases, Y Increase"</t>
  </si>
  <si>
    <t>When preponderance of the "X-Deviations Times Y-Deviations" are neither positive or negative (X-Y markers in all quadrants), the line will show no liner association or relationship</t>
  </si>
  <si>
    <t xml:space="preserve">Values range from -1, perfect negative linear relationship (all X-Y markers on  regression line) to +1, perfect positive linear relationship  (all X-Y markers on  regression line) </t>
  </si>
  <si>
    <t>When preponderance of the "X-Deviations Times Y-Deviations" are negative (X-Y markers are quadrant 2 and 4), the line will show a negative liner association or relationship: "As X Increases, Y decrease"</t>
  </si>
  <si>
    <t>Values close to +1 show strong positive linear association/relationship
Values close to -1 show strong negative linear association/relationship
The closer to zero the weaker the relationship
The closer the X-Y markers are to the regression line, the stronger the relationship
The more the X-Y markers deviate from the regression line, the weaker the relationship</t>
  </si>
  <si>
    <t>Correlation Coefficient = Pearson Product Moment Correlation Coefficient</t>
  </si>
  <si>
    <t>Correlation Coefficient measure the strength and direction of linear association or relationship.</t>
  </si>
  <si>
    <r>
      <t>Sample Correlation Coefficient =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xy</t>
    </r>
    <r>
      <rPr>
        <sz val="11"/>
        <color theme="1"/>
        <rFont val="Calibri"/>
        <family val="2"/>
        <scheme val="minor"/>
      </rPr>
      <t xml:space="preserve">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t>
    </r>
  </si>
  <si>
    <r>
      <t>Covariance measures the strength of the linear relationship between 2 variables, but has a problem with units.
Because the value of covariance depends on units, we may get larger or smaller covariances simply because we change the units from inches to feet or feet to inches.
To overcome this problem with units, we can divide the covariance by the product of the standard deviation to the x and y values,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 xml:space="preserve"> , to get a relative measure of strength of association or relationship between 2 variables or a measure of strength per unit of standard deviation, s</t>
    </r>
    <r>
      <rPr>
        <vertAlign val="subscript"/>
        <sz val="11"/>
        <color theme="1"/>
        <rFont val="Calibri"/>
        <family val="2"/>
        <scheme val="minor"/>
      </rPr>
      <t>x</t>
    </r>
    <r>
      <rPr>
        <sz val="11"/>
        <color theme="1"/>
        <rFont val="Calibri"/>
        <family val="2"/>
        <scheme val="minor"/>
      </rPr>
      <t xml:space="preserve"> * sy . This measure is called Correlation Coefficient</t>
    </r>
  </si>
  <si>
    <r>
      <t>Population Correlation Coefficient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xy</t>
    </r>
    <r>
      <rPr>
        <sz val="11"/>
        <color theme="1"/>
        <rFont val="Calibri"/>
        <family val="2"/>
        <scheme val="minor"/>
      </rPr>
      <t xml:space="preserve">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 , r is pronounced "Row"</t>
    </r>
  </si>
  <si>
    <r>
      <t>Sample Correlation Coefficient, r</t>
    </r>
    <r>
      <rPr>
        <vertAlign val="subscript"/>
        <sz val="11"/>
        <color theme="1"/>
        <rFont val="Calibri"/>
        <family val="2"/>
        <scheme val="minor"/>
      </rPr>
      <t>xy</t>
    </r>
    <r>
      <rPr>
        <sz val="11"/>
        <color theme="1"/>
        <rFont val="Calibri"/>
        <family val="2"/>
        <scheme val="minor"/>
      </rPr>
      <t xml:space="preserve"> , is a point estimator of the Population Correlation Coefficient, </t>
    </r>
    <r>
      <rPr>
        <sz val="11"/>
        <color theme="1"/>
        <rFont val="Symbol"/>
        <family val="1"/>
        <charset val="2"/>
      </rPr>
      <t>r</t>
    </r>
    <r>
      <rPr>
        <vertAlign val="subscript"/>
        <sz val="11"/>
        <color theme="1"/>
        <rFont val="Calibri"/>
        <family val="2"/>
        <scheme val="minor"/>
      </rPr>
      <t>xy</t>
    </r>
  </si>
  <si>
    <t>Note: Because the Correlation Coefficient measure the strength and direction of a LINEAR relationship, not nonlinear relationships. If you get a correlation mesure near zero, it may be true that there is a very weak linear relationship, but that does not say that there is not some other sort of non-linear relationship.</t>
  </si>
  <si>
    <t>Temperature X</t>
  </si>
  <si>
    <t>Energy Expense Y</t>
  </si>
  <si>
    <t>Example 5:</t>
  </si>
  <si>
    <t>Relationship Between Temperature and Energy Expense, relationship looks nonlinear: as x increases, y decreases for a while and then increases</t>
  </si>
  <si>
    <t>Temperature (F), X</t>
  </si>
  <si>
    <t>Xbar (Temp)</t>
  </si>
  <si>
    <t>Ybar (Energy)</t>
  </si>
  <si>
    <t>Is there an Association or Relationship Between 2 Variables?</t>
  </si>
  <si>
    <t>Covariance measures the strength of the linear relationship between 2 variables, but has problems with units</t>
  </si>
  <si>
    <t>Correlation Coefficient</t>
  </si>
  <si>
    <r>
      <t>Sample Covariance = s</t>
    </r>
    <r>
      <rPr>
        <vertAlign val="subscript"/>
        <sz val="11"/>
        <color theme="1"/>
        <rFont val="Calibri"/>
        <family val="2"/>
        <scheme val="minor"/>
      </rPr>
      <t>xy</t>
    </r>
    <r>
      <rPr>
        <sz val="11"/>
        <color theme="1"/>
        <rFont val="Calibri"/>
        <family val="2"/>
        <scheme val="minor"/>
      </rPr>
      <t xml:space="preserve"> = (∑(x</t>
    </r>
    <r>
      <rPr>
        <vertAlign val="subscript"/>
        <sz val="11"/>
        <color theme="1"/>
        <rFont val="Calibri"/>
        <family val="2"/>
        <scheme val="minor"/>
      </rPr>
      <t>i</t>
    </r>
    <r>
      <rPr>
        <sz val="11"/>
        <color theme="1"/>
        <rFont val="Calibri"/>
        <family val="2"/>
        <scheme val="minor"/>
      </rPr>
      <t xml:space="preserve"> - Xbar)*(y</t>
    </r>
    <r>
      <rPr>
        <vertAlign val="subscript"/>
        <sz val="11"/>
        <color theme="1"/>
        <rFont val="Calibri"/>
        <family val="2"/>
        <scheme val="minor"/>
      </rPr>
      <t>i</t>
    </r>
    <r>
      <rPr>
        <sz val="11"/>
        <color theme="1"/>
        <rFont val="Calibri"/>
        <family val="2"/>
        <scheme val="minor"/>
      </rPr>
      <t xml:space="preserve"> - Ybar))/(n-1)</t>
    </r>
  </si>
  <si>
    <r>
      <t>Sample Correlation Coefficient = r</t>
    </r>
    <r>
      <rPr>
        <vertAlign val="subscript"/>
        <sz val="11"/>
        <color theme="1"/>
        <rFont val="Calibri"/>
        <family val="2"/>
        <scheme val="minor"/>
      </rPr>
      <t>xy</t>
    </r>
    <r>
      <rPr>
        <sz val="11"/>
        <color theme="1"/>
        <rFont val="Calibri"/>
        <family val="2"/>
        <scheme val="minor"/>
      </rPr>
      <t xml:space="preserve"> = s</t>
    </r>
    <r>
      <rPr>
        <vertAlign val="subscript"/>
        <sz val="11"/>
        <color theme="1"/>
        <rFont val="Calibri"/>
        <family val="2"/>
        <scheme val="minor"/>
      </rPr>
      <t>x</t>
    </r>
    <r>
      <rPr>
        <sz val="11"/>
        <color theme="1"/>
        <rFont val="Calibri"/>
        <family val="2"/>
        <scheme val="minor"/>
      </rPr>
      <t>y /(s</t>
    </r>
    <r>
      <rPr>
        <vertAlign val="subscript"/>
        <sz val="11"/>
        <color theme="1"/>
        <rFont val="Calibri"/>
        <family val="2"/>
        <scheme val="minor"/>
      </rPr>
      <t>x</t>
    </r>
    <r>
      <rPr>
        <sz val="11"/>
        <color theme="1"/>
        <rFont val="Calibri"/>
        <family val="2"/>
        <scheme val="minor"/>
      </rPr>
      <t xml:space="preserve"> * s</t>
    </r>
    <r>
      <rPr>
        <vertAlign val="subscript"/>
        <sz val="11"/>
        <color theme="1"/>
        <rFont val="Calibri"/>
        <family val="2"/>
        <scheme val="minor"/>
      </rPr>
      <t>y</t>
    </r>
    <r>
      <rPr>
        <sz val="11"/>
        <color theme="1"/>
        <rFont val="Calibri"/>
        <family val="2"/>
        <scheme val="minor"/>
      </rPr>
      <t>)</t>
    </r>
  </si>
  <si>
    <t>Correlation Coefficient measure the strength and direction of linear association or relationship</t>
  </si>
  <si>
    <t>Values range from -1 to +1</t>
  </si>
  <si>
    <t>Close to +1, positive or direct linear relationship, as x increases, y increases</t>
  </si>
  <si>
    <t>Close to -1, negative or indirect linear relationship, as x increases, y decreases</t>
  </si>
  <si>
    <t>Close to zero is weak linear relationship, but use Scatter Chart to see if the relationship looks nonlinear</t>
  </si>
  <si>
    <t>Sales Chicken Soup, Y</t>
  </si>
  <si>
    <t>Perfect +1</t>
  </si>
  <si>
    <t>Costs</t>
  </si>
  <si>
    <t>Perfect -1</t>
  </si>
  <si>
    <t>Inspections</t>
  </si>
  <si>
    <t>Defects</t>
  </si>
  <si>
    <t>Correlation</t>
  </si>
  <si>
    <r>
      <t>s</t>
    </r>
    <r>
      <rPr>
        <b/>
        <vertAlign val="subscript"/>
        <sz val="14"/>
        <color theme="1"/>
        <rFont val="Calibri"/>
        <family val="2"/>
        <scheme val="minor"/>
      </rPr>
      <t>xy</t>
    </r>
  </si>
  <si>
    <r>
      <t>r</t>
    </r>
    <r>
      <rPr>
        <b/>
        <vertAlign val="subscript"/>
        <sz val="14"/>
        <color theme="1"/>
        <rFont val="Calibri"/>
        <family val="2"/>
        <scheme val="minor"/>
      </rPr>
      <t>xy</t>
    </r>
  </si>
  <si>
    <t>5 Number Summary</t>
  </si>
  <si>
    <t>Box Plots and Outliers Rule of 1.5</t>
  </si>
  <si>
    <t>Shape of Distribution</t>
  </si>
  <si>
    <t>Histograms show the shape of the distribution visually.</t>
  </si>
  <si>
    <t>Bell shape or Symmetrical Shape indicates no skew</t>
  </si>
  <si>
    <t>A few big values pull the Mean up away from Median</t>
  </si>
  <si>
    <t>Bell Shape or Symmetrical Shape - No Skew</t>
  </si>
  <si>
    <t>Proportion of data values that lie between +/- a given number of standard deviations</t>
  </si>
  <si>
    <t>When data has a Symmetric Distribution or Normal Distribution or Bell Shaped Distribution, the Empirical Rule Can be sued to determine the percentage of data values that must be within a specified number of standard deviations of the mean</t>
  </si>
  <si>
    <t>Approximately 68% of the data values will be within 1 Standard Deviation of the Mean</t>
  </si>
  <si>
    <t xml:space="preserve">Minimum Value </t>
  </si>
  <si>
    <t>1) Horizontal Axis lists range of numbers from smallest to biggest</t>
  </si>
  <si>
    <t>Note: Because the Correlation Coefficient measure the strength and direction of a LINEAR relationship, not nonlinear relationships. If you get a correlation measure near zero, it may be true that there is a very weak linear relationship, but that does not say that there is not some other sort of non-linear relationship.</t>
  </si>
  <si>
    <t>Based on Average Days to Fill Order, which Supplier do you prefer?
It is hard to know, without looking at the volatility of past delivery times.</t>
  </si>
  <si>
    <t>Which mean more fairly represents its data points?</t>
  </si>
  <si>
    <t>RANK.EQ deals with ties as equal, RANK.AVE deals with ties by averaging the positional values; ex: (4+5)/2 = 4.5</t>
  </si>
  <si>
    <t>Five-Number Summaries and Box &amp; Plots</t>
  </si>
  <si>
    <t>Notes</t>
  </si>
  <si>
    <t>Percentiles &amp; Quartiles</t>
  </si>
  <si>
    <t>PercentiileAndQuartile</t>
  </si>
  <si>
    <t>V(1)</t>
  </si>
  <si>
    <t>V(5)</t>
  </si>
  <si>
    <t>V(6)</t>
  </si>
  <si>
    <t>V(7)</t>
  </si>
  <si>
    <t>V(9)</t>
  </si>
  <si>
    <t>DS</t>
  </si>
  <si>
    <t>Skew (2)</t>
  </si>
  <si>
    <t>z(1)</t>
  </si>
  <si>
    <t>Chebyshev</t>
  </si>
  <si>
    <t>2 Variable Scatter</t>
  </si>
  <si>
    <t>Covariance and Correlation Coefficient</t>
  </si>
  <si>
    <t>Range and Interquartile Range</t>
  </si>
  <si>
    <t>Covariance measures the strength of the linear relationship between 2 variables. Positive values indicate a positive relationship; negative, a negative relationship</t>
  </si>
  <si>
    <t>Positive values indicate a positive relationship; negative, a negative relationship</t>
  </si>
  <si>
    <t>Correlation is not causation.</t>
  </si>
  <si>
    <t>Use MODE.SNGL for quantitative data and COUNTIF or PivotTable for Categorical or quantitative data. MODE.SNGL will only show 1 mode if the data set is bi-modal or multi-modal. MODE.MULT can be used for multiple modes.</t>
  </si>
  <si>
    <t>Use SUMPRODUCT(Values, Weights)/SUM(Weights)</t>
  </si>
  <si>
    <t>"z"</t>
  </si>
  <si>
    <t>Number of Standard Deviations Away From Xbar</t>
  </si>
  <si>
    <t>Ybar</t>
  </si>
  <si>
    <t>Sample Mean of x-values</t>
  </si>
  <si>
    <t>"Ybar"</t>
  </si>
  <si>
    <t>Sample Mean of y-values</t>
  </si>
  <si>
    <t>Particular X Value</t>
  </si>
  <si>
    <t>Particular Y Value</t>
  </si>
  <si>
    <t>count of records or observations for Sample</t>
  </si>
  <si>
    <t>"y sub i"</t>
  </si>
  <si>
    <t>"s sub xy"</t>
  </si>
  <si>
    <t>Sample Standard Deviation of X Values</t>
  </si>
  <si>
    <r>
      <t>x</t>
    </r>
    <r>
      <rPr>
        <b/>
        <vertAlign val="subscript"/>
        <sz val="11"/>
        <color theme="0"/>
        <rFont val="Calibri"/>
        <family val="2"/>
        <scheme val="minor"/>
      </rPr>
      <t>i</t>
    </r>
  </si>
  <si>
    <r>
      <t>y</t>
    </r>
    <r>
      <rPr>
        <b/>
        <vertAlign val="subscript"/>
        <sz val="11"/>
        <color theme="0"/>
        <rFont val="Calibri"/>
        <family val="2"/>
        <scheme val="minor"/>
      </rPr>
      <t>i</t>
    </r>
  </si>
  <si>
    <r>
      <t>s</t>
    </r>
    <r>
      <rPr>
        <b/>
        <vertAlign val="subscript"/>
        <sz val="11"/>
        <color theme="0"/>
        <rFont val="Calibri"/>
        <family val="2"/>
        <scheme val="minor"/>
      </rPr>
      <t>xy</t>
    </r>
  </si>
  <si>
    <r>
      <t>s</t>
    </r>
    <r>
      <rPr>
        <b/>
        <vertAlign val="subscript"/>
        <sz val="11"/>
        <color theme="0"/>
        <rFont val="Calibri"/>
        <family val="2"/>
        <scheme val="minor"/>
      </rPr>
      <t>x</t>
    </r>
  </si>
  <si>
    <t>"s sub x"</t>
  </si>
  <si>
    <r>
      <t>s</t>
    </r>
    <r>
      <rPr>
        <b/>
        <vertAlign val="subscript"/>
        <sz val="11"/>
        <color theme="0"/>
        <rFont val="Calibri"/>
        <family val="2"/>
        <scheme val="minor"/>
      </rPr>
      <t>y</t>
    </r>
  </si>
  <si>
    <t>Sample Standard Deviation of Y Values</t>
  </si>
  <si>
    <t>"s sub y"</t>
  </si>
  <si>
    <r>
      <rPr>
        <b/>
        <sz val="11"/>
        <color theme="1"/>
        <rFont val="Calibri"/>
        <family val="2"/>
        <scheme val="minor"/>
      </rPr>
      <t>MUST</t>
    </r>
    <r>
      <rPr>
        <sz val="11"/>
        <color theme="1"/>
        <rFont val="Calibri"/>
        <family val="2"/>
        <scheme val="minor"/>
      </rPr>
      <t xml:space="preserve"> use Geometric Mean (not arithmetic mean) if you want the True "Average" Compounding Rate per Period</t>
    </r>
  </si>
  <si>
    <t>In finance, when calculating End Values, use Geometric Mean; however, arithmetic mean is used in some situations like for Standard Deviation, Correlation, and other calculations that do not require True "Average" Compounding Rate per Period.</t>
  </si>
  <si>
    <t>GEOMEAN(RangeOfGrowthRates+1)-1 = Growth Rates or Rate of Change</t>
  </si>
  <si>
    <t>GEOMEAN(RangeOfGrowthRates+1) = Growth Factor</t>
  </si>
  <si>
    <t>Written description: nth root of the product of n values (values = growth rates + 1, n = Number of Periods), then subtract 1</t>
  </si>
  <si>
    <t>In Excel use:</t>
  </si>
  <si>
    <t>Create 3 Value Marking Points to divide data set into 4 parts</t>
  </si>
  <si>
    <t>Note: There is NOT just one way to calculate percentiles. Percentile calculations are estimations, this is why we use the word "approximate" when we talk about percentiles</t>
  </si>
  <si>
    <t>Use PERCENTILE.EXC function, which uses formula: P%*(n+1) to get the position</t>
  </si>
  <si>
    <t>Use VAR.P function for population data and VAR.S for sample data.</t>
  </si>
  <si>
    <t>Use STDEV.P function for population data and STDEV.S for sample data.</t>
  </si>
  <si>
    <t>Test</t>
  </si>
  <si>
    <t>You:</t>
  </si>
  <si>
    <t>Are you above average?</t>
  </si>
  <si>
    <r>
      <t xml:space="preserve">Chapter 3: Descriptive Statistics: </t>
    </r>
    <r>
      <rPr>
        <b/>
        <sz val="12"/>
        <color theme="1"/>
        <rFont val="Calibri"/>
        <family val="2"/>
        <scheme val="minor"/>
      </rPr>
      <t>Numerical</t>
    </r>
    <r>
      <rPr>
        <sz val="12"/>
        <color theme="1"/>
        <rFont val="Calibri"/>
        <family val="2"/>
        <scheme val="minor"/>
      </rPr>
      <t xml:space="preserve"> Measures of data.</t>
    </r>
  </si>
  <si>
    <t>Grand Total</t>
  </si>
  <si>
    <t>Count of Test Scores (Population)</t>
  </si>
  <si>
    <t>Count of Scores on Quiz</t>
  </si>
  <si>
    <t>COGS</t>
  </si>
  <si>
    <t>End Inventory</t>
  </si>
  <si>
    <r>
      <t>Unique List of Quiz Scores, x</t>
    </r>
    <r>
      <rPr>
        <b/>
        <vertAlign val="subscript"/>
        <sz val="11"/>
        <color rgb="FFFFFFFF"/>
        <rFont val="Calibri"/>
        <family val="2"/>
        <scheme val="minor"/>
      </rPr>
      <t>i</t>
    </r>
  </si>
  <si>
    <r>
      <t>Frequency, w</t>
    </r>
    <r>
      <rPr>
        <b/>
        <vertAlign val="subscript"/>
        <sz val="11"/>
        <color rgb="FFFFFFFF"/>
        <rFont val="Calibri"/>
        <family val="2"/>
        <scheme val="minor"/>
      </rPr>
      <t>i</t>
    </r>
  </si>
  <si>
    <t>Check</t>
  </si>
  <si>
    <t>Percent Frequency</t>
  </si>
  <si>
    <t>Investment</t>
  </si>
  <si>
    <t>Average Compounding Rate?</t>
  </si>
  <si>
    <t>FV</t>
  </si>
  <si>
    <t>PV</t>
  </si>
  <si>
    <t>Period Rate</t>
  </si>
  <si>
    <t>NumberOfPeriods</t>
  </si>
  <si>
    <t>Geomean</t>
  </si>
  <si>
    <t>Beg</t>
  </si>
  <si>
    <t>Population Growth</t>
  </si>
  <si>
    <t>Geomertic Mean</t>
  </si>
  <si>
    <t>% Change + 1</t>
  </si>
  <si>
    <t>RRI(NumberOfPeriods,BegValue, EndValue)  or  RRI(n,PV,FV)</t>
  </si>
  <si>
    <t>**Algorithm for PERCENTILE.INC: Position = p*n+(1-p)</t>
  </si>
  <si>
    <t>Long Hand Formula:</t>
  </si>
  <si>
    <t xml:space="preserve"> &lt;&lt;== Position</t>
  </si>
  <si>
    <t xml:space="preserve"> &lt;&lt;== Marker</t>
  </si>
  <si>
    <t>Deciles (10 parts with 9 markers</t>
  </si>
  <si>
    <t>Rand Formula:</t>
  </si>
  <si>
    <t>Sample</t>
  </si>
  <si>
    <t>Population 1</t>
  </si>
  <si>
    <r>
      <t>Population Standard Deviation =</t>
    </r>
    <r>
      <rPr>
        <b/>
        <sz val="11"/>
        <rFont val="Calibri"/>
        <family val="2"/>
        <scheme val="minor"/>
      </rPr>
      <t xml:space="preserve"> </t>
    </r>
    <r>
      <rPr>
        <b/>
        <sz val="11"/>
        <rFont val="Arial"/>
        <family val="2"/>
      </rPr>
      <t>σ</t>
    </r>
  </si>
  <si>
    <t>Wage sample in City 1</t>
  </si>
  <si>
    <t>Wage sample in City 2</t>
  </si>
  <si>
    <t>Mean Wage Data City 1</t>
  </si>
  <si>
    <t>Standard Deviation, Wage Data City 1</t>
  </si>
  <si>
    <t>Mean Wage Data City 2</t>
  </si>
  <si>
    <t>Standard Deviation, Wage Data City 2</t>
  </si>
  <si>
    <t>Standard Deviation = s</t>
  </si>
  <si>
    <t>Mean years worked = Xbar</t>
  </si>
  <si>
    <t>Mean bonus paid per employee = Xbar</t>
  </si>
  <si>
    <t>Largest(2)</t>
  </si>
  <si>
    <t>Smallest(2)</t>
  </si>
  <si>
    <t>Your Calculus Test score, Xi =</t>
  </si>
  <si>
    <t>Mean for Calculus Test, Xbar =</t>
  </si>
  <si>
    <t>Standard Deviation for Calculus Test, s =</t>
  </si>
  <si>
    <t>Mean for History Test, Xbar =</t>
  </si>
  <si>
    <t>Standard Deviation for History Test, s =</t>
  </si>
  <si>
    <t>Joe's Calculus Test score, Xi =</t>
  </si>
  <si>
    <r>
      <t>Z Score tells you "</t>
    </r>
    <r>
      <rPr>
        <b/>
        <sz val="11"/>
        <color theme="1"/>
        <rFont val="Calibri"/>
        <family val="2"/>
        <scheme val="minor"/>
      </rPr>
      <t>How Many Standard Deviations The Particular Value Is Away From The Mean</t>
    </r>
    <r>
      <rPr>
        <sz val="11"/>
        <color theme="1"/>
        <rFont val="Calibri"/>
        <family val="2"/>
        <scheme val="minor"/>
      </rPr>
      <t>". 1? -1? 1.5? 0?</t>
    </r>
  </si>
  <si>
    <t>Calculus Test Scores</t>
  </si>
  <si>
    <t>Label for Mean</t>
  </si>
  <si>
    <t>Label for Your Score</t>
  </si>
  <si>
    <t>Z score measures the relative location of a particular x in the data set (as compared to the mean), in units of standard deviation.</t>
  </si>
  <si>
    <t>History Test Scores</t>
  </si>
  <si>
    <t>Bro's Score</t>
  </si>
  <si>
    <t>Brother's History Test score, Xi =</t>
  </si>
  <si>
    <t>Miax</t>
  </si>
  <si>
    <t>Allows us to make a statement about the proportion of data values that must be within a specified number of standard deviations of the mean.
For example:
75% of the students must have a test score between 34 and 86</t>
  </si>
  <si>
    <t>Test Mean</t>
  </si>
  <si>
    <t>Real power of this Theorem: Applies to any data set regardless of the shape of the distribution of the data!</t>
  </si>
  <si>
    <r>
      <t>Rule: At least (</t>
    </r>
    <r>
      <rPr>
        <b/>
        <sz val="11"/>
        <color theme="1"/>
        <rFont val="Calibri"/>
        <family val="2"/>
        <scheme val="minor"/>
      </rPr>
      <t>1 - 1/z^2</t>
    </r>
    <r>
      <rPr>
        <sz val="11"/>
        <color theme="1"/>
        <rFont val="Calibri"/>
        <family val="2"/>
        <scheme val="minor"/>
      </rPr>
      <t xml:space="preserve">) of the values in any data set will be within z standard deviations of the mean, where z is any value greater than 1.
</t>
    </r>
  </si>
  <si>
    <t>Test SD</t>
  </si>
  <si>
    <t>We want to know what proportion of test scores must lie between +/- 2 SD of the Mean?</t>
  </si>
  <si>
    <t>Proportion</t>
  </si>
  <si>
    <r>
      <rPr>
        <b/>
        <sz val="11"/>
        <color theme="1"/>
        <rFont val="Calibri"/>
        <family val="2"/>
        <scheme val="minor"/>
      </rPr>
      <t>Chebyshev's Theorem:</t>
    </r>
    <r>
      <rPr>
        <sz val="11"/>
        <color theme="1"/>
        <rFont val="Calibri"/>
        <family val="2"/>
        <scheme val="minor"/>
      </rPr>
      <t xml:space="preserve"> Proportion of data values that lie between +/- a given number of standard deviations</t>
    </r>
  </si>
  <si>
    <t>High</t>
  </si>
  <si>
    <t>Chebyshev's Theorem:</t>
  </si>
  <si>
    <t>Percent:</t>
  </si>
  <si>
    <t>Xbar (inches)</t>
  </si>
  <si>
    <t>s (inches)</t>
  </si>
  <si>
    <t>Area</t>
  </si>
  <si>
    <t>Normal Distribution</t>
  </si>
  <si>
    <t>Bell Shaped Distribution</t>
  </si>
  <si>
    <t>Gaussian Distribution</t>
  </si>
  <si>
    <t>Symmetrical Distribution</t>
  </si>
  <si>
    <t>z Chart</t>
  </si>
  <si>
    <t>x Chart</t>
  </si>
  <si>
    <t>X = Hieght</t>
  </si>
  <si>
    <t>z = # of SD from Mean</t>
  </si>
  <si>
    <t>Label</t>
  </si>
  <si>
    <t>List of x</t>
  </si>
  <si>
    <t>Heights of Students in Class (inches)</t>
  </si>
  <si>
    <t>All Area Under Curve = 100% = All Possibilities. Each half = 50%.</t>
  </si>
  <si>
    <t>Mean Height</t>
  </si>
  <si>
    <t>About 99.0% of the values will lie between +/- 3 SD</t>
  </si>
  <si>
    <t>About 95.0% of the values will lie between +/- 2 SD</t>
  </si>
  <si>
    <t>About 68.0% of the values will lie between +/- 1 SD</t>
  </si>
  <si>
    <t>68% of the values lie between what two values?</t>
  </si>
  <si>
    <t>95% of the values lie between what two values?</t>
  </si>
  <si>
    <t>Mean Gas Price</t>
  </si>
  <si>
    <t>heights</t>
  </si>
  <si>
    <t>prices</t>
  </si>
  <si>
    <t>Chapter 6 and later we will be using this rule to check reasonableness of peoples claims.</t>
  </si>
  <si>
    <t>Mean Cereal Box Weight</t>
  </si>
  <si>
    <t>weight</t>
  </si>
  <si>
    <t>Chapter 6 and later we will be using this rule to check whether production machines are filling correctly</t>
  </si>
  <si>
    <t>Empirical Rule Areas:</t>
  </si>
  <si>
    <t>probability</t>
  </si>
  <si>
    <t>*assuming population distribution is bell shaped.</t>
  </si>
  <si>
    <t>Who did better? You or your Brother?</t>
  </si>
  <si>
    <t>Approximately 95% of the data values will be within 2 Standard Deviations of the Mean</t>
  </si>
  <si>
    <t>Approximately 99% of the data values (almost all the data) will be within 3 Standard Deviations of Mean</t>
  </si>
  <si>
    <t>oz.</t>
  </si>
  <si>
    <t>Reference video for how to create Box Plots in Excel:</t>
  </si>
  <si>
    <t>https://www.youtube.com/watch?v=bgaN446TQXo</t>
  </si>
  <si>
    <t xml:space="preserve">Excel 2010 Statistics #28: Box &amp; Whisker Plot: Stacked Bar with Mean Point Plotted and Outlier Lines </t>
  </si>
  <si>
    <t>Count TRUES</t>
  </si>
  <si>
    <t>Video16:</t>
  </si>
  <si>
    <t>Excel 2013 Statistical Analysis #16: Location: Mean, Median, Mode for Central Location</t>
  </si>
  <si>
    <t>(00:32) Introduction to averages as typical values that represent a single value that represents all the data points</t>
  </si>
  <si>
    <t>(01:17) Introduction to Location</t>
  </si>
  <si>
    <t>(03:55) Sample Statistics are point estimators for the population parameters</t>
  </si>
  <si>
    <t>(05:28) Mean using AVERAGE function</t>
  </si>
  <si>
    <t>(09:16) Median using sorting or the MEDIAN function</t>
  </si>
  <si>
    <t>(15:54) Mode for Categorical data using COUNTIFS and MODE for quatitative data using MODE.SNGL. Discussion about Bi-modal and multiple modes and why using a PivotTable rather than MODE.SNGL is wise.</t>
  </si>
  <si>
    <t>(21:42) Relationship between Mean, Median and Mode and skew.</t>
  </si>
  <si>
    <t>Video17:</t>
  </si>
  <si>
    <t>Excel 2013 Statistical Analysis #17: Weighted Mean &amp; SUMPRODUCT Function &amp; Accounting Example</t>
  </si>
  <si>
    <t>(00:14) Weighted Mean Quiz Score Example and Weighted Mean calculation using a Helper Column</t>
  </si>
  <si>
    <t>(02:47) SUMPRODUCT and SUM function for single Cell Formula</t>
  </si>
  <si>
    <t>(04:47) Calculate Weighted Average for Accounting COGS and End Inventory</t>
  </si>
  <si>
    <t>(08:10)Calculate Weighted Average or “Expected Value”  given a Percent Frequency Table</t>
  </si>
  <si>
    <t>Video18:</t>
  </si>
  <si>
    <t>Excel 2013 Statistical Analysis #18: Geometric Mean, Average Compounding Rate GEOMEAN &amp; RRI</t>
  </si>
  <si>
    <t>(00:09) Intro to Geometric Mean or Average Compounding Rate</t>
  </si>
  <si>
    <t>(00:52) Growth Rate or Percentage Change Formulas and Growth Factor</t>
  </si>
  <si>
    <t>(02:36) Why you should not use the Mean when dealing with Growth Rates</t>
  </si>
  <si>
    <t>(03:15) FV formula</t>
  </si>
  <si>
    <t>(04:48)Geometric Mean or Average Compounding Rate using GEOMEAN function when you are given a list of growth rates or Percentage Changes. Stock Price Example</t>
  </si>
  <si>
    <t>(06:25) Geometric Mean or Average Compounding Rate using Formula 2 and RRI function when you are given a begin amount (PV) and an end amount (FV)) and the number of periods. Stock Price Example</t>
  </si>
  <si>
    <t>(08:08) Investment example</t>
  </si>
  <si>
    <t>(09:00) Population Change example</t>
  </si>
  <si>
    <t>Video19:</t>
  </si>
  <si>
    <t>Excel 2013 Statistical Analysis #19: Location: Percentile, Quartile, Rank and Percentile Rank</t>
  </si>
  <si>
    <t>(00:24) Percentile where position is calculated with P%*(n+1)</t>
  </si>
  <si>
    <t>(04:26) PERCENTILE.EXC function</t>
  </si>
  <si>
    <t>(05:18) What percentile tells you</t>
  </si>
  <si>
    <t>(06:09) QUARTILE.EXC function</t>
  </si>
  <si>
    <t>(06:59) PERCENTILERANK.EXC function</t>
  </si>
  <si>
    <t>(07:45) Median</t>
  </si>
  <si>
    <t>(08:48) Quartile 1, 2, 3</t>
  </si>
  <si>
    <t>(09:34) Quintiles</t>
  </si>
  <si>
    <t>(10:03) Deciles</t>
  </si>
  <si>
    <t>(10:24) Percentile rank for whole data set</t>
  </si>
  <si>
    <t>(11:24) PERCENTILE.INC, QUARTILE.INC functions</t>
  </si>
  <si>
    <t>(14:13) Five Number Summary</t>
  </si>
  <si>
    <t>(14:40) Big Data Set to see that PERCENTILE.INC and PERCENTILE.EXC are very close if not exactly the same.</t>
  </si>
  <si>
    <t>(16:29) Ranking. RANK,EQ and RANK.AVE functions</t>
  </si>
  <si>
    <t>(19:00) Data Ribbon Tab, Analysis group, Data Analysis, Rank and Percentile feature</t>
  </si>
  <si>
    <t>(18:46) PERCENTILERANK.INC function</t>
  </si>
  <si>
    <t>Video20:</t>
  </si>
  <si>
    <t>Excel 2013 Statistical Analysis #20: Standard Deviation: How Fairly Does Mean Represent Data Points?</t>
  </si>
  <si>
    <t>(00:09) Three data sets and charts of each to illustrate the concept of Variability, or Dispersion, or Spread in the Data.</t>
  </si>
  <si>
    <t>(00:20) Set 1 (Hours Worked per Week Data), we ask the question: How fairly does the mean represent its data points?</t>
  </si>
  <si>
    <t>(02:37) Set 2 (Seattle and Burien Gas Prices), we ask the question: How volatile are Prices?</t>
  </si>
  <si>
    <t>(03:17) Set 3 (Supplier Days To Fill Order Data), we ask the question: How reliable is a Supplier?</t>
  </si>
  <si>
    <t>(04:37) Calculate Range: Max - Min</t>
  </si>
  <si>
    <t>(05:50) Calculate Interquartile range: Quartile 3 – Quartile 1 = Middle 50% of the values</t>
  </si>
  <si>
    <t>(07:17) Variance and Standard Deviation Math Formulas for populations and samples.</t>
  </si>
  <si>
    <t>(08:13) Calculate Sample Standard Deviation Long Hand and with STDEV.S for Data Set 3 (Supplier Days To Fill Order Data), were we ask the question: How reliable is a Supplier?</t>
  </si>
  <si>
    <t>(16:45) Alternative Formula for Sample Standard Deviation</t>
  </si>
  <si>
    <t>(17:05) Mean Absolute Error Formula</t>
  </si>
  <si>
    <t>(17:20) Calculate Sample Standard Deviation with STDEV.S for Data Set 1, (Hours Worked per Week Data) were we ask the question: How fairly does the mean represent its data points?</t>
  </si>
  <si>
    <t>(18:06) Calculate Sample Standard Deviation with STDEV.S for Set 2 (Seattle and Burien Gas Prices), were we ask the question: How volatile are Prices?</t>
  </si>
  <si>
    <t>(19:25) Coefficient of Variation</t>
  </si>
  <si>
    <t>(23:25) Using Descriptive Statistics feature to quickly calculate Numerical Measures like Mean, Median, Mode, Standard Deviation and more</t>
  </si>
  <si>
    <t>(24:52) X-Y Scatter Chart to Visually Portray Variation or Dispersion or Spread in the Data.</t>
  </si>
  <si>
    <t>(25:09) Summary of topics in video</t>
  </si>
  <si>
    <t>Video21:</t>
  </si>
  <si>
    <t>Excel 2013 Statistical Analysis #21: SKEW Function and Asymmetry in a Distribution of Data Points</t>
  </si>
  <si>
    <t>This video covers skew in a distribution of data points and the SKEW function.</t>
  </si>
  <si>
    <t>(00:08)</t>
  </si>
  <si>
    <t>Excel 2013 Statistical Analysis #22: Z-Score = # of Standard Deviations, Chebshev’s &amp;Empirical Rule</t>
  </si>
  <si>
    <t>Video22:</t>
  </si>
  <si>
    <t>(00:09) Calculate z score. Z Score is the Number of Standard Deviations a particular value is away from the mean. Deviation divided by Standard Deviation formula or STANDARDIZE function.</t>
  </si>
  <si>
    <t>(08:15) Chebshev’s Rule: 5 Examples</t>
  </si>
  <si>
    <t>(14:03) Empirical Rule: 12 Examples</t>
  </si>
  <si>
    <t>Video23:</t>
  </si>
  <si>
    <t>(00:09) Five Number Summary: Min, Quartile 1, Quartile 2, Quartile 3 and Max</t>
  </si>
  <si>
    <t>(02:41) Box Plots: Visual Summary of the Five Number Summary. How to calculate numbers with Excel and draw chart on paper</t>
  </si>
  <si>
    <t>(07:55) +/- 3 Standard Deviation Outliers</t>
  </si>
  <si>
    <t>(08:37) ABS function to find outliers</t>
  </si>
  <si>
    <t>(09:17) +/- 3 Standard Deviation Outliers, COUNTIFS to count TRUE values</t>
  </si>
  <si>
    <t>(10:08) +/- 3 Standard Deviation Outliers, Conditional Formatting to highlight Outliers</t>
  </si>
  <si>
    <t>5 N S</t>
  </si>
  <si>
    <t>MeanPorS</t>
  </si>
  <si>
    <t>Coefficient of Correlation = Measures Strength and Direction Of Liner Relationship, Not causation.</t>
  </si>
  <si>
    <t>How much of the variation in y can be explained by the variation in x</t>
  </si>
  <si>
    <t>Video24:</t>
  </si>
  <si>
    <t>Excel 2013 Statistical Analysis #24: Numerical Measures: Covariance and Correlation Coefficient</t>
  </si>
  <si>
    <t>(00:15) Review of different X-Y Scatter</t>
  </si>
  <si>
    <t>(02:42) Add Xbar Line and Ybar Line to X Y Scatter Chart to help interpret how Covariance is calculated and why the math behind the calculation makes sense</t>
  </si>
  <si>
    <t>(08:36) Formulas and Calculations for Covariance and Correlation Coefficient (Long Hand)</t>
  </si>
  <si>
    <t>(12:38) COVARIANCE.S Excel function for calculation Sample Covariance</t>
  </si>
  <si>
    <t>(13:41) Correlation Coefficient &amp; PEARSON Excel function for calculation Correlation Coefficient</t>
  </si>
  <si>
    <t>(16:11) CORREL Excel function for calculation Correlation Coefficient</t>
  </si>
  <si>
    <t>(18:50) Summary</t>
  </si>
  <si>
    <t xml:space="preserve"> =AVERAGE(B6:B38)</t>
  </si>
  <si>
    <t>Method 3</t>
  </si>
  <si>
    <t xml:space="preserve"> =AVERAGE(OFFSET(B4,E5,,E3-E5*2))</t>
  </si>
  <si>
    <t>Method 2</t>
  </si>
  <si>
    <t xml:space="preserve"> =TRIMMEAN(B4:B40,E2)</t>
  </si>
  <si>
    <t>**the calculated percentage is rounded down to the nearest multiple of 2</t>
  </si>
  <si>
    <t>This measn in the example 1.85 gets rounded down to 0</t>
  </si>
  <si>
    <t>No Values!!!!</t>
  </si>
  <si>
    <t>Note that, the specified percentage is the total percentage of values to be excluded. This percentage is divided by two, to get the number of values that are removed from each end of the range.</t>
  </si>
  <si>
    <t>It should also be noted that, when Excel is calculating how many values to discard from the supplied array of values, the calculated percentage is rounded down to the nearest multiple of 2. For example, if you want to calculate the trimmed mean of an array of 10 values, then:</t>
  </si>
  <si>
    <t>A percentage of 15%, is 1.5 values, which will be rounded down to 0 (i.e. no values are discarded from the array before calculating the mean)</t>
  </si>
  <si>
    <t>A percentage of 20%, is 2 values, so 1 value will be discarded from each end of the range before calculating the mean of the remaining values</t>
  </si>
  <si>
    <t>A percentage of 25%, is 2.5 values, which will be rounded down to 2 (i.e. 1 value will be discarded from each end of the range before calculating the mean of the remaining values)</t>
  </si>
  <si>
    <t>TRIMMED MEAN built-in Excel function does not do the same thing:</t>
  </si>
  <si>
    <t xml:space="preserve">  == &gt; Rounds down to 0,</t>
  </si>
  <si>
    <t>so no number excluded</t>
  </si>
  <si>
    <r>
      <t xml:space="preserve">Population Correlation Coefficient </t>
    </r>
    <r>
      <rPr>
        <sz val="11"/>
        <color theme="1"/>
        <rFont val="Symbol"/>
        <family val="1"/>
        <charset val="2"/>
      </rPr>
      <t>r</t>
    </r>
    <r>
      <rPr>
        <vertAlign val="subscript"/>
        <sz val="11"/>
        <color theme="1"/>
        <rFont val="Calibri"/>
        <family val="2"/>
        <scheme val="minor"/>
      </rPr>
      <t>xy</t>
    </r>
    <r>
      <rPr>
        <sz val="11"/>
        <color theme="1"/>
        <rFont val="Calibri"/>
        <family val="2"/>
        <scheme val="minor"/>
      </rPr>
      <t xml:space="preserve"> = </t>
    </r>
    <r>
      <rPr>
        <sz val="11"/>
        <color theme="1"/>
        <rFont val="Symbol"/>
        <family val="1"/>
        <charset val="2"/>
      </rPr>
      <t>s</t>
    </r>
    <r>
      <rPr>
        <vertAlign val="subscript"/>
        <sz val="11"/>
        <color theme="1"/>
        <rFont val="Calibri"/>
        <family val="2"/>
        <scheme val="minor"/>
      </rPr>
      <t>xy</t>
    </r>
    <r>
      <rPr>
        <sz val="11"/>
        <color theme="1"/>
        <rFont val="Calibri"/>
        <family val="2"/>
        <scheme val="minor"/>
      </rPr>
      <t xml:space="preserve"> /(</t>
    </r>
    <r>
      <rPr>
        <sz val="11"/>
        <color theme="1"/>
        <rFont val="Symbol"/>
        <family val="1"/>
        <charset val="2"/>
      </rPr>
      <t>s</t>
    </r>
    <r>
      <rPr>
        <vertAlign val="subscript"/>
        <sz val="11"/>
        <color theme="1"/>
        <rFont val="Calibri"/>
        <family val="2"/>
        <scheme val="minor"/>
      </rPr>
      <t>x</t>
    </r>
    <r>
      <rPr>
        <sz val="11"/>
        <color theme="1"/>
        <rFont val="Calibri"/>
        <family val="2"/>
        <scheme val="minor"/>
      </rPr>
      <t xml:space="preserve"> * </t>
    </r>
    <r>
      <rPr>
        <sz val="11"/>
        <color theme="1"/>
        <rFont val="Symbol"/>
        <family val="1"/>
        <charset val="2"/>
      </rPr>
      <t>s</t>
    </r>
    <r>
      <rPr>
        <vertAlign val="subscript"/>
        <sz val="11"/>
        <color theme="1"/>
        <rFont val="Calibri"/>
        <family val="2"/>
        <scheme val="minor"/>
      </rPr>
      <t>y</t>
    </r>
    <r>
      <rPr>
        <sz val="11"/>
        <color theme="1"/>
        <rFont val="Calibri"/>
        <family val="2"/>
        <scheme val="minor"/>
      </rPr>
      <t xml:space="preserve">) , </t>
    </r>
    <r>
      <rPr>
        <sz val="11"/>
        <color theme="1"/>
        <rFont val="Symbol"/>
        <family val="1"/>
        <charset val="2"/>
      </rPr>
      <t>r</t>
    </r>
    <r>
      <rPr>
        <sz val="11"/>
        <color theme="1"/>
        <rFont val="Calibri"/>
        <family val="2"/>
        <scheme val="minor"/>
      </rPr>
      <t xml:space="preserve"> is pronounced "Row"</t>
    </r>
  </si>
  <si>
    <r>
      <t>Deviation
X</t>
    </r>
    <r>
      <rPr>
        <vertAlign val="subscript"/>
        <sz val="11"/>
        <color theme="0"/>
        <rFont val="Calibri"/>
        <family val="2"/>
        <scheme val="minor"/>
      </rPr>
      <t>i</t>
    </r>
    <r>
      <rPr>
        <sz val="11"/>
        <color theme="0"/>
        <rFont val="Calibri"/>
        <family val="2"/>
        <scheme val="minor"/>
      </rPr>
      <t xml:space="preserve"> - Xbar</t>
    </r>
  </si>
  <si>
    <r>
      <t>Deviation ^2
(X</t>
    </r>
    <r>
      <rPr>
        <vertAlign val="subscript"/>
        <sz val="11"/>
        <color theme="0"/>
        <rFont val="Calibri"/>
        <family val="2"/>
        <scheme val="minor"/>
      </rPr>
      <t>i</t>
    </r>
    <r>
      <rPr>
        <sz val="11"/>
        <color theme="0"/>
        <rFont val="Calibri"/>
        <family val="2"/>
        <scheme val="minor"/>
      </rPr>
      <t xml:space="preserve"> - Xbar)^2</t>
    </r>
  </si>
  <si>
    <r>
      <t>(x</t>
    </r>
    <r>
      <rPr>
        <vertAlign val="subscript"/>
        <sz val="11"/>
        <color theme="0"/>
        <rFont val="Calibri"/>
        <family val="2"/>
        <scheme val="minor"/>
      </rPr>
      <t>i</t>
    </r>
    <r>
      <rPr>
        <sz val="11"/>
        <color theme="0"/>
        <rFont val="Calibri"/>
        <family val="2"/>
        <scheme val="minor"/>
      </rPr>
      <t>-Xbar)</t>
    </r>
  </si>
  <si>
    <r>
      <t>(y</t>
    </r>
    <r>
      <rPr>
        <vertAlign val="subscript"/>
        <sz val="11"/>
        <color theme="0"/>
        <rFont val="Calibri"/>
        <family val="2"/>
        <scheme val="minor"/>
      </rPr>
      <t>i</t>
    </r>
    <r>
      <rPr>
        <sz val="11"/>
        <color theme="0"/>
        <rFont val="Calibri"/>
        <family val="2"/>
        <scheme val="minor"/>
      </rPr>
      <t>-Ybar)</t>
    </r>
  </si>
  <si>
    <t>(xi-Xbar)*(yi-Ybar)</t>
  </si>
  <si>
    <t>Ave Days To Fill Order, Plywood &amp; Floor</t>
  </si>
  <si>
    <t>99% of the values lie between what two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</si>
</sst>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4" formatCode="_(&quot;$&quot;* #,##0.00_);_(&quot;$&quot;* \(#,##0.00\);_(&quot;$&quot;* &quot;-&quot;??_);_(@_)"/>
    <numFmt numFmtId="43" formatCode="_(* #,##0.00_);_(* \(#,##0.00\);_(* &quot;-&quot;??_);_(@_)"/>
    <numFmt numFmtId="164" formatCode="hh:mm:ss"/>
    <numFmt numFmtId="165" formatCode="&quot;$&quot;#,##0,"/>
    <numFmt numFmtId="166" formatCode="d\-mmm\-yyyy"/>
    <numFmt numFmtId="167" formatCode="#\ ???/???"/>
    <numFmt numFmtId="168" formatCode="0.0"/>
    <numFmt numFmtId="169" formatCode="0.0%"/>
    <numFmt numFmtId="170" formatCode="m/d/yy;@"/>
    <numFmt numFmtId="171" formatCode="_(* #,##0.0_);_(* \(#,##0.0\);_(* &quot;-&quot;??_);_(@_)"/>
    <numFmt numFmtId="172" formatCode="_(* #,##0_);_(* \(#,##0\);_(* &quot;-&quot;??_);_(@_)"/>
    <numFmt numFmtId="173" formatCode="mmm\-yyyy"/>
    <numFmt numFmtId="174" formatCode="0.000%"/>
    <numFmt numFmtId="175" formatCode="0.000"/>
    <numFmt numFmtId="176" formatCode="0\&quot;"/>
  </numFmts>
  <fonts count="5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2"/>
      <color theme="1"/>
      <name val="Calibri"/>
      <family val="2"/>
      <scheme val="minor"/>
    </font>
    <font>
      <b/>
      <i/>
      <u/>
      <sz val="11"/>
      <color indexed="8"/>
      <name val="Calibri"/>
      <family val="2"/>
    </font>
    <font>
      <b/>
      <u/>
      <sz val="11"/>
      <color theme="1"/>
      <name val="Calibri"/>
      <family val="2"/>
      <scheme val="minor"/>
    </font>
    <font>
      <sz val="11"/>
      <name val="Calibri"/>
      <family val="2"/>
      <scheme val="minor"/>
    </font>
    <font>
      <vertAlign val="subscript"/>
      <sz val="11"/>
      <color theme="1"/>
      <name val="Calibri"/>
      <family val="2"/>
      <scheme val="minor"/>
    </font>
    <font>
      <sz val="11"/>
      <color theme="1"/>
      <name val="Arial"/>
      <family val="2"/>
    </font>
    <font>
      <sz val="11"/>
      <color theme="1"/>
      <name val="Calibri"/>
      <family val="2"/>
    </font>
    <font>
      <sz val="11"/>
      <color theme="1"/>
      <name val="Calibri"/>
      <family val="2"/>
      <scheme val="minor"/>
    </font>
    <font>
      <sz val="10"/>
      <color indexed="9"/>
      <name val="Arial"/>
      <family val="2"/>
    </font>
    <font>
      <sz val="10"/>
      <name val="Arial"/>
      <family val="2"/>
    </font>
    <font>
      <sz val="12"/>
      <name val="Bookman Old Style"/>
      <family val="1"/>
    </font>
    <font>
      <b/>
      <sz val="10"/>
      <name val="Arial"/>
      <family val="2"/>
    </font>
    <font>
      <u/>
      <sz val="11"/>
      <color theme="10"/>
      <name val="Calibri"/>
      <family val="2"/>
    </font>
    <font>
      <b/>
      <sz val="16"/>
      <color indexed="53"/>
      <name val="Bell MT"/>
      <family val="1"/>
    </font>
    <font>
      <u/>
      <sz val="11"/>
      <color theme="10"/>
      <name val="Calibri"/>
      <family val="2"/>
      <scheme val="minor"/>
    </font>
    <font>
      <sz val="11"/>
      <color rgb="FFFF0000"/>
      <name val="Calibri"/>
      <family val="2"/>
      <scheme val="minor"/>
    </font>
    <font>
      <b/>
      <sz val="11"/>
      <color theme="0"/>
      <name val="Calibri"/>
      <family val="2"/>
    </font>
    <font>
      <b/>
      <vertAlign val="subscript"/>
      <sz val="11"/>
      <color theme="0"/>
      <name val="Calibri"/>
      <family val="2"/>
      <scheme val="minor"/>
    </font>
    <font>
      <sz val="11"/>
      <color rgb="FF000000"/>
      <name val="Calibri"/>
      <family val="2"/>
      <scheme val="minor"/>
    </font>
    <font>
      <b/>
      <sz val="11"/>
      <color rgb="FFFFFFFF"/>
      <name val="Calibri"/>
      <family val="2"/>
      <scheme val="minor"/>
    </font>
    <font>
      <b/>
      <vertAlign val="subscript"/>
      <sz val="11"/>
      <color rgb="FFFFFFFF"/>
      <name val="Calibri"/>
      <family val="2"/>
      <scheme val="minor"/>
    </font>
    <font>
      <sz val="12"/>
      <color theme="0"/>
      <name val="Times New Roman"/>
      <family val="1"/>
    </font>
    <font>
      <b/>
      <sz val="11"/>
      <color rgb="FFFF0000"/>
      <name val="Calibri"/>
      <family val="2"/>
      <scheme val="minor"/>
    </font>
    <font>
      <b/>
      <sz val="16"/>
      <color theme="1"/>
      <name val="Calibri"/>
      <family val="2"/>
      <scheme val="minor"/>
    </font>
    <font>
      <b/>
      <sz val="14"/>
      <color theme="0"/>
      <name val="Calibri"/>
      <family val="2"/>
      <scheme val="minor"/>
    </font>
    <font>
      <sz val="14"/>
      <name val="Calibri"/>
      <family val="2"/>
      <scheme val="minor"/>
    </font>
    <font>
      <b/>
      <sz val="11"/>
      <color theme="0"/>
      <name val="Symbol"/>
      <family val="1"/>
      <charset val="2"/>
    </font>
    <font>
      <b/>
      <i/>
      <sz val="11"/>
      <color indexed="8"/>
      <name val="Calibri"/>
      <family val="2"/>
    </font>
    <font>
      <i/>
      <sz val="11"/>
      <color theme="1"/>
      <name val="Calibri"/>
      <family val="2"/>
      <scheme val="minor"/>
    </font>
    <font>
      <sz val="11"/>
      <color theme="1"/>
      <name val="Symbol"/>
      <family val="1"/>
      <charset val="2"/>
    </font>
    <font>
      <vertAlign val="superscript"/>
      <sz val="11"/>
      <color theme="1"/>
      <name val="Calibri"/>
      <family val="2"/>
      <scheme val="minor"/>
    </font>
    <font>
      <vertAlign val="subscript"/>
      <sz val="11"/>
      <color theme="0"/>
      <name val="Calibri"/>
      <family val="2"/>
      <scheme val="minor"/>
    </font>
    <font>
      <sz val="24"/>
      <color theme="0"/>
      <name val="Calibri"/>
      <family val="2"/>
      <scheme val="minor"/>
    </font>
    <font>
      <sz val="12"/>
      <color theme="0"/>
      <name val="Calibri"/>
      <family val="2"/>
      <scheme val="minor"/>
    </font>
    <font>
      <vertAlign val="subscript"/>
      <sz val="11"/>
      <name val="Calibri"/>
      <family val="2"/>
      <scheme val="minor"/>
    </font>
    <font>
      <sz val="11"/>
      <name val="Arial"/>
      <family val="2"/>
    </font>
    <font>
      <b/>
      <sz val="14"/>
      <color rgb="FFFF0000"/>
      <name val="Calibri"/>
      <family val="2"/>
      <scheme val="minor"/>
    </font>
    <font>
      <sz val="10"/>
      <color rgb="FF333333"/>
      <name val="Arial"/>
      <family val="2"/>
    </font>
    <font>
      <sz val="16"/>
      <color theme="1"/>
      <name val="Calibri"/>
      <family val="2"/>
      <scheme val="minor"/>
    </font>
    <font>
      <b/>
      <sz val="16"/>
      <color theme="0"/>
      <name val="Calibri"/>
      <family val="2"/>
      <scheme val="minor"/>
    </font>
    <font>
      <vertAlign val="subscript"/>
      <sz val="11"/>
      <color theme="1"/>
      <name val="Calibri"/>
      <family val="2"/>
    </font>
    <font>
      <b/>
      <sz val="14"/>
      <color theme="1"/>
      <name val="Calibri"/>
      <family val="2"/>
      <scheme val="minor"/>
    </font>
    <font>
      <b/>
      <vertAlign val="subscript"/>
      <sz val="14"/>
      <color theme="1"/>
      <name val="Calibri"/>
      <family val="2"/>
      <scheme val="minor"/>
    </font>
    <font>
      <b/>
      <sz val="11"/>
      <name val="Calibri"/>
      <family val="2"/>
      <scheme val="minor"/>
    </font>
    <font>
      <b/>
      <sz val="11"/>
      <name val="Arial"/>
      <family val="2"/>
    </font>
  </fonts>
  <fills count="2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FF99"/>
        <bgColor indexed="64"/>
      </patternFill>
    </fill>
    <fill>
      <patternFill patternType="solid">
        <fgColor theme="1"/>
        <bgColor indexed="64"/>
      </patternFill>
    </fill>
    <fill>
      <patternFill patternType="solid">
        <fgColor theme="5" tint="-0.249977111117893"/>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rgb="FFCCFFCC"/>
        <bgColor indexed="64"/>
      </patternFill>
    </fill>
    <fill>
      <patternFill patternType="solid">
        <fgColor theme="5" tint="-0.49998474074526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indexed="12"/>
        <bgColor indexed="64"/>
      </patternFill>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rgb="FF002060"/>
        <bgColor rgb="FF000000"/>
      </patternFill>
    </fill>
    <fill>
      <patternFill patternType="solid">
        <fgColor rgb="FF00FF00"/>
        <bgColor indexed="64"/>
      </patternFill>
    </fill>
    <fill>
      <patternFill patternType="solid">
        <fgColor rgb="FFFF0000"/>
        <bgColor indexed="64"/>
      </patternFill>
    </fill>
    <fill>
      <patternFill patternType="solid">
        <fgColor theme="4"/>
        <bgColor theme="4"/>
      </patternFill>
    </fill>
    <fill>
      <patternFill patternType="solid">
        <fgColor rgb="FFFFC00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ck">
        <color indexed="53"/>
      </left>
      <right style="thick">
        <color indexed="53"/>
      </right>
      <top style="thick">
        <color indexed="53"/>
      </top>
      <bottom style="thick">
        <color indexed="53"/>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medium">
        <color indexed="64"/>
      </bottom>
      <diagonal/>
    </border>
    <border>
      <left/>
      <right/>
      <top style="medium">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top style="thin">
        <color theme="4" tint="0.39997558519241921"/>
      </top>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s>
  <cellStyleXfs count="16">
    <xf numFmtId="0" fontId="0" fillId="0" borderId="0"/>
    <xf numFmtId="0" fontId="2" fillId="2" borderId="1">
      <alignment wrapText="1"/>
    </xf>
    <xf numFmtId="0" fontId="14" fillId="2" borderId="1">
      <alignment horizontal="centerContinuous" wrapText="1"/>
    </xf>
    <xf numFmtId="44" fontId="15" fillId="0" borderId="0" applyFont="0" applyFill="0" applyBorder="0" applyAlignment="0" applyProtection="0"/>
    <xf numFmtId="165" fontId="16" fillId="0" borderId="0"/>
    <xf numFmtId="166" fontId="17" fillId="0" borderId="0" applyFont="0" applyFill="0" applyBorder="0" applyProtection="0">
      <alignment horizontal="center"/>
    </xf>
    <xf numFmtId="0" fontId="18" fillId="0" borderId="0" applyNumberFormat="0" applyFill="0" applyBorder="0" applyAlignment="0" applyProtection="0">
      <alignment vertical="top"/>
      <protection locked="0"/>
    </xf>
    <xf numFmtId="0" fontId="15" fillId="0" borderId="0"/>
    <xf numFmtId="9" fontId="13" fillId="0" borderId="0" applyFont="0" applyFill="0" applyBorder="0" applyAlignment="0" applyProtection="0"/>
    <xf numFmtId="167" fontId="19" fillId="19" borderId="15">
      <alignment horizontal="left" indent="2"/>
    </xf>
    <xf numFmtId="0" fontId="15" fillId="20" borderId="1">
      <alignment horizontal="centerContinuous" wrapText="1"/>
    </xf>
    <xf numFmtId="0" fontId="15" fillId="0" borderId="0">
      <alignment wrapText="1"/>
    </xf>
    <xf numFmtId="0" fontId="15" fillId="21" borderId="1">
      <alignment horizontal="centerContinuous" wrapText="1"/>
    </xf>
    <xf numFmtId="0" fontId="20" fillId="0" borderId="0" applyNumberFormat="0" applyFill="0" applyBorder="0" applyAlignment="0" applyProtection="0"/>
    <xf numFmtId="9" fontId="13" fillId="0" borderId="0" applyFont="0" applyFill="0" applyBorder="0" applyAlignment="0" applyProtection="0"/>
    <xf numFmtId="43" fontId="1" fillId="0" borderId="0" applyFont="0" applyFill="0" applyBorder="0" applyAlignment="0" applyProtection="0"/>
  </cellStyleXfs>
  <cellXfs count="280">
    <xf numFmtId="0" fontId="0" fillId="0" borderId="0" xfId="0"/>
    <xf numFmtId="0" fontId="4" fillId="2" borderId="1" xfId="0" applyFont="1" applyFill="1" applyBorder="1"/>
    <xf numFmtId="0" fontId="0" fillId="3" borderId="1" xfId="0" applyFont="1" applyFill="1" applyBorder="1"/>
    <xf numFmtId="0" fontId="0" fillId="3" borderId="2" xfId="0" applyFont="1" applyFill="1" applyBorder="1" applyAlignment="1">
      <alignment wrapText="1"/>
    </xf>
    <xf numFmtId="0" fontId="0" fillId="3" borderId="3" xfId="0" applyFont="1" applyFill="1" applyBorder="1"/>
    <xf numFmtId="0" fontId="0" fillId="0" borderId="0" xfId="0" applyFont="1"/>
    <xf numFmtId="0" fontId="2" fillId="2" borderId="1" xfId="1" applyFont="1" applyBorder="1">
      <alignment wrapText="1"/>
    </xf>
    <xf numFmtId="0" fontId="2" fillId="2" borderId="1" xfId="1" applyFont="1" applyBorder="1" applyAlignment="1">
      <alignment wrapText="1"/>
    </xf>
    <xf numFmtId="0" fontId="0" fillId="0" borderId="1" xfId="0" applyFont="1" applyBorder="1"/>
    <xf numFmtId="0" fontId="0" fillId="0" borderId="1" xfId="0" applyFont="1" applyBorder="1" applyAlignment="1">
      <alignment wrapText="1"/>
    </xf>
    <xf numFmtId="164" fontId="0" fillId="0" borderId="1" xfId="0" applyNumberFormat="1" applyFont="1" applyBorder="1"/>
    <xf numFmtId="0" fontId="0" fillId="4" borderId="4" xfId="0" applyFont="1" applyFill="1" applyBorder="1"/>
    <xf numFmtId="0" fontId="0" fillId="4" borderId="4" xfId="0" applyFont="1" applyFill="1" applyBorder="1" applyAlignment="1">
      <alignment wrapText="1"/>
    </xf>
    <xf numFmtId="0" fontId="0" fillId="0" borderId="4" xfId="0" applyFont="1" applyBorder="1"/>
    <xf numFmtId="0" fontId="0" fillId="0" borderId="4" xfId="0" applyFont="1" applyBorder="1" applyAlignment="1">
      <alignment wrapText="1"/>
    </xf>
    <xf numFmtId="0" fontId="0" fillId="4" borderId="5" xfId="0" applyFont="1" applyFill="1" applyBorder="1"/>
    <xf numFmtId="0" fontId="0" fillId="0" borderId="5" xfId="0" applyFont="1" applyBorder="1"/>
    <xf numFmtId="0" fontId="2" fillId="2" borderId="0" xfId="0" applyFont="1" applyFill="1" applyBorder="1"/>
    <xf numFmtId="0" fontId="2" fillId="2" borderId="7" xfId="0" applyFont="1" applyFill="1" applyBorder="1"/>
    <xf numFmtId="0" fontId="5" fillId="5" borderId="2" xfId="0" applyFont="1" applyFill="1" applyBorder="1" applyAlignment="1">
      <alignment horizontal="centerContinuous" wrapText="1"/>
    </xf>
    <xf numFmtId="0" fontId="5" fillId="5" borderId="3" xfId="0" applyFont="1" applyFill="1" applyBorder="1" applyAlignment="1">
      <alignment horizontal="centerContinuous" wrapText="1"/>
    </xf>
    <xf numFmtId="0" fontId="5" fillId="0" borderId="0" xfId="0" applyFont="1"/>
    <xf numFmtId="0" fontId="3" fillId="0" borderId="0" xfId="0" applyFont="1"/>
    <xf numFmtId="0" fontId="0" fillId="7" borderId="1" xfId="0" applyFill="1" applyBorder="1" applyAlignment="1">
      <alignment horizontal="centerContinuous" wrapText="1"/>
    </xf>
    <xf numFmtId="0" fontId="4" fillId="8" borderId="1" xfId="0" applyFont="1" applyFill="1" applyBorder="1"/>
    <xf numFmtId="0" fontId="3" fillId="3" borderId="1" xfId="0" applyFont="1" applyFill="1" applyBorder="1" applyAlignment="1">
      <alignment horizontal="left" indent="2"/>
    </xf>
    <xf numFmtId="0" fontId="0" fillId="0" borderId="1" xfId="0" applyBorder="1"/>
    <xf numFmtId="0" fontId="0" fillId="0" borderId="1" xfId="0" applyFill="1" applyBorder="1" applyAlignment="1">
      <alignment horizontal="left" wrapText="1" indent="3"/>
    </xf>
    <xf numFmtId="0" fontId="2" fillId="2" borderId="1" xfId="1" applyBorder="1" applyAlignment="1">
      <alignment horizontal="left" wrapText="1" indent="1"/>
    </xf>
    <xf numFmtId="0" fontId="0" fillId="12" borderId="1" xfId="0" applyFill="1" applyBorder="1" applyAlignment="1">
      <alignment wrapText="1"/>
    </xf>
    <xf numFmtId="0" fontId="0" fillId="13" borderId="1" xfId="0" applyFill="1" applyBorder="1"/>
    <xf numFmtId="0" fontId="0" fillId="7" borderId="2" xfId="0" applyFill="1" applyBorder="1" applyAlignment="1">
      <alignment horizontal="centerContinuous" wrapText="1"/>
    </xf>
    <xf numFmtId="0" fontId="0" fillId="7" borderId="3" xfId="0" applyFill="1" applyBorder="1" applyAlignment="1">
      <alignment horizontal="centerContinuous" wrapText="1"/>
    </xf>
    <xf numFmtId="0" fontId="4" fillId="2" borderId="1" xfId="0" applyFont="1" applyFill="1" applyBorder="1" applyAlignment="1">
      <alignment wrapText="1"/>
    </xf>
    <xf numFmtId="0" fontId="0" fillId="0" borderId="1" xfId="0" applyNumberFormat="1" applyBorder="1"/>
    <xf numFmtId="8" fontId="4" fillId="14" borderId="1" xfId="0" applyNumberFormat="1" applyFont="1" applyFill="1" applyBorder="1"/>
    <xf numFmtId="8" fontId="9" fillId="0" borderId="1" xfId="0" applyNumberFormat="1" applyFont="1" applyFill="1" applyBorder="1"/>
    <xf numFmtId="8" fontId="4" fillId="9" borderId="1" xfId="0" applyNumberFormat="1" applyFont="1" applyFill="1" applyBorder="1"/>
    <xf numFmtId="8" fontId="0" fillId="15" borderId="1" xfId="0" applyNumberFormat="1" applyFill="1" applyBorder="1"/>
    <xf numFmtId="8" fontId="0" fillId="16" borderId="1" xfId="0" applyNumberFormat="1" applyFill="1" applyBorder="1"/>
    <xf numFmtId="8" fontId="0" fillId="17" borderId="1" xfId="0" applyNumberFormat="1" applyFill="1" applyBorder="1"/>
    <xf numFmtId="8" fontId="0" fillId="11" borderId="1" xfId="0" applyNumberFormat="1" applyFill="1" applyBorder="1"/>
    <xf numFmtId="8" fontId="0" fillId="10" borderId="1" xfId="0" applyNumberFormat="1" applyFill="1" applyBorder="1"/>
    <xf numFmtId="8" fontId="0" fillId="6" borderId="1" xfId="0" applyNumberFormat="1" applyFill="1" applyBorder="1"/>
    <xf numFmtId="8" fontId="0" fillId="13" borderId="1" xfId="0" applyNumberFormat="1" applyFill="1" applyBorder="1"/>
    <xf numFmtId="6" fontId="0" fillId="0" borderId="0" xfId="0" applyNumberFormat="1"/>
    <xf numFmtId="6" fontId="0" fillId="13" borderId="1" xfId="0" applyNumberFormat="1" applyFill="1" applyBorder="1"/>
    <xf numFmtId="0" fontId="0" fillId="7" borderId="6" xfId="0" applyFill="1" applyBorder="1" applyAlignment="1">
      <alignment horizontal="centerContinuous" wrapText="1"/>
    </xf>
    <xf numFmtId="6" fontId="0" fillId="0" borderId="1" xfId="0" applyNumberFormat="1" applyBorder="1"/>
    <xf numFmtId="6" fontId="0" fillId="0" borderId="0" xfId="0" applyNumberFormat="1" applyBorder="1"/>
    <xf numFmtId="6" fontId="9" fillId="0" borderId="1" xfId="0" applyNumberFormat="1" applyFont="1" applyFill="1" applyBorder="1"/>
    <xf numFmtId="6" fontId="0" fillId="0" borderId="14" xfId="0" applyNumberFormat="1" applyFill="1" applyBorder="1"/>
    <xf numFmtId="6" fontId="0" fillId="0" borderId="0" xfId="0" applyNumberFormat="1" applyFill="1" applyBorder="1"/>
    <xf numFmtId="6" fontId="9" fillId="0" borderId="14" xfId="0" applyNumberFormat="1" applyFont="1" applyFill="1" applyBorder="1"/>
    <xf numFmtId="0" fontId="20" fillId="0" borderId="0" xfId="13"/>
    <xf numFmtId="0" fontId="4" fillId="2" borderId="0" xfId="0" applyFont="1" applyFill="1"/>
    <xf numFmtId="1" fontId="0" fillId="0" borderId="1" xfId="0" applyNumberFormat="1" applyBorder="1"/>
    <xf numFmtId="0" fontId="0" fillId="3" borderId="1" xfId="0" applyFill="1" applyBorder="1"/>
    <xf numFmtId="1" fontId="0" fillId="13" borderId="1" xfId="0" applyNumberFormat="1" applyFill="1" applyBorder="1"/>
    <xf numFmtId="168" fontId="0" fillId="13" borderId="1" xfId="0" applyNumberFormat="1" applyFill="1" applyBorder="1"/>
    <xf numFmtId="0" fontId="0" fillId="13" borderId="1" xfId="0" applyNumberFormat="1" applyFill="1" applyBorder="1"/>
    <xf numFmtId="0" fontId="2" fillId="2" borderId="1" xfId="1">
      <alignment wrapText="1"/>
    </xf>
    <xf numFmtId="0" fontId="2" fillId="2" borderId="1" xfId="1" applyBorder="1">
      <alignment wrapText="1"/>
    </xf>
    <xf numFmtId="14" fontId="0" fillId="0" borderId="1" xfId="0" applyNumberFormat="1" applyBorder="1"/>
    <xf numFmtId="14" fontId="0" fillId="0" borderId="17" xfId="0" applyNumberFormat="1" applyBorder="1"/>
    <xf numFmtId="0" fontId="0" fillId="0" borderId="17" xfId="0" applyBorder="1"/>
    <xf numFmtId="0" fontId="3" fillId="0" borderId="16" xfId="0" applyFont="1" applyBorder="1"/>
    <xf numFmtId="0" fontId="3" fillId="13" borderId="16" xfId="0" applyFont="1" applyFill="1" applyBorder="1"/>
    <xf numFmtId="0" fontId="0" fillId="0" borderId="16" xfId="0" applyBorder="1"/>
    <xf numFmtId="0" fontId="0" fillId="13" borderId="17" xfId="0" applyFill="1" applyBorder="1"/>
    <xf numFmtId="8" fontId="0" fillId="0" borderId="1" xfId="0" applyNumberFormat="1" applyBorder="1"/>
    <xf numFmtId="8" fontId="3" fillId="13" borderId="16" xfId="0" applyNumberFormat="1" applyFont="1" applyFill="1" applyBorder="1"/>
    <xf numFmtId="0" fontId="22" fillId="2" borderId="1" xfId="1" applyFont="1">
      <alignment wrapText="1"/>
    </xf>
    <xf numFmtId="0" fontId="0" fillId="12" borderId="2" xfId="0" applyFill="1" applyBorder="1" applyAlignment="1">
      <alignment horizontal="centerContinuous" wrapText="1"/>
    </xf>
    <xf numFmtId="0" fontId="0" fillId="12" borderId="3" xfId="0" applyFill="1" applyBorder="1" applyAlignment="1">
      <alignment horizontal="centerContinuous" wrapText="1"/>
    </xf>
    <xf numFmtId="10" fontId="0" fillId="13" borderId="1" xfId="0" applyNumberFormat="1" applyFill="1" applyBorder="1"/>
    <xf numFmtId="0" fontId="24" fillId="0" borderId="0" xfId="0" applyFont="1"/>
    <xf numFmtId="0" fontId="25" fillId="22" borderId="1" xfId="0" applyFont="1" applyFill="1" applyBorder="1" applyAlignment="1">
      <alignment wrapText="1"/>
    </xf>
    <xf numFmtId="0" fontId="24" fillId="0" borderId="3" xfId="0" applyFont="1" applyBorder="1"/>
    <xf numFmtId="0" fontId="25" fillId="22" borderId="18" xfId="0" applyFont="1" applyFill="1" applyBorder="1" applyAlignment="1">
      <alignment wrapText="1"/>
    </xf>
    <xf numFmtId="0" fontId="24" fillId="0" borderId="19" xfId="0" applyFont="1" applyBorder="1"/>
    <xf numFmtId="0" fontId="0" fillId="13" borderId="16" xfId="0" applyFill="1" applyBorder="1"/>
    <xf numFmtId="0" fontId="0" fillId="3" borderId="2" xfId="0" applyFill="1" applyBorder="1"/>
    <xf numFmtId="0" fontId="0" fillId="3" borderId="3" xfId="0" applyFill="1" applyBorder="1"/>
    <xf numFmtId="10" fontId="0" fillId="0" borderId="1" xfId="0" applyNumberFormat="1" applyBorder="1"/>
    <xf numFmtId="0" fontId="21" fillId="0" borderId="0" xfId="0" applyFont="1"/>
    <xf numFmtId="9" fontId="0" fillId="0" borderId="1" xfId="0" applyNumberFormat="1" applyBorder="1"/>
    <xf numFmtId="10" fontId="0" fillId="13" borderId="1" xfId="14" applyNumberFormat="1" applyFont="1" applyFill="1" applyBorder="1"/>
    <xf numFmtId="0" fontId="0" fillId="13" borderId="1" xfId="14" applyNumberFormat="1" applyFont="1" applyFill="1" applyBorder="1"/>
    <xf numFmtId="0" fontId="3" fillId="0" borderId="1" xfId="0" applyFont="1" applyBorder="1"/>
    <xf numFmtId="0" fontId="2" fillId="2" borderId="18" xfId="1" applyBorder="1">
      <alignment wrapText="1"/>
    </xf>
    <xf numFmtId="0" fontId="3" fillId="3" borderId="1" xfId="0" applyFont="1" applyFill="1" applyBorder="1"/>
    <xf numFmtId="0" fontId="27" fillId="2" borderId="18" xfId="0" applyFont="1" applyFill="1" applyBorder="1" applyAlignment="1">
      <alignment wrapText="1"/>
    </xf>
    <xf numFmtId="0" fontId="27" fillId="2" borderId="1" xfId="0" applyFont="1" applyFill="1" applyBorder="1" applyAlignment="1">
      <alignment wrapText="1"/>
    </xf>
    <xf numFmtId="2" fontId="0" fillId="13" borderId="1" xfId="0" applyNumberFormat="1" applyFill="1" applyBorder="1"/>
    <xf numFmtId="2" fontId="0" fillId="0" borderId="0" xfId="0" applyNumberFormat="1"/>
    <xf numFmtId="0" fontId="3" fillId="0" borderId="1" xfId="0" applyFont="1" applyBorder="1" applyAlignment="1">
      <alignment wrapText="1"/>
    </xf>
    <xf numFmtId="0" fontId="4" fillId="2" borderId="2" xfId="0" applyFont="1" applyFill="1" applyBorder="1" applyAlignment="1">
      <alignment horizontal="centerContinuous" wrapText="1"/>
    </xf>
    <xf numFmtId="0" fontId="4" fillId="2" borderId="6" xfId="0" applyFont="1" applyFill="1" applyBorder="1" applyAlignment="1">
      <alignment horizontal="centerContinuous" wrapText="1"/>
    </xf>
    <xf numFmtId="0" fontId="4" fillId="2" borderId="3" xfId="0" applyFont="1" applyFill="1" applyBorder="1" applyAlignment="1">
      <alignment horizontal="centerContinuous" wrapText="1"/>
    </xf>
    <xf numFmtId="0" fontId="2" fillId="2" borderId="1" xfId="0" applyFont="1" applyFill="1" applyBorder="1"/>
    <xf numFmtId="8" fontId="0" fillId="0" borderId="18" xfId="0" applyNumberFormat="1" applyFont="1" applyBorder="1"/>
    <xf numFmtId="8" fontId="0" fillId="0" borderId="1" xfId="0" applyNumberFormat="1" applyFont="1" applyBorder="1"/>
    <xf numFmtId="8" fontId="0" fillId="0" borderId="0" xfId="0" applyNumberFormat="1"/>
    <xf numFmtId="0" fontId="0" fillId="0" borderId="1" xfId="0" applyFill="1" applyBorder="1" applyAlignment="1">
      <alignment horizontal="left" wrapText="1" indent="4"/>
    </xf>
    <xf numFmtId="0" fontId="0" fillId="0" borderId="1" xfId="0" applyFill="1" applyBorder="1" applyAlignment="1">
      <alignment horizontal="left" wrapText="1" indent="5"/>
    </xf>
    <xf numFmtId="169" fontId="0" fillId="0" borderId="1" xfId="14" applyNumberFormat="1" applyFont="1" applyBorder="1"/>
    <xf numFmtId="169" fontId="0" fillId="0" borderId="17" xfId="14" applyNumberFormat="1" applyFont="1" applyBorder="1"/>
    <xf numFmtId="10" fontId="0" fillId="13" borderId="16" xfId="0" applyNumberFormat="1" applyFill="1" applyBorder="1"/>
    <xf numFmtId="169" fontId="0" fillId="0" borderId="0" xfId="0" applyNumberFormat="1"/>
    <xf numFmtId="170" fontId="0" fillId="0" borderId="1" xfId="0" applyNumberFormat="1" applyBorder="1"/>
    <xf numFmtId="0" fontId="0" fillId="13" borderId="16" xfId="0" applyNumberFormat="1" applyFill="1" applyBorder="1"/>
    <xf numFmtId="169" fontId="0" fillId="0" borderId="1" xfId="0" applyNumberFormat="1" applyBorder="1"/>
    <xf numFmtId="0" fontId="29" fillId="0" borderId="0" xfId="0" applyFont="1"/>
    <xf numFmtId="9" fontId="0" fillId="13" borderId="1" xfId="0" applyNumberFormat="1" applyFill="1" applyBorder="1"/>
    <xf numFmtId="9" fontId="0" fillId="0" borderId="17" xfId="0" applyNumberFormat="1" applyBorder="1"/>
    <xf numFmtId="9" fontId="0" fillId="0" borderId="16" xfId="0" applyNumberFormat="1" applyBorder="1"/>
    <xf numFmtId="0" fontId="0" fillId="0" borderId="3" xfId="0" applyBorder="1"/>
    <xf numFmtId="0" fontId="4" fillId="2" borderId="1" xfId="0" applyFont="1" applyFill="1" applyBorder="1" applyAlignment="1">
      <alignment horizontal="centerContinuous" wrapText="1"/>
    </xf>
    <xf numFmtId="0" fontId="4" fillId="2" borderId="7" xfId="0" applyFont="1" applyFill="1" applyBorder="1"/>
    <xf numFmtId="0" fontId="0" fillId="0" borderId="0" xfId="0" applyAlignment="1">
      <alignment wrapText="1"/>
    </xf>
    <xf numFmtId="0" fontId="32" fillId="2" borderId="1" xfId="1" applyFont="1">
      <alignment wrapText="1"/>
    </xf>
    <xf numFmtId="0" fontId="5" fillId="23" borderId="2" xfId="0" applyFont="1" applyFill="1" applyBorder="1"/>
    <xf numFmtId="0" fontId="5" fillId="23" borderId="3" xfId="0" applyFont="1" applyFill="1" applyBorder="1"/>
    <xf numFmtId="0" fontId="0" fillId="0" borderId="0" xfId="0" applyFill="1" applyBorder="1" applyAlignment="1"/>
    <xf numFmtId="8" fontId="0" fillId="0" borderId="0" xfId="0" applyNumberFormat="1" applyFill="1" applyBorder="1" applyAlignment="1"/>
    <xf numFmtId="10" fontId="0" fillId="0" borderId="0" xfId="0" applyNumberFormat="1" applyFill="1" applyBorder="1" applyAlignment="1"/>
    <xf numFmtId="0" fontId="0" fillId="0" borderId="20" xfId="0" applyFill="1" applyBorder="1" applyAlignment="1"/>
    <xf numFmtId="8" fontId="0" fillId="0" borderId="20" xfId="0" applyNumberFormat="1" applyFill="1" applyBorder="1" applyAlignment="1"/>
    <xf numFmtId="10" fontId="0" fillId="0" borderId="20" xfId="0" applyNumberFormat="1" applyFill="1" applyBorder="1" applyAlignment="1"/>
    <xf numFmtId="0" fontId="34" fillId="0" borderId="21" xfId="0" applyFont="1" applyFill="1" applyBorder="1" applyAlignment="1">
      <alignment horizontal="center"/>
    </xf>
    <xf numFmtId="0" fontId="3" fillId="0" borderId="1" xfId="0" applyFont="1" applyFill="1" applyBorder="1" applyAlignment="1">
      <alignment horizontal="left" wrapText="1" indent="4"/>
    </xf>
    <xf numFmtId="0" fontId="0" fillId="0" borderId="1" xfId="0" applyBorder="1" applyAlignment="1">
      <alignment horizontal="left" indent="5"/>
    </xf>
    <xf numFmtId="0" fontId="0" fillId="0" borderId="1" xfId="0" applyBorder="1" applyAlignment="1">
      <alignment horizontal="left" indent="3"/>
    </xf>
    <xf numFmtId="0" fontId="0" fillId="0" borderId="1" xfId="0" applyBorder="1" applyAlignment="1">
      <alignment horizontal="left" indent="4"/>
    </xf>
    <xf numFmtId="0" fontId="0" fillId="3" borderId="0" xfId="0" applyFill="1"/>
    <xf numFmtId="0" fontId="34" fillId="0" borderId="21" xfId="0" applyFont="1" applyFill="1" applyBorder="1" applyAlignment="1">
      <alignment horizontal="centerContinuous"/>
    </xf>
    <xf numFmtId="0" fontId="4" fillId="2" borderId="1" xfId="0" applyNumberFormat="1" applyFont="1" applyFill="1" applyBorder="1"/>
    <xf numFmtId="0" fontId="0" fillId="0" borderId="2" xfId="0" applyBorder="1"/>
    <xf numFmtId="4" fontId="0" fillId="13" borderId="1" xfId="14" applyNumberFormat="1" applyFont="1" applyFill="1" applyBorder="1"/>
    <xf numFmtId="4" fontId="0" fillId="0" borderId="0" xfId="0" applyNumberFormat="1"/>
    <xf numFmtId="4" fontId="0" fillId="0" borderId="3" xfId="0" applyNumberFormat="1" applyBorder="1"/>
    <xf numFmtId="4" fontId="0" fillId="13" borderId="1" xfId="0" applyNumberFormat="1" applyFill="1" applyBorder="1"/>
    <xf numFmtId="0" fontId="0" fillId="12" borderId="1" xfId="0" applyFill="1" applyBorder="1"/>
    <xf numFmtId="8" fontId="0" fillId="0" borderId="0" xfId="0" applyNumberFormat="1" applyBorder="1"/>
    <xf numFmtId="8" fontId="9" fillId="13" borderId="1" xfId="0" applyNumberFormat="1" applyFont="1" applyFill="1" applyBorder="1"/>
    <xf numFmtId="9" fontId="15" fillId="13" borderId="1" xfId="14" applyFont="1" applyFill="1" applyBorder="1"/>
    <xf numFmtId="0" fontId="4" fillId="2" borderId="1" xfId="1" applyFont="1">
      <alignment wrapText="1"/>
    </xf>
    <xf numFmtId="0" fontId="0" fillId="3" borderId="6" xfId="0" applyFill="1" applyBorder="1"/>
    <xf numFmtId="0" fontId="39" fillId="2" borderId="1" xfId="0" applyFont="1" applyFill="1" applyBorder="1" applyAlignment="1">
      <alignment wrapText="1"/>
    </xf>
    <xf numFmtId="14" fontId="0" fillId="0" borderId="1" xfId="0" applyNumberFormat="1" applyFont="1" applyBorder="1"/>
    <xf numFmtId="0" fontId="0" fillId="0" borderId="0" xfId="0" applyFont="1" applyFill="1" applyBorder="1"/>
    <xf numFmtId="0" fontId="0" fillId="0" borderId="0" xfId="0" applyNumberFormat="1"/>
    <xf numFmtId="0" fontId="0" fillId="0" borderId="1" xfId="14" applyNumberFormat="1" applyFont="1" applyBorder="1"/>
    <xf numFmtId="0" fontId="0" fillId="0" borderId="17" xfId="14" applyNumberFormat="1" applyFont="1" applyBorder="1"/>
    <xf numFmtId="0" fontId="4" fillId="24" borderId="1" xfId="0" applyFont="1" applyFill="1" applyBorder="1"/>
    <xf numFmtId="0" fontId="0" fillId="0" borderId="1" xfId="0" applyNumberFormat="1" applyFill="1" applyBorder="1"/>
    <xf numFmtId="0" fontId="0" fillId="0" borderId="1" xfId="0" applyFill="1" applyBorder="1" applyAlignment="1">
      <alignment wrapText="1"/>
    </xf>
    <xf numFmtId="0" fontId="0" fillId="13" borderId="1" xfId="0" applyFill="1" applyBorder="1" applyAlignment="1">
      <alignment wrapText="1"/>
    </xf>
    <xf numFmtId="0" fontId="0" fillId="0" borderId="1" xfId="0" applyBorder="1" applyAlignment="1">
      <alignment wrapText="1"/>
    </xf>
    <xf numFmtId="171" fontId="1" fillId="0" borderId="1" xfId="15" applyNumberFormat="1" applyFont="1" applyBorder="1"/>
    <xf numFmtId="171" fontId="0" fillId="13" borderId="1" xfId="0" applyNumberFormat="1" applyFill="1" applyBorder="1"/>
    <xf numFmtId="172" fontId="1" fillId="0" borderId="1" xfId="15" applyNumberFormat="1" applyFont="1" applyBorder="1"/>
    <xf numFmtId="43" fontId="1" fillId="0" borderId="1" xfId="15" applyFont="1" applyBorder="1"/>
    <xf numFmtId="0" fontId="1" fillId="0" borderId="1" xfId="15" applyNumberFormat="1" applyFont="1" applyFill="1" applyBorder="1"/>
    <xf numFmtId="172" fontId="1" fillId="13" borderId="1" xfId="15" applyNumberFormat="1" applyFont="1" applyFill="1" applyBorder="1"/>
    <xf numFmtId="172" fontId="0" fillId="13" borderId="1" xfId="0" applyNumberFormat="1" applyFill="1" applyBorder="1"/>
    <xf numFmtId="0" fontId="9" fillId="0" borderId="1" xfId="0" applyFont="1" applyFill="1" applyBorder="1" applyAlignment="1">
      <alignment horizontal="left" wrapText="1" indent="3"/>
    </xf>
    <xf numFmtId="0" fontId="41" fillId="12" borderId="1" xfId="0" applyFont="1" applyFill="1" applyBorder="1" applyAlignment="1">
      <alignment horizontal="centerContinuous" wrapText="1"/>
    </xf>
    <xf numFmtId="0" fontId="4" fillId="2" borderId="1" xfId="0" applyFont="1" applyFill="1" applyBorder="1" applyAlignment="1">
      <alignment horizontal="center"/>
    </xf>
    <xf numFmtId="1" fontId="0" fillId="0" borderId="0" xfId="0" applyNumberFormat="1"/>
    <xf numFmtId="0" fontId="41" fillId="13" borderId="3" xfId="0" applyFont="1" applyFill="1" applyBorder="1" applyAlignment="1">
      <alignment horizontal="centerContinuous" wrapText="1"/>
    </xf>
    <xf numFmtId="0" fontId="41" fillId="13" borderId="6" xfId="0" applyFont="1" applyFill="1" applyBorder="1" applyAlignment="1">
      <alignment horizontal="centerContinuous" wrapText="1"/>
    </xf>
    <xf numFmtId="0" fontId="41" fillId="13" borderId="2" xfId="0" applyFont="1" applyFill="1" applyBorder="1" applyAlignment="1">
      <alignment horizontal="centerContinuous" wrapText="1"/>
    </xf>
    <xf numFmtId="0" fontId="43" fillId="0" borderId="0" xfId="0" applyFont="1"/>
    <xf numFmtId="0" fontId="3" fillId="0" borderId="0" xfId="0" applyFont="1" applyFill="1" applyBorder="1"/>
    <xf numFmtId="0" fontId="0" fillId="0" borderId="0" xfId="0" applyAlignment="1"/>
    <xf numFmtId="0" fontId="0" fillId="7" borderId="3" xfId="0" applyFill="1" applyBorder="1"/>
    <xf numFmtId="0" fontId="0" fillId="7" borderId="6" xfId="0" applyFill="1" applyBorder="1"/>
    <xf numFmtId="0" fontId="0" fillId="7" borderId="1" xfId="0" applyFill="1" applyBorder="1"/>
    <xf numFmtId="0" fontId="0" fillId="7" borderId="2" xfId="0" applyFill="1" applyBorder="1"/>
    <xf numFmtId="0" fontId="0" fillId="0" borderId="1" xfId="0" applyFill="1" applyBorder="1"/>
    <xf numFmtId="0" fontId="0" fillId="0" borderId="1" xfId="0" applyBorder="1" applyAlignment="1">
      <alignment horizontal="centerContinuous" wrapText="1"/>
    </xf>
    <xf numFmtId="0" fontId="0" fillId="13" borderId="3" xfId="0" applyFill="1" applyBorder="1"/>
    <xf numFmtId="0" fontId="14" fillId="18" borderId="1" xfId="0" applyFont="1" applyFill="1" applyBorder="1" applyAlignment="1">
      <alignment horizontal="centerContinuous" wrapText="1"/>
    </xf>
    <xf numFmtId="0" fontId="44" fillId="3" borderId="0" xfId="0" applyFont="1" applyFill="1"/>
    <xf numFmtId="0" fontId="0" fillId="12" borderId="19" xfId="0" applyFill="1" applyBorder="1"/>
    <xf numFmtId="0" fontId="0" fillId="12" borderId="23" xfId="0" applyFill="1" applyBorder="1"/>
    <xf numFmtId="0" fontId="0" fillId="12" borderId="22" xfId="0" applyFill="1" applyBorder="1"/>
    <xf numFmtId="0" fontId="0" fillId="12" borderId="24" xfId="0" applyFill="1" applyBorder="1"/>
    <xf numFmtId="0" fontId="0" fillId="12" borderId="0" xfId="0" applyFill="1" applyBorder="1"/>
    <xf numFmtId="0" fontId="0" fillId="12" borderId="7" xfId="0" applyFill="1" applyBorder="1"/>
    <xf numFmtId="0" fontId="0" fillId="12" borderId="25" xfId="0" applyFill="1" applyBorder="1"/>
    <xf numFmtId="0" fontId="0" fillId="12" borderId="5" xfId="0" applyFill="1" applyBorder="1"/>
    <xf numFmtId="0" fontId="3" fillId="12" borderId="4" xfId="0" applyFont="1" applyFill="1" applyBorder="1"/>
    <xf numFmtId="6" fontId="0" fillId="4" borderId="5" xfId="0" applyNumberFormat="1" applyFont="1" applyFill="1" applyBorder="1"/>
    <xf numFmtId="6" fontId="0" fillId="0" borderId="26" xfId="0" applyNumberFormat="1" applyFont="1" applyBorder="1"/>
    <xf numFmtId="6" fontId="0" fillId="4" borderId="26" xfId="0" applyNumberFormat="1" applyFont="1" applyFill="1" applyBorder="1"/>
    <xf numFmtId="0" fontId="2" fillId="25" borderId="0" xfId="0" applyFont="1" applyFill="1" applyBorder="1"/>
    <xf numFmtId="0" fontId="9" fillId="3" borderId="1" xfId="0" applyFont="1" applyFill="1" applyBorder="1"/>
    <xf numFmtId="0" fontId="3" fillId="12" borderId="7" xfId="0" applyFont="1" applyFill="1" applyBorder="1"/>
    <xf numFmtId="0" fontId="3" fillId="12" borderId="0" xfId="0" applyFont="1" applyFill="1" applyBorder="1"/>
    <xf numFmtId="0" fontId="3" fillId="12" borderId="24" xfId="0" applyFont="1" applyFill="1" applyBorder="1"/>
    <xf numFmtId="0" fontId="4" fillId="2" borderId="14" xfId="0" applyFont="1" applyFill="1" applyBorder="1"/>
    <xf numFmtId="0" fontId="3" fillId="3" borderId="1" xfId="0" quotePrefix="1" applyFont="1" applyFill="1" applyBorder="1" applyAlignment="1">
      <alignment horizontal="left" indent="2"/>
    </xf>
    <xf numFmtId="0" fontId="0" fillId="0" borderId="1" xfId="0" applyBorder="1" applyAlignment="1">
      <alignment horizontal="left" wrapText="1" indent="3"/>
    </xf>
    <xf numFmtId="0" fontId="0" fillId="0" borderId="1" xfId="0" applyBorder="1" applyAlignment="1">
      <alignment horizontal="left" wrapText="1" indent="4"/>
    </xf>
    <xf numFmtId="0" fontId="45" fillId="8" borderId="1" xfId="0" applyFont="1" applyFill="1" applyBorder="1"/>
    <xf numFmtId="0" fontId="3" fillId="0" borderId="1" xfId="0" applyFont="1" applyFill="1" applyBorder="1"/>
    <xf numFmtId="0" fontId="0" fillId="0" borderId="27" xfId="0" applyBorder="1"/>
    <xf numFmtId="0" fontId="0" fillId="0" borderId="28" xfId="0" applyBorder="1"/>
    <xf numFmtId="0" fontId="4" fillId="8" borderId="0" xfId="0" applyFont="1" applyFill="1"/>
    <xf numFmtId="0" fontId="0" fillId="3" borderId="1" xfId="0" applyFill="1" applyBorder="1" applyAlignment="1">
      <alignment wrapText="1"/>
    </xf>
    <xf numFmtId="14" fontId="0" fillId="0" borderId="0" xfId="0" applyNumberFormat="1"/>
    <xf numFmtId="0" fontId="3" fillId="12" borderId="23" xfId="0" applyFont="1" applyFill="1" applyBorder="1"/>
    <xf numFmtId="0" fontId="3" fillId="3" borderId="2" xfId="0" applyFont="1" applyFill="1" applyBorder="1"/>
    <xf numFmtId="0" fontId="47" fillId="0" borderId="0" xfId="0" applyFont="1"/>
    <xf numFmtId="0" fontId="20" fillId="0" borderId="1" xfId="13" applyBorder="1"/>
    <xf numFmtId="0" fontId="0" fillId="0" borderId="1" xfId="0" applyBorder="1" applyAlignment="1">
      <alignment horizontal="left" indent="1"/>
    </xf>
    <xf numFmtId="0" fontId="0" fillId="0" borderId="1" xfId="0" applyBorder="1" applyAlignment="1">
      <alignment horizontal="left" indent="2"/>
    </xf>
    <xf numFmtId="0" fontId="3" fillId="3" borderId="7" xfId="0" applyFont="1" applyFill="1" applyBorder="1"/>
    <xf numFmtId="0" fontId="3" fillId="3" borderId="0" xfId="0" applyFont="1" applyFill="1" applyBorder="1"/>
    <xf numFmtId="0" fontId="0" fillId="3" borderId="0" xfId="0" applyFill="1" applyBorder="1"/>
    <xf numFmtId="0" fontId="0" fillId="3" borderId="24" xfId="0" applyFill="1" applyBorder="1"/>
    <xf numFmtId="0" fontId="0" fillId="12" borderId="7" xfId="0" applyFont="1" applyFill="1" applyBorder="1" applyAlignment="1">
      <alignment horizontal="left" indent="1"/>
    </xf>
    <xf numFmtId="0" fontId="0" fillId="12" borderId="22" xfId="0" applyFont="1" applyFill="1" applyBorder="1" applyAlignment="1">
      <alignment horizontal="left" indent="1"/>
    </xf>
    <xf numFmtId="0" fontId="3" fillId="0" borderId="1" xfId="0" applyFont="1" applyFill="1" applyBorder="1" applyAlignment="1">
      <alignment horizontal="left" wrapText="1" indent="3"/>
    </xf>
    <xf numFmtId="0" fontId="0" fillId="3" borderId="25" xfId="0" applyFill="1" applyBorder="1"/>
    <xf numFmtId="0" fontId="0" fillId="3" borderId="4" xfId="0" applyFill="1" applyBorder="1"/>
    <xf numFmtId="6" fontId="0" fillId="13" borderId="3" xfId="0" applyNumberFormat="1" applyFill="1" applyBorder="1"/>
    <xf numFmtId="0" fontId="4" fillId="2" borderId="2" xfId="0" applyFont="1" applyFill="1" applyBorder="1"/>
    <xf numFmtId="0" fontId="4" fillId="2" borderId="6" xfId="0" applyFont="1" applyFill="1" applyBorder="1"/>
    <xf numFmtId="0" fontId="0" fillId="0" borderId="0" xfId="0" applyAlignment="1">
      <alignment horizontal="left"/>
    </xf>
    <xf numFmtId="6" fontId="9" fillId="3" borderId="1" xfId="0" applyNumberFormat="1" applyFont="1" applyFill="1" applyBorder="1"/>
    <xf numFmtId="6" fontId="9" fillId="26" borderId="1" xfId="0" applyNumberFormat="1" applyFont="1" applyFill="1" applyBorder="1"/>
    <xf numFmtId="6" fontId="9" fillId="3" borderId="14" xfId="0" applyNumberFormat="1" applyFont="1" applyFill="1" applyBorder="1"/>
    <xf numFmtId="10" fontId="3" fillId="13" borderId="16" xfId="0" applyNumberFormat="1" applyFont="1" applyFill="1" applyBorder="1"/>
    <xf numFmtId="173" fontId="0" fillId="0" borderId="1" xfId="0" applyNumberFormat="1" applyBorder="1"/>
    <xf numFmtId="174" fontId="0" fillId="13" borderId="1" xfId="0" applyNumberFormat="1" applyFill="1" applyBorder="1"/>
    <xf numFmtId="10" fontId="0" fillId="0" borderId="0" xfId="0" applyNumberFormat="1"/>
    <xf numFmtId="0" fontId="0" fillId="0" borderId="0" xfId="0" applyBorder="1"/>
    <xf numFmtId="0" fontId="9" fillId="3" borderId="2" xfId="0" applyFont="1" applyFill="1" applyBorder="1" applyAlignment="1">
      <alignment wrapText="1"/>
    </xf>
    <xf numFmtId="0" fontId="9" fillId="3" borderId="3" xfId="0" applyFont="1" applyFill="1" applyBorder="1" applyAlignment="1">
      <alignment wrapText="1"/>
    </xf>
    <xf numFmtId="0" fontId="9" fillId="3" borderId="6" xfId="0" applyFont="1" applyFill="1" applyBorder="1" applyAlignment="1">
      <alignment wrapText="1"/>
    </xf>
    <xf numFmtId="0" fontId="0" fillId="0" borderId="0" xfId="0" applyBorder="1" applyAlignment="1">
      <alignment horizontal="left"/>
    </xf>
    <xf numFmtId="0" fontId="42" fillId="0" borderId="1" xfId="0" applyFont="1" applyBorder="1" applyAlignment="1">
      <alignment textRotation="180"/>
    </xf>
    <xf numFmtId="0" fontId="0" fillId="10" borderId="1" xfId="0" applyFill="1" applyBorder="1"/>
    <xf numFmtId="8" fontId="0" fillId="13" borderId="16" xfId="0" applyNumberFormat="1" applyFill="1" applyBorder="1"/>
    <xf numFmtId="0" fontId="4" fillId="2" borderId="3" xfId="0" applyFont="1" applyFill="1" applyBorder="1"/>
    <xf numFmtId="0" fontId="0" fillId="12" borderId="4" xfId="0" applyFill="1" applyBorder="1"/>
    <xf numFmtId="1" fontId="0" fillId="0" borderId="18" xfId="0" applyNumberFormat="1" applyBorder="1"/>
    <xf numFmtId="0" fontId="3" fillId="12" borderId="2" xfId="0" applyFont="1" applyFill="1" applyBorder="1"/>
    <xf numFmtId="0" fontId="3" fillId="12" borderId="6" xfId="0" applyFont="1" applyFill="1" applyBorder="1"/>
    <xf numFmtId="0" fontId="3" fillId="12" borderId="3" xfId="0" applyFont="1" applyFill="1" applyBorder="1"/>
    <xf numFmtId="0" fontId="3" fillId="12" borderId="1" xfId="0" applyFont="1" applyFill="1" applyBorder="1"/>
    <xf numFmtId="175" fontId="0" fillId="13" borderId="1" xfId="0" applyNumberFormat="1" applyFill="1" applyBorder="1"/>
    <xf numFmtId="176" fontId="0" fillId="0" borderId="1" xfId="0" applyNumberFormat="1" applyBorder="1"/>
    <xf numFmtId="176" fontId="0" fillId="13" borderId="1" xfId="0" applyNumberFormat="1" applyFill="1" applyBorder="1"/>
    <xf numFmtId="168" fontId="0" fillId="0" borderId="18" xfId="0" applyNumberFormat="1" applyBorder="1"/>
    <xf numFmtId="0" fontId="0" fillId="0" borderId="0" xfId="0" applyAlignment="1">
      <alignment horizontal="left" vertical="center" indent="5"/>
    </xf>
    <xf numFmtId="0" fontId="0" fillId="0" borderId="0" xfId="0" applyAlignment="1">
      <alignment vertical="center"/>
    </xf>
    <xf numFmtId="0" fontId="0" fillId="0" borderId="1" xfId="0" applyBorder="1" applyAlignment="1">
      <alignment vertical="center"/>
    </xf>
    <xf numFmtId="0" fontId="0" fillId="0" borderId="0" xfId="0" applyAlignment="1">
      <alignment horizontal="left" indent="4"/>
    </xf>
    <xf numFmtId="0" fontId="4" fillId="2" borderId="1" xfId="0" applyNumberFormat="1" applyFont="1" applyFill="1" applyBorder="1" applyAlignment="1">
      <alignment wrapText="1"/>
    </xf>
    <xf numFmtId="0" fontId="0" fillId="12" borderId="8" xfId="0" applyFill="1" applyBorder="1" applyAlignment="1">
      <alignment horizontal="center" vertical="center" wrapText="1"/>
    </xf>
    <xf numFmtId="0" fontId="0" fillId="12" borderId="9" xfId="0" applyFill="1" applyBorder="1" applyAlignment="1">
      <alignment horizontal="center" vertical="center" wrapText="1"/>
    </xf>
    <xf numFmtId="0" fontId="0" fillId="12" borderId="10" xfId="0" applyFill="1" applyBorder="1" applyAlignment="1">
      <alignment horizontal="center" vertical="center" wrapText="1"/>
    </xf>
    <xf numFmtId="0" fontId="0" fillId="12" borderId="11" xfId="0" applyFill="1" applyBorder="1" applyAlignment="1">
      <alignment horizontal="center" vertical="center" wrapText="1"/>
    </xf>
    <xf numFmtId="0" fontId="0" fillId="12" borderId="12" xfId="0" applyFill="1" applyBorder="1" applyAlignment="1">
      <alignment horizontal="center" vertical="center" wrapText="1"/>
    </xf>
    <xf numFmtId="0" fontId="0" fillId="12" borderId="13" xfId="0" applyFill="1" applyBorder="1" applyAlignment="1">
      <alignment horizontal="center" vertical="center" wrapText="1"/>
    </xf>
    <xf numFmtId="0" fontId="31" fillId="12" borderId="2" xfId="0" applyFont="1" applyFill="1" applyBorder="1" applyAlignment="1">
      <alignment horizontal="center" wrapText="1"/>
    </xf>
    <xf numFmtId="0" fontId="31" fillId="12" borderId="6" xfId="0" applyFont="1" applyFill="1" applyBorder="1" applyAlignment="1">
      <alignment horizontal="center" wrapText="1"/>
    </xf>
    <xf numFmtId="0" fontId="31" fillId="12" borderId="3" xfId="0" applyFont="1" applyFill="1" applyBorder="1" applyAlignment="1">
      <alignment horizontal="center" wrapText="1"/>
    </xf>
    <xf numFmtId="0" fontId="30" fillId="2" borderId="2" xfId="0" applyFont="1" applyFill="1" applyBorder="1" applyAlignment="1">
      <alignment horizontal="center" wrapText="1"/>
    </xf>
    <xf numFmtId="0" fontId="30" fillId="2" borderId="6" xfId="0" applyFont="1" applyFill="1" applyBorder="1" applyAlignment="1">
      <alignment horizontal="center" wrapText="1"/>
    </xf>
    <xf numFmtId="0" fontId="0" fillId="0" borderId="1" xfId="0" applyBorder="1" applyAlignment="1">
      <alignment horizontal="left" wrapText="1"/>
    </xf>
    <xf numFmtId="0" fontId="0" fillId="0" borderId="2" xfId="0" applyBorder="1" applyAlignment="1">
      <alignment horizontal="left"/>
    </xf>
    <xf numFmtId="0" fontId="0" fillId="0" borderId="6" xfId="0" applyBorder="1" applyAlignment="1">
      <alignment horizontal="left"/>
    </xf>
    <xf numFmtId="0" fontId="0" fillId="0" borderId="3" xfId="0" applyBorder="1" applyAlignment="1">
      <alignment horizontal="left"/>
    </xf>
    <xf numFmtId="0" fontId="38" fillId="24" borderId="0" xfId="0" applyFont="1" applyFill="1" applyAlignment="1">
      <alignment horizontal="center" wrapText="1"/>
    </xf>
  </cellXfs>
  <cellStyles count="16">
    <cellStyle name="Blue" xfId="1" xr:uid="{00000000-0005-0000-0000-000000000000}"/>
    <cellStyle name="bluecenteraccrossselection" xfId="2" xr:uid="{00000000-0005-0000-0000-000001000000}"/>
    <cellStyle name="Comma" xfId="15" builtinId="3"/>
    <cellStyle name="Currency 2" xfId="3" xr:uid="{00000000-0005-0000-0000-000003000000}"/>
    <cellStyle name="Currency Round to thousands" xfId="4" xr:uid="{00000000-0005-0000-0000-000004000000}"/>
    <cellStyle name="Four-Digit Year" xfId="5" xr:uid="{00000000-0005-0000-0000-000005000000}"/>
    <cellStyle name="Hyperlink" xfId="13" builtinId="8"/>
    <cellStyle name="Hyperlink 2" xfId="6" xr:uid="{00000000-0005-0000-0000-000007000000}"/>
    <cellStyle name="Normal" xfId="0" builtinId="0"/>
    <cellStyle name="Normal 2" xfId="7" xr:uid="{00000000-0005-0000-0000-000009000000}"/>
    <cellStyle name="Percent" xfId="14" builtinId="5"/>
    <cellStyle name="Percent 2" xfId="8" xr:uid="{00000000-0005-0000-0000-00000B000000}"/>
    <cellStyle name="Rad" xfId="9" xr:uid="{00000000-0005-0000-0000-00000C000000}"/>
    <cellStyle name="redcenteraccrossselection" xfId="10" xr:uid="{00000000-0005-0000-0000-00000D000000}"/>
    <cellStyle name="Wrap Text" xfId="11" xr:uid="{00000000-0005-0000-0000-00000E000000}"/>
    <cellStyle name="yellowcenteraccrossselection" xfId="12" xr:uid="{00000000-0005-0000-0000-00000F000000}"/>
  </cellStyles>
  <dxfs count="35">
    <dxf>
      <font>
        <b val="0"/>
        <i val="0"/>
        <strike val="0"/>
        <condense val="0"/>
        <extend val="0"/>
        <outline val="0"/>
        <shadow val="0"/>
        <u val="none"/>
        <vertAlign val="baseline"/>
        <sz val="11"/>
        <color theme="1"/>
        <name val="Calibri"/>
        <scheme val="minor"/>
      </font>
      <numFmt numFmtId="10" formatCode="&quot;$&quot;#,##0_);[Red]\(&quot;$&quot;#,##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FF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FF00"/>
        </patternFill>
      </fill>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s>
  <tableStyles count="1" defaultTableStyle="TableStyleMedium2" defaultPivotStyle="PivotStyleLight16">
    <tableStyle name="Invisible" pivot="0" table="0" count="0" xr9:uid="{1F9A3D1B-F6D8-4AFF-B5BA-67DAB2AEE8E4}"/>
  </tableStyles>
  <colors>
    <mruColors>
      <color rgb="FF0000FF"/>
      <color rgb="FFFFFFCC"/>
      <color rgb="FFCCFFCC"/>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openxmlformats.org/officeDocument/2006/relationships/customXml" Target="../customXml/item2.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3.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pivotCacheDefinition" Target="pivotCache/pivotCacheDefinition2.xml"/><Relationship Id="rId88"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pivotCacheDefinition" Target="pivotCache/pivotCacheDefinition1.xml"/><Relationship Id="rId19" Type="http://schemas.openxmlformats.org/officeDocument/2006/relationships/worksheet" Target="worksheets/sheet19.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7.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8.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9.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4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4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4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5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57.xml.rels><?xml version="1.0" encoding="UTF-8" standalone="yes"?>
<Relationships xmlns="http://schemas.openxmlformats.org/package/2006/relationships"><Relationship Id="rId1" Type="http://schemas.openxmlformats.org/officeDocument/2006/relationships/chartUserShapes" Target="../drawings/drawing47.xml"/></Relationships>
</file>

<file path=xl/charts/_rels/chart60.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6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6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70.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7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78.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82.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83.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84.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8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8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9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D3CA-4299-BEEA-41B1E2693A61}"/>
              </c:ext>
            </c:extLst>
          </c:dPt>
          <c:dPt>
            <c:idx val="1"/>
            <c:invertIfNegative val="0"/>
            <c:bubble3D val="0"/>
            <c:extLst>
              <c:ext xmlns:c16="http://schemas.microsoft.com/office/drawing/2014/chart" uri="{C3380CC4-5D6E-409C-BE32-E72D297353CC}">
                <c16:uniqueId val="{00000001-D3CA-4299-BEEA-41B1E2693A61}"/>
              </c:ext>
            </c:extLst>
          </c:dPt>
          <c:dPt>
            <c:idx val="2"/>
            <c:invertIfNegative val="0"/>
            <c:bubble3D val="0"/>
            <c:extLst>
              <c:ext xmlns:c16="http://schemas.microsoft.com/office/drawing/2014/chart" uri="{C3380CC4-5D6E-409C-BE32-E72D297353CC}">
                <c16:uniqueId val="{00000002-D3CA-4299-BEEA-41B1E2693A61}"/>
              </c:ext>
            </c:extLst>
          </c:dPt>
          <c:dPt>
            <c:idx val="3"/>
            <c:invertIfNegative val="0"/>
            <c:bubble3D val="0"/>
            <c:extLst>
              <c:ext xmlns:c16="http://schemas.microsoft.com/office/drawing/2014/chart" uri="{C3380CC4-5D6E-409C-BE32-E72D297353CC}">
                <c16:uniqueId val="{00000003-D3CA-4299-BEEA-41B1E2693A61}"/>
              </c:ext>
            </c:extLst>
          </c:dPt>
          <c:dPt>
            <c:idx val="4"/>
            <c:invertIfNegative val="0"/>
            <c:bubble3D val="0"/>
            <c:extLst>
              <c:ext xmlns:c16="http://schemas.microsoft.com/office/drawing/2014/chart" uri="{C3380CC4-5D6E-409C-BE32-E72D297353CC}">
                <c16:uniqueId val="{00000004-D3CA-4299-BEEA-41B1E2693A61}"/>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D3CA-4299-BEEA-41B1E2693A61}"/>
            </c:ext>
          </c:extLst>
        </c:ser>
        <c:dLbls>
          <c:showLegendKey val="0"/>
          <c:showVal val="0"/>
          <c:showCatName val="0"/>
          <c:showSerName val="0"/>
          <c:showPercent val="0"/>
          <c:showBubbleSize val="0"/>
        </c:dLbls>
        <c:gapWidth val="0"/>
        <c:axId val="826108288"/>
        <c:axId val="826117248"/>
      </c:barChart>
      <c:catAx>
        <c:axId val="826108288"/>
        <c:scaling>
          <c:orientation val="minMax"/>
        </c:scaling>
        <c:delete val="0"/>
        <c:axPos val="b"/>
        <c:numFmt formatCode="General" sourceLinked="1"/>
        <c:majorTickMark val="out"/>
        <c:minorTickMark val="none"/>
        <c:tickLblPos val="nextTo"/>
        <c:txPr>
          <a:bodyPr/>
          <a:lstStyle/>
          <a:p>
            <a:pPr>
              <a:defRPr sz="800"/>
            </a:pPr>
            <a:endParaRPr lang="en-US"/>
          </a:p>
        </c:txPr>
        <c:crossAx val="826117248"/>
        <c:crosses val="autoZero"/>
        <c:auto val="1"/>
        <c:lblAlgn val="ctr"/>
        <c:lblOffset val="100"/>
        <c:noMultiLvlLbl val="0"/>
      </c:catAx>
      <c:valAx>
        <c:axId val="82611724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0828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25B3-433E-AF87-D1883C4A17AD}"/>
              </c:ext>
            </c:extLst>
          </c:dPt>
          <c:dPt>
            <c:idx val="1"/>
            <c:invertIfNegative val="0"/>
            <c:bubble3D val="0"/>
            <c:extLst>
              <c:ext xmlns:c16="http://schemas.microsoft.com/office/drawing/2014/chart" uri="{C3380CC4-5D6E-409C-BE32-E72D297353CC}">
                <c16:uniqueId val="{00000001-25B3-433E-AF87-D1883C4A17AD}"/>
              </c:ext>
            </c:extLst>
          </c:dPt>
          <c:dPt>
            <c:idx val="2"/>
            <c:invertIfNegative val="0"/>
            <c:bubble3D val="0"/>
            <c:extLst>
              <c:ext xmlns:c16="http://schemas.microsoft.com/office/drawing/2014/chart" uri="{C3380CC4-5D6E-409C-BE32-E72D297353CC}">
                <c16:uniqueId val="{00000002-25B3-433E-AF87-D1883C4A17AD}"/>
              </c:ext>
            </c:extLst>
          </c:dPt>
          <c:dPt>
            <c:idx val="3"/>
            <c:invertIfNegative val="0"/>
            <c:bubble3D val="0"/>
            <c:extLst>
              <c:ext xmlns:c16="http://schemas.microsoft.com/office/drawing/2014/chart" uri="{C3380CC4-5D6E-409C-BE32-E72D297353CC}">
                <c16:uniqueId val="{00000003-25B3-433E-AF87-D1883C4A17AD}"/>
              </c:ext>
            </c:extLst>
          </c:dPt>
          <c:dPt>
            <c:idx val="4"/>
            <c:invertIfNegative val="0"/>
            <c:bubble3D val="0"/>
            <c:extLst>
              <c:ext xmlns:c16="http://schemas.microsoft.com/office/drawing/2014/chart" uri="{C3380CC4-5D6E-409C-BE32-E72D297353CC}">
                <c16:uniqueId val="{00000004-25B3-433E-AF87-D1883C4A17AD}"/>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25B3-433E-AF87-D1883C4A17AD}"/>
            </c:ext>
          </c:extLst>
        </c:ser>
        <c:dLbls>
          <c:showLegendKey val="0"/>
          <c:showVal val="0"/>
          <c:showCatName val="0"/>
          <c:showSerName val="0"/>
          <c:showPercent val="0"/>
          <c:showBubbleSize val="0"/>
        </c:dLbls>
        <c:gapWidth val="0"/>
        <c:axId val="826115008"/>
        <c:axId val="826107728"/>
      </c:barChart>
      <c:catAx>
        <c:axId val="826115008"/>
        <c:scaling>
          <c:orientation val="minMax"/>
        </c:scaling>
        <c:delete val="0"/>
        <c:axPos val="b"/>
        <c:numFmt formatCode="General" sourceLinked="1"/>
        <c:majorTickMark val="out"/>
        <c:minorTickMark val="none"/>
        <c:tickLblPos val="nextTo"/>
        <c:txPr>
          <a:bodyPr/>
          <a:lstStyle/>
          <a:p>
            <a:pPr>
              <a:defRPr sz="800"/>
            </a:pPr>
            <a:endParaRPr lang="en-US"/>
          </a:p>
        </c:txPr>
        <c:crossAx val="826107728"/>
        <c:crosses val="autoZero"/>
        <c:auto val="1"/>
        <c:lblAlgn val="ctr"/>
        <c:lblOffset val="100"/>
        <c:noMultiLvlLbl val="0"/>
      </c:catAx>
      <c:valAx>
        <c:axId val="82610772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1500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5C70-4BED-AE8A-6414C038CEFF}"/>
              </c:ext>
            </c:extLst>
          </c:dPt>
          <c:dPt>
            <c:idx val="1"/>
            <c:invertIfNegative val="0"/>
            <c:bubble3D val="0"/>
            <c:extLst>
              <c:ext xmlns:c16="http://schemas.microsoft.com/office/drawing/2014/chart" uri="{C3380CC4-5D6E-409C-BE32-E72D297353CC}">
                <c16:uniqueId val="{00000001-5C70-4BED-AE8A-6414C038CEFF}"/>
              </c:ext>
            </c:extLst>
          </c:dPt>
          <c:dPt>
            <c:idx val="2"/>
            <c:invertIfNegative val="0"/>
            <c:bubble3D val="0"/>
            <c:extLst>
              <c:ext xmlns:c16="http://schemas.microsoft.com/office/drawing/2014/chart" uri="{C3380CC4-5D6E-409C-BE32-E72D297353CC}">
                <c16:uniqueId val="{00000002-5C70-4BED-AE8A-6414C038CEFF}"/>
              </c:ext>
            </c:extLst>
          </c:dPt>
          <c:dPt>
            <c:idx val="3"/>
            <c:invertIfNegative val="0"/>
            <c:bubble3D val="0"/>
            <c:extLst>
              <c:ext xmlns:c16="http://schemas.microsoft.com/office/drawing/2014/chart" uri="{C3380CC4-5D6E-409C-BE32-E72D297353CC}">
                <c16:uniqueId val="{00000003-5C70-4BED-AE8A-6414C038CEFF}"/>
              </c:ext>
            </c:extLst>
          </c:dPt>
          <c:dPt>
            <c:idx val="4"/>
            <c:invertIfNegative val="0"/>
            <c:bubble3D val="0"/>
            <c:extLst>
              <c:ext xmlns:c16="http://schemas.microsoft.com/office/drawing/2014/chart" uri="{C3380CC4-5D6E-409C-BE32-E72D297353CC}">
                <c16:uniqueId val="{00000004-5C70-4BED-AE8A-6414C038CEFF}"/>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Skew!$A$33:$A$37</c:f>
              <c:strCache>
                <c:ptCount val="5"/>
                <c:pt idx="0">
                  <c:v>0-9</c:v>
                </c:pt>
                <c:pt idx="1">
                  <c:v>10-19</c:v>
                </c:pt>
                <c:pt idx="2">
                  <c:v>20-29</c:v>
                </c:pt>
                <c:pt idx="3">
                  <c:v>30-39</c:v>
                </c:pt>
                <c:pt idx="4">
                  <c:v>40-49</c:v>
                </c:pt>
              </c:strCache>
            </c:strRef>
          </c:cat>
          <c:val>
            <c:numRef>
              <c:f>Skew!$D$33:$D$37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5C70-4BED-AE8A-6414C038CEFF}"/>
            </c:ext>
          </c:extLst>
        </c:ser>
        <c:dLbls>
          <c:showLegendKey val="0"/>
          <c:showVal val="0"/>
          <c:showCatName val="0"/>
          <c:showSerName val="0"/>
          <c:showPercent val="0"/>
          <c:showBubbleSize val="0"/>
        </c:dLbls>
        <c:gapWidth val="0"/>
        <c:axId val="826107168"/>
        <c:axId val="826112208"/>
      </c:barChart>
      <c:catAx>
        <c:axId val="826107168"/>
        <c:scaling>
          <c:orientation val="minMax"/>
        </c:scaling>
        <c:delete val="0"/>
        <c:axPos val="b"/>
        <c:numFmt formatCode="General" sourceLinked="1"/>
        <c:majorTickMark val="out"/>
        <c:minorTickMark val="none"/>
        <c:tickLblPos val="nextTo"/>
        <c:txPr>
          <a:bodyPr/>
          <a:lstStyle/>
          <a:p>
            <a:pPr>
              <a:defRPr sz="800"/>
            </a:pPr>
            <a:endParaRPr lang="en-US"/>
          </a:p>
        </c:txPr>
        <c:crossAx val="826112208"/>
        <c:crosses val="autoZero"/>
        <c:auto val="1"/>
        <c:lblAlgn val="ctr"/>
        <c:lblOffset val="100"/>
        <c:noMultiLvlLbl val="0"/>
      </c:catAx>
      <c:valAx>
        <c:axId val="826112208"/>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0716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6DD8-4A64-A6D5-BDF100BFBA79}"/>
              </c:ext>
            </c:extLst>
          </c:dPt>
          <c:dPt>
            <c:idx val="1"/>
            <c:invertIfNegative val="0"/>
            <c:bubble3D val="0"/>
            <c:extLst>
              <c:ext xmlns:c16="http://schemas.microsoft.com/office/drawing/2014/chart" uri="{C3380CC4-5D6E-409C-BE32-E72D297353CC}">
                <c16:uniqueId val="{00000001-6DD8-4A64-A6D5-BDF100BFBA79}"/>
              </c:ext>
            </c:extLst>
          </c:dPt>
          <c:dPt>
            <c:idx val="2"/>
            <c:invertIfNegative val="0"/>
            <c:bubble3D val="0"/>
            <c:extLst>
              <c:ext xmlns:c16="http://schemas.microsoft.com/office/drawing/2014/chart" uri="{C3380CC4-5D6E-409C-BE32-E72D297353CC}">
                <c16:uniqueId val="{00000002-6DD8-4A64-A6D5-BDF100BFBA79}"/>
              </c:ext>
            </c:extLst>
          </c:dPt>
          <c:dPt>
            <c:idx val="3"/>
            <c:invertIfNegative val="0"/>
            <c:bubble3D val="0"/>
            <c:extLst>
              <c:ext xmlns:c16="http://schemas.microsoft.com/office/drawing/2014/chart" uri="{C3380CC4-5D6E-409C-BE32-E72D297353CC}">
                <c16:uniqueId val="{00000003-6DD8-4A64-A6D5-BDF100BFBA79}"/>
              </c:ext>
            </c:extLst>
          </c:dPt>
          <c:dPt>
            <c:idx val="4"/>
            <c:invertIfNegative val="0"/>
            <c:bubble3D val="0"/>
            <c:extLst>
              <c:ext xmlns:c16="http://schemas.microsoft.com/office/drawing/2014/chart" uri="{C3380CC4-5D6E-409C-BE32-E72D297353CC}">
                <c16:uniqueId val="{00000004-6DD8-4A64-A6D5-BDF100BFBA7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6DD8-4A64-A6D5-BDF100BFBA79}"/>
            </c:ext>
          </c:extLst>
        </c:ser>
        <c:dLbls>
          <c:showLegendKey val="0"/>
          <c:showVal val="0"/>
          <c:showCatName val="0"/>
          <c:showSerName val="0"/>
          <c:showPercent val="0"/>
          <c:showBubbleSize val="0"/>
        </c:dLbls>
        <c:gapWidth val="0"/>
        <c:axId val="826110528"/>
        <c:axId val="263276800"/>
      </c:barChart>
      <c:catAx>
        <c:axId val="826110528"/>
        <c:scaling>
          <c:orientation val="minMax"/>
        </c:scaling>
        <c:delete val="0"/>
        <c:axPos val="b"/>
        <c:numFmt formatCode="General" sourceLinked="1"/>
        <c:majorTickMark val="out"/>
        <c:minorTickMark val="none"/>
        <c:tickLblPos val="nextTo"/>
        <c:txPr>
          <a:bodyPr/>
          <a:lstStyle/>
          <a:p>
            <a:pPr>
              <a:defRPr sz="800"/>
            </a:pPr>
            <a:endParaRPr lang="en-US"/>
          </a:p>
        </c:txPr>
        <c:crossAx val="263276800"/>
        <c:crosses val="autoZero"/>
        <c:auto val="1"/>
        <c:lblAlgn val="ctr"/>
        <c:lblOffset val="100"/>
        <c:noMultiLvlLbl val="0"/>
      </c:catAx>
      <c:valAx>
        <c:axId val="26327680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826110528"/>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C288-4B15-9145-170A930224C6}"/>
              </c:ext>
            </c:extLst>
          </c:dPt>
          <c:dPt>
            <c:idx val="1"/>
            <c:invertIfNegative val="0"/>
            <c:bubble3D val="0"/>
            <c:extLst>
              <c:ext xmlns:c16="http://schemas.microsoft.com/office/drawing/2014/chart" uri="{C3380CC4-5D6E-409C-BE32-E72D297353CC}">
                <c16:uniqueId val="{00000001-C288-4B15-9145-170A930224C6}"/>
              </c:ext>
            </c:extLst>
          </c:dPt>
          <c:dPt>
            <c:idx val="2"/>
            <c:invertIfNegative val="0"/>
            <c:bubble3D val="0"/>
            <c:extLst>
              <c:ext xmlns:c16="http://schemas.microsoft.com/office/drawing/2014/chart" uri="{C3380CC4-5D6E-409C-BE32-E72D297353CC}">
                <c16:uniqueId val="{00000002-C288-4B15-9145-170A930224C6}"/>
              </c:ext>
            </c:extLst>
          </c:dPt>
          <c:dPt>
            <c:idx val="3"/>
            <c:invertIfNegative val="0"/>
            <c:bubble3D val="0"/>
            <c:extLst>
              <c:ext xmlns:c16="http://schemas.microsoft.com/office/drawing/2014/chart" uri="{C3380CC4-5D6E-409C-BE32-E72D297353CC}">
                <c16:uniqueId val="{00000003-C288-4B15-9145-170A930224C6}"/>
              </c:ext>
            </c:extLst>
          </c:dPt>
          <c:dPt>
            <c:idx val="4"/>
            <c:invertIfNegative val="0"/>
            <c:bubble3D val="0"/>
            <c:extLst>
              <c:ext xmlns:c16="http://schemas.microsoft.com/office/drawing/2014/chart" uri="{C3380CC4-5D6E-409C-BE32-E72D297353CC}">
                <c16:uniqueId val="{00000004-C288-4B15-9145-170A930224C6}"/>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C288-4B15-9145-170A930224C6}"/>
            </c:ext>
          </c:extLst>
        </c:ser>
        <c:dLbls>
          <c:showLegendKey val="0"/>
          <c:showVal val="0"/>
          <c:showCatName val="0"/>
          <c:showSerName val="0"/>
          <c:showPercent val="0"/>
          <c:showBubbleSize val="0"/>
        </c:dLbls>
        <c:gapWidth val="0"/>
        <c:axId val="263268960"/>
        <c:axId val="263277920"/>
      </c:barChart>
      <c:catAx>
        <c:axId val="263268960"/>
        <c:scaling>
          <c:orientation val="minMax"/>
        </c:scaling>
        <c:delete val="0"/>
        <c:axPos val="b"/>
        <c:numFmt formatCode="General" sourceLinked="1"/>
        <c:majorTickMark val="out"/>
        <c:minorTickMark val="none"/>
        <c:tickLblPos val="nextTo"/>
        <c:txPr>
          <a:bodyPr/>
          <a:lstStyle/>
          <a:p>
            <a:pPr>
              <a:defRPr sz="800"/>
            </a:pPr>
            <a:endParaRPr lang="en-US"/>
          </a:p>
        </c:txPr>
        <c:crossAx val="263277920"/>
        <c:crosses val="autoZero"/>
        <c:auto val="1"/>
        <c:lblAlgn val="ctr"/>
        <c:lblOffset val="100"/>
        <c:noMultiLvlLbl val="0"/>
      </c:catAx>
      <c:valAx>
        <c:axId val="26327792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26326896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(an)'!$D$32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BEE8-4265-9851-91AA5A4CA67D}"/>
              </c:ext>
            </c:extLst>
          </c:dPt>
          <c:dPt>
            <c:idx val="1"/>
            <c:invertIfNegative val="0"/>
            <c:bubble3D val="0"/>
            <c:extLst>
              <c:ext xmlns:c16="http://schemas.microsoft.com/office/drawing/2014/chart" uri="{C3380CC4-5D6E-409C-BE32-E72D297353CC}">
                <c16:uniqueId val="{00000001-BEE8-4265-9851-91AA5A4CA67D}"/>
              </c:ext>
            </c:extLst>
          </c:dPt>
          <c:dPt>
            <c:idx val="2"/>
            <c:invertIfNegative val="0"/>
            <c:bubble3D val="0"/>
            <c:extLst>
              <c:ext xmlns:c16="http://schemas.microsoft.com/office/drawing/2014/chart" uri="{C3380CC4-5D6E-409C-BE32-E72D297353CC}">
                <c16:uniqueId val="{00000002-BEE8-4265-9851-91AA5A4CA67D}"/>
              </c:ext>
            </c:extLst>
          </c:dPt>
          <c:dPt>
            <c:idx val="3"/>
            <c:invertIfNegative val="0"/>
            <c:bubble3D val="0"/>
            <c:extLst>
              <c:ext xmlns:c16="http://schemas.microsoft.com/office/drawing/2014/chart" uri="{C3380CC4-5D6E-409C-BE32-E72D297353CC}">
                <c16:uniqueId val="{00000003-BEE8-4265-9851-91AA5A4CA67D}"/>
              </c:ext>
            </c:extLst>
          </c:dPt>
          <c:dPt>
            <c:idx val="4"/>
            <c:invertIfNegative val="0"/>
            <c:bubble3D val="0"/>
            <c:extLst>
              <c:ext xmlns:c16="http://schemas.microsoft.com/office/drawing/2014/chart" uri="{C3380CC4-5D6E-409C-BE32-E72D297353CC}">
                <c16:uniqueId val="{00000004-BEE8-4265-9851-91AA5A4CA67D}"/>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(an)'!$A$33:$A$37</c:f>
              <c:strCache>
                <c:ptCount val="5"/>
                <c:pt idx="0">
                  <c:v>0-9</c:v>
                </c:pt>
                <c:pt idx="1">
                  <c:v>10-19</c:v>
                </c:pt>
                <c:pt idx="2">
                  <c:v>20-29</c:v>
                </c:pt>
                <c:pt idx="3">
                  <c:v>30-39</c:v>
                </c:pt>
                <c:pt idx="4">
                  <c:v>40-49</c:v>
                </c:pt>
              </c:strCache>
            </c:strRef>
          </c:cat>
          <c:val>
            <c:numRef>
              <c:f>'Skew (an)'!$D$33:$D$37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BEE8-4265-9851-91AA5A4CA67D}"/>
            </c:ext>
          </c:extLst>
        </c:ser>
        <c:dLbls>
          <c:showLegendKey val="0"/>
          <c:showVal val="0"/>
          <c:showCatName val="0"/>
          <c:showSerName val="0"/>
          <c:showPercent val="0"/>
          <c:showBubbleSize val="0"/>
        </c:dLbls>
        <c:gapWidth val="0"/>
        <c:axId val="263274560"/>
        <c:axId val="1025725360"/>
      </c:barChart>
      <c:catAx>
        <c:axId val="263274560"/>
        <c:scaling>
          <c:orientation val="minMax"/>
        </c:scaling>
        <c:delete val="0"/>
        <c:axPos val="b"/>
        <c:numFmt formatCode="General" sourceLinked="1"/>
        <c:majorTickMark val="out"/>
        <c:minorTickMark val="none"/>
        <c:tickLblPos val="nextTo"/>
        <c:txPr>
          <a:bodyPr/>
          <a:lstStyle/>
          <a:p>
            <a:pPr>
              <a:defRPr sz="800"/>
            </a:pPr>
            <a:endParaRPr lang="en-US"/>
          </a:p>
        </c:txPr>
        <c:crossAx val="1025725360"/>
        <c:crosses val="autoZero"/>
        <c:auto val="1"/>
        <c:lblAlgn val="ctr"/>
        <c:lblOffset val="100"/>
        <c:noMultiLvlLbl val="0"/>
      </c:catAx>
      <c:valAx>
        <c:axId val="102572536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26327456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What is the spread in the data?</a:t>
            </a:r>
          </a:p>
          <a:p>
            <a:pPr>
              <a:defRPr b="1"/>
            </a:pPr>
            <a:r>
              <a:rPr lang="en-US" b="1"/>
              <a:t>Does the mean fairly represent its data points?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Stock!$B$37</c:f>
              <c:strCache>
                <c:ptCount val="1"/>
                <c:pt idx="0">
                  <c:v>Stock Returns A</c:v>
                </c:pt>
              </c:strCache>
            </c:strRef>
          </c:tx>
          <c:spPr>
            <a:ln w="19050" cap="rnd">
              <a:noFill/>
              <a:round/>
            </a:ln>
            <a:effectLst/>
          </c:spPr>
          <c:marker>
            <c:symbol val="circle"/>
            <c:size val="5"/>
            <c:spPr>
              <a:solidFill>
                <a:schemeClr val="accent1"/>
              </a:solidFill>
              <a:ln w="9525">
                <a:solidFill>
                  <a:schemeClr val="accent1"/>
                </a:solidFill>
              </a:ln>
              <a:effectLst/>
            </c:spPr>
          </c:marker>
          <c:xVal>
            <c:numRef>
              <c:f>Stock!$A$38:$A$52</c:f>
              <c:numCache>
                <c:formatCode>0.0%</c:formatCode>
                <c:ptCount val="15"/>
                <c:pt idx="0">
                  <c:v>0.05</c:v>
                </c:pt>
                <c:pt idx="1">
                  <c:v>0.1</c:v>
                </c:pt>
                <c:pt idx="2">
                  <c:v>0.12</c:v>
                </c:pt>
                <c:pt idx="3">
                  <c:v>0.17</c:v>
                </c:pt>
                <c:pt idx="4">
                  <c:v>0.19</c:v>
                </c:pt>
                <c:pt idx="5">
                  <c:v>0.01</c:v>
                </c:pt>
                <c:pt idx="6">
                  <c:v>-0.15</c:v>
                </c:pt>
                <c:pt idx="7">
                  <c:v>-0.03</c:v>
                </c:pt>
                <c:pt idx="8">
                  <c:v>0.124</c:v>
                </c:pt>
                <c:pt idx="9">
                  <c:v>5.5E-2</c:v>
                </c:pt>
                <c:pt idx="10">
                  <c:v>0.1</c:v>
                </c:pt>
                <c:pt idx="11">
                  <c:v>6.5000000000000002E-2</c:v>
                </c:pt>
                <c:pt idx="12">
                  <c:v>-0.02</c:v>
                </c:pt>
                <c:pt idx="13">
                  <c:v>-0.22</c:v>
                </c:pt>
                <c:pt idx="14">
                  <c:v>0.15</c:v>
                </c:pt>
              </c:numCache>
            </c:numRef>
          </c:xVal>
          <c:yVal>
            <c:numRef>
              <c:f>Stock!$B$38:$B$52</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B37C-4228-B94D-CF946795CF93}"/>
            </c:ext>
          </c:extLst>
        </c:ser>
        <c:ser>
          <c:idx val="1"/>
          <c:order val="1"/>
          <c:tx>
            <c:strRef>
              <c:f>Stock!$E$37</c:f>
              <c:strCache>
                <c:ptCount val="1"/>
                <c:pt idx="0">
                  <c:v>Stock Returns B</c:v>
                </c:pt>
              </c:strCache>
            </c:strRef>
          </c:tx>
          <c:spPr>
            <a:ln w="25400" cap="rnd">
              <a:noFill/>
              <a:round/>
            </a:ln>
            <a:effectLst/>
          </c:spPr>
          <c:marker>
            <c:symbol val="circle"/>
            <c:size val="5"/>
            <c:spPr>
              <a:solidFill>
                <a:srgbClr val="FF0000"/>
              </a:solidFill>
              <a:ln w="9525">
                <a:solidFill>
                  <a:schemeClr val="accent2"/>
                </a:solidFill>
              </a:ln>
              <a:effectLst/>
            </c:spPr>
          </c:marker>
          <c:xVal>
            <c:numRef>
              <c:f>Stock!$D$38:$D$52</c:f>
              <c:numCache>
                <c:formatCode>0.0%</c:formatCode>
                <c:ptCount val="15"/>
                <c:pt idx="0">
                  <c:v>0.02</c:v>
                </c:pt>
                <c:pt idx="1">
                  <c:v>0.04</c:v>
                </c:pt>
                <c:pt idx="2">
                  <c:v>3.5000000000000003E-2</c:v>
                </c:pt>
                <c:pt idx="3">
                  <c:v>5.5E-2</c:v>
                </c:pt>
                <c:pt idx="4">
                  <c:v>0.04</c:v>
                </c:pt>
                <c:pt idx="5">
                  <c:v>4.2000000000000003E-2</c:v>
                </c:pt>
                <c:pt idx="6">
                  <c:v>4.2999999999999997E-2</c:v>
                </c:pt>
                <c:pt idx="7">
                  <c:v>4.7E-2</c:v>
                </c:pt>
                <c:pt idx="8">
                  <c:v>0.05</c:v>
                </c:pt>
                <c:pt idx="9">
                  <c:v>5.0999999999999997E-2</c:v>
                </c:pt>
                <c:pt idx="10">
                  <c:v>0.03</c:v>
                </c:pt>
                <c:pt idx="11">
                  <c:v>2.9000000000000001E-2</c:v>
                </c:pt>
                <c:pt idx="12">
                  <c:v>4.5999999999999999E-2</c:v>
                </c:pt>
                <c:pt idx="13">
                  <c:v>4.9000000000000002E-2</c:v>
                </c:pt>
                <c:pt idx="14">
                  <c:v>4.1000000000000002E-2</c:v>
                </c:pt>
              </c:numCache>
            </c:numRef>
          </c:xVal>
          <c:yVal>
            <c:numRef>
              <c:f>Stock!$E$38:$E$52</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B37C-4228-B94D-CF946795CF93}"/>
            </c:ext>
          </c:extLst>
        </c:ser>
        <c:ser>
          <c:idx val="2"/>
          <c:order val="2"/>
          <c:tx>
            <c:strRef>
              <c:f>Stock!$B$54</c:f>
              <c:strCache>
                <c:ptCount val="1"/>
                <c:pt idx="0">
                  <c:v>Average Stock A</c:v>
                </c:pt>
              </c:strCache>
            </c:strRef>
          </c:tx>
          <c:spPr>
            <a:ln w="25400" cap="rnd">
              <a:noFill/>
              <a:round/>
            </a:ln>
            <a:effectLst/>
          </c:spPr>
          <c:marker>
            <c:symbol val="square"/>
            <c:size val="8"/>
            <c:spPr>
              <a:solidFill>
                <a:srgbClr val="7030A0"/>
              </a:solidFill>
              <a:ln w="9525">
                <a:solidFill>
                  <a:schemeClr val="accent3"/>
                </a:solidFill>
              </a:ln>
              <a:effectLst/>
            </c:spPr>
          </c:marker>
          <c:xVal>
            <c:numRef>
              <c:f>Stock!$A$55</c:f>
              <c:numCache>
                <c:formatCode>0.00%</c:formatCode>
                <c:ptCount val="1"/>
                <c:pt idx="0">
                  <c:v>4.1169961128548316E-2</c:v>
                </c:pt>
              </c:numCache>
            </c:numRef>
          </c:xVal>
          <c:yVal>
            <c:numRef>
              <c:f>Stock!$B$55</c:f>
              <c:numCache>
                <c:formatCode>General</c:formatCode>
                <c:ptCount val="1"/>
                <c:pt idx="0">
                  <c:v>0.35</c:v>
                </c:pt>
              </c:numCache>
            </c:numRef>
          </c:yVal>
          <c:smooth val="0"/>
          <c:extLst>
            <c:ext xmlns:c16="http://schemas.microsoft.com/office/drawing/2014/chart" uri="{C3380CC4-5D6E-409C-BE32-E72D297353CC}">
              <c16:uniqueId val="{00000002-B37C-4228-B94D-CF946795CF93}"/>
            </c:ext>
          </c:extLst>
        </c:ser>
        <c:ser>
          <c:idx val="3"/>
          <c:order val="3"/>
          <c:tx>
            <c:strRef>
              <c:f>Stock!$E$54</c:f>
              <c:strCache>
                <c:ptCount val="1"/>
                <c:pt idx="0">
                  <c:v>Average Stock B</c:v>
                </c:pt>
              </c:strCache>
            </c:strRef>
          </c:tx>
          <c:spPr>
            <a:ln w="25400" cap="rnd">
              <a:noFill/>
              <a:round/>
            </a:ln>
            <a:effectLst/>
          </c:spPr>
          <c:marker>
            <c:symbol val="triangle"/>
            <c:size val="8"/>
            <c:spPr>
              <a:solidFill>
                <a:schemeClr val="accent4"/>
              </a:solidFill>
              <a:ln w="9525">
                <a:solidFill>
                  <a:schemeClr val="accent4"/>
                </a:solidFill>
              </a:ln>
              <a:effectLst/>
            </c:spPr>
          </c:marker>
          <c:xVal>
            <c:numRef>
              <c:f>Stock!$D$55</c:f>
              <c:numCache>
                <c:formatCode>0.00%</c:formatCode>
                <c:ptCount val="1"/>
                <c:pt idx="0">
                  <c:v>4.1159802560870595E-2</c:v>
                </c:pt>
              </c:numCache>
            </c:numRef>
          </c:xVal>
          <c:yVal>
            <c:numRef>
              <c:f>Stock!$E$55</c:f>
              <c:numCache>
                <c:formatCode>General</c:formatCode>
                <c:ptCount val="1"/>
                <c:pt idx="0">
                  <c:v>0.9</c:v>
                </c:pt>
              </c:numCache>
            </c:numRef>
          </c:yVal>
          <c:smooth val="0"/>
          <c:extLst>
            <c:ext xmlns:c16="http://schemas.microsoft.com/office/drawing/2014/chart" uri="{C3380CC4-5D6E-409C-BE32-E72D297353CC}">
              <c16:uniqueId val="{00000003-B37C-4228-B94D-CF946795CF93}"/>
            </c:ext>
          </c:extLst>
        </c:ser>
        <c:dLbls>
          <c:showLegendKey val="0"/>
          <c:showVal val="0"/>
          <c:showCatName val="0"/>
          <c:showSerName val="0"/>
          <c:showPercent val="0"/>
          <c:showBubbleSize val="0"/>
        </c:dLbls>
        <c:axId val="1025724240"/>
        <c:axId val="994428784"/>
      </c:scatterChart>
      <c:valAx>
        <c:axId val="1025724240"/>
        <c:scaling>
          <c:orientation val="minMax"/>
          <c:max val="0.2"/>
          <c:min val="-0.23"/>
        </c:scaling>
        <c:delete val="0"/>
        <c:axPos val="b"/>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94428784"/>
        <c:crosses val="autoZero"/>
        <c:crossBetween val="midCat"/>
      </c:valAx>
      <c:valAx>
        <c:axId val="994428784"/>
        <c:scaling>
          <c:orientation val="minMax"/>
        </c:scaling>
        <c:delete val="1"/>
        <c:axPos val="l"/>
        <c:numFmt formatCode="General" sourceLinked="1"/>
        <c:majorTickMark val="none"/>
        <c:minorTickMark val="none"/>
        <c:tickLblPos val="nextTo"/>
        <c:crossAx val="102572424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Stock!$D$59</c:f>
              <c:strCache>
                <c:ptCount val="1"/>
                <c:pt idx="0">
                  <c:v>RF Stock A</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0209-4CF6-B95F-84085546FBD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0209-4CF6-B95F-84085546FBD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0209-4CF6-B95F-84085546FBDE}"/>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0209-4CF6-B95F-84085546FBDE}"/>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0209-4CF6-B95F-84085546FBDE}"/>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0209-4CF6-B95F-84085546FBDE}"/>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0209-4CF6-B95F-84085546FBDE}"/>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0209-4CF6-B95F-84085546FBDE}"/>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0209-4CF6-B95F-84085546FBDE}"/>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0209-4CF6-B95F-84085546FBDE}"/>
              </c:ext>
            </c:extLst>
          </c:dPt>
          <c:cat>
            <c:strRef>
              <c:f>Stock!$C$60:$C$69</c:f>
              <c:strCache>
                <c:ptCount val="10"/>
                <c:pt idx="0">
                  <c:v>-25%
up to
-20%</c:v>
                </c:pt>
                <c:pt idx="1">
                  <c:v>-20%
up to
-15%</c:v>
                </c:pt>
                <c:pt idx="2">
                  <c:v>-15%
up to
-10%</c:v>
                </c:pt>
                <c:pt idx="3">
                  <c:v>-10%
up to
-5%</c:v>
                </c:pt>
                <c:pt idx="4">
                  <c:v>-5%
up to
0%</c:v>
                </c:pt>
                <c:pt idx="5">
                  <c:v>0%
up to
5%</c:v>
                </c:pt>
                <c:pt idx="6">
                  <c:v>5%
up to
10%</c:v>
                </c:pt>
                <c:pt idx="7">
                  <c:v>10%
up to
15%</c:v>
                </c:pt>
                <c:pt idx="8">
                  <c:v>15%
up to
20%</c:v>
                </c:pt>
                <c:pt idx="9">
                  <c:v>20%
up to
25%</c:v>
                </c:pt>
              </c:strCache>
            </c:strRef>
          </c:cat>
          <c:val>
            <c:numRef>
              <c:f>Stock!$D$60:$D$69</c:f>
              <c:numCache>
                <c:formatCode>0%</c:formatCode>
                <c:ptCount val="10"/>
                <c:pt idx="0">
                  <c:v>6.6666666666666666E-2</c:v>
                </c:pt>
                <c:pt idx="1">
                  <c:v>0</c:v>
                </c:pt>
                <c:pt idx="2">
                  <c:v>6.6666666666666666E-2</c:v>
                </c:pt>
                <c:pt idx="3">
                  <c:v>0</c:v>
                </c:pt>
                <c:pt idx="4">
                  <c:v>0.13333333333333333</c:v>
                </c:pt>
                <c:pt idx="5">
                  <c:v>6.6666666666666666E-2</c:v>
                </c:pt>
                <c:pt idx="6">
                  <c:v>0.2</c:v>
                </c:pt>
                <c:pt idx="7">
                  <c:v>0.26666666666666666</c:v>
                </c:pt>
                <c:pt idx="8">
                  <c:v>0.2</c:v>
                </c:pt>
                <c:pt idx="9">
                  <c:v>0</c:v>
                </c:pt>
              </c:numCache>
            </c:numRef>
          </c:val>
          <c:extLst>
            <c:ext xmlns:c16="http://schemas.microsoft.com/office/drawing/2014/chart" uri="{C3380CC4-5D6E-409C-BE32-E72D297353CC}">
              <c16:uniqueId val="{00000014-0209-4CF6-B95F-84085546FBDE}"/>
            </c:ext>
          </c:extLst>
        </c:ser>
        <c:dLbls>
          <c:showLegendKey val="0"/>
          <c:showVal val="0"/>
          <c:showCatName val="0"/>
          <c:showSerName val="0"/>
          <c:showPercent val="0"/>
          <c:showBubbleSize val="0"/>
        </c:dLbls>
        <c:gapWidth val="0"/>
        <c:overlap val="-27"/>
        <c:axId val="806056016"/>
        <c:axId val="996855216"/>
      </c:barChart>
      <c:catAx>
        <c:axId val="806056016"/>
        <c:scaling>
          <c:orientation val="minMax"/>
        </c:scaling>
        <c:delete val="0"/>
        <c:axPos val="b"/>
        <c:title>
          <c:tx>
            <c:strRef>
              <c:f>Stock!$B$3</c:f>
              <c:strCache>
                <c:ptCount val="1"/>
                <c:pt idx="0">
                  <c:v>Stock Returns A</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6855216"/>
        <c:crosses val="autoZero"/>
        <c:auto val="1"/>
        <c:lblAlgn val="ctr"/>
        <c:lblOffset val="100"/>
        <c:noMultiLvlLbl val="0"/>
      </c:catAx>
      <c:valAx>
        <c:axId val="99685521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6056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Stock!$E$59</c:f>
              <c:strCache>
                <c:ptCount val="1"/>
                <c:pt idx="0">
                  <c:v>RF Stock B</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22A7-4E5D-8D83-BD2166EFFC3C}"/>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22A7-4E5D-8D83-BD2166EFFC3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22A7-4E5D-8D83-BD2166EFFC3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22A7-4E5D-8D83-BD2166EFFC3C}"/>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22A7-4E5D-8D83-BD2166EFFC3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22A7-4E5D-8D83-BD2166EFFC3C}"/>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22A7-4E5D-8D83-BD2166EFFC3C}"/>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22A7-4E5D-8D83-BD2166EFFC3C}"/>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22A7-4E5D-8D83-BD2166EFFC3C}"/>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22A7-4E5D-8D83-BD2166EFFC3C}"/>
              </c:ext>
            </c:extLst>
          </c:dPt>
          <c:cat>
            <c:strRef>
              <c:f>Stock!$C$60:$C$69</c:f>
              <c:strCache>
                <c:ptCount val="10"/>
                <c:pt idx="0">
                  <c:v>-25%
up to
-20%</c:v>
                </c:pt>
                <c:pt idx="1">
                  <c:v>-20%
up to
-15%</c:v>
                </c:pt>
                <c:pt idx="2">
                  <c:v>-15%
up to
-10%</c:v>
                </c:pt>
                <c:pt idx="3">
                  <c:v>-10%
up to
-5%</c:v>
                </c:pt>
                <c:pt idx="4">
                  <c:v>-5%
up to
0%</c:v>
                </c:pt>
                <c:pt idx="5">
                  <c:v>0%
up to
5%</c:v>
                </c:pt>
                <c:pt idx="6">
                  <c:v>5%
up to
10%</c:v>
                </c:pt>
                <c:pt idx="7">
                  <c:v>10%
up to
15%</c:v>
                </c:pt>
                <c:pt idx="8">
                  <c:v>15%
up to
20%</c:v>
                </c:pt>
                <c:pt idx="9">
                  <c:v>20%
up to
25%</c:v>
                </c:pt>
              </c:strCache>
            </c:strRef>
          </c:cat>
          <c:val>
            <c:numRef>
              <c:f>Stock!$E$60:$E$69</c:f>
              <c:numCache>
                <c:formatCode>0%</c:formatCode>
                <c:ptCount val="10"/>
                <c:pt idx="0">
                  <c:v>0</c:v>
                </c:pt>
                <c:pt idx="1">
                  <c:v>0</c:v>
                </c:pt>
                <c:pt idx="2">
                  <c:v>0</c:v>
                </c:pt>
                <c:pt idx="3">
                  <c:v>0</c:v>
                </c:pt>
                <c:pt idx="4">
                  <c:v>0</c:v>
                </c:pt>
                <c:pt idx="5">
                  <c:v>0.8</c:v>
                </c:pt>
                <c:pt idx="6">
                  <c:v>0.2</c:v>
                </c:pt>
                <c:pt idx="7">
                  <c:v>0</c:v>
                </c:pt>
                <c:pt idx="8">
                  <c:v>0</c:v>
                </c:pt>
                <c:pt idx="9">
                  <c:v>0</c:v>
                </c:pt>
              </c:numCache>
            </c:numRef>
          </c:val>
          <c:extLst>
            <c:ext xmlns:c16="http://schemas.microsoft.com/office/drawing/2014/chart" uri="{C3380CC4-5D6E-409C-BE32-E72D297353CC}">
              <c16:uniqueId val="{00000014-22A7-4E5D-8D83-BD2166EFFC3C}"/>
            </c:ext>
          </c:extLst>
        </c:ser>
        <c:dLbls>
          <c:showLegendKey val="0"/>
          <c:showVal val="0"/>
          <c:showCatName val="0"/>
          <c:showSerName val="0"/>
          <c:showPercent val="0"/>
          <c:showBubbleSize val="0"/>
        </c:dLbls>
        <c:gapWidth val="0"/>
        <c:overlap val="-27"/>
        <c:axId val="939488960"/>
        <c:axId val="872040240"/>
      </c:barChart>
      <c:catAx>
        <c:axId val="939488960"/>
        <c:scaling>
          <c:orientation val="minMax"/>
        </c:scaling>
        <c:delete val="0"/>
        <c:axPos val="b"/>
        <c:title>
          <c:tx>
            <c:strRef>
              <c:f>Stock!$C$3</c:f>
              <c:strCache>
                <c:ptCount val="1"/>
                <c:pt idx="0">
                  <c:v>Stock Returns B</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2040240"/>
        <c:crosses val="autoZero"/>
        <c:auto val="1"/>
        <c:lblAlgn val="ctr"/>
        <c:lblOffset val="100"/>
        <c:noMultiLvlLbl val="0"/>
      </c:catAx>
      <c:valAx>
        <c:axId val="872040240"/>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9488960"/>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A7DD-4D5F-8BBF-D7E29187D5CA}"/>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A7DD-4D5F-8BBF-D7E29187D5CA}"/>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A7DD-4D5F-8BBF-D7E29187D5CA}"/>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A7DD-4D5F-8BBF-D7E29187D5CA}"/>
            </c:ext>
          </c:extLst>
        </c:ser>
        <c:dLbls>
          <c:showLegendKey val="0"/>
          <c:showVal val="0"/>
          <c:showCatName val="0"/>
          <c:showSerName val="0"/>
          <c:showPercent val="0"/>
          <c:showBubbleSize val="0"/>
        </c:dLbls>
        <c:axId val="1000041248"/>
        <c:axId val="1000041808"/>
      </c:scatterChart>
      <c:valAx>
        <c:axId val="10000412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41808"/>
        <c:crosses val="autoZero"/>
        <c:crossBetween val="midCat"/>
      </c:valAx>
      <c:valAx>
        <c:axId val="1000041808"/>
        <c:scaling>
          <c:orientation val="minMax"/>
        </c:scaling>
        <c:delete val="1"/>
        <c:axPos val="l"/>
        <c:numFmt formatCode="General" sourceLinked="1"/>
        <c:majorTickMark val="none"/>
        <c:minorTickMark val="none"/>
        <c:tickLblPos val="nextTo"/>
        <c:crossAx val="1000041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'V(1)'!$D$66</c:f>
              <c:strCache>
                <c:ptCount val="1"/>
                <c:pt idx="0">
                  <c:v>RF Job 1</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620-4D68-AA08-EAA1F7DF36B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C620-4D68-AA08-EAA1F7DF36B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620-4D68-AA08-EAA1F7DF36B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620-4D68-AA08-EAA1F7DF36B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C620-4D68-AA08-EAA1F7DF36B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C620-4D68-AA08-EAA1F7DF36B3}"/>
              </c:ext>
            </c:extLst>
          </c:dPt>
          <c:cat>
            <c:strRef>
              <c:f>'V(1)'!$C$67:$C$72</c:f>
              <c:strCache>
                <c:ptCount val="6"/>
                <c:pt idx="0">
                  <c:v>10 up to 20</c:v>
                </c:pt>
                <c:pt idx="1">
                  <c:v>20 up to 30</c:v>
                </c:pt>
                <c:pt idx="2">
                  <c:v>30 up to 40</c:v>
                </c:pt>
                <c:pt idx="3">
                  <c:v>40 up to 50</c:v>
                </c:pt>
                <c:pt idx="4">
                  <c:v>50 up to 60</c:v>
                </c:pt>
                <c:pt idx="5">
                  <c:v>60 up to 70</c:v>
                </c:pt>
              </c:strCache>
            </c:strRef>
          </c:cat>
          <c:val>
            <c:numRef>
              <c:f>'V(1)'!$D$67:$D$72</c:f>
              <c:numCache>
                <c:formatCode>0%</c:formatCode>
                <c:ptCount val="6"/>
                <c:pt idx="0">
                  <c:v>0.26666666666666666</c:v>
                </c:pt>
                <c:pt idx="1">
                  <c:v>0.2</c:v>
                </c:pt>
                <c:pt idx="2">
                  <c:v>0.2</c:v>
                </c:pt>
                <c:pt idx="3">
                  <c:v>6.6666666666666666E-2</c:v>
                </c:pt>
                <c:pt idx="4">
                  <c:v>0.13333333333333333</c:v>
                </c:pt>
                <c:pt idx="5">
                  <c:v>0.13333333333333333</c:v>
                </c:pt>
              </c:numCache>
            </c:numRef>
          </c:val>
          <c:extLst>
            <c:ext xmlns:c16="http://schemas.microsoft.com/office/drawing/2014/chart" uri="{C3380CC4-5D6E-409C-BE32-E72D297353CC}">
              <c16:uniqueId val="{0000000C-C620-4D68-AA08-EAA1F7DF36B3}"/>
            </c:ext>
          </c:extLst>
        </c:ser>
        <c:dLbls>
          <c:showLegendKey val="0"/>
          <c:showVal val="0"/>
          <c:showCatName val="0"/>
          <c:showSerName val="0"/>
          <c:showPercent val="0"/>
          <c:showBubbleSize val="0"/>
        </c:dLbls>
        <c:gapWidth val="0"/>
        <c:overlap val="-27"/>
        <c:axId val="1000044608"/>
        <c:axId val="1000045168"/>
      </c:barChart>
      <c:catAx>
        <c:axId val="1000044608"/>
        <c:scaling>
          <c:orientation val="minMax"/>
        </c:scaling>
        <c:delete val="0"/>
        <c:axPos val="b"/>
        <c:title>
          <c:tx>
            <c:strRef>
              <c:f>'V(1)'!$B$3</c:f>
              <c:strCache>
                <c:ptCount val="1"/>
                <c:pt idx="0">
                  <c:v># of Hours/Week worked Job 1</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5168"/>
        <c:crosses val="autoZero"/>
        <c:auto val="1"/>
        <c:lblAlgn val="ctr"/>
        <c:lblOffset val="100"/>
        <c:noMultiLvlLbl val="0"/>
      </c:catAx>
      <c:valAx>
        <c:axId val="10000451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4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'V(1)'!$E$66</c:f>
              <c:strCache>
                <c:ptCount val="1"/>
                <c:pt idx="0">
                  <c:v>RF Job 2</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3DC9-45C1-B0ED-C0C14A2766BE}"/>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3DC9-45C1-B0ED-C0C14A2766BE}"/>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3DC9-45C1-B0ED-C0C14A2766BE}"/>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3DC9-45C1-B0ED-C0C14A2766BE}"/>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3DC9-45C1-B0ED-C0C14A2766BE}"/>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3DC9-45C1-B0ED-C0C14A2766BE}"/>
              </c:ext>
            </c:extLst>
          </c:dPt>
          <c:cat>
            <c:strRef>
              <c:f>'V(1)'!$C$67:$C$72</c:f>
              <c:strCache>
                <c:ptCount val="6"/>
                <c:pt idx="0">
                  <c:v>10 up to 20</c:v>
                </c:pt>
                <c:pt idx="1">
                  <c:v>20 up to 30</c:v>
                </c:pt>
                <c:pt idx="2">
                  <c:v>30 up to 40</c:v>
                </c:pt>
                <c:pt idx="3">
                  <c:v>40 up to 50</c:v>
                </c:pt>
                <c:pt idx="4">
                  <c:v>50 up to 60</c:v>
                </c:pt>
                <c:pt idx="5">
                  <c:v>60 up to 70</c:v>
                </c:pt>
              </c:strCache>
            </c:strRef>
          </c:cat>
          <c:val>
            <c:numRef>
              <c:f>'V(1)'!$E$67:$E$72</c:f>
              <c:numCache>
                <c:formatCode>0%</c:formatCode>
                <c:ptCount val="6"/>
                <c:pt idx="0">
                  <c:v>0</c:v>
                </c:pt>
                <c:pt idx="1">
                  <c:v>0</c:v>
                </c:pt>
                <c:pt idx="2">
                  <c:v>0.93333333333333335</c:v>
                </c:pt>
                <c:pt idx="3">
                  <c:v>6.6666666666666666E-2</c:v>
                </c:pt>
                <c:pt idx="4">
                  <c:v>0</c:v>
                </c:pt>
                <c:pt idx="5">
                  <c:v>0</c:v>
                </c:pt>
              </c:numCache>
            </c:numRef>
          </c:val>
          <c:extLst>
            <c:ext xmlns:c16="http://schemas.microsoft.com/office/drawing/2014/chart" uri="{C3380CC4-5D6E-409C-BE32-E72D297353CC}">
              <c16:uniqueId val="{0000000C-3DC9-45C1-B0ED-C0C14A2766BE}"/>
            </c:ext>
          </c:extLst>
        </c:ser>
        <c:dLbls>
          <c:showLegendKey val="0"/>
          <c:showVal val="0"/>
          <c:showCatName val="0"/>
          <c:showSerName val="0"/>
          <c:showPercent val="0"/>
          <c:showBubbleSize val="0"/>
        </c:dLbls>
        <c:gapWidth val="0"/>
        <c:overlap val="-27"/>
        <c:axId val="1000047408"/>
        <c:axId val="1000047968"/>
      </c:barChart>
      <c:catAx>
        <c:axId val="1000047408"/>
        <c:scaling>
          <c:orientation val="minMax"/>
        </c:scaling>
        <c:delete val="0"/>
        <c:axPos val="b"/>
        <c:title>
          <c:tx>
            <c:strRef>
              <c:f>'V(1)'!$C$3</c:f>
              <c:strCache>
                <c:ptCount val="1"/>
                <c:pt idx="0">
                  <c:v># of Hours/Week worked Job 2</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7968"/>
        <c:crosses val="autoZero"/>
        <c:auto val="1"/>
        <c:lblAlgn val="ctr"/>
        <c:lblOffset val="100"/>
        <c:noMultiLvlLbl val="0"/>
      </c:catAx>
      <c:valAx>
        <c:axId val="10000479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47408"/>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285-421B-B825-5C2D895587DA}"/>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6285-421B-B825-5C2D895587DA}"/>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6285-421B-B825-5C2D895587DA}"/>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6285-421B-B825-5C2D895587DA}"/>
            </c:ext>
          </c:extLst>
        </c:ser>
        <c:dLbls>
          <c:showLegendKey val="0"/>
          <c:showVal val="0"/>
          <c:showCatName val="0"/>
          <c:showSerName val="0"/>
          <c:showPercent val="0"/>
          <c:showBubbleSize val="0"/>
        </c:dLbls>
        <c:axId val="1000051888"/>
        <c:axId val="1000052448"/>
      </c:scatterChart>
      <c:valAx>
        <c:axId val="1000051888"/>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52448"/>
        <c:crosses val="autoZero"/>
        <c:crossBetween val="midCat"/>
      </c:valAx>
      <c:valAx>
        <c:axId val="1000052448"/>
        <c:scaling>
          <c:orientation val="minMax"/>
        </c:scaling>
        <c:delete val="1"/>
        <c:axPos val="l"/>
        <c:numFmt formatCode="General" sourceLinked="1"/>
        <c:majorTickMark val="none"/>
        <c:minorTickMark val="none"/>
        <c:tickLblPos val="nextTo"/>
        <c:crossAx val="100005188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'V(2)'!$D$62</c:f>
              <c:strCache>
                <c:ptCount val="1"/>
                <c:pt idx="0">
                  <c:v>RF Stock A</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5CC1-4560-B0BD-FA75405B671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5CC1-4560-B0BD-FA75405B671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5CC1-4560-B0BD-FA75405B671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5CC1-4560-B0BD-FA75405B671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5CC1-4560-B0BD-FA75405B671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5CC1-4560-B0BD-FA75405B6713}"/>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5CC1-4560-B0BD-FA75405B6713}"/>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5CC1-4560-B0BD-FA75405B6713}"/>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5CC1-4560-B0BD-FA75405B6713}"/>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5CC1-4560-B0BD-FA75405B6713}"/>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5CC1-4560-B0BD-FA75405B6713}"/>
              </c:ext>
            </c:extLst>
          </c:dPt>
          <c:cat>
            <c:strRef>
              <c:f>'V(2)'!$C$63:$C$73</c:f>
              <c:strCache>
                <c:ptCount val="11"/>
                <c:pt idx="0">
                  <c:v>$1.80
up to
$2.00</c:v>
                </c:pt>
                <c:pt idx="1">
                  <c:v>$2.00
up to
$2.20</c:v>
                </c:pt>
                <c:pt idx="2">
                  <c:v>$2.20
up to
$2.40</c:v>
                </c:pt>
                <c:pt idx="3">
                  <c:v>$2.40
up to
$2.60</c:v>
                </c:pt>
                <c:pt idx="4">
                  <c:v>$2.60
up to
$2.80</c:v>
                </c:pt>
                <c:pt idx="5">
                  <c:v>$2.80
up to
$3.00</c:v>
                </c:pt>
                <c:pt idx="6">
                  <c:v>$3.00
up to
$3.20</c:v>
                </c:pt>
                <c:pt idx="7">
                  <c:v>$3.20
up to
$3.40</c:v>
                </c:pt>
                <c:pt idx="8">
                  <c:v>$3.40
up to
$3.60</c:v>
                </c:pt>
                <c:pt idx="9">
                  <c:v>$3.60
up to
$3.80</c:v>
                </c:pt>
                <c:pt idx="10">
                  <c:v>$3.80
up to
$4.00</c:v>
                </c:pt>
              </c:strCache>
            </c:strRef>
          </c:cat>
          <c:val>
            <c:numRef>
              <c:f>'V(2)'!$D$63:$D$73</c:f>
              <c:numCache>
                <c:formatCode>General</c:formatCode>
                <c:ptCount val="11"/>
                <c:pt idx="0">
                  <c:v>0</c:v>
                </c:pt>
                <c:pt idx="1">
                  <c:v>0</c:v>
                </c:pt>
                <c:pt idx="2">
                  <c:v>0.4</c:v>
                </c:pt>
                <c:pt idx="3">
                  <c:v>0.33333333333333331</c:v>
                </c:pt>
                <c:pt idx="4">
                  <c:v>6.6666666666666666E-2</c:v>
                </c:pt>
                <c:pt idx="5">
                  <c:v>0</c:v>
                </c:pt>
                <c:pt idx="6">
                  <c:v>0.13333333333333333</c:v>
                </c:pt>
                <c:pt idx="7">
                  <c:v>6.6666666666666666E-2</c:v>
                </c:pt>
                <c:pt idx="8">
                  <c:v>0</c:v>
                </c:pt>
                <c:pt idx="9">
                  <c:v>0</c:v>
                </c:pt>
                <c:pt idx="10">
                  <c:v>0</c:v>
                </c:pt>
              </c:numCache>
            </c:numRef>
          </c:val>
          <c:extLst>
            <c:ext xmlns:c16="http://schemas.microsoft.com/office/drawing/2014/chart" uri="{C3380CC4-5D6E-409C-BE32-E72D297353CC}">
              <c16:uniqueId val="{00000016-5CC1-4560-B0BD-FA75405B6713}"/>
            </c:ext>
          </c:extLst>
        </c:ser>
        <c:dLbls>
          <c:showLegendKey val="0"/>
          <c:showVal val="0"/>
          <c:showCatName val="0"/>
          <c:showSerName val="0"/>
          <c:showPercent val="0"/>
          <c:showBubbleSize val="0"/>
        </c:dLbls>
        <c:gapWidth val="0"/>
        <c:overlap val="-27"/>
        <c:axId val="1000055248"/>
        <c:axId val="1000055808"/>
      </c:barChart>
      <c:catAx>
        <c:axId val="1000055248"/>
        <c:scaling>
          <c:orientation val="minMax"/>
        </c:scaling>
        <c:delete val="0"/>
        <c:axPos val="b"/>
        <c:title>
          <c:tx>
            <c:strRef>
              <c:f>'V(2)'!$B$3</c:f>
              <c:strCache>
                <c:ptCount val="1"/>
                <c:pt idx="0">
                  <c:v>Gas Prices Burien</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5808"/>
        <c:crosses val="autoZero"/>
        <c:auto val="1"/>
        <c:lblAlgn val="ctr"/>
        <c:lblOffset val="100"/>
        <c:noMultiLvlLbl val="0"/>
      </c:catAx>
      <c:valAx>
        <c:axId val="10000558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5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0"/>
          <c:order val="0"/>
          <c:tx>
            <c:strRef>
              <c:f>'V(2)'!$E$62</c:f>
              <c:strCache>
                <c:ptCount val="1"/>
                <c:pt idx="0">
                  <c:v>RF Stock B</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4617-4E8C-B2BF-EBFF09415386}"/>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4617-4E8C-B2BF-EBFF09415386}"/>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4617-4E8C-B2BF-EBFF09415386}"/>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4617-4E8C-B2BF-EBFF09415386}"/>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4617-4E8C-B2BF-EBFF09415386}"/>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4617-4E8C-B2BF-EBFF09415386}"/>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4617-4E8C-B2BF-EBFF09415386}"/>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4617-4E8C-B2BF-EBFF09415386}"/>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4617-4E8C-B2BF-EBFF09415386}"/>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4617-4E8C-B2BF-EBFF09415386}"/>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4617-4E8C-B2BF-EBFF09415386}"/>
              </c:ext>
            </c:extLst>
          </c:dPt>
          <c:cat>
            <c:strRef>
              <c:f>'V(2)'!$C$63:$C$73</c:f>
              <c:strCache>
                <c:ptCount val="11"/>
                <c:pt idx="0">
                  <c:v>$1.80
up to
$2.00</c:v>
                </c:pt>
                <c:pt idx="1">
                  <c:v>$2.00
up to
$2.20</c:v>
                </c:pt>
                <c:pt idx="2">
                  <c:v>$2.20
up to
$2.40</c:v>
                </c:pt>
                <c:pt idx="3">
                  <c:v>$2.40
up to
$2.60</c:v>
                </c:pt>
                <c:pt idx="4">
                  <c:v>$2.60
up to
$2.80</c:v>
                </c:pt>
                <c:pt idx="5">
                  <c:v>$2.80
up to
$3.00</c:v>
                </c:pt>
                <c:pt idx="6">
                  <c:v>$3.00
up to
$3.20</c:v>
                </c:pt>
                <c:pt idx="7">
                  <c:v>$3.20
up to
$3.40</c:v>
                </c:pt>
                <c:pt idx="8">
                  <c:v>$3.40
up to
$3.60</c:v>
                </c:pt>
                <c:pt idx="9">
                  <c:v>$3.60
up to
$3.80</c:v>
                </c:pt>
                <c:pt idx="10">
                  <c:v>$3.80
up to
$4.00</c:v>
                </c:pt>
              </c:strCache>
            </c:strRef>
          </c:cat>
          <c:val>
            <c:numRef>
              <c:f>'V(2)'!$E$63:$E$73</c:f>
              <c:numCache>
                <c:formatCode>General</c:formatCode>
                <c:ptCount val="11"/>
                <c:pt idx="0">
                  <c:v>6.6666666666666666E-2</c:v>
                </c:pt>
                <c:pt idx="1">
                  <c:v>0</c:v>
                </c:pt>
                <c:pt idx="2">
                  <c:v>6.6666666666666666E-2</c:v>
                </c:pt>
                <c:pt idx="3">
                  <c:v>0.53333333333333333</c:v>
                </c:pt>
                <c:pt idx="4">
                  <c:v>0.13333333333333333</c:v>
                </c:pt>
                <c:pt idx="5">
                  <c:v>6.6666666666666666E-2</c:v>
                </c:pt>
                <c:pt idx="6">
                  <c:v>0</c:v>
                </c:pt>
                <c:pt idx="7">
                  <c:v>0</c:v>
                </c:pt>
                <c:pt idx="8">
                  <c:v>6.6666666666666666E-2</c:v>
                </c:pt>
                <c:pt idx="9">
                  <c:v>0</c:v>
                </c:pt>
                <c:pt idx="10">
                  <c:v>6.6666666666666666E-2</c:v>
                </c:pt>
              </c:numCache>
            </c:numRef>
          </c:val>
          <c:extLst>
            <c:ext xmlns:c16="http://schemas.microsoft.com/office/drawing/2014/chart" uri="{C3380CC4-5D6E-409C-BE32-E72D297353CC}">
              <c16:uniqueId val="{00000016-4617-4E8C-B2BF-EBFF09415386}"/>
            </c:ext>
          </c:extLst>
        </c:ser>
        <c:dLbls>
          <c:showLegendKey val="0"/>
          <c:showVal val="0"/>
          <c:showCatName val="0"/>
          <c:showSerName val="0"/>
          <c:showPercent val="0"/>
          <c:showBubbleSize val="0"/>
        </c:dLbls>
        <c:gapWidth val="0"/>
        <c:overlap val="-27"/>
        <c:axId val="1000058048"/>
        <c:axId val="1000058608"/>
      </c:barChart>
      <c:catAx>
        <c:axId val="1000058048"/>
        <c:scaling>
          <c:orientation val="minMax"/>
        </c:scaling>
        <c:delete val="0"/>
        <c:axPos val="b"/>
        <c:title>
          <c:tx>
            <c:strRef>
              <c:f>'V(2)'!$C$3</c:f>
              <c:strCache>
                <c:ptCount val="1"/>
                <c:pt idx="0">
                  <c:v>Gas Prices Seattle</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8608"/>
        <c:crosses val="autoZero"/>
        <c:auto val="1"/>
        <c:lblAlgn val="ctr"/>
        <c:lblOffset val="100"/>
        <c:noMultiLvlLbl val="0"/>
      </c:catAx>
      <c:valAx>
        <c:axId val="100005860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58048"/>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'V(3)'!$A$1</c:f>
          <c:strCache>
            <c:ptCount val="1"/>
            <c:pt idx="0">
              <c:v>Based on Average Days To Fill Order, which supplier is more reliable?</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103087893940961E-2"/>
          <c:y val="0.36479691641577044"/>
          <c:w val="0.93105925247439869"/>
          <c:h val="0.43594042762506824"/>
        </c:manualLayout>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196-49F3-AA14-6250840FFD60}"/>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6196-49F3-AA14-6250840FFD60}"/>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6196-49F3-AA14-6250840FFD60}"/>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6196-49F3-AA14-6250840FFD60}"/>
            </c:ext>
          </c:extLst>
        </c:ser>
        <c:dLbls>
          <c:showLegendKey val="0"/>
          <c:showVal val="0"/>
          <c:showCatName val="0"/>
          <c:showSerName val="0"/>
          <c:showPercent val="0"/>
          <c:showBubbleSize val="0"/>
        </c:dLbls>
        <c:axId val="1000062528"/>
        <c:axId val="1000063088"/>
      </c:scatterChart>
      <c:valAx>
        <c:axId val="1000062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Days Until Receive Order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00063088"/>
        <c:crosses val="autoZero"/>
        <c:crossBetween val="midCat"/>
      </c:valAx>
      <c:valAx>
        <c:axId val="1000063088"/>
        <c:scaling>
          <c:orientation val="minMax"/>
        </c:scaling>
        <c:delete val="1"/>
        <c:axPos val="l"/>
        <c:numFmt formatCode="General" sourceLinked="1"/>
        <c:majorTickMark val="none"/>
        <c:minorTickMark val="none"/>
        <c:tickLblPos val="nextTo"/>
        <c:crossAx val="10000625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145D-4B3E-955B-B35773EE9BFF}"/>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145D-4B3E-955B-B35773EE9BFF}"/>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145D-4B3E-955B-B35773EE9BFF}"/>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145D-4B3E-955B-B35773EE9BFF}"/>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145D-4B3E-955B-B35773EE9BFF}"/>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145D-4B3E-955B-B35773EE9BFF}"/>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145D-4B3E-955B-B35773EE9BFF}"/>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145D-4B3E-955B-B35773EE9BFF}"/>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145D-4B3E-955B-B35773EE9BFF}"/>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145D-4B3E-955B-B35773EE9BFF}"/>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145D-4B3E-955B-B35773EE9BFF}"/>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145D-4B3E-955B-B35773EE9BFF}"/>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145D-4B3E-955B-B35773EE9BFF}"/>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145D-4B3E-955B-B35773EE9BFF}"/>
            </c:ext>
          </c:extLst>
        </c:ser>
        <c:dLbls>
          <c:showLegendKey val="0"/>
          <c:showVal val="0"/>
          <c:showCatName val="0"/>
          <c:showSerName val="0"/>
          <c:showPercent val="0"/>
          <c:showBubbleSize val="0"/>
        </c:dLbls>
        <c:gapWidth val="0"/>
        <c:overlap val="-27"/>
        <c:axId val="1000065888"/>
        <c:axId val="1000066448"/>
      </c:barChart>
      <c:catAx>
        <c:axId val="100006588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6448"/>
        <c:crosses val="autoZero"/>
        <c:auto val="1"/>
        <c:lblAlgn val="ctr"/>
        <c:lblOffset val="100"/>
        <c:noMultiLvlLbl val="0"/>
      </c:catAx>
      <c:valAx>
        <c:axId val="10000664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5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8E86-41D0-8063-645FAA2FFF43}"/>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8E86-41D0-8063-645FAA2FFF4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8E86-41D0-8063-645FAA2FFF43}"/>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8E86-41D0-8063-645FAA2FFF43}"/>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8E86-41D0-8063-645FAA2FFF43}"/>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8E86-41D0-8063-645FAA2FFF43}"/>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8E86-41D0-8063-645FAA2FFF43}"/>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8E86-41D0-8063-645FAA2FFF43}"/>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8E86-41D0-8063-645FAA2FFF43}"/>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8E86-41D0-8063-645FAA2FFF43}"/>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8E86-41D0-8063-645FAA2FFF43}"/>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8E86-41D0-8063-645FAA2FFF43}"/>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8E86-41D0-8063-645FAA2FFF43}"/>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8E86-41D0-8063-645FAA2FFF43}"/>
            </c:ext>
          </c:extLst>
        </c:ser>
        <c:dLbls>
          <c:showLegendKey val="0"/>
          <c:showVal val="0"/>
          <c:showCatName val="0"/>
          <c:showSerName val="0"/>
          <c:showPercent val="0"/>
          <c:showBubbleSize val="0"/>
        </c:dLbls>
        <c:gapWidth val="0"/>
        <c:overlap val="-27"/>
        <c:axId val="1000068688"/>
        <c:axId val="1000069248"/>
      </c:barChart>
      <c:catAx>
        <c:axId val="1000068688"/>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9248"/>
        <c:crosses val="autoZero"/>
        <c:auto val="1"/>
        <c:lblAlgn val="ctr"/>
        <c:lblOffset val="100"/>
        <c:noMultiLvlLbl val="0"/>
      </c:catAx>
      <c:valAx>
        <c:axId val="1000069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006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'V(4an)'!$D$13</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'V(4an)'!$C$14:$C$28</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'V(4an)'!$D$14:$D$28</c:f>
              <c:numCache>
                <c:formatCode>General</c:formatCode>
                <c:ptCount val="1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numCache>
            </c:numRef>
          </c:yVal>
          <c:smooth val="0"/>
          <c:extLst>
            <c:ext xmlns:c16="http://schemas.microsoft.com/office/drawing/2014/chart" uri="{C3380CC4-5D6E-409C-BE32-E72D297353CC}">
              <c16:uniqueId val="{00000000-0C61-43C0-B080-F24E6103F059}"/>
            </c:ext>
          </c:extLst>
        </c:ser>
        <c:ser>
          <c:idx val="1"/>
          <c:order val="1"/>
          <c:tx>
            <c:strRef>
              <c:f>'V(4an)'!$G$13</c:f>
              <c:strCache>
                <c:ptCount val="1"/>
                <c:pt idx="0">
                  <c:v>Days to fill order Plywood &amp; Floor</c:v>
                </c:pt>
              </c:strCache>
            </c:strRef>
          </c:tx>
          <c:spPr>
            <a:ln w="25400" cap="rnd">
              <a:noFill/>
              <a:round/>
            </a:ln>
            <a:effectLst/>
          </c:spPr>
          <c:marker>
            <c:symbol val="circle"/>
            <c:size val="5"/>
            <c:spPr>
              <a:solidFill>
                <a:schemeClr val="accent2"/>
              </a:solidFill>
              <a:ln w="9525">
                <a:solidFill>
                  <a:schemeClr val="accent2"/>
                </a:solidFill>
              </a:ln>
              <a:effectLst/>
            </c:spPr>
          </c:marker>
          <c:xVal>
            <c:numRef>
              <c:f>'V(4an)'!$F$14:$F$28</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'V(4an)'!$G$14:$G$28</c:f>
              <c:numCache>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0"/>
          <c:extLst>
            <c:ext xmlns:c16="http://schemas.microsoft.com/office/drawing/2014/chart" uri="{C3380CC4-5D6E-409C-BE32-E72D297353CC}">
              <c16:uniqueId val="{00000001-0C61-43C0-B080-F24E6103F059}"/>
            </c:ext>
          </c:extLst>
        </c:ser>
        <c:ser>
          <c:idx val="2"/>
          <c:order val="2"/>
          <c:tx>
            <c:strRef>
              <c:f>'V(4an)'!$D$10</c:f>
              <c:strCache>
                <c:ptCount val="1"/>
                <c:pt idx="0">
                  <c:v>Mean Days for S 1</c:v>
                </c:pt>
              </c:strCache>
            </c:strRef>
          </c:tx>
          <c:spPr>
            <a:ln w="25400" cap="rnd">
              <a:noFill/>
              <a:round/>
            </a:ln>
            <a:effectLst/>
          </c:spPr>
          <c:marker>
            <c:symbol val="circle"/>
            <c:size val="5"/>
            <c:spPr>
              <a:solidFill>
                <a:schemeClr val="accent3"/>
              </a:solidFill>
              <a:ln w="9525">
                <a:solidFill>
                  <a:schemeClr val="accent3"/>
                </a:solidFill>
              </a:ln>
              <a:effectLst/>
            </c:spPr>
          </c:marker>
          <c:xVal>
            <c:numRef>
              <c:f>'V(4an)'!$C$11</c:f>
              <c:numCache>
                <c:formatCode>General</c:formatCode>
                <c:ptCount val="1"/>
                <c:pt idx="0">
                  <c:v>9</c:v>
                </c:pt>
              </c:numCache>
            </c:numRef>
          </c:xVal>
          <c:yVal>
            <c:numRef>
              <c:f>'V(4an)'!$D$11</c:f>
              <c:numCache>
                <c:formatCode>General</c:formatCode>
                <c:ptCount val="1"/>
                <c:pt idx="0">
                  <c:v>0.75</c:v>
                </c:pt>
              </c:numCache>
            </c:numRef>
          </c:yVal>
          <c:smooth val="0"/>
          <c:extLst>
            <c:ext xmlns:c16="http://schemas.microsoft.com/office/drawing/2014/chart" uri="{C3380CC4-5D6E-409C-BE32-E72D297353CC}">
              <c16:uniqueId val="{00000002-0C61-43C0-B080-F24E6103F059}"/>
            </c:ext>
          </c:extLst>
        </c:ser>
        <c:ser>
          <c:idx val="3"/>
          <c:order val="3"/>
          <c:tx>
            <c:strRef>
              <c:f>'V(4an)'!$G$10</c:f>
              <c:strCache>
                <c:ptCount val="1"/>
                <c:pt idx="0">
                  <c:v>Mean Days for S 2</c:v>
                </c:pt>
              </c:strCache>
            </c:strRef>
          </c:tx>
          <c:spPr>
            <a:ln w="25400" cap="rnd">
              <a:noFill/>
              <a:round/>
            </a:ln>
            <a:effectLst/>
          </c:spPr>
          <c:marker>
            <c:symbol val="circle"/>
            <c:size val="5"/>
            <c:spPr>
              <a:solidFill>
                <a:schemeClr val="accent4"/>
              </a:solidFill>
              <a:ln w="9525">
                <a:solidFill>
                  <a:schemeClr val="accent4"/>
                </a:solidFill>
              </a:ln>
              <a:effectLst/>
            </c:spPr>
          </c:marker>
          <c:xVal>
            <c:numRef>
              <c:f>'V(4an)'!$F$11</c:f>
              <c:numCache>
                <c:formatCode>General</c:formatCode>
                <c:ptCount val="1"/>
                <c:pt idx="0">
                  <c:v>9</c:v>
                </c:pt>
              </c:numCache>
            </c:numRef>
          </c:xVal>
          <c:yVal>
            <c:numRef>
              <c:f>'V(4an)'!$G$11</c:f>
              <c:numCache>
                <c:formatCode>General</c:formatCode>
                <c:ptCount val="1"/>
                <c:pt idx="0">
                  <c:v>1.25</c:v>
                </c:pt>
              </c:numCache>
            </c:numRef>
          </c:yVal>
          <c:smooth val="0"/>
          <c:extLst>
            <c:ext xmlns:c16="http://schemas.microsoft.com/office/drawing/2014/chart" uri="{C3380CC4-5D6E-409C-BE32-E72D297353CC}">
              <c16:uniqueId val="{00000003-0C61-43C0-B080-F24E6103F059}"/>
            </c:ext>
          </c:extLst>
        </c:ser>
        <c:dLbls>
          <c:showLegendKey val="0"/>
          <c:showVal val="0"/>
          <c:showCatName val="0"/>
          <c:showSerName val="0"/>
          <c:showPercent val="0"/>
          <c:showBubbleSize val="0"/>
        </c:dLbls>
        <c:axId val="963968928"/>
        <c:axId val="963969488"/>
      </c:scatterChart>
      <c:valAx>
        <c:axId val="9639689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 to Fill Oder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69488"/>
        <c:crosses val="autoZero"/>
        <c:crossBetween val="midCat"/>
      </c:valAx>
      <c:valAx>
        <c:axId val="963969488"/>
        <c:scaling>
          <c:orientation val="minMax"/>
        </c:scaling>
        <c:delete val="1"/>
        <c:axPos val="l"/>
        <c:numFmt formatCode="General" sourceLinked="1"/>
        <c:majorTickMark val="none"/>
        <c:minorTickMark val="none"/>
        <c:tickLblPos val="nextTo"/>
        <c:crossAx val="9639689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AA92-4BD0-89DF-DE368B618BEF}"/>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AA92-4BD0-89DF-DE368B618BEF}"/>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AA92-4BD0-89DF-DE368B618BEF}"/>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AA92-4BD0-89DF-DE368B618BEF}"/>
            </c:ext>
          </c:extLst>
        </c:ser>
        <c:dLbls>
          <c:showLegendKey val="0"/>
          <c:showVal val="0"/>
          <c:showCatName val="0"/>
          <c:showSerName val="0"/>
          <c:showPercent val="0"/>
          <c:showBubbleSize val="0"/>
        </c:dLbls>
        <c:axId val="963974528"/>
        <c:axId val="963975088"/>
      </c:scatterChart>
      <c:valAx>
        <c:axId val="96397452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75088"/>
        <c:crosses val="autoZero"/>
        <c:crossBetween val="midCat"/>
      </c:valAx>
      <c:valAx>
        <c:axId val="963975088"/>
        <c:scaling>
          <c:orientation val="minMax"/>
        </c:scaling>
        <c:delete val="1"/>
        <c:axPos val="l"/>
        <c:numFmt formatCode="General" sourceLinked="1"/>
        <c:majorTickMark val="none"/>
        <c:minorTickMark val="none"/>
        <c:tickLblPos val="nextTo"/>
        <c:crossAx val="96397452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F669-4C54-AA71-B9F82B8830FC}"/>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F669-4C54-AA71-B9F82B8830FC}"/>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F669-4C54-AA71-B9F82B8830FC}"/>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F669-4C54-AA71-B9F82B8830FC}"/>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F669-4C54-AA71-B9F82B8830FC}"/>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F669-4C54-AA71-B9F82B8830FC}"/>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F669-4C54-AA71-B9F82B8830FC}"/>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F669-4C54-AA71-B9F82B8830FC}"/>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F669-4C54-AA71-B9F82B8830FC}"/>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F669-4C54-AA71-B9F82B8830FC}"/>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F669-4C54-AA71-B9F82B8830FC}"/>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F669-4C54-AA71-B9F82B8830FC}"/>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F669-4C54-AA71-B9F82B8830FC}"/>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F669-4C54-AA71-B9F82B8830FC}"/>
            </c:ext>
          </c:extLst>
        </c:ser>
        <c:dLbls>
          <c:showLegendKey val="0"/>
          <c:showVal val="0"/>
          <c:showCatName val="0"/>
          <c:showSerName val="0"/>
          <c:showPercent val="0"/>
          <c:showBubbleSize val="0"/>
        </c:dLbls>
        <c:gapWidth val="0"/>
        <c:overlap val="-27"/>
        <c:axId val="963977888"/>
        <c:axId val="963978448"/>
      </c:barChart>
      <c:catAx>
        <c:axId val="96397788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78448"/>
        <c:crosses val="autoZero"/>
        <c:auto val="1"/>
        <c:lblAlgn val="ctr"/>
        <c:lblOffset val="100"/>
        <c:noMultiLvlLbl val="0"/>
      </c:catAx>
      <c:valAx>
        <c:axId val="9639784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77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DDA1-40E5-BFD6-F73567BA3730}"/>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DDA1-40E5-BFD6-F73567BA3730}"/>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DDA1-40E5-BFD6-F73567BA3730}"/>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DDA1-40E5-BFD6-F73567BA3730}"/>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DDA1-40E5-BFD6-F73567BA3730}"/>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DDA1-40E5-BFD6-F73567BA3730}"/>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DDA1-40E5-BFD6-F73567BA3730}"/>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DDA1-40E5-BFD6-F73567BA3730}"/>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DDA1-40E5-BFD6-F73567BA3730}"/>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DDA1-40E5-BFD6-F73567BA3730}"/>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DDA1-40E5-BFD6-F73567BA3730}"/>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DDA1-40E5-BFD6-F73567BA3730}"/>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DDA1-40E5-BFD6-F73567BA3730}"/>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DDA1-40E5-BFD6-F73567BA3730}"/>
            </c:ext>
          </c:extLst>
        </c:ser>
        <c:dLbls>
          <c:showLegendKey val="0"/>
          <c:showVal val="0"/>
          <c:showCatName val="0"/>
          <c:showSerName val="0"/>
          <c:showPercent val="0"/>
          <c:showBubbleSize val="0"/>
        </c:dLbls>
        <c:gapWidth val="0"/>
        <c:overlap val="-27"/>
        <c:axId val="963980688"/>
        <c:axId val="963981248"/>
      </c:barChart>
      <c:catAx>
        <c:axId val="963980688"/>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81248"/>
        <c:crosses val="autoZero"/>
        <c:auto val="1"/>
        <c:lblAlgn val="ctr"/>
        <c:lblOffset val="100"/>
        <c:noMultiLvlLbl val="0"/>
      </c:catAx>
      <c:valAx>
        <c:axId val="96398124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80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26C1-4EAA-9DE7-96B3DCADB0DC}"/>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26C1-4EAA-9DE7-96B3DCADB0DC}"/>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26C1-4EAA-9DE7-96B3DCADB0DC}"/>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26C1-4EAA-9DE7-96B3DCADB0DC}"/>
            </c:ext>
          </c:extLst>
        </c:ser>
        <c:dLbls>
          <c:showLegendKey val="0"/>
          <c:showVal val="0"/>
          <c:showCatName val="0"/>
          <c:showSerName val="0"/>
          <c:showPercent val="0"/>
          <c:showBubbleSize val="0"/>
        </c:dLbls>
        <c:axId val="963985168"/>
        <c:axId val="963985728"/>
      </c:scatterChart>
      <c:valAx>
        <c:axId val="9639851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85728"/>
        <c:crosses val="autoZero"/>
        <c:crossBetween val="midCat"/>
      </c:valAx>
      <c:valAx>
        <c:axId val="963985728"/>
        <c:scaling>
          <c:orientation val="minMax"/>
        </c:scaling>
        <c:delete val="1"/>
        <c:axPos val="l"/>
        <c:numFmt formatCode="General" sourceLinked="1"/>
        <c:majorTickMark val="none"/>
        <c:minorTickMark val="none"/>
        <c:tickLblPos val="nextTo"/>
        <c:crossAx val="96398516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6F7A-407C-8511-B233F6F18DE3}"/>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6F7A-407C-8511-B233F6F18DE3}"/>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6F7A-407C-8511-B233F6F18DE3}"/>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6F7A-407C-8511-B233F6F18DE3}"/>
            </c:ext>
          </c:extLst>
        </c:ser>
        <c:dLbls>
          <c:showLegendKey val="0"/>
          <c:showVal val="0"/>
          <c:showCatName val="0"/>
          <c:showSerName val="0"/>
          <c:showPercent val="0"/>
          <c:showBubbleSize val="0"/>
        </c:dLbls>
        <c:axId val="963990208"/>
        <c:axId val="963990768"/>
      </c:scatterChart>
      <c:valAx>
        <c:axId val="963990208"/>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90768"/>
        <c:crosses val="autoZero"/>
        <c:crossBetween val="midCat"/>
      </c:valAx>
      <c:valAx>
        <c:axId val="963990768"/>
        <c:scaling>
          <c:orientation val="minMax"/>
        </c:scaling>
        <c:delete val="1"/>
        <c:axPos val="l"/>
        <c:numFmt formatCode="General" sourceLinked="1"/>
        <c:majorTickMark val="none"/>
        <c:minorTickMark val="none"/>
        <c:tickLblPos val="nextTo"/>
        <c:crossAx val="96399020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'V(3)'!$B$48</c:f>
              <c:strCache>
                <c:ptCount val="1"/>
                <c:pt idx="0">
                  <c:v>Days to fill order Banderson's</c:v>
                </c:pt>
              </c:strCache>
            </c:strRef>
          </c:tx>
          <c:spPr>
            <a:ln w="19050" cap="rnd">
              <a:noFill/>
              <a:round/>
            </a:ln>
            <a:effectLst/>
          </c:spPr>
          <c:marker>
            <c:symbol val="circle"/>
            <c:size val="5"/>
            <c:spPr>
              <a:solidFill>
                <a:schemeClr val="accent1"/>
              </a:solidFill>
              <a:ln w="9525">
                <a:solidFill>
                  <a:schemeClr val="accent1"/>
                </a:solidFill>
              </a:ln>
              <a:effectLst/>
            </c:spPr>
          </c:marker>
          <c:xVal>
            <c:numRef>
              <c:f>'V(3)'!$A$49:$A$63</c:f>
              <c:numCache>
                <c:formatCode>General</c:formatCode>
                <c:ptCount val="15"/>
                <c:pt idx="0">
                  <c:v>4</c:v>
                </c:pt>
                <c:pt idx="1">
                  <c:v>6</c:v>
                </c:pt>
                <c:pt idx="2">
                  <c:v>12</c:v>
                </c:pt>
                <c:pt idx="3">
                  <c:v>11</c:v>
                </c:pt>
                <c:pt idx="4">
                  <c:v>13</c:v>
                </c:pt>
                <c:pt idx="5">
                  <c:v>16</c:v>
                </c:pt>
                <c:pt idx="6">
                  <c:v>5</c:v>
                </c:pt>
                <c:pt idx="7">
                  <c:v>8</c:v>
                </c:pt>
                <c:pt idx="8">
                  <c:v>9</c:v>
                </c:pt>
                <c:pt idx="9">
                  <c:v>6</c:v>
                </c:pt>
                <c:pt idx="10">
                  <c:v>8</c:v>
                </c:pt>
                <c:pt idx="11">
                  <c:v>6</c:v>
                </c:pt>
                <c:pt idx="12">
                  <c:v>12</c:v>
                </c:pt>
                <c:pt idx="13">
                  <c:v>6</c:v>
                </c:pt>
                <c:pt idx="14">
                  <c:v>13</c:v>
                </c:pt>
              </c:numCache>
            </c:numRef>
          </c:xVal>
          <c:yVal>
            <c:numRef>
              <c:f>'V(3)'!$B$49:$B$63</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40AD-4D87-8C6F-3DA02D70185F}"/>
            </c:ext>
          </c:extLst>
        </c:ser>
        <c:ser>
          <c:idx val="1"/>
          <c:order val="1"/>
          <c:tx>
            <c:strRef>
              <c:f>'V(3)'!$E$48</c:f>
              <c:strCache>
                <c:ptCount val="1"/>
                <c:pt idx="0">
                  <c:v>Days to fill order Plywood &amp; Floor</c:v>
                </c:pt>
              </c:strCache>
            </c:strRef>
          </c:tx>
          <c:spPr>
            <a:ln w="25400" cap="rnd">
              <a:noFill/>
              <a:round/>
            </a:ln>
            <a:effectLst/>
          </c:spPr>
          <c:marker>
            <c:symbol val="circle"/>
            <c:size val="5"/>
            <c:spPr>
              <a:solidFill>
                <a:srgbClr val="FF0000"/>
              </a:solidFill>
              <a:ln w="9525">
                <a:solidFill>
                  <a:schemeClr val="accent2"/>
                </a:solidFill>
              </a:ln>
              <a:effectLst/>
            </c:spPr>
          </c:marker>
          <c:xVal>
            <c:numRef>
              <c:f>'V(3)'!$D$49:$D$63</c:f>
              <c:numCache>
                <c:formatCode>General</c:formatCode>
                <c:ptCount val="15"/>
                <c:pt idx="0">
                  <c:v>10</c:v>
                </c:pt>
                <c:pt idx="1">
                  <c:v>11</c:v>
                </c:pt>
                <c:pt idx="2">
                  <c:v>9</c:v>
                </c:pt>
                <c:pt idx="3">
                  <c:v>9</c:v>
                </c:pt>
                <c:pt idx="4">
                  <c:v>10</c:v>
                </c:pt>
                <c:pt idx="5">
                  <c:v>8</c:v>
                </c:pt>
                <c:pt idx="6">
                  <c:v>9</c:v>
                </c:pt>
                <c:pt idx="7">
                  <c:v>10</c:v>
                </c:pt>
                <c:pt idx="8">
                  <c:v>10</c:v>
                </c:pt>
                <c:pt idx="9">
                  <c:v>9</c:v>
                </c:pt>
                <c:pt idx="10">
                  <c:v>8</c:v>
                </c:pt>
                <c:pt idx="11">
                  <c:v>9</c:v>
                </c:pt>
                <c:pt idx="12">
                  <c:v>6</c:v>
                </c:pt>
                <c:pt idx="13">
                  <c:v>8</c:v>
                </c:pt>
                <c:pt idx="14">
                  <c:v>9</c:v>
                </c:pt>
              </c:numCache>
            </c:numRef>
          </c:xVal>
          <c:yVal>
            <c:numRef>
              <c:f>'V(3)'!$E$49:$E$63</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40AD-4D87-8C6F-3DA02D70185F}"/>
            </c:ext>
          </c:extLst>
        </c:ser>
        <c:ser>
          <c:idx val="2"/>
          <c:order val="2"/>
          <c:tx>
            <c:strRef>
              <c:f>'V(3)'!$B$65</c:f>
              <c:strCache>
                <c:ptCount val="1"/>
                <c:pt idx="0">
                  <c:v>Ave Days To Fill Order, Banderson's</c:v>
                </c:pt>
              </c:strCache>
            </c:strRef>
          </c:tx>
          <c:spPr>
            <a:ln w="25400" cap="rnd">
              <a:noFill/>
              <a:round/>
            </a:ln>
            <a:effectLst/>
          </c:spPr>
          <c:marker>
            <c:symbol val="square"/>
            <c:size val="8"/>
            <c:spPr>
              <a:solidFill>
                <a:srgbClr val="7030A0"/>
              </a:solidFill>
              <a:ln w="9525">
                <a:solidFill>
                  <a:schemeClr val="accent3"/>
                </a:solidFill>
              </a:ln>
              <a:effectLst/>
            </c:spPr>
          </c:marker>
          <c:xVal>
            <c:numRef>
              <c:f>'V(3)'!$A$66</c:f>
              <c:numCache>
                <c:formatCode>General</c:formatCode>
                <c:ptCount val="1"/>
                <c:pt idx="0">
                  <c:v>9</c:v>
                </c:pt>
              </c:numCache>
            </c:numRef>
          </c:xVal>
          <c:yVal>
            <c:numRef>
              <c:f>'V(3)'!$B$66</c:f>
              <c:numCache>
                <c:formatCode>General</c:formatCode>
                <c:ptCount val="1"/>
                <c:pt idx="0">
                  <c:v>0.35</c:v>
                </c:pt>
              </c:numCache>
            </c:numRef>
          </c:yVal>
          <c:smooth val="0"/>
          <c:extLst>
            <c:ext xmlns:c16="http://schemas.microsoft.com/office/drawing/2014/chart" uri="{C3380CC4-5D6E-409C-BE32-E72D297353CC}">
              <c16:uniqueId val="{00000002-40AD-4D87-8C6F-3DA02D70185F}"/>
            </c:ext>
          </c:extLst>
        </c:ser>
        <c:ser>
          <c:idx val="3"/>
          <c:order val="3"/>
          <c:tx>
            <c:strRef>
              <c:f>'V(3)'!$E$65</c:f>
              <c:strCache>
                <c:ptCount val="1"/>
                <c:pt idx="0">
                  <c:v>Ave Days To Fill Order, Plywood &amp; Floor</c:v>
                </c:pt>
              </c:strCache>
            </c:strRef>
          </c:tx>
          <c:spPr>
            <a:ln w="25400" cap="rnd">
              <a:noFill/>
              <a:round/>
            </a:ln>
            <a:effectLst/>
          </c:spPr>
          <c:marker>
            <c:symbol val="triangle"/>
            <c:size val="8"/>
            <c:spPr>
              <a:solidFill>
                <a:schemeClr val="accent4"/>
              </a:solidFill>
              <a:ln w="9525">
                <a:solidFill>
                  <a:schemeClr val="accent4"/>
                </a:solidFill>
              </a:ln>
              <a:effectLst/>
            </c:spPr>
          </c:marker>
          <c:xVal>
            <c:numRef>
              <c:f>'V(3)'!$D$66</c:f>
              <c:numCache>
                <c:formatCode>General</c:formatCode>
                <c:ptCount val="1"/>
                <c:pt idx="0">
                  <c:v>9</c:v>
                </c:pt>
              </c:numCache>
            </c:numRef>
          </c:xVal>
          <c:yVal>
            <c:numRef>
              <c:f>'V(3)'!$E$66</c:f>
              <c:numCache>
                <c:formatCode>General</c:formatCode>
                <c:ptCount val="1"/>
                <c:pt idx="0">
                  <c:v>0.9</c:v>
                </c:pt>
              </c:numCache>
            </c:numRef>
          </c:yVal>
          <c:smooth val="0"/>
          <c:extLst>
            <c:ext xmlns:c16="http://schemas.microsoft.com/office/drawing/2014/chart" uri="{C3380CC4-5D6E-409C-BE32-E72D297353CC}">
              <c16:uniqueId val="{00000003-40AD-4D87-8C6F-3DA02D70185F}"/>
            </c:ext>
          </c:extLst>
        </c:ser>
        <c:dLbls>
          <c:showLegendKey val="0"/>
          <c:showVal val="0"/>
          <c:showCatName val="0"/>
          <c:showSerName val="0"/>
          <c:showPercent val="0"/>
          <c:showBubbleSize val="0"/>
        </c:dLbls>
        <c:axId val="963995248"/>
        <c:axId val="963995808"/>
      </c:scatterChart>
      <c:valAx>
        <c:axId val="96399524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3995808"/>
        <c:crosses val="autoZero"/>
        <c:crossBetween val="midCat"/>
      </c:valAx>
      <c:valAx>
        <c:axId val="963995808"/>
        <c:scaling>
          <c:orientation val="minMax"/>
        </c:scaling>
        <c:delete val="1"/>
        <c:axPos val="l"/>
        <c:numFmt formatCode="General" sourceLinked="1"/>
        <c:majorTickMark val="none"/>
        <c:minorTickMark val="none"/>
        <c:tickLblPos val="nextTo"/>
        <c:crossAx val="96399524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3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'V(3)'!$B$69</c:f>
              <c:strCache>
                <c:ptCount val="1"/>
                <c:pt idx="0">
                  <c:v>RF Banderson's</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692E-413B-B4E3-2D130D566567}"/>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692E-413B-B4E3-2D130D566567}"/>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692E-413B-B4E3-2D130D566567}"/>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692E-413B-B4E3-2D130D566567}"/>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692E-413B-B4E3-2D130D566567}"/>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692E-413B-B4E3-2D130D566567}"/>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692E-413B-B4E3-2D130D566567}"/>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692E-413B-B4E3-2D130D566567}"/>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692E-413B-B4E3-2D130D566567}"/>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692E-413B-B4E3-2D130D566567}"/>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692E-413B-B4E3-2D130D566567}"/>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692E-413B-B4E3-2D130D566567}"/>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692E-413B-B4E3-2D130D566567}"/>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'V(3)'!$B$70:$B$82</c:f>
              <c:numCache>
                <c:formatCode>0%</c:formatCode>
                <c:ptCount val="13"/>
                <c:pt idx="0">
                  <c:v>6.6666666666666666E-2</c:v>
                </c:pt>
                <c:pt idx="1">
                  <c:v>6.6666666666666666E-2</c:v>
                </c:pt>
                <c:pt idx="2">
                  <c:v>0.26666666666666666</c:v>
                </c:pt>
                <c:pt idx="3">
                  <c:v>0</c:v>
                </c:pt>
                <c:pt idx="4">
                  <c:v>0.13333333333333333</c:v>
                </c:pt>
                <c:pt idx="5">
                  <c:v>6.6666666666666666E-2</c:v>
                </c:pt>
                <c:pt idx="6">
                  <c:v>0</c:v>
                </c:pt>
                <c:pt idx="7">
                  <c:v>6.6666666666666666E-2</c:v>
                </c:pt>
                <c:pt idx="8">
                  <c:v>0.13333333333333333</c:v>
                </c:pt>
                <c:pt idx="9">
                  <c:v>0.13333333333333333</c:v>
                </c:pt>
                <c:pt idx="10">
                  <c:v>0</c:v>
                </c:pt>
                <c:pt idx="11">
                  <c:v>0</c:v>
                </c:pt>
                <c:pt idx="12">
                  <c:v>6.6666666666666666E-2</c:v>
                </c:pt>
              </c:numCache>
            </c:numRef>
          </c:val>
          <c:extLst>
            <c:ext xmlns:c16="http://schemas.microsoft.com/office/drawing/2014/chart" uri="{C3380CC4-5D6E-409C-BE32-E72D297353CC}">
              <c16:uniqueId val="{0000001A-692E-413B-B4E3-2D130D566567}"/>
            </c:ext>
          </c:extLst>
        </c:ser>
        <c:dLbls>
          <c:showLegendKey val="0"/>
          <c:showVal val="0"/>
          <c:showCatName val="0"/>
          <c:showSerName val="0"/>
          <c:showPercent val="0"/>
          <c:showBubbleSize val="0"/>
        </c:dLbls>
        <c:gapWidth val="0"/>
        <c:overlap val="-27"/>
        <c:axId val="963998608"/>
        <c:axId val="963999168"/>
      </c:barChart>
      <c:catAx>
        <c:axId val="963998608"/>
        <c:scaling>
          <c:orientation val="minMax"/>
        </c:scaling>
        <c:delete val="0"/>
        <c:axPos val="b"/>
        <c:title>
          <c:tx>
            <c:strRef>
              <c:f>'V(3)'!$B$3</c:f>
              <c:strCache>
                <c:ptCount val="1"/>
                <c:pt idx="0">
                  <c:v>Days to fill order Banderson's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99168"/>
        <c:crosses val="autoZero"/>
        <c:auto val="1"/>
        <c:lblAlgn val="ctr"/>
        <c:lblOffset val="100"/>
        <c:noMultiLvlLbl val="0"/>
      </c:catAx>
      <c:valAx>
        <c:axId val="963999168"/>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399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1"/>
        <c:ser>
          <c:idx val="1"/>
          <c:order val="0"/>
          <c:tx>
            <c:strRef>
              <c:f>'V(3)'!$C$69</c:f>
              <c:strCache>
                <c:ptCount val="1"/>
                <c:pt idx="0">
                  <c:v>RF Plywood &amp; Floor</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5A51-4754-8F26-EE23E1A706AF}"/>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5A51-4754-8F26-EE23E1A706AF}"/>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5A51-4754-8F26-EE23E1A706AF}"/>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5A51-4754-8F26-EE23E1A706AF}"/>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5A51-4754-8F26-EE23E1A706AF}"/>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5A51-4754-8F26-EE23E1A706AF}"/>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5A51-4754-8F26-EE23E1A706AF}"/>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5A51-4754-8F26-EE23E1A706AF}"/>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5A51-4754-8F26-EE23E1A706AF}"/>
              </c:ext>
            </c:extLst>
          </c:dPt>
          <c:dPt>
            <c:idx val="9"/>
            <c:invertIfNegative val="0"/>
            <c:bubble3D val="0"/>
            <c:spPr>
              <a:solidFill>
                <a:schemeClr val="accent4">
                  <a:lumMod val="60000"/>
                </a:schemeClr>
              </a:solidFill>
              <a:ln>
                <a:noFill/>
              </a:ln>
              <a:effectLst/>
            </c:spPr>
            <c:extLst>
              <c:ext xmlns:c16="http://schemas.microsoft.com/office/drawing/2014/chart" uri="{C3380CC4-5D6E-409C-BE32-E72D297353CC}">
                <c16:uniqueId val="{00000013-5A51-4754-8F26-EE23E1A706AF}"/>
              </c:ext>
            </c:extLst>
          </c:dPt>
          <c:dPt>
            <c:idx val="10"/>
            <c:invertIfNegative val="0"/>
            <c:bubble3D val="0"/>
            <c:spPr>
              <a:solidFill>
                <a:schemeClr val="accent5">
                  <a:lumMod val="60000"/>
                </a:schemeClr>
              </a:solidFill>
              <a:ln>
                <a:noFill/>
              </a:ln>
              <a:effectLst/>
            </c:spPr>
            <c:extLst>
              <c:ext xmlns:c16="http://schemas.microsoft.com/office/drawing/2014/chart" uri="{C3380CC4-5D6E-409C-BE32-E72D297353CC}">
                <c16:uniqueId val="{00000015-5A51-4754-8F26-EE23E1A706AF}"/>
              </c:ext>
            </c:extLst>
          </c:dPt>
          <c:dPt>
            <c:idx val="11"/>
            <c:invertIfNegative val="0"/>
            <c:bubble3D val="0"/>
            <c:spPr>
              <a:solidFill>
                <a:schemeClr val="accent6">
                  <a:lumMod val="60000"/>
                </a:schemeClr>
              </a:solidFill>
              <a:ln>
                <a:noFill/>
              </a:ln>
              <a:effectLst/>
            </c:spPr>
            <c:extLst>
              <c:ext xmlns:c16="http://schemas.microsoft.com/office/drawing/2014/chart" uri="{C3380CC4-5D6E-409C-BE32-E72D297353CC}">
                <c16:uniqueId val="{00000017-5A51-4754-8F26-EE23E1A706AF}"/>
              </c:ext>
            </c:extLst>
          </c:dPt>
          <c:dPt>
            <c:idx val="12"/>
            <c:invertIfNegative val="0"/>
            <c:bubble3D val="0"/>
            <c:spPr>
              <a:solidFill>
                <a:schemeClr val="accent1">
                  <a:lumMod val="80000"/>
                  <a:lumOff val="20000"/>
                </a:schemeClr>
              </a:solidFill>
              <a:ln>
                <a:noFill/>
              </a:ln>
              <a:effectLst/>
            </c:spPr>
            <c:extLst>
              <c:ext xmlns:c16="http://schemas.microsoft.com/office/drawing/2014/chart" uri="{C3380CC4-5D6E-409C-BE32-E72D297353CC}">
                <c16:uniqueId val="{00000019-5A51-4754-8F26-EE23E1A706AF}"/>
              </c:ext>
            </c:extLst>
          </c:dPt>
          <c:cat>
            <c:numRef>
              <c:f>'V(3)'!$A$70:$A$82</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'V(3)'!$C$70:$C$82</c:f>
              <c:numCache>
                <c:formatCode>0%</c:formatCode>
                <c:ptCount val="13"/>
                <c:pt idx="0">
                  <c:v>0</c:v>
                </c:pt>
                <c:pt idx="1">
                  <c:v>0</c:v>
                </c:pt>
                <c:pt idx="2">
                  <c:v>6.6666666666666666E-2</c:v>
                </c:pt>
                <c:pt idx="3">
                  <c:v>0</c:v>
                </c:pt>
                <c:pt idx="4">
                  <c:v>0.2</c:v>
                </c:pt>
                <c:pt idx="5">
                  <c:v>0.4</c:v>
                </c:pt>
                <c:pt idx="6">
                  <c:v>0.26666666666666666</c:v>
                </c:pt>
                <c:pt idx="7">
                  <c:v>6.6666666666666666E-2</c:v>
                </c:pt>
                <c:pt idx="8">
                  <c:v>0</c:v>
                </c:pt>
                <c:pt idx="9">
                  <c:v>0</c:v>
                </c:pt>
                <c:pt idx="10">
                  <c:v>0</c:v>
                </c:pt>
                <c:pt idx="11">
                  <c:v>0</c:v>
                </c:pt>
                <c:pt idx="12">
                  <c:v>0</c:v>
                </c:pt>
              </c:numCache>
            </c:numRef>
          </c:val>
          <c:extLst>
            <c:ext xmlns:c16="http://schemas.microsoft.com/office/drawing/2014/chart" uri="{C3380CC4-5D6E-409C-BE32-E72D297353CC}">
              <c16:uniqueId val="{0000001A-5A51-4754-8F26-EE23E1A706AF}"/>
            </c:ext>
          </c:extLst>
        </c:ser>
        <c:dLbls>
          <c:showLegendKey val="0"/>
          <c:showVal val="0"/>
          <c:showCatName val="0"/>
          <c:showSerName val="0"/>
          <c:showPercent val="0"/>
          <c:showBubbleSize val="0"/>
        </c:dLbls>
        <c:gapWidth val="0"/>
        <c:overlap val="-27"/>
        <c:axId val="1016556560"/>
        <c:axId val="1016557120"/>
      </c:barChart>
      <c:catAx>
        <c:axId val="1016556560"/>
        <c:scaling>
          <c:orientation val="minMax"/>
        </c:scaling>
        <c:delete val="0"/>
        <c:axPos val="b"/>
        <c:title>
          <c:tx>
            <c:strRef>
              <c:f>'V(3)'!$C$3</c:f>
              <c:strCache>
                <c:ptCount val="1"/>
                <c:pt idx="0">
                  <c:v>Days to fill order Plywood &amp; Floor</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57120"/>
        <c:crosses val="autoZero"/>
        <c:auto val="1"/>
        <c:lblAlgn val="ctr"/>
        <c:lblOffset val="100"/>
        <c:noMultiLvlLbl val="0"/>
      </c:catAx>
      <c:valAx>
        <c:axId val="101655712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56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'V(1)'!$A$1</c:f>
          <c:strCache>
            <c:ptCount val="1"/>
            <c:pt idx="0">
              <c:v>Which Mean More Fairly Represents Its Data Points?</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09634551495016E-2"/>
          <c:y val="0.33902237894354648"/>
          <c:w val="0.93107419712070871"/>
          <c:h val="0.47040797801798806"/>
        </c:manualLayout>
      </c:layout>
      <c:scatterChart>
        <c:scatterStyle val="lineMarker"/>
        <c:varyColors val="0"/>
        <c:ser>
          <c:idx val="0"/>
          <c:order val="0"/>
          <c:tx>
            <c:strRef>
              <c:f>'V(1)'!$B$44</c:f>
              <c:strCache>
                <c:ptCount val="1"/>
                <c:pt idx="0">
                  <c:v># of Hours/Week worked Job 1</c:v>
                </c:pt>
              </c:strCache>
            </c:strRef>
          </c:tx>
          <c:spPr>
            <a:ln w="19050" cap="rnd">
              <a:noFill/>
              <a:round/>
            </a:ln>
            <a:effectLst/>
          </c:spPr>
          <c:marker>
            <c:symbol val="circle"/>
            <c:size val="5"/>
            <c:spPr>
              <a:solidFill>
                <a:schemeClr val="accent1"/>
              </a:solidFill>
              <a:ln w="9525">
                <a:solidFill>
                  <a:schemeClr val="accent1"/>
                </a:solidFill>
              </a:ln>
              <a:effectLst/>
            </c:spPr>
          </c:marker>
          <c:xVal>
            <c:numRef>
              <c:f>'V(1)'!$A$45:$A$59</c:f>
              <c:numCache>
                <c:formatCode>General</c:formatCode>
                <c:ptCount val="15"/>
                <c:pt idx="0">
                  <c:v>55</c:v>
                </c:pt>
                <c:pt idx="1">
                  <c:v>25</c:v>
                </c:pt>
                <c:pt idx="2">
                  <c:v>62</c:v>
                </c:pt>
                <c:pt idx="3">
                  <c:v>15</c:v>
                </c:pt>
                <c:pt idx="4">
                  <c:v>34</c:v>
                </c:pt>
                <c:pt idx="5">
                  <c:v>19</c:v>
                </c:pt>
                <c:pt idx="6">
                  <c:v>38</c:v>
                </c:pt>
                <c:pt idx="7">
                  <c:v>29</c:v>
                </c:pt>
                <c:pt idx="8">
                  <c:v>64</c:v>
                </c:pt>
                <c:pt idx="9">
                  <c:v>31</c:v>
                </c:pt>
                <c:pt idx="10">
                  <c:v>59</c:v>
                </c:pt>
                <c:pt idx="11">
                  <c:v>12</c:v>
                </c:pt>
                <c:pt idx="12">
                  <c:v>15</c:v>
                </c:pt>
                <c:pt idx="13">
                  <c:v>42</c:v>
                </c:pt>
                <c:pt idx="14">
                  <c:v>25</c:v>
                </c:pt>
              </c:numCache>
            </c:numRef>
          </c:xVal>
          <c:yVal>
            <c:numRef>
              <c:f>'V(1)'!$B$45:$B$59</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1991-4BFE-A8F7-691ECABABC2A}"/>
            </c:ext>
          </c:extLst>
        </c:ser>
        <c:ser>
          <c:idx val="1"/>
          <c:order val="1"/>
          <c:tx>
            <c:strRef>
              <c:f>'V(1)'!$E$44</c:f>
              <c:strCache>
                <c:ptCount val="1"/>
                <c:pt idx="0">
                  <c:v># of Hours/Week worked Job 2</c:v>
                </c:pt>
              </c:strCache>
            </c:strRef>
          </c:tx>
          <c:spPr>
            <a:ln w="25400" cap="rnd">
              <a:noFill/>
              <a:round/>
            </a:ln>
            <a:effectLst/>
          </c:spPr>
          <c:marker>
            <c:symbol val="circle"/>
            <c:size val="5"/>
            <c:spPr>
              <a:solidFill>
                <a:srgbClr val="FF0000"/>
              </a:solidFill>
              <a:ln w="9525">
                <a:solidFill>
                  <a:schemeClr val="accent2"/>
                </a:solidFill>
              </a:ln>
              <a:effectLst/>
            </c:spPr>
          </c:marker>
          <c:xVal>
            <c:numRef>
              <c:f>'V(1)'!$D$45:$D$59</c:f>
              <c:numCache>
                <c:formatCode>General</c:formatCode>
                <c:ptCount val="15"/>
                <c:pt idx="0">
                  <c:v>35</c:v>
                </c:pt>
                <c:pt idx="1">
                  <c:v>34</c:v>
                </c:pt>
                <c:pt idx="2">
                  <c:v>36</c:v>
                </c:pt>
                <c:pt idx="3">
                  <c:v>37</c:v>
                </c:pt>
                <c:pt idx="4">
                  <c:v>43</c:v>
                </c:pt>
                <c:pt idx="5">
                  <c:v>32</c:v>
                </c:pt>
                <c:pt idx="6">
                  <c:v>33</c:v>
                </c:pt>
                <c:pt idx="7">
                  <c:v>35</c:v>
                </c:pt>
                <c:pt idx="8">
                  <c:v>36</c:v>
                </c:pt>
                <c:pt idx="9">
                  <c:v>37</c:v>
                </c:pt>
                <c:pt idx="10">
                  <c:v>35</c:v>
                </c:pt>
                <c:pt idx="11">
                  <c:v>39</c:v>
                </c:pt>
                <c:pt idx="12">
                  <c:v>32</c:v>
                </c:pt>
                <c:pt idx="13">
                  <c:v>31</c:v>
                </c:pt>
                <c:pt idx="14">
                  <c:v>30</c:v>
                </c:pt>
              </c:numCache>
            </c:numRef>
          </c:xVal>
          <c:yVal>
            <c:numRef>
              <c:f>'V(1)'!$E$45:$E$59</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1-1991-4BFE-A8F7-691ECABABC2A}"/>
            </c:ext>
          </c:extLst>
        </c:ser>
        <c:ser>
          <c:idx val="2"/>
          <c:order val="2"/>
          <c:tx>
            <c:strRef>
              <c:f>'V(1)'!$B$61</c:f>
              <c:strCache>
                <c:ptCount val="1"/>
                <c:pt idx="0">
                  <c:v>Ave Hours/Week Job 1</c:v>
                </c:pt>
              </c:strCache>
            </c:strRef>
          </c:tx>
          <c:spPr>
            <a:ln w="25400" cap="rnd">
              <a:noFill/>
              <a:round/>
            </a:ln>
            <a:effectLst/>
          </c:spPr>
          <c:marker>
            <c:symbol val="square"/>
            <c:size val="8"/>
            <c:spPr>
              <a:solidFill>
                <a:srgbClr val="7030A0"/>
              </a:solidFill>
              <a:ln w="9525">
                <a:solidFill>
                  <a:schemeClr val="accent3"/>
                </a:solidFill>
              </a:ln>
              <a:effectLst/>
            </c:spPr>
          </c:marker>
          <c:xVal>
            <c:numRef>
              <c:f>'V(1)'!$A$62</c:f>
              <c:numCache>
                <c:formatCode>General</c:formatCode>
                <c:ptCount val="1"/>
                <c:pt idx="0">
                  <c:v>35</c:v>
                </c:pt>
              </c:numCache>
            </c:numRef>
          </c:xVal>
          <c:yVal>
            <c:numRef>
              <c:f>'V(1)'!$B$62</c:f>
              <c:numCache>
                <c:formatCode>General</c:formatCode>
                <c:ptCount val="1"/>
                <c:pt idx="0">
                  <c:v>0.35</c:v>
                </c:pt>
              </c:numCache>
            </c:numRef>
          </c:yVal>
          <c:smooth val="0"/>
          <c:extLst>
            <c:ext xmlns:c16="http://schemas.microsoft.com/office/drawing/2014/chart" uri="{C3380CC4-5D6E-409C-BE32-E72D297353CC}">
              <c16:uniqueId val="{00000002-1991-4BFE-A8F7-691ECABABC2A}"/>
            </c:ext>
          </c:extLst>
        </c:ser>
        <c:ser>
          <c:idx val="3"/>
          <c:order val="3"/>
          <c:tx>
            <c:strRef>
              <c:f>'V(1)'!$E$61</c:f>
              <c:strCache>
                <c:ptCount val="1"/>
                <c:pt idx="0">
                  <c:v>Ave Hours/Week Job 2</c:v>
                </c:pt>
              </c:strCache>
            </c:strRef>
          </c:tx>
          <c:spPr>
            <a:ln w="25400" cap="rnd">
              <a:noFill/>
              <a:round/>
            </a:ln>
            <a:effectLst/>
          </c:spPr>
          <c:marker>
            <c:symbol val="triangle"/>
            <c:size val="8"/>
            <c:spPr>
              <a:solidFill>
                <a:schemeClr val="accent4"/>
              </a:solidFill>
              <a:ln w="9525">
                <a:solidFill>
                  <a:schemeClr val="accent4"/>
                </a:solidFill>
              </a:ln>
              <a:effectLst/>
            </c:spPr>
          </c:marker>
          <c:xVal>
            <c:numRef>
              <c:f>'V(1)'!$D$62</c:f>
              <c:numCache>
                <c:formatCode>General</c:formatCode>
                <c:ptCount val="1"/>
                <c:pt idx="0">
                  <c:v>35</c:v>
                </c:pt>
              </c:numCache>
            </c:numRef>
          </c:xVal>
          <c:yVal>
            <c:numRef>
              <c:f>'V(1)'!$E$62</c:f>
              <c:numCache>
                <c:formatCode>General</c:formatCode>
                <c:ptCount val="1"/>
                <c:pt idx="0">
                  <c:v>0.9</c:v>
                </c:pt>
              </c:numCache>
            </c:numRef>
          </c:yVal>
          <c:smooth val="0"/>
          <c:extLst>
            <c:ext xmlns:c16="http://schemas.microsoft.com/office/drawing/2014/chart" uri="{C3380CC4-5D6E-409C-BE32-E72D297353CC}">
              <c16:uniqueId val="{00000003-1991-4BFE-A8F7-691ECABABC2A}"/>
            </c:ext>
          </c:extLst>
        </c:ser>
        <c:dLbls>
          <c:showLegendKey val="0"/>
          <c:showVal val="0"/>
          <c:showCatName val="0"/>
          <c:showSerName val="0"/>
          <c:showPercent val="0"/>
          <c:showBubbleSize val="0"/>
        </c:dLbls>
        <c:axId val="1016561040"/>
        <c:axId val="1016561600"/>
      </c:scatterChart>
      <c:valAx>
        <c:axId val="10165610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Hours worked per 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16561600"/>
        <c:crosses val="autoZero"/>
        <c:crossBetween val="midCat"/>
      </c:valAx>
      <c:valAx>
        <c:axId val="1016561600"/>
        <c:scaling>
          <c:orientation val="minMax"/>
        </c:scaling>
        <c:delete val="1"/>
        <c:axPos val="l"/>
        <c:numFmt formatCode="General" sourceLinked="1"/>
        <c:majorTickMark val="none"/>
        <c:minorTickMark val="none"/>
        <c:tickLblPos val="nextTo"/>
        <c:crossAx val="101656104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'V(2)'!$A$1</c:f>
          <c:strCache>
            <c:ptCount val="1"/>
            <c:pt idx="0">
              <c:v>Where are gas prices more volatile?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672416367005811E-2"/>
          <c:y val="0.24742426196033443"/>
          <c:w val="0.90984234586362145"/>
          <c:h val="0.56155746828514819"/>
        </c:manualLayout>
      </c:layout>
      <c:scatterChart>
        <c:scatterStyle val="lineMarker"/>
        <c:varyColors val="0"/>
        <c:ser>
          <c:idx val="0"/>
          <c:order val="0"/>
          <c:tx>
            <c:strRef>
              <c:f>'V(2)'!$B$40</c:f>
              <c:strCache>
                <c:ptCount val="1"/>
                <c:pt idx="0">
                  <c:v>Gas Prices Burien</c:v>
                </c:pt>
              </c:strCache>
            </c:strRef>
          </c:tx>
          <c:spPr>
            <a:ln w="19050" cap="rnd">
              <a:noFill/>
              <a:round/>
            </a:ln>
            <a:effectLst/>
          </c:spPr>
          <c:marker>
            <c:symbol val="circle"/>
            <c:size val="5"/>
            <c:spPr>
              <a:solidFill>
                <a:schemeClr val="accent1"/>
              </a:solidFill>
              <a:ln w="9525">
                <a:solidFill>
                  <a:schemeClr val="accent1"/>
                </a:solidFill>
              </a:ln>
              <a:effectLst/>
            </c:spPr>
          </c:marker>
          <c:xVal>
            <c:numRef>
              <c:f>'V(2)'!$A$41:$A$55</c:f>
              <c:numCache>
                <c:formatCode>General</c:formatCode>
                <c:ptCount val="15"/>
                <c:pt idx="0">
                  <c:v>3.01</c:v>
                </c:pt>
                <c:pt idx="1">
                  <c:v>2.35</c:v>
                </c:pt>
                <c:pt idx="2">
                  <c:v>2.4700000000000002</c:v>
                </c:pt>
                <c:pt idx="3">
                  <c:v>2.48</c:v>
                </c:pt>
                <c:pt idx="4">
                  <c:v>2.2799999999999998</c:v>
                </c:pt>
                <c:pt idx="5">
                  <c:v>2.6</c:v>
                </c:pt>
                <c:pt idx="6">
                  <c:v>3.31</c:v>
                </c:pt>
                <c:pt idx="7">
                  <c:v>2.37</c:v>
                </c:pt>
                <c:pt idx="8">
                  <c:v>2.52</c:v>
                </c:pt>
                <c:pt idx="9">
                  <c:v>2.5</c:v>
                </c:pt>
                <c:pt idx="10">
                  <c:v>2.37</c:v>
                </c:pt>
                <c:pt idx="11">
                  <c:v>3.01</c:v>
                </c:pt>
                <c:pt idx="12">
                  <c:v>2.36</c:v>
                </c:pt>
                <c:pt idx="13">
                  <c:v>2.4500000000000002</c:v>
                </c:pt>
                <c:pt idx="14">
                  <c:v>2.38</c:v>
                </c:pt>
              </c:numCache>
            </c:numRef>
          </c:xVal>
          <c:yVal>
            <c:numRef>
              <c:f>'V(2)'!$B$41:$B$55</c:f>
              <c:numCache>
                <c:formatCode>General</c:formatCode>
                <c:ptCount val="15"/>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numCache>
            </c:numRef>
          </c:yVal>
          <c:smooth val="0"/>
          <c:extLst>
            <c:ext xmlns:c16="http://schemas.microsoft.com/office/drawing/2014/chart" uri="{C3380CC4-5D6E-409C-BE32-E72D297353CC}">
              <c16:uniqueId val="{00000000-5B8D-423C-BC16-575916026025}"/>
            </c:ext>
          </c:extLst>
        </c:ser>
        <c:ser>
          <c:idx val="1"/>
          <c:order val="1"/>
          <c:tx>
            <c:strRef>
              <c:f>'V(2)'!$B$57</c:f>
              <c:strCache>
                <c:ptCount val="1"/>
                <c:pt idx="0">
                  <c:v>Mean Gas Prices Burien</c:v>
                </c:pt>
              </c:strCache>
            </c:strRef>
          </c:tx>
          <c:spPr>
            <a:ln w="25400" cap="rnd">
              <a:noFill/>
              <a:round/>
            </a:ln>
            <a:effectLst/>
          </c:spPr>
          <c:marker>
            <c:symbol val="square"/>
            <c:size val="8"/>
            <c:spPr>
              <a:solidFill>
                <a:schemeClr val="accent2"/>
              </a:solidFill>
              <a:ln w="9525">
                <a:solidFill>
                  <a:schemeClr val="accent2"/>
                </a:solidFill>
              </a:ln>
              <a:effectLst/>
            </c:spPr>
          </c:marker>
          <c:xVal>
            <c:numRef>
              <c:f>'V(2)'!$A$58</c:f>
              <c:numCache>
                <c:formatCode>General</c:formatCode>
                <c:ptCount val="1"/>
                <c:pt idx="0">
                  <c:v>2.5640000000000005</c:v>
                </c:pt>
              </c:numCache>
            </c:numRef>
          </c:xVal>
          <c:yVal>
            <c:numRef>
              <c:f>'V(2)'!$B$58</c:f>
              <c:numCache>
                <c:formatCode>General</c:formatCode>
                <c:ptCount val="1"/>
                <c:pt idx="0">
                  <c:v>0.35</c:v>
                </c:pt>
              </c:numCache>
            </c:numRef>
          </c:yVal>
          <c:smooth val="0"/>
          <c:extLst>
            <c:ext xmlns:c16="http://schemas.microsoft.com/office/drawing/2014/chart" uri="{C3380CC4-5D6E-409C-BE32-E72D297353CC}">
              <c16:uniqueId val="{00000001-5B8D-423C-BC16-575916026025}"/>
            </c:ext>
          </c:extLst>
        </c:ser>
        <c:ser>
          <c:idx val="2"/>
          <c:order val="2"/>
          <c:tx>
            <c:strRef>
              <c:f>'V(2)'!$E$57</c:f>
              <c:strCache>
                <c:ptCount val="1"/>
                <c:pt idx="0">
                  <c:v>Mean Gas Prices Seattle</c:v>
                </c:pt>
              </c:strCache>
            </c:strRef>
          </c:tx>
          <c:spPr>
            <a:ln w="25400" cap="rnd">
              <a:noFill/>
              <a:round/>
            </a:ln>
            <a:effectLst/>
          </c:spPr>
          <c:marker>
            <c:symbol val="triangle"/>
            <c:size val="8"/>
            <c:spPr>
              <a:solidFill>
                <a:schemeClr val="accent3"/>
              </a:solidFill>
              <a:ln w="9525">
                <a:solidFill>
                  <a:schemeClr val="accent3"/>
                </a:solidFill>
              </a:ln>
              <a:effectLst/>
            </c:spPr>
          </c:marker>
          <c:xVal>
            <c:numRef>
              <c:f>'V(2)'!$D$58</c:f>
              <c:numCache>
                <c:formatCode>General</c:formatCode>
                <c:ptCount val="1"/>
                <c:pt idx="0">
                  <c:v>2.6633333333333336</c:v>
                </c:pt>
              </c:numCache>
            </c:numRef>
          </c:xVal>
          <c:yVal>
            <c:numRef>
              <c:f>'V(2)'!$E$58</c:f>
              <c:numCache>
                <c:formatCode>General</c:formatCode>
                <c:ptCount val="1"/>
                <c:pt idx="0">
                  <c:v>0.9</c:v>
                </c:pt>
              </c:numCache>
            </c:numRef>
          </c:yVal>
          <c:smooth val="0"/>
          <c:extLst>
            <c:ext xmlns:c16="http://schemas.microsoft.com/office/drawing/2014/chart" uri="{C3380CC4-5D6E-409C-BE32-E72D297353CC}">
              <c16:uniqueId val="{00000002-5B8D-423C-BC16-575916026025}"/>
            </c:ext>
          </c:extLst>
        </c:ser>
        <c:ser>
          <c:idx val="3"/>
          <c:order val="3"/>
          <c:tx>
            <c:strRef>
              <c:f>'V(2)'!$E$40</c:f>
              <c:strCache>
                <c:ptCount val="1"/>
                <c:pt idx="0">
                  <c:v>Gas Prices Seattle</c:v>
                </c:pt>
              </c:strCache>
            </c:strRef>
          </c:tx>
          <c:spPr>
            <a:ln w="25400" cap="rnd">
              <a:noFill/>
              <a:round/>
            </a:ln>
            <a:effectLst/>
          </c:spPr>
          <c:marker>
            <c:symbol val="circle"/>
            <c:size val="5"/>
            <c:spPr>
              <a:solidFill>
                <a:srgbClr val="FF0000"/>
              </a:solidFill>
              <a:ln w="9525">
                <a:solidFill>
                  <a:schemeClr val="accent4"/>
                </a:solidFill>
              </a:ln>
              <a:effectLst/>
            </c:spPr>
          </c:marker>
          <c:xVal>
            <c:numRef>
              <c:f>'V(2)'!$D$41:$D$55</c:f>
              <c:numCache>
                <c:formatCode>General</c:formatCode>
                <c:ptCount val="15"/>
                <c:pt idx="0">
                  <c:v>3.86</c:v>
                </c:pt>
                <c:pt idx="1">
                  <c:v>2.93</c:v>
                </c:pt>
                <c:pt idx="2">
                  <c:v>2.42</c:v>
                </c:pt>
                <c:pt idx="3">
                  <c:v>1.99</c:v>
                </c:pt>
                <c:pt idx="4">
                  <c:v>2.5099999999999998</c:v>
                </c:pt>
                <c:pt idx="5">
                  <c:v>2.6</c:v>
                </c:pt>
                <c:pt idx="6">
                  <c:v>2.52</c:v>
                </c:pt>
                <c:pt idx="7">
                  <c:v>2.48</c:v>
                </c:pt>
                <c:pt idx="8">
                  <c:v>2.46</c:v>
                </c:pt>
                <c:pt idx="9">
                  <c:v>2.44</c:v>
                </c:pt>
                <c:pt idx="10">
                  <c:v>2.42</c:v>
                </c:pt>
                <c:pt idx="11">
                  <c:v>3.56</c:v>
                </c:pt>
                <c:pt idx="12">
                  <c:v>2.39</c:v>
                </c:pt>
                <c:pt idx="13">
                  <c:v>2.79</c:v>
                </c:pt>
                <c:pt idx="14">
                  <c:v>2.58</c:v>
                </c:pt>
              </c:numCache>
            </c:numRef>
          </c:xVal>
          <c:yVal>
            <c:numRef>
              <c:f>'V(2)'!$E$41:$E$55</c:f>
              <c:numCache>
                <c:formatCode>General</c:formatCode>
                <c:ptCount val="15"/>
                <c:pt idx="0">
                  <c:v>0.7</c:v>
                </c:pt>
                <c:pt idx="1">
                  <c:v>0.7</c:v>
                </c:pt>
                <c:pt idx="2">
                  <c:v>0.7</c:v>
                </c:pt>
                <c:pt idx="3">
                  <c:v>0.7</c:v>
                </c:pt>
                <c:pt idx="4">
                  <c:v>0.7</c:v>
                </c:pt>
                <c:pt idx="5">
                  <c:v>0.7</c:v>
                </c:pt>
                <c:pt idx="6">
                  <c:v>0.7</c:v>
                </c:pt>
                <c:pt idx="7">
                  <c:v>0.7</c:v>
                </c:pt>
                <c:pt idx="8">
                  <c:v>0.7</c:v>
                </c:pt>
                <c:pt idx="9">
                  <c:v>0.7</c:v>
                </c:pt>
                <c:pt idx="10">
                  <c:v>0.7</c:v>
                </c:pt>
                <c:pt idx="11">
                  <c:v>0.7</c:v>
                </c:pt>
                <c:pt idx="12">
                  <c:v>0.7</c:v>
                </c:pt>
                <c:pt idx="13">
                  <c:v>0.7</c:v>
                </c:pt>
                <c:pt idx="14">
                  <c:v>0.7</c:v>
                </c:pt>
              </c:numCache>
            </c:numRef>
          </c:yVal>
          <c:smooth val="0"/>
          <c:extLst>
            <c:ext xmlns:c16="http://schemas.microsoft.com/office/drawing/2014/chart" uri="{C3380CC4-5D6E-409C-BE32-E72D297353CC}">
              <c16:uniqueId val="{00000003-5B8D-423C-BC16-575916026025}"/>
            </c:ext>
          </c:extLst>
        </c:ser>
        <c:dLbls>
          <c:showLegendKey val="0"/>
          <c:showVal val="0"/>
          <c:showCatName val="0"/>
          <c:showSerName val="0"/>
          <c:showPercent val="0"/>
          <c:showBubbleSize val="0"/>
        </c:dLbls>
        <c:axId val="1016566080"/>
        <c:axId val="1016566640"/>
      </c:scatterChart>
      <c:valAx>
        <c:axId val="1016566080"/>
        <c:scaling>
          <c:orientation val="minMax"/>
          <c:max val="3.75"/>
          <c:min val="1.8"/>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 Price per Gallon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16566640"/>
        <c:crosses val="autoZero"/>
        <c:crossBetween val="midCat"/>
      </c:valAx>
      <c:valAx>
        <c:axId val="1016566640"/>
        <c:scaling>
          <c:orientation val="minMax"/>
        </c:scaling>
        <c:delete val="1"/>
        <c:axPos val="l"/>
        <c:numFmt formatCode="General" sourceLinked="1"/>
        <c:majorTickMark val="none"/>
        <c:minorTickMark val="none"/>
        <c:tickLblPos val="nextTo"/>
        <c:crossAx val="1016566080"/>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tx>
            <c:strRef>
              <c:f>'V(10)'!$I$4</c:f>
              <c:strCache>
                <c:ptCount val="1"/>
                <c:pt idx="0">
                  <c:v>Count for Banderson's</c:v>
                </c:pt>
              </c:strCache>
            </c:strRef>
          </c:tx>
          <c:spPr>
            <a:solidFill>
              <a:srgbClr val="00B050"/>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'V(10)'!$H$5:$H$17</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'V(10)'!$I$5:$I$17</c:f>
              <c:numCache>
                <c:formatCode>General</c:formatCode>
                <c:ptCount val="13"/>
                <c:pt idx="0">
                  <c:v>1</c:v>
                </c:pt>
                <c:pt idx="1">
                  <c:v>1</c:v>
                </c:pt>
                <c:pt idx="2">
                  <c:v>4</c:v>
                </c:pt>
                <c:pt idx="3">
                  <c:v>0</c:v>
                </c:pt>
                <c:pt idx="4">
                  <c:v>2</c:v>
                </c:pt>
                <c:pt idx="5">
                  <c:v>1</c:v>
                </c:pt>
                <c:pt idx="6">
                  <c:v>0</c:v>
                </c:pt>
                <c:pt idx="7">
                  <c:v>1</c:v>
                </c:pt>
                <c:pt idx="8">
                  <c:v>2</c:v>
                </c:pt>
                <c:pt idx="9">
                  <c:v>2</c:v>
                </c:pt>
                <c:pt idx="10">
                  <c:v>0</c:v>
                </c:pt>
                <c:pt idx="11">
                  <c:v>0</c:v>
                </c:pt>
                <c:pt idx="12">
                  <c:v>1</c:v>
                </c:pt>
              </c:numCache>
            </c:numRef>
          </c:val>
          <c:extLst>
            <c:ext xmlns:c16="http://schemas.microsoft.com/office/drawing/2014/chart" uri="{C3380CC4-5D6E-409C-BE32-E72D297353CC}">
              <c16:uniqueId val="{00000000-3BC4-4918-9875-0FE63D10F89F}"/>
            </c:ext>
          </c:extLst>
        </c:ser>
        <c:dLbls>
          <c:showLegendKey val="0"/>
          <c:showVal val="1"/>
          <c:showCatName val="0"/>
          <c:showSerName val="0"/>
          <c:showPercent val="0"/>
          <c:showBubbleSize val="0"/>
        </c:dLbls>
        <c:gapWidth val="0"/>
        <c:axId val="1016570000"/>
        <c:axId val="1016570560"/>
      </c:barChart>
      <c:barChart>
        <c:barDir val="bar"/>
        <c:grouping val="clustered"/>
        <c:varyColors val="0"/>
        <c:ser>
          <c:idx val="2"/>
          <c:order val="1"/>
          <c:tx>
            <c:strRef>
              <c:f>'V(10)'!$J$4</c:f>
              <c:strCache>
                <c:ptCount val="1"/>
                <c:pt idx="0">
                  <c:v>Count for Plywood &amp; Floor</c:v>
                </c:pt>
              </c:strCache>
            </c:strRef>
          </c:tx>
          <c:spPr>
            <a:solidFill>
              <a:srgbClr val="0070C0"/>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'V(10)'!$H$5:$H$17</c:f>
              <c:numCache>
                <c:formatCode>General</c:formatCode>
                <c:ptCount val="13"/>
                <c:pt idx="0">
                  <c:v>4</c:v>
                </c:pt>
                <c:pt idx="1">
                  <c:v>5</c:v>
                </c:pt>
                <c:pt idx="2">
                  <c:v>6</c:v>
                </c:pt>
                <c:pt idx="3">
                  <c:v>7</c:v>
                </c:pt>
                <c:pt idx="4">
                  <c:v>8</c:v>
                </c:pt>
                <c:pt idx="5">
                  <c:v>9</c:v>
                </c:pt>
                <c:pt idx="6">
                  <c:v>10</c:v>
                </c:pt>
                <c:pt idx="7">
                  <c:v>11</c:v>
                </c:pt>
                <c:pt idx="8">
                  <c:v>12</c:v>
                </c:pt>
                <c:pt idx="9">
                  <c:v>13</c:v>
                </c:pt>
                <c:pt idx="10">
                  <c:v>14</c:v>
                </c:pt>
                <c:pt idx="11">
                  <c:v>15</c:v>
                </c:pt>
                <c:pt idx="12">
                  <c:v>16</c:v>
                </c:pt>
              </c:numCache>
            </c:numRef>
          </c:cat>
          <c:val>
            <c:numRef>
              <c:f>'V(10)'!$J$5:$J$17</c:f>
              <c:numCache>
                <c:formatCode>General</c:formatCode>
                <c:ptCount val="13"/>
                <c:pt idx="0">
                  <c:v>0</c:v>
                </c:pt>
                <c:pt idx="1">
                  <c:v>0</c:v>
                </c:pt>
                <c:pt idx="2">
                  <c:v>-1</c:v>
                </c:pt>
                <c:pt idx="3">
                  <c:v>0</c:v>
                </c:pt>
                <c:pt idx="4">
                  <c:v>-3</c:v>
                </c:pt>
                <c:pt idx="5">
                  <c:v>-6</c:v>
                </c:pt>
                <c:pt idx="6">
                  <c:v>-4</c:v>
                </c:pt>
                <c:pt idx="7">
                  <c:v>-1</c:v>
                </c:pt>
                <c:pt idx="8">
                  <c:v>0</c:v>
                </c:pt>
                <c:pt idx="9">
                  <c:v>0</c:v>
                </c:pt>
                <c:pt idx="10">
                  <c:v>0</c:v>
                </c:pt>
                <c:pt idx="11">
                  <c:v>0</c:v>
                </c:pt>
                <c:pt idx="12">
                  <c:v>0</c:v>
                </c:pt>
              </c:numCache>
            </c:numRef>
          </c:val>
          <c:extLst>
            <c:ext xmlns:c16="http://schemas.microsoft.com/office/drawing/2014/chart" uri="{C3380CC4-5D6E-409C-BE32-E72D297353CC}">
              <c16:uniqueId val="{00000001-3BC4-4918-9875-0FE63D10F89F}"/>
            </c:ext>
          </c:extLst>
        </c:ser>
        <c:dLbls>
          <c:showLegendKey val="0"/>
          <c:showVal val="1"/>
          <c:showCatName val="0"/>
          <c:showSerName val="0"/>
          <c:showPercent val="0"/>
          <c:showBubbleSize val="0"/>
        </c:dLbls>
        <c:gapWidth val="0"/>
        <c:axId val="1016571680"/>
        <c:axId val="1016571120"/>
      </c:barChart>
      <c:catAx>
        <c:axId val="10165700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Days to Fill Order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70560"/>
        <c:crosses val="autoZero"/>
        <c:auto val="1"/>
        <c:lblAlgn val="ctr"/>
        <c:lblOffset val="100"/>
        <c:noMultiLvlLbl val="0"/>
      </c:catAx>
      <c:valAx>
        <c:axId val="1016570560"/>
        <c:scaling>
          <c:orientation val="minMax"/>
        </c:scaling>
        <c:delete val="1"/>
        <c:axPos val="b"/>
        <c:numFmt formatCode="General" sourceLinked="1"/>
        <c:majorTickMark val="none"/>
        <c:minorTickMark val="none"/>
        <c:tickLblPos val="nextTo"/>
        <c:crossAx val="1016570000"/>
        <c:crosses val="autoZero"/>
        <c:crossBetween val="between"/>
      </c:valAx>
      <c:valAx>
        <c:axId val="1016571120"/>
        <c:scaling>
          <c:orientation val="minMax"/>
        </c:scaling>
        <c:delete val="0"/>
        <c:axPos val="t"/>
        <c:numFmt formatCode=";;;" sourceLinked="0"/>
        <c:majorTickMark val="out"/>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571680"/>
        <c:crosses val="max"/>
        <c:crossBetween val="between"/>
      </c:valAx>
      <c:catAx>
        <c:axId val="101657168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01657112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67F9-4E13-A3DF-A3AB84AA3762}"/>
              </c:ext>
            </c:extLst>
          </c:dPt>
          <c:dPt>
            <c:idx val="1"/>
            <c:invertIfNegative val="0"/>
            <c:bubble3D val="0"/>
            <c:extLst>
              <c:ext xmlns:c16="http://schemas.microsoft.com/office/drawing/2014/chart" uri="{C3380CC4-5D6E-409C-BE32-E72D297353CC}">
                <c16:uniqueId val="{00000001-67F9-4E13-A3DF-A3AB84AA3762}"/>
              </c:ext>
            </c:extLst>
          </c:dPt>
          <c:dPt>
            <c:idx val="2"/>
            <c:invertIfNegative val="0"/>
            <c:bubble3D val="0"/>
            <c:extLst>
              <c:ext xmlns:c16="http://schemas.microsoft.com/office/drawing/2014/chart" uri="{C3380CC4-5D6E-409C-BE32-E72D297353CC}">
                <c16:uniqueId val="{00000002-67F9-4E13-A3DF-A3AB84AA3762}"/>
              </c:ext>
            </c:extLst>
          </c:dPt>
          <c:dPt>
            <c:idx val="3"/>
            <c:invertIfNegative val="0"/>
            <c:bubble3D val="0"/>
            <c:extLst>
              <c:ext xmlns:c16="http://schemas.microsoft.com/office/drawing/2014/chart" uri="{C3380CC4-5D6E-409C-BE32-E72D297353CC}">
                <c16:uniqueId val="{00000003-67F9-4E13-A3DF-A3AB84AA3762}"/>
              </c:ext>
            </c:extLst>
          </c:dPt>
          <c:dPt>
            <c:idx val="4"/>
            <c:invertIfNegative val="0"/>
            <c:bubble3D val="0"/>
            <c:extLst>
              <c:ext xmlns:c16="http://schemas.microsoft.com/office/drawing/2014/chart" uri="{C3380CC4-5D6E-409C-BE32-E72D297353CC}">
                <c16:uniqueId val="{00000004-67F9-4E13-A3DF-A3AB84AA3762}"/>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67F9-4E13-A3DF-A3AB84AA3762}"/>
            </c:ext>
          </c:extLst>
        </c:ser>
        <c:dLbls>
          <c:showLegendKey val="0"/>
          <c:showVal val="0"/>
          <c:showCatName val="0"/>
          <c:showSerName val="0"/>
          <c:showPercent val="0"/>
          <c:showBubbleSize val="0"/>
        </c:dLbls>
        <c:gapWidth val="0"/>
        <c:axId val="1016574480"/>
        <c:axId val="1016575040"/>
      </c:barChart>
      <c:catAx>
        <c:axId val="1016574480"/>
        <c:scaling>
          <c:orientation val="minMax"/>
        </c:scaling>
        <c:delete val="0"/>
        <c:axPos val="b"/>
        <c:numFmt formatCode="General" sourceLinked="1"/>
        <c:majorTickMark val="out"/>
        <c:minorTickMark val="none"/>
        <c:tickLblPos val="nextTo"/>
        <c:txPr>
          <a:bodyPr/>
          <a:lstStyle/>
          <a:p>
            <a:pPr>
              <a:defRPr sz="800"/>
            </a:pPr>
            <a:endParaRPr lang="en-US"/>
          </a:p>
        </c:txPr>
        <c:crossAx val="1016575040"/>
        <c:crosses val="autoZero"/>
        <c:auto val="1"/>
        <c:lblAlgn val="ctr"/>
        <c:lblOffset val="100"/>
        <c:noMultiLvlLbl val="0"/>
      </c:catAx>
      <c:valAx>
        <c:axId val="10165750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744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F862-4CD0-8277-D52E413EBCE6}"/>
              </c:ext>
            </c:extLst>
          </c:dPt>
          <c:dPt>
            <c:idx val="1"/>
            <c:invertIfNegative val="0"/>
            <c:bubble3D val="0"/>
            <c:extLst>
              <c:ext xmlns:c16="http://schemas.microsoft.com/office/drawing/2014/chart" uri="{C3380CC4-5D6E-409C-BE32-E72D297353CC}">
                <c16:uniqueId val="{00000001-F862-4CD0-8277-D52E413EBCE6}"/>
              </c:ext>
            </c:extLst>
          </c:dPt>
          <c:dPt>
            <c:idx val="2"/>
            <c:invertIfNegative val="0"/>
            <c:bubble3D val="0"/>
            <c:extLst>
              <c:ext xmlns:c16="http://schemas.microsoft.com/office/drawing/2014/chart" uri="{C3380CC4-5D6E-409C-BE32-E72D297353CC}">
                <c16:uniqueId val="{00000002-F862-4CD0-8277-D52E413EBCE6}"/>
              </c:ext>
            </c:extLst>
          </c:dPt>
          <c:dPt>
            <c:idx val="3"/>
            <c:invertIfNegative val="0"/>
            <c:bubble3D val="0"/>
            <c:extLst>
              <c:ext xmlns:c16="http://schemas.microsoft.com/office/drawing/2014/chart" uri="{C3380CC4-5D6E-409C-BE32-E72D297353CC}">
                <c16:uniqueId val="{00000003-F862-4CD0-8277-D52E413EBCE6}"/>
              </c:ext>
            </c:extLst>
          </c:dPt>
          <c:dPt>
            <c:idx val="4"/>
            <c:invertIfNegative val="0"/>
            <c:bubble3D val="0"/>
            <c:extLst>
              <c:ext xmlns:c16="http://schemas.microsoft.com/office/drawing/2014/chart" uri="{C3380CC4-5D6E-409C-BE32-E72D297353CC}">
                <c16:uniqueId val="{00000004-F862-4CD0-8277-D52E413EBCE6}"/>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F862-4CD0-8277-D52E413EBCE6}"/>
            </c:ext>
          </c:extLst>
        </c:ser>
        <c:dLbls>
          <c:showLegendKey val="0"/>
          <c:showVal val="0"/>
          <c:showCatName val="0"/>
          <c:showSerName val="0"/>
          <c:showPercent val="0"/>
          <c:showBubbleSize val="0"/>
        </c:dLbls>
        <c:gapWidth val="0"/>
        <c:axId val="1016577280"/>
        <c:axId val="1016577840"/>
      </c:barChart>
      <c:catAx>
        <c:axId val="1016577280"/>
        <c:scaling>
          <c:orientation val="minMax"/>
        </c:scaling>
        <c:delete val="0"/>
        <c:axPos val="b"/>
        <c:numFmt formatCode="General" sourceLinked="1"/>
        <c:majorTickMark val="out"/>
        <c:minorTickMark val="none"/>
        <c:tickLblPos val="nextTo"/>
        <c:txPr>
          <a:bodyPr/>
          <a:lstStyle/>
          <a:p>
            <a:pPr>
              <a:defRPr sz="800"/>
            </a:pPr>
            <a:endParaRPr lang="en-US"/>
          </a:p>
        </c:txPr>
        <c:crossAx val="1016577840"/>
        <c:crosses val="autoZero"/>
        <c:auto val="1"/>
        <c:lblAlgn val="ctr"/>
        <c:lblOffset val="100"/>
        <c:noMultiLvlLbl val="0"/>
      </c:catAx>
      <c:valAx>
        <c:axId val="10165778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772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7534-479D-964C-37F6A0C6B779}"/>
              </c:ext>
            </c:extLst>
          </c:dPt>
          <c:dPt>
            <c:idx val="1"/>
            <c:invertIfNegative val="0"/>
            <c:bubble3D val="0"/>
            <c:extLst>
              <c:ext xmlns:c16="http://schemas.microsoft.com/office/drawing/2014/chart" uri="{C3380CC4-5D6E-409C-BE32-E72D297353CC}">
                <c16:uniqueId val="{00000001-7534-479D-964C-37F6A0C6B779}"/>
              </c:ext>
            </c:extLst>
          </c:dPt>
          <c:dPt>
            <c:idx val="2"/>
            <c:invertIfNegative val="0"/>
            <c:bubble3D val="0"/>
            <c:extLst>
              <c:ext xmlns:c16="http://schemas.microsoft.com/office/drawing/2014/chart" uri="{C3380CC4-5D6E-409C-BE32-E72D297353CC}">
                <c16:uniqueId val="{00000002-7534-479D-964C-37F6A0C6B779}"/>
              </c:ext>
            </c:extLst>
          </c:dPt>
          <c:dPt>
            <c:idx val="3"/>
            <c:invertIfNegative val="0"/>
            <c:bubble3D val="0"/>
            <c:extLst>
              <c:ext xmlns:c16="http://schemas.microsoft.com/office/drawing/2014/chart" uri="{C3380CC4-5D6E-409C-BE32-E72D297353CC}">
                <c16:uniqueId val="{00000003-7534-479D-964C-37F6A0C6B779}"/>
              </c:ext>
            </c:extLst>
          </c:dPt>
          <c:dPt>
            <c:idx val="4"/>
            <c:invertIfNegative val="0"/>
            <c:bubble3D val="0"/>
            <c:extLst>
              <c:ext xmlns:c16="http://schemas.microsoft.com/office/drawing/2014/chart" uri="{C3380CC4-5D6E-409C-BE32-E72D297353CC}">
                <c16:uniqueId val="{00000004-7534-479D-964C-37F6A0C6B77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(2)'!$A$33:$A$37</c:f>
              <c:strCache>
                <c:ptCount val="5"/>
                <c:pt idx="0">
                  <c:v>0-9</c:v>
                </c:pt>
                <c:pt idx="1">
                  <c:v>10-19</c:v>
                </c:pt>
                <c:pt idx="2">
                  <c:v>20-29</c:v>
                </c:pt>
                <c:pt idx="3">
                  <c:v>30-39</c:v>
                </c:pt>
                <c:pt idx="4">
                  <c:v>40-49</c:v>
                </c:pt>
              </c:strCache>
            </c:strRef>
          </c:cat>
          <c:val>
            <c:numRef>
              <c:f>'Skew (2)'!$D$33:$D$37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7534-479D-964C-37F6A0C6B779}"/>
            </c:ext>
          </c:extLst>
        </c:ser>
        <c:dLbls>
          <c:showLegendKey val="0"/>
          <c:showVal val="0"/>
          <c:showCatName val="0"/>
          <c:showSerName val="0"/>
          <c:showPercent val="0"/>
          <c:showBubbleSize val="0"/>
        </c:dLbls>
        <c:gapWidth val="0"/>
        <c:axId val="1016580080"/>
        <c:axId val="1016580640"/>
      </c:barChart>
      <c:catAx>
        <c:axId val="1016580080"/>
        <c:scaling>
          <c:orientation val="minMax"/>
        </c:scaling>
        <c:delete val="0"/>
        <c:axPos val="b"/>
        <c:numFmt formatCode="General" sourceLinked="1"/>
        <c:majorTickMark val="out"/>
        <c:minorTickMark val="none"/>
        <c:tickLblPos val="nextTo"/>
        <c:txPr>
          <a:bodyPr/>
          <a:lstStyle/>
          <a:p>
            <a:pPr>
              <a:defRPr sz="800"/>
            </a:pPr>
            <a:endParaRPr lang="en-US"/>
          </a:p>
        </c:txPr>
        <c:crossAx val="1016580640"/>
        <c:crosses val="autoZero"/>
        <c:auto val="1"/>
        <c:lblAlgn val="ctr"/>
        <c:lblOffset val="100"/>
        <c:noMultiLvlLbl val="0"/>
      </c:catAx>
      <c:valAx>
        <c:axId val="10165806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008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(2an)'!$B$32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081A-4DF0-945F-4CBD25024650}"/>
              </c:ext>
            </c:extLst>
          </c:dPt>
          <c:dPt>
            <c:idx val="1"/>
            <c:invertIfNegative val="0"/>
            <c:bubble3D val="0"/>
            <c:extLst>
              <c:ext xmlns:c16="http://schemas.microsoft.com/office/drawing/2014/chart" uri="{C3380CC4-5D6E-409C-BE32-E72D297353CC}">
                <c16:uniqueId val="{00000001-081A-4DF0-945F-4CBD25024650}"/>
              </c:ext>
            </c:extLst>
          </c:dPt>
          <c:dPt>
            <c:idx val="2"/>
            <c:invertIfNegative val="0"/>
            <c:bubble3D val="0"/>
            <c:extLst>
              <c:ext xmlns:c16="http://schemas.microsoft.com/office/drawing/2014/chart" uri="{C3380CC4-5D6E-409C-BE32-E72D297353CC}">
                <c16:uniqueId val="{00000002-081A-4DF0-945F-4CBD25024650}"/>
              </c:ext>
            </c:extLst>
          </c:dPt>
          <c:dPt>
            <c:idx val="3"/>
            <c:invertIfNegative val="0"/>
            <c:bubble3D val="0"/>
            <c:extLst>
              <c:ext xmlns:c16="http://schemas.microsoft.com/office/drawing/2014/chart" uri="{C3380CC4-5D6E-409C-BE32-E72D297353CC}">
                <c16:uniqueId val="{00000003-081A-4DF0-945F-4CBD25024650}"/>
              </c:ext>
            </c:extLst>
          </c:dPt>
          <c:dPt>
            <c:idx val="4"/>
            <c:invertIfNegative val="0"/>
            <c:bubble3D val="0"/>
            <c:extLst>
              <c:ext xmlns:c16="http://schemas.microsoft.com/office/drawing/2014/chart" uri="{C3380CC4-5D6E-409C-BE32-E72D297353CC}">
                <c16:uniqueId val="{00000004-081A-4DF0-945F-4CBD25024650}"/>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(2an)'!$B$33:$B$37</c:f>
              <c:numCache>
                <c:formatCode>General</c:formatCode>
                <c:ptCount val="5"/>
                <c:pt idx="0">
                  <c:v>1</c:v>
                </c:pt>
                <c:pt idx="1">
                  <c:v>1</c:v>
                </c:pt>
                <c:pt idx="2">
                  <c:v>1</c:v>
                </c:pt>
                <c:pt idx="3">
                  <c:v>3</c:v>
                </c:pt>
                <c:pt idx="4">
                  <c:v>4</c:v>
                </c:pt>
              </c:numCache>
            </c:numRef>
          </c:val>
          <c:extLst>
            <c:ext xmlns:c16="http://schemas.microsoft.com/office/drawing/2014/chart" uri="{C3380CC4-5D6E-409C-BE32-E72D297353CC}">
              <c16:uniqueId val="{00000005-081A-4DF0-945F-4CBD25024650}"/>
            </c:ext>
          </c:extLst>
        </c:ser>
        <c:dLbls>
          <c:showLegendKey val="0"/>
          <c:showVal val="0"/>
          <c:showCatName val="0"/>
          <c:showSerName val="0"/>
          <c:showPercent val="0"/>
          <c:showBubbleSize val="0"/>
        </c:dLbls>
        <c:gapWidth val="0"/>
        <c:axId val="1016582880"/>
        <c:axId val="1016583440"/>
      </c:barChart>
      <c:catAx>
        <c:axId val="1016582880"/>
        <c:scaling>
          <c:orientation val="minMax"/>
        </c:scaling>
        <c:delete val="0"/>
        <c:axPos val="b"/>
        <c:numFmt formatCode="General" sourceLinked="1"/>
        <c:majorTickMark val="out"/>
        <c:minorTickMark val="none"/>
        <c:tickLblPos val="nextTo"/>
        <c:txPr>
          <a:bodyPr/>
          <a:lstStyle/>
          <a:p>
            <a:pPr>
              <a:defRPr sz="800"/>
            </a:pPr>
            <a:endParaRPr lang="en-US"/>
          </a:p>
        </c:txPr>
        <c:crossAx val="1016583440"/>
        <c:crosses val="autoZero"/>
        <c:auto val="1"/>
        <c:lblAlgn val="ctr"/>
        <c:lblOffset val="100"/>
        <c:noMultiLvlLbl val="0"/>
      </c:catAx>
      <c:valAx>
        <c:axId val="10165834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28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(2an)'!$C$32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CD76-4A96-88C6-130D615E8569}"/>
              </c:ext>
            </c:extLst>
          </c:dPt>
          <c:dPt>
            <c:idx val="1"/>
            <c:invertIfNegative val="0"/>
            <c:bubble3D val="0"/>
            <c:extLst>
              <c:ext xmlns:c16="http://schemas.microsoft.com/office/drawing/2014/chart" uri="{C3380CC4-5D6E-409C-BE32-E72D297353CC}">
                <c16:uniqueId val="{00000001-CD76-4A96-88C6-130D615E8569}"/>
              </c:ext>
            </c:extLst>
          </c:dPt>
          <c:dPt>
            <c:idx val="2"/>
            <c:invertIfNegative val="0"/>
            <c:bubble3D val="0"/>
            <c:extLst>
              <c:ext xmlns:c16="http://schemas.microsoft.com/office/drawing/2014/chart" uri="{C3380CC4-5D6E-409C-BE32-E72D297353CC}">
                <c16:uniqueId val="{00000002-CD76-4A96-88C6-130D615E8569}"/>
              </c:ext>
            </c:extLst>
          </c:dPt>
          <c:dPt>
            <c:idx val="3"/>
            <c:invertIfNegative val="0"/>
            <c:bubble3D val="0"/>
            <c:extLst>
              <c:ext xmlns:c16="http://schemas.microsoft.com/office/drawing/2014/chart" uri="{C3380CC4-5D6E-409C-BE32-E72D297353CC}">
                <c16:uniqueId val="{00000003-CD76-4A96-88C6-130D615E8569}"/>
              </c:ext>
            </c:extLst>
          </c:dPt>
          <c:dPt>
            <c:idx val="4"/>
            <c:invertIfNegative val="0"/>
            <c:bubble3D val="0"/>
            <c:extLst>
              <c:ext xmlns:c16="http://schemas.microsoft.com/office/drawing/2014/chart" uri="{C3380CC4-5D6E-409C-BE32-E72D297353CC}">
                <c16:uniqueId val="{00000004-CD76-4A96-88C6-130D615E8569}"/>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(2an)'!$C$33:$C$37</c:f>
              <c:numCache>
                <c:formatCode>General</c:formatCode>
                <c:ptCount val="5"/>
                <c:pt idx="0">
                  <c:v>1</c:v>
                </c:pt>
                <c:pt idx="1">
                  <c:v>2</c:v>
                </c:pt>
                <c:pt idx="2">
                  <c:v>4</c:v>
                </c:pt>
                <c:pt idx="3">
                  <c:v>2</c:v>
                </c:pt>
                <c:pt idx="4">
                  <c:v>1</c:v>
                </c:pt>
              </c:numCache>
            </c:numRef>
          </c:val>
          <c:extLst>
            <c:ext xmlns:c16="http://schemas.microsoft.com/office/drawing/2014/chart" uri="{C3380CC4-5D6E-409C-BE32-E72D297353CC}">
              <c16:uniqueId val="{00000005-CD76-4A96-88C6-130D615E8569}"/>
            </c:ext>
          </c:extLst>
        </c:ser>
        <c:dLbls>
          <c:showLegendKey val="0"/>
          <c:showVal val="0"/>
          <c:showCatName val="0"/>
          <c:showSerName val="0"/>
          <c:showPercent val="0"/>
          <c:showBubbleSize val="0"/>
        </c:dLbls>
        <c:gapWidth val="0"/>
        <c:axId val="1016585680"/>
        <c:axId val="1016586240"/>
      </c:barChart>
      <c:catAx>
        <c:axId val="1016585680"/>
        <c:scaling>
          <c:orientation val="minMax"/>
        </c:scaling>
        <c:delete val="0"/>
        <c:axPos val="b"/>
        <c:numFmt formatCode="General" sourceLinked="1"/>
        <c:majorTickMark val="out"/>
        <c:minorTickMark val="none"/>
        <c:tickLblPos val="nextTo"/>
        <c:txPr>
          <a:bodyPr/>
          <a:lstStyle/>
          <a:p>
            <a:pPr>
              <a:defRPr sz="800"/>
            </a:pPr>
            <a:endParaRPr lang="en-US"/>
          </a:p>
        </c:txPr>
        <c:crossAx val="1016586240"/>
        <c:crosses val="autoZero"/>
        <c:auto val="1"/>
        <c:lblAlgn val="ctr"/>
        <c:lblOffset val="100"/>
        <c:noMultiLvlLbl val="0"/>
      </c:catAx>
      <c:valAx>
        <c:axId val="1016586240"/>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5680"/>
        <c:crosses val="autoZero"/>
        <c:crossBetween val="between"/>
      </c:valAx>
      <c:spPr>
        <a:noFill/>
        <a:ln w="25400">
          <a:noFill/>
        </a:ln>
      </c:spPr>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strRef>
              <c:f>'Skew (2an)'!$D$32</c:f>
              <c:strCache>
                <c:ptCount val="1"/>
                <c:pt idx="0">
                  <c:v>Frequency</c:v>
                </c:pt>
              </c:strCache>
            </c:strRef>
          </c:tx>
          <c:invertIfNegative val="0"/>
          <c:dPt>
            <c:idx val="0"/>
            <c:invertIfNegative val="0"/>
            <c:bubble3D val="0"/>
            <c:extLst>
              <c:ext xmlns:c16="http://schemas.microsoft.com/office/drawing/2014/chart" uri="{C3380CC4-5D6E-409C-BE32-E72D297353CC}">
                <c16:uniqueId val="{00000000-D6A8-4282-A85A-5381E5AD7FAA}"/>
              </c:ext>
            </c:extLst>
          </c:dPt>
          <c:dPt>
            <c:idx val="1"/>
            <c:invertIfNegative val="0"/>
            <c:bubble3D val="0"/>
            <c:extLst>
              <c:ext xmlns:c16="http://schemas.microsoft.com/office/drawing/2014/chart" uri="{C3380CC4-5D6E-409C-BE32-E72D297353CC}">
                <c16:uniqueId val="{00000001-D6A8-4282-A85A-5381E5AD7FAA}"/>
              </c:ext>
            </c:extLst>
          </c:dPt>
          <c:dPt>
            <c:idx val="2"/>
            <c:invertIfNegative val="0"/>
            <c:bubble3D val="0"/>
            <c:extLst>
              <c:ext xmlns:c16="http://schemas.microsoft.com/office/drawing/2014/chart" uri="{C3380CC4-5D6E-409C-BE32-E72D297353CC}">
                <c16:uniqueId val="{00000002-D6A8-4282-A85A-5381E5AD7FAA}"/>
              </c:ext>
            </c:extLst>
          </c:dPt>
          <c:dPt>
            <c:idx val="3"/>
            <c:invertIfNegative val="0"/>
            <c:bubble3D val="0"/>
            <c:extLst>
              <c:ext xmlns:c16="http://schemas.microsoft.com/office/drawing/2014/chart" uri="{C3380CC4-5D6E-409C-BE32-E72D297353CC}">
                <c16:uniqueId val="{00000003-D6A8-4282-A85A-5381E5AD7FAA}"/>
              </c:ext>
            </c:extLst>
          </c:dPt>
          <c:dPt>
            <c:idx val="4"/>
            <c:invertIfNegative val="0"/>
            <c:bubble3D val="0"/>
            <c:extLst>
              <c:ext xmlns:c16="http://schemas.microsoft.com/office/drawing/2014/chart" uri="{C3380CC4-5D6E-409C-BE32-E72D297353CC}">
                <c16:uniqueId val="{00000004-D6A8-4282-A85A-5381E5AD7FAA}"/>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'Skew (2an)'!$A$33:$A$37</c:f>
              <c:strCache>
                <c:ptCount val="5"/>
                <c:pt idx="0">
                  <c:v>0-9</c:v>
                </c:pt>
                <c:pt idx="1">
                  <c:v>10-19</c:v>
                </c:pt>
                <c:pt idx="2">
                  <c:v>20-29</c:v>
                </c:pt>
                <c:pt idx="3">
                  <c:v>30-39</c:v>
                </c:pt>
                <c:pt idx="4">
                  <c:v>40-49</c:v>
                </c:pt>
              </c:strCache>
            </c:strRef>
          </c:cat>
          <c:val>
            <c:numRef>
              <c:f>'Skew (2an)'!$D$33:$D$37</c:f>
              <c:numCache>
                <c:formatCode>General</c:formatCode>
                <c:ptCount val="5"/>
                <c:pt idx="0">
                  <c:v>5</c:v>
                </c:pt>
                <c:pt idx="1">
                  <c:v>3</c:v>
                </c:pt>
                <c:pt idx="2">
                  <c:v>0</c:v>
                </c:pt>
                <c:pt idx="3">
                  <c:v>1</c:v>
                </c:pt>
                <c:pt idx="4">
                  <c:v>1</c:v>
                </c:pt>
              </c:numCache>
            </c:numRef>
          </c:val>
          <c:extLst>
            <c:ext xmlns:c16="http://schemas.microsoft.com/office/drawing/2014/chart" uri="{C3380CC4-5D6E-409C-BE32-E72D297353CC}">
              <c16:uniqueId val="{00000005-D6A8-4282-A85A-5381E5AD7FAA}"/>
            </c:ext>
          </c:extLst>
        </c:ser>
        <c:dLbls>
          <c:showLegendKey val="0"/>
          <c:showVal val="0"/>
          <c:showCatName val="0"/>
          <c:showSerName val="0"/>
          <c:showPercent val="0"/>
          <c:showBubbleSize val="0"/>
        </c:dLbls>
        <c:gapWidth val="0"/>
        <c:axId val="1016588480"/>
        <c:axId val="1021309216"/>
      </c:barChart>
      <c:catAx>
        <c:axId val="1016588480"/>
        <c:scaling>
          <c:orientation val="minMax"/>
        </c:scaling>
        <c:delete val="0"/>
        <c:axPos val="b"/>
        <c:numFmt formatCode="General" sourceLinked="1"/>
        <c:majorTickMark val="out"/>
        <c:minorTickMark val="none"/>
        <c:tickLblPos val="nextTo"/>
        <c:txPr>
          <a:bodyPr/>
          <a:lstStyle/>
          <a:p>
            <a:pPr>
              <a:defRPr sz="800"/>
            </a:pPr>
            <a:endParaRPr lang="en-US"/>
          </a:p>
        </c:txPr>
        <c:crossAx val="1021309216"/>
        <c:crosses val="autoZero"/>
        <c:auto val="1"/>
        <c:lblAlgn val="ctr"/>
        <c:lblOffset val="100"/>
        <c:noMultiLvlLbl val="0"/>
      </c:catAx>
      <c:valAx>
        <c:axId val="1021309216"/>
        <c:scaling>
          <c:orientation val="minMax"/>
        </c:scaling>
        <c:delete val="1"/>
        <c:axPos val="l"/>
        <c:title>
          <c:tx>
            <c:rich>
              <a:bodyPr rot="-5400000" vert="horz"/>
              <a:lstStyle/>
              <a:p>
                <a:pPr>
                  <a:defRPr sz="800"/>
                </a:pPr>
                <a:r>
                  <a:rPr lang="en-US" sz="800"/>
                  <a:t>Frequency</a:t>
                </a:r>
              </a:p>
            </c:rich>
          </c:tx>
          <c:overlay val="0"/>
        </c:title>
        <c:numFmt formatCode="General" sourceLinked="1"/>
        <c:majorTickMark val="out"/>
        <c:minorTickMark val="none"/>
        <c:tickLblPos val="nextTo"/>
        <c:crossAx val="1016588480"/>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Tests Scores can be Skewed Left (negative) - a few small values will tend to pull the Average (Mean) down</a:t>
            </a:r>
            <a:endParaRPr lang="en-US" sz="1200" baseline="0"/>
          </a:p>
        </c:rich>
      </c:tx>
      <c:overlay val="0"/>
    </c:title>
    <c:autoTitleDeleted val="0"/>
    <c:plotArea>
      <c:layout/>
      <c:barChart>
        <c:barDir val="col"/>
        <c:grouping val="clustered"/>
        <c:varyColors val="1"/>
        <c:ser>
          <c:idx val="0"/>
          <c:order val="0"/>
          <c:tx>
            <c:strRef>
              <c:f>'S(L)'!$G$17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1F70-4257-A647-B85247CD188C}"/>
              </c:ext>
            </c:extLst>
          </c:dPt>
          <c:dPt>
            <c:idx val="1"/>
            <c:invertIfNegative val="0"/>
            <c:bubble3D val="0"/>
            <c:extLst>
              <c:ext xmlns:c16="http://schemas.microsoft.com/office/drawing/2014/chart" uri="{C3380CC4-5D6E-409C-BE32-E72D297353CC}">
                <c16:uniqueId val="{00000001-1F70-4257-A647-B85247CD188C}"/>
              </c:ext>
            </c:extLst>
          </c:dPt>
          <c:dPt>
            <c:idx val="2"/>
            <c:invertIfNegative val="0"/>
            <c:bubble3D val="0"/>
            <c:extLst>
              <c:ext xmlns:c16="http://schemas.microsoft.com/office/drawing/2014/chart" uri="{C3380CC4-5D6E-409C-BE32-E72D297353CC}">
                <c16:uniqueId val="{00000002-1F70-4257-A647-B85247CD188C}"/>
              </c:ext>
            </c:extLst>
          </c:dPt>
          <c:dPt>
            <c:idx val="3"/>
            <c:invertIfNegative val="0"/>
            <c:bubble3D val="0"/>
            <c:extLst>
              <c:ext xmlns:c16="http://schemas.microsoft.com/office/drawing/2014/chart" uri="{C3380CC4-5D6E-409C-BE32-E72D297353CC}">
                <c16:uniqueId val="{00000003-1F70-4257-A647-B85247CD188C}"/>
              </c:ext>
            </c:extLst>
          </c:dPt>
          <c:dPt>
            <c:idx val="4"/>
            <c:invertIfNegative val="0"/>
            <c:bubble3D val="0"/>
            <c:extLst>
              <c:ext xmlns:c16="http://schemas.microsoft.com/office/drawing/2014/chart" uri="{C3380CC4-5D6E-409C-BE32-E72D297353CC}">
                <c16:uniqueId val="{00000004-1F70-4257-A647-B85247CD188C}"/>
              </c:ext>
            </c:extLst>
          </c:dPt>
          <c:dPt>
            <c:idx val="5"/>
            <c:invertIfNegative val="0"/>
            <c:bubble3D val="0"/>
            <c:extLst>
              <c:ext xmlns:c16="http://schemas.microsoft.com/office/drawing/2014/chart" uri="{C3380CC4-5D6E-409C-BE32-E72D297353CC}">
                <c16:uniqueId val="{00000005-1F70-4257-A647-B85247CD188C}"/>
              </c:ext>
            </c:extLst>
          </c:dPt>
          <c:dPt>
            <c:idx val="6"/>
            <c:invertIfNegative val="0"/>
            <c:bubble3D val="0"/>
            <c:extLst>
              <c:ext xmlns:c16="http://schemas.microsoft.com/office/drawing/2014/chart" uri="{C3380CC4-5D6E-409C-BE32-E72D297353CC}">
                <c16:uniqueId val="{00000006-1F70-4257-A647-B85247CD188C}"/>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'S(L)'!$F$18:$F$24</c:f>
              <c:strCache>
                <c:ptCount val="7"/>
                <c:pt idx="0">
                  <c:v>0 up to 15</c:v>
                </c:pt>
                <c:pt idx="1">
                  <c:v>15 up to 30</c:v>
                </c:pt>
                <c:pt idx="2">
                  <c:v>30 up to 45</c:v>
                </c:pt>
                <c:pt idx="3">
                  <c:v>45 up to 60</c:v>
                </c:pt>
                <c:pt idx="4">
                  <c:v>60 up to 75</c:v>
                </c:pt>
                <c:pt idx="5">
                  <c:v>75 up to 90</c:v>
                </c:pt>
                <c:pt idx="6">
                  <c:v>90 up to 105</c:v>
                </c:pt>
              </c:strCache>
            </c:strRef>
          </c:cat>
          <c:val>
            <c:numRef>
              <c:f>'S(L)'!$G$18:$G$24</c:f>
              <c:numCache>
                <c:formatCode>General</c:formatCode>
                <c:ptCount val="7"/>
                <c:pt idx="0">
                  <c:v>0</c:v>
                </c:pt>
                <c:pt idx="1">
                  <c:v>2</c:v>
                </c:pt>
                <c:pt idx="2">
                  <c:v>5</c:v>
                </c:pt>
                <c:pt idx="3">
                  <c:v>0</c:v>
                </c:pt>
                <c:pt idx="4">
                  <c:v>9</c:v>
                </c:pt>
                <c:pt idx="5">
                  <c:v>17</c:v>
                </c:pt>
                <c:pt idx="6">
                  <c:v>8</c:v>
                </c:pt>
              </c:numCache>
            </c:numRef>
          </c:val>
          <c:extLst>
            <c:ext xmlns:c16="http://schemas.microsoft.com/office/drawing/2014/chart" uri="{C3380CC4-5D6E-409C-BE32-E72D297353CC}">
              <c16:uniqueId val="{00000007-1F70-4257-A647-B85247CD188C}"/>
            </c:ext>
          </c:extLst>
        </c:ser>
        <c:dLbls>
          <c:showLegendKey val="0"/>
          <c:showVal val="0"/>
          <c:showCatName val="0"/>
          <c:showSerName val="0"/>
          <c:showPercent val="0"/>
          <c:showBubbleSize val="0"/>
        </c:dLbls>
        <c:gapWidth val="0"/>
        <c:axId val="1021311456"/>
        <c:axId val="1021312016"/>
      </c:barChart>
      <c:catAx>
        <c:axId val="1021311456"/>
        <c:scaling>
          <c:orientation val="minMax"/>
        </c:scaling>
        <c:delete val="0"/>
        <c:axPos val="b"/>
        <c:title>
          <c:tx>
            <c:rich>
              <a:bodyPr/>
              <a:lstStyle/>
              <a:p>
                <a:pPr>
                  <a:defRPr/>
                </a:pPr>
                <a:r>
                  <a:rPr lang="en-US"/>
                  <a:t>Classes for Test Scores</a:t>
                </a:r>
              </a:p>
            </c:rich>
          </c:tx>
          <c:overlay val="0"/>
        </c:title>
        <c:numFmt formatCode="General" sourceLinked="1"/>
        <c:majorTickMark val="none"/>
        <c:minorTickMark val="none"/>
        <c:tickLblPos val="nextTo"/>
        <c:crossAx val="1021312016"/>
        <c:crosses val="autoZero"/>
        <c:auto val="1"/>
        <c:lblAlgn val="ctr"/>
        <c:lblOffset val="100"/>
        <c:noMultiLvlLbl val="0"/>
      </c:catAx>
      <c:valAx>
        <c:axId val="1021312016"/>
        <c:scaling>
          <c:orientation val="minMax"/>
        </c:scaling>
        <c:delete val="0"/>
        <c:axPos val="l"/>
        <c:title>
          <c:tx>
            <c:rich>
              <a:bodyPr/>
              <a:lstStyle/>
              <a:p>
                <a:pPr>
                  <a:defRPr/>
                </a:pPr>
                <a:r>
                  <a:rPr lang="en-US"/>
                  <a:t>Frequency</a:t>
                </a:r>
              </a:p>
            </c:rich>
          </c:tx>
          <c:overlay val="0"/>
        </c:title>
        <c:numFmt formatCode="General" sourceLinked="1"/>
        <c:majorTickMark val="out"/>
        <c:minorTickMark val="none"/>
        <c:tickLblPos val="nextTo"/>
        <c:crossAx val="10213114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orientation="landscape"/>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'S(L)'!$A$52</c:f>
          <c:strCache>
            <c:ptCount val="1"/>
            <c:pt idx="0">
              <c:v>Tests Scores can be bi-modal</c:v>
            </c:pt>
          </c:strCache>
        </c:strRef>
      </c:tx>
      <c:overlay val="0"/>
    </c:title>
    <c:autoTitleDeleted val="0"/>
    <c:plotArea>
      <c:layout/>
      <c:barChart>
        <c:barDir val="col"/>
        <c:grouping val="clustered"/>
        <c:varyColors val="1"/>
        <c:ser>
          <c:idx val="0"/>
          <c:order val="0"/>
          <c:tx>
            <c:strRef>
              <c:f>'S(L)'!$G$63</c:f>
              <c:strCache>
                <c:ptCount val="1"/>
                <c:pt idx="0">
                  <c:v>Frequency</c:v>
                </c:pt>
              </c:strCache>
            </c:strRef>
          </c:tx>
          <c:invertIfNegative val="0"/>
          <c:dPt>
            <c:idx val="0"/>
            <c:invertIfNegative val="0"/>
            <c:bubble3D val="0"/>
            <c:extLst>
              <c:ext xmlns:c16="http://schemas.microsoft.com/office/drawing/2014/chart" uri="{C3380CC4-5D6E-409C-BE32-E72D297353CC}">
                <c16:uniqueId val="{00000000-1A46-450A-93AC-362B62614790}"/>
              </c:ext>
            </c:extLst>
          </c:dPt>
          <c:dPt>
            <c:idx val="1"/>
            <c:invertIfNegative val="0"/>
            <c:bubble3D val="0"/>
            <c:extLst>
              <c:ext xmlns:c16="http://schemas.microsoft.com/office/drawing/2014/chart" uri="{C3380CC4-5D6E-409C-BE32-E72D297353CC}">
                <c16:uniqueId val="{00000001-1A46-450A-93AC-362B62614790}"/>
              </c:ext>
            </c:extLst>
          </c:dPt>
          <c:dPt>
            <c:idx val="2"/>
            <c:invertIfNegative val="0"/>
            <c:bubble3D val="0"/>
            <c:extLst>
              <c:ext xmlns:c16="http://schemas.microsoft.com/office/drawing/2014/chart" uri="{C3380CC4-5D6E-409C-BE32-E72D297353CC}">
                <c16:uniqueId val="{00000002-1A46-450A-93AC-362B62614790}"/>
              </c:ext>
            </c:extLst>
          </c:dPt>
          <c:dPt>
            <c:idx val="3"/>
            <c:invertIfNegative val="0"/>
            <c:bubble3D val="0"/>
            <c:extLst>
              <c:ext xmlns:c16="http://schemas.microsoft.com/office/drawing/2014/chart" uri="{C3380CC4-5D6E-409C-BE32-E72D297353CC}">
                <c16:uniqueId val="{00000003-1A46-450A-93AC-362B62614790}"/>
              </c:ext>
            </c:extLst>
          </c:dPt>
          <c:dPt>
            <c:idx val="4"/>
            <c:invertIfNegative val="0"/>
            <c:bubble3D val="0"/>
            <c:extLst>
              <c:ext xmlns:c16="http://schemas.microsoft.com/office/drawing/2014/chart" uri="{C3380CC4-5D6E-409C-BE32-E72D297353CC}">
                <c16:uniqueId val="{00000004-1A46-450A-93AC-362B62614790}"/>
              </c:ext>
            </c:extLst>
          </c:dPt>
          <c:dPt>
            <c:idx val="5"/>
            <c:invertIfNegative val="0"/>
            <c:bubble3D val="0"/>
            <c:extLst>
              <c:ext xmlns:c16="http://schemas.microsoft.com/office/drawing/2014/chart" uri="{C3380CC4-5D6E-409C-BE32-E72D297353CC}">
                <c16:uniqueId val="{00000005-1A46-450A-93AC-362B62614790}"/>
              </c:ext>
            </c:extLst>
          </c:dPt>
          <c:dPt>
            <c:idx val="6"/>
            <c:invertIfNegative val="0"/>
            <c:bubble3D val="0"/>
            <c:extLst>
              <c:ext xmlns:c16="http://schemas.microsoft.com/office/drawing/2014/chart" uri="{C3380CC4-5D6E-409C-BE32-E72D297353CC}">
                <c16:uniqueId val="{00000006-1A46-450A-93AC-362B62614790}"/>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'S(L)'!$F$64:$F$70</c:f>
              <c:strCache>
                <c:ptCount val="7"/>
                <c:pt idx="0">
                  <c:v>0 up to 15</c:v>
                </c:pt>
                <c:pt idx="1">
                  <c:v>15 up to 30</c:v>
                </c:pt>
                <c:pt idx="2">
                  <c:v>30 up to 45</c:v>
                </c:pt>
                <c:pt idx="3">
                  <c:v>45 up to 60</c:v>
                </c:pt>
                <c:pt idx="4">
                  <c:v>60 up to 75</c:v>
                </c:pt>
                <c:pt idx="5">
                  <c:v>75 up to 90</c:v>
                </c:pt>
                <c:pt idx="6">
                  <c:v>90 up to 105</c:v>
                </c:pt>
              </c:strCache>
            </c:strRef>
          </c:cat>
          <c:val>
            <c:numRef>
              <c:f>'S(L)'!$G$64:$G$70</c:f>
              <c:numCache>
                <c:formatCode>General</c:formatCode>
                <c:ptCount val="7"/>
                <c:pt idx="0">
                  <c:v>5</c:v>
                </c:pt>
                <c:pt idx="1">
                  <c:v>11</c:v>
                </c:pt>
                <c:pt idx="2">
                  <c:v>2</c:v>
                </c:pt>
                <c:pt idx="3">
                  <c:v>1</c:v>
                </c:pt>
                <c:pt idx="4">
                  <c:v>6</c:v>
                </c:pt>
                <c:pt idx="5">
                  <c:v>7</c:v>
                </c:pt>
                <c:pt idx="6">
                  <c:v>9</c:v>
                </c:pt>
              </c:numCache>
            </c:numRef>
          </c:val>
          <c:extLst>
            <c:ext xmlns:c16="http://schemas.microsoft.com/office/drawing/2014/chart" uri="{C3380CC4-5D6E-409C-BE32-E72D297353CC}">
              <c16:uniqueId val="{00000007-1A46-450A-93AC-362B62614790}"/>
            </c:ext>
          </c:extLst>
        </c:ser>
        <c:dLbls>
          <c:showLegendKey val="0"/>
          <c:showVal val="0"/>
          <c:showCatName val="0"/>
          <c:showSerName val="0"/>
          <c:showPercent val="0"/>
          <c:showBubbleSize val="0"/>
        </c:dLbls>
        <c:gapWidth val="0"/>
        <c:axId val="1021314256"/>
        <c:axId val="1021314816"/>
      </c:barChart>
      <c:catAx>
        <c:axId val="1021314256"/>
        <c:scaling>
          <c:orientation val="minMax"/>
        </c:scaling>
        <c:delete val="0"/>
        <c:axPos val="b"/>
        <c:title>
          <c:tx>
            <c:rich>
              <a:bodyPr/>
              <a:lstStyle/>
              <a:p>
                <a:pPr>
                  <a:defRPr/>
                </a:pPr>
                <a:r>
                  <a:rPr lang="en-US"/>
                  <a:t>Classes for Test Scores</a:t>
                </a:r>
              </a:p>
            </c:rich>
          </c:tx>
          <c:overlay val="0"/>
        </c:title>
        <c:numFmt formatCode="General" sourceLinked="1"/>
        <c:majorTickMark val="out"/>
        <c:minorTickMark val="none"/>
        <c:tickLblPos val="nextTo"/>
        <c:crossAx val="1021314816"/>
        <c:crosses val="autoZero"/>
        <c:auto val="1"/>
        <c:lblAlgn val="ctr"/>
        <c:lblOffset val="100"/>
        <c:noMultiLvlLbl val="0"/>
      </c:catAx>
      <c:valAx>
        <c:axId val="10213148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42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'S(B)'!$A$6</c:f>
          <c:strCache>
            <c:ptCount val="1"/>
            <c:pt idx="0">
              <c:v>Human Height often Close to Symmetrical - bell shape - high in the middle and tapering off in both directions</c:v>
            </c:pt>
          </c:strCache>
        </c:strRef>
      </c:tx>
      <c:overlay val="0"/>
      <c:txPr>
        <a:bodyPr/>
        <a:lstStyle/>
        <a:p>
          <a:pPr>
            <a:defRPr sz="1400"/>
          </a:pPr>
          <a:endParaRPr lang="en-US"/>
        </a:p>
      </c:txPr>
    </c:title>
    <c:autoTitleDeleted val="0"/>
    <c:plotArea>
      <c:layout/>
      <c:barChart>
        <c:barDir val="col"/>
        <c:grouping val="clustered"/>
        <c:varyColors val="1"/>
        <c:ser>
          <c:idx val="0"/>
          <c:order val="0"/>
          <c:tx>
            <c:strRef>
              <c:f>'S(B)'!$G$17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A9B7-4A07-9F75-C1B3FFAA6051}"/>
              </c:ext>
            </c:extLst>
          </c:dPt>
          <c:dPt>
            <c:idx val="1"/>
            <c:invertIfNegative val="0"/>
            <c:bubble3D val="0"/>
            <c:extLst>
              <c:ext xmlns:c16="http://schemas.microsoft.com/office/drawing/2014/chart" uri="{C3380CC4-5D6E-409C-BE32-E72D297353CC}">
                <c16:uniqueId val="{00000001-A9B7-4A07-9F75-C1B3FFAA6051}"/>
              </c:ext>
            </c:extLst>
          </c:dPt>
          <c:dPt>
            <c:idx val="2"/>
            <c:invertIfNegative val="0"/>
            <c:bubble3D val="0"/>
            <c:extLst>
              <c:ext xmlns:c16="http://schemas.microsoft.com/office/drawing/2014/chart" uri="{C3380CC4-5D6E-409C-BE32-E72D297353CC}">
                <c16:uniqueId val="{00000002-A9B7-4A07-9F75-C1B3FFAA6051}"/>
              </c:ext>
            </c:extLst>
          </c:dPt>
          <c:dPt>
            <c:idx val="3"/>
            <c:invertIfNegative val="0"/>
            <c:bubble3D val="0"/>
            <c:extLst>
              <c:ext xmlns:c16="http://schemas.microsoft.com/office/drawing/2014/chart" uri="{C3380CC4-5D6E-409C-BE32-E72D297353CC}">
                <c16:uniqueId val="{00000003-A9B7-4A07-9F75-C1B3FFAA6051}"/>
              </c:ext>
            </c:extLst>
          </c:dPt>
          <c:dPt>
            <c:idx val="4"/>
            <c:invertIfNegative val="0"/>
            <c:bubble3D val="0"/>
            <c:extLst>
              <c:ext xmlns:c16="http://schemas.microsoft.com/office/drawing/2014/chart" uri="{C3380CC4-5D6E-409C-BE32-E72D297353CC}">
                <c16:uniqueId val="{00000004-A9B7-4A07-9F75-C1B3FFAA6051}"/>
              </c:ext>
            </c:extLst>
          </c:dPt>
          <c:dPt>
            <c:idx val="5"/>
            <c:invertIfNegative val="0"/>
            <c:bubble3D val="0"/>
            <c:extLst>
              <c:ext xmlns:c16="http://schemas.microsoft.com/office/drawing/2014/chart" uri="{C3380CC4-5D6E-409C-BE32-E72D297353CC}">
                <c16:uniqueId val="{00000005-A9B7-4A07-9F75-C1B3FFAA6051}"/>
              </c:ext>
            </c:extLst>
          </c:dPt>
          <c:dPt>
            <c:idx val="6"/>
            <c:invertIfNegative val="0"/>
            <c:bubble3D val="0"/>
            <c:extLst>
              <c:ext xmlns:c16="http://schemas.microsoft.com/office/drawing/2014/chart" uri="{C3380CC4-5D6E-409C-BE32-E72D297353CC}">
                <c16:uniqueId val="{00000006-A9B7-4A07-9F75-C1B3FFAA6051}"/>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'S(B)'!$F$18:$F$24</c:f>
              <c:strCache>
                <c:ptCount val="7"/>
                <c:pt idx="0">
                  <c:v>2 up to 3</c:v>
                </c:pt>
                <c:pt idx="1">
                  <c:v>3 up to 4</c:v>
                </c:pt>
                <c:pt idx="2">
                  <c:v>4 up to 5</c:v>
                </c:pt>
                <c:pt idx="3">
                  <c:v>5 up to 6</c:v>
                </c:pt>
                <c:pt idx="4">
                  <c:v>6 up to 7</c:v>
                </c:pt>
                <c:pt idx="5">
                  <c:v>7 up to 8</c:v>
                </c:pt>
                <c:pt idx="6">
                  <c:v>8 up to 9</c:v>
                </c:pt>
              </c:strCache>
            </c:strRef>
          </c:cat>
          <c:val>
            <c:numRef>
              <c:f>'S(B)'!$G$18:$G$24</c:f>
              <c:numCache>
                <c:formatCode>General</c:formatCode>
                <c:ptCount val="7"/>
                <c:pt idx="0">
                  <c:v>1</c:v>
                </c:pt>
                <c:pt idx="1">
                  <c:v>1</c:v>
                </c:pt>
                <c:pt idx="2">
                  <c:v>9</c:v>
                </c:pt>
                <c:pt idx="3">
                  <c:v>19</c:v>
                </c:pt>
                <c:pt idx="4">
                  <c:v>10</c:v>
                </c:pt>
                <c:pt idx="5">
                  <c:v>1</c:v>
                </c:pt>
                <c:pt idx="6">
                  <c:v>0</c:v>
                </c:pt>
              </c:numCache>
            </c:numRef>
          </c:val>
          <c:extLst>
            <c:ext xmlns:c16="http://schemas.microsoft.com/office/drawing/2014/chart" uri="{C3380CC4-5D6E-409C-BE32-E72D297353CC}">
              <c16:uniqueId val="{00000007-A9B7-4A07-9F75-C1B3FFAA6051}"/>
            </c:ext>
          </c:extLst>
        </c:ser>
        <c:dLbls>
          <c:showLegendKey val="0"/>
          <c:showVal val="0"/>
          <c:showCatName val="0"/>
          <c:showSerName val="0"/>
          <c:showPercent val="0"/>
          <c:showBubbleSize val="0"/>
        </c:dLbls>
        <c:gapWidth val="0"/>
        <c:axId val="1021317056"/>
        <c:axId val="1021317616"/>
      </c:barChart>
      <c:catAx>
        <c:axId val="1021317056"/>
        <c:scaling>
          <c:orientation val="minMax"/>
        </c:scaling>
        <c:delete val="0"/>
        <c:axPos val="b"/>
        <c:title>
          <c:tx>
            <c:rich>
              <a:bodyPr/>
              <a:lstStyle/>
              <a:p>
                <a:pPr>
                  <a:defRPr/>
                </a:pPr>
                <a:r>
                  <a:rPr lang="en-US"/>
                  <a:t>Height</a:t>
                </a:r>
                <a:r>
                  <a:rPr lang="en-US" baseline="0"/>
                  <a:t> in feet</a:t>
                </a:r>
                <a:endParaRPr lang="en-US"/>
              </a:p>
            </c:rich>
          </c:tx>
          <c:overlay val="0"/>
        </c:title>
        <c:numFmt formatCode="General" sourceLinked="1"/>
        <c:majorTickMark val="out"/>
        <c:minorTickMark val="none"/>
        <c:tickLblPos val="nextTo"/>
        <c:crossAx val="1021317616"/>
        <c:crosses val="autoZero"/>
        <c:auto val="1"/>
        <c:lblAlgn val="ctr"/>
        <c:lblOffset val="100"/>
        <c:noMultiLvlLbl val="0"/>
      </c:catAx>
      <c:valAx>
        <c:axId val="102131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70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a:t>Amount Spent at Department Store ($) often Highly Skewed Right (Positive) - a few large values will tend to pull the Average (Mean) up</a:t>
            </a:r>
          </a:p>
        </c:rich>
      </c:tx>
      <c:overlay val="0"/>
    </c:title>
    <c:autoTitleDeleted val="0"/>
    <c:plotArea>
      <c:layout/>
      <c:barChart>
        <c:barDir val="col"/>
        <c:grouping val="clustered"/>
        <c:varyColors val="1"/>
        <c:ser>
          <c:idx val="0"/>
          <c:order val="0"/>
          <c:tx>
            <c:strRef>
              <c:f>'S(HR)'!$G$17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51D5-4155-A3DF-4970FBA2185F}"/>
              </c:ext>
            </c:extLst>
          </c:dPt>
          <c:dPt>
            <c:idx val="1"/>
            <c:invertIfNegative val="0"/>
            <c:bubble3D val="0"/>
            <c:extLst>
              <c:ext xmlns:c16="http://schemas.microsoft.com/office/drawing/2014/chart" uri="{C3380CC4-5D6E-409C-BE32-E72D297353CC}">
                <c16:uniqueId val="{00000001-51D5-4155-A3DF-4970FBA2185F}"/>
              </c:ext>
            </c:extLst>
          </c:dPt>
          <c:dPt>
            <c:idx val="2"/>
            <c:invertIfNegative val="0"/>
            <c:bubble3D val="0"/>
            <c:extLst>
              <c:ext xmlns:c16="http://schemas.microsoft.com/office/drawing/2014/chart" uri="{C3380CC4-5D6E-409C-BE32-E72D297353CC}">
                <c16:uniqueId val="{00000002-51D5-4155-A3DF-4970FBA2185F}"/>
              </c:ext>
            </c:extLst>
          </c:dPt>
          <c:dPt>
            <c:idx val="3"/>
            <c:invertIfNegative val="0"/>
            <c:bubble3D val="0"/>
            <c:extLst>
              <c:ext xmlns:c16="http://schemas.microsoft.com/office/drawing/2014/chart" uri="{C3380CC4-5D6E-409C-BE32-E72D297353CC}">
                <c16:uniqueId val="{00000003-51D5-4155-A3DF-4970FBA2185F}"/>
              </c:ext>
            </c:extLst>
          </c:dPt>
          <c:dPt>
            <c:idx val="4"/>
            <c:invertIfNegative val="0"/>
            <c:bubble3D val="0"/>
            <c:extLst>
              <c:ext xmlns:c16="http://schemas.microsoft.com/office/drawing/2014/chart" uri="{C3380CC4-5D6E-409C-BE32-E72D297353CC}">
                <c16:uniqueId val="{00000004-51D5-4155-A3DF-4970FBA2185F}"/>
              </c:ext>
            </c:extLst>
          </c:dPt>
          <c:dPt>
            <c:idx val="5"/>
            <c:invertIfNegative val="0"/>
            <c:bubble3D val="0"/>
            <c:extLst>
              <c:ext xmlns:c16="http://schemas.microsoft.com/office/drawing/2014/chart" uri="{C3380CC4-5D6E-409C-BE32-E72D297353CC}">
                <c16:uniqueId val="{00000005-51D5-4155-A3DF-4970FBA2185F}"/>
              </c:ext>
            </c:extLst>
          </c:dPt>
          <c:dPt>
            <c:idx val="6"/>
            <c:invertIfNegative val="0"/>
            <c:bubble3D val="0"/>
            <c:extLst>
              <c:ext xmlns:c16="http://schemas.microsoft.com/office/drawing/2014/chart" uri="{C3380CC4-5D6E-409C-BE32-E72D297353CC}">
                <c16:uniqueId val="{00000006-51D5-4155-A3DF-4970FBA2185F}"/>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'S(HR)'!$F$18:$F$24</c:f>
              <c:strCache>
                <c:ptCount val="7"/>
                <c:pt idx="0">
                  <c:v>$0 up to $250</c:v>
                </c:pt>
                <c:pt idx="1">
                  <c:v>$250 up to $500</c:v>
                </c:pt>
                <c:pt idx="2">
                  <c:v>$500 up to $750</c:v>
                </c:pt>
                <c:pt idx="3">
                  <c:v>$750 up to $1,000</c:v>
                </c:pt>
                <c:pt idx="4">
                  <c:v>$1,000 up to $1,250</c:v>
                </c:pt>
                <c:pt idx="5">
                  <c:v>$1,250 up to $4,750</c:v>
                </c:pt>
                <c:pt idx="6">
                  <c:v>$4,750 up to $8,250</c:v>
                </c:pt>
              </c:strCache>
            </c:strRef>
          </c:cat>
          <c:val>
            <c:numRef>
              <c:f>'S(HR)'!$G$18:$G$24</c:f>
              <c:numCache>
                <c:formatCode>General</c:formatCode>
                <c:ptCount val="7"/>
                <c:pt idx="0">
                  <c:v>17</c:v>
                </c:pt>
                <c:pt idx="1">
                  <c:v>10</c:v>
                </c:pt>
                <c:pt idx="2">
                  <c:v>10</c:v>
                </c:pt>
                <c:pt idx="3">
                  <c:v>0</c:v>
                </c:pt>
                <c:pt idx="4">
                  <c:v>0</c:v>
                </c:pt>
                <c:pt idx="5">
                  <c:v>3</c:v>
                </c:pt>
                <c:pt idx="6">
                  <c:v>1</c:v>
                </c:pt>
              </c:numCache>
            </c:numRef>
          </c:val>
          <c:extLst>
            <c:ext xmlns:c16="http://schemas.microsoft.com/office/drawing/2014/chart" uri="{C3380CC4-5D6E-409C-BE32-E72D297353CC}">
              <c16:uniqueId val="{00000007-51D5-4155-A3DF-4970FBA2185F}"/>
            </c:ext>
          </c:extLst>
        </c:ser>
        <c:dLbls>
          <c:showLegendKey val="0"/>
          <c:showVal val="0"/>
          <c:showCatName val="0"/>
          <c:showSerName val="0"/>
          <c:showPercent val="0"/>
          <c:showBubbleSize val="0"/>
        </c:dLbls>
        <c:gapWidth val="0"/>
        <c:axId val="1021319856"/>
        <c:axId val="1021320416"/>
      </c:barChart>
      <c:catAx>
        <c:axId val="1021319856"/>
        <c:scaling>
          <c:orientation val="minMax"/>
        </c:scaling>
        <c:delete val="0"/>
        <c:axPos val="b"/>
        <c:numFmt formatCode="General" sourceLinked="1"/>
        <c:majorTickMark val="out"/>
        <c:minorTickMark val="none"/>
        <c:tickLblPos val="nextTo"/>
        <c:crossAx val="1021320416"/>
        <c:crosses val="autoZero"/>
        <c:auto val="1"/>
        <c:lblAlgn val="ctr"/>
        <c:lblOffset val="100"/>
        <c:noMultiLvlLbl val="0"/>
      </c:catAx>
      <c:valAx>
        <c:axId val="1021320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198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House Prices ($)  often Skewed Right (positive) - a few large values will tend to pull the Average (Mean) up</a:t>
            </a:r>
          </a:p>
        </c:rich>
      </c:tx>
      <c:overlay val="0"/>
    </c:title>
    <c:autoTitleDeleted val="0"/>
    <c:plotArea>
      <c:layout/>
      <c:barChart>
        <c:barDir val="col"/>
        <c:grouping val="clustered"/>
        <c:varyColors val="1"/>
        <c:ser>
          <c:idx val="0"/>
          <c:order val="0"/>
          <c:tx>
            <c:strRef>
              <c:f>'S(R)'!$G$17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43B5-4306-8332-0251DB477331}"/>
              </c:ext>
            </c:extLst>
          </c:dPt>
          <c:dPt>
            <c:idx val="1"/>
            <c:invertIfNegative val="0"/>
            <c:bubble3D val="0"/>
            <c:extLst>
              <c:ext xmlns:c16="http://schemas.microsoft.com/office/drawing/2014/chart" uri="{C3380CC4-5D6E-409C-BE32-E72D297353CC}">
                <c16:uniqueId val="{00000001-43B5-4306-8332-0251DB477331}"/>
              </c:ext>
            </c:extLst>
          </c:dPt>
          <c:dPt>
            <c:idx val="2"/>
            <c:invertIfNegative val="0"/>
            <c:bubble3D val="0"/>
            <c:extLst>
              <c:ext xmlns:c16="http://schemas.microsoft.com/office/drawing/2014/chart" uri="{C3380CC4-5D6E-409C-BE32-E72D297353CC}">
                <c16:uniqueId val="{00000002-43B5-4306-8332-0251DB477331}"/>
              </c:ext>
            </c:extLst>
          </c:dPt>
          <c:dPt>
            <c:idx val="3"/>
            <c:invertIfNegative val="0"/>
            <c:bubble3D val="0"/>
            <c:extLst>
              <c:ext xmlns:c16="http://schemas.microsoft.com/office/drawing/2014/chart" uri="{C3380CC4-5D6E-409C-BE32-E72D297353CC}">
                <c16:uniqueId val="{00000003-43B5-4306-8332-0251DB477331}"/>
              </c:ext>
            </c:extLst>
          </c:dPt>
          <c:dPt>
            <c:idx val="4"/>
            <c:invertIfNegative val="0"/>
            <c:bubble3D val="0"/>
            <c:extLst>
              <c:ext xmlns:c16="http://schemas.microsoft.com/office/drawing/2014/chart" uri="{C3380CC4-5D6E-409C-BE32-E72D297353CC}">
                <c16:uniqueId val="{00000004-43B5-4306-8332-0251DB477331}"/>
              </c:ext>
            </c:extLst>
          </c:dPt>
          <c:dPt>
            <c:idx val="5"/>
            <c:invertIfNegative val="0"/>
            <c:bubble3D val="0"/>
            <c:extLst>
              <c:ext xmlns:c16="http://schemas.microsoft.com/office/drawing/2014/chart" uri="{C3380CC4-5D6E-409C-BE32-E72D297353CC}">
                <c16:uniqueId val="{00000005-43B5-4306-8332-0251DB477331}"/>
              </c:ext>
            </c:extLst>
          </c:dPt>
          <c:dPt>
            <c:idx val="6"/>
            <c:invertIfNegative val="0"/>
            <c:bubble3D val="0"/>
            <c:extLst>
              <c:ext xmlns:c16="http://schemas.microsoft.com/office/drawing/2014/chart" uri="{C3380CC4-5D6E-409C-BE32-E72D297353CC}">
                <c16:uniqueId val="{00000006-43B5-4306-8332-0251DB477331}"/>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'S(R)'!$F$18:$F$24</c:f>
              <c:strCache>
                <c:ptCount val="7"/>
                <c:pt idx="0">
                  <c:v>$0 up to $150,000</c:v>
                </c:pt>
                <c:pt idx="1">
                  <c:v>$150,000 up to $300,000</c:v>
                </c:pt>
                <c:pt idx="2">
                  <c:v>$300,000 up to $450,000</c:v>
                </c:pt>
                <c:pt idx="3">
                  <c:v>$450,000 up to $600,000</c:v>
                </c:pt>
                <c:pt idx="4">
                  <c:v>$600,000 up to $750,000</c:v>
                </c:pt>
                <c:pt idx="5">
                  <c:v>$750,000 up to $900,000</c:v>
                </c:pt>
                <c:pt idx="6">
                  <c:v>$900,000 up to $1,050,000</c:v>
                </c:pt>
              </c:strCache>
            </c:strRef>
          </c:cat>
          <c:val>
            <c:numRef>
              <c:f>'S(R)'!$G$18:$G$24</c:f>
              <c:numCache>
                <c:formatCode>General</c:formatCode>
                <c:ptCount val="7"/>
                <c:pt idx="0">
                  <c:v>2</c:v>
                </c:pt>
                <c:pt idx="1">
                  <c:v>12</c:v>
                </c:pt>
                <c:pt idx="2">
                  <c:v>14</c:v>
                </c:pt>
                <c:pt idx="3">
                  <c:v>8</c:v>
                </c:pt>
                <c:pt idx="4">
                  <c:v>3</c:v>
                </c:pt>
                <c:pt idx="5">
                  <c:v>0</c:v>
                </c:pt>
                <c:pt idx="6">
                  <c:v>2</c:v>
                </c:pt>
              </c:numCache>
            </c:numRef>
          </c:val>
          <c:extLst>
            <c:ext xmlns:c16="http://schemas.microsoft.com/office/drawing/2014/chart" uri="{C3380CC4-5D6E-409C-BE32-E72D297353CC}">
              <c16:uniqueId val="{00000007-43B5-4306-8332-0251DB477331}"/>
            </c:ext>
          </c:extLst>
        </c:ser>
        <c:dLbls>
          <c:showLegendKey val="0"/>
          <c:showVal val="0"/>
          <c:showCatName val="0"/>
          <c:showSerName val="0"/>
          <c:showPercent val="0"/>
          <c:showBubbleSize val="0"/>
        </c:dLbls>
        <c:gapWidth val="0"/>
        <c:axId val="1021322656"/>
        <c:axId val="1021323216"/>
      </c:barChart>
      <c:catAx>
        <c:axId val="1021322656"/>
        <c:scaling>
          <c:orientation val="minMax"/>
        </c:scaling>
        <c:delete val="0"/>
        <c:axPos val="b"/>
        <c:numFmt formatCode="General" sourceLinked="1"/>
        <c:majorTickMark val="out"/>
        <c:minorTickMark val="none"/>
        <c:tickLblPos val="nextTo"/>
        <c:crossAx val="1021323216"/>
        <c:crosses val="autoZero"/>
        <c:auto val="1"/>
        <c:lblAlgn val="ctr"/>
        <c:lblOffset val="100"/>
        <c:noMultiLvlLbl val="0"/>
      </c:catAx>
      <c:valAx>
        <c:axId val="10213232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226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Tests Scores can be Skewed Left (negative) - a few small values will tend to pull the Average (Mean) down</a:t>
            </a:r>
            <a:endParaRPr lang="en-US" sz="1200" baseline="0"/>
          </a:p>
        </c:rich>
      </c:tx>
      <c:overlay val="0"/>
    </c:title>
    <c:autoTitleDeleted val="0"/>
    <c:plotArea>
      <c:layout/>
      <c:barChart>
        <c:barDir val="col"/>
        <c:grouping val="clustered"/>
        <c:varyColors val="1"/>
        <c:ser>
          <c:idx val="0"/>
          <c:order val="0"/>
          <c:tx>
            <c:strRef>
              <c:f>'S(L)'!$G$17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8F16-4D89-BE62-EAF8E89296A3}"/>
              </c:ext>
            </c:extLst>
          </c:dPt>
          <c:dPt>
            <c:idx val="1"/>
            <c:invertIfNegative val="0"/>
            <c:bubble3D val="0"/>
            <c:extLst>
              <c:ext xmlns:c16="http://schemas.microsoft.com/office/drawing/2014/chart" uri="{C3380CC4-5D6E-409C-BE32-E72D297353CC}">
                <c16:uniqueId val="{00000001-8F16-4D89-BE62-EAF8E89296A3}"/>
              </c:ext>
            </c:extLst>
          </c:dPt>
          <c:dPt>
            <c:idx val="2"/>
            <c:invertIfNegative val="0"/>
            <c:bubble3D val="0"/>
            <c:extLst>
              <c:ext xmlns:c16="http://schemas.microsoft.com/office/drawing/2014/chart" uri="{C3380CC4-5D6E-409C-BE32-E72D297353CC}">
                <c16:uniqueId val="{00000002-8F16-4D89-BE62-EAF8E89296A3}"/>
              </c:ext>
            </c:extLst>
          </c:dPt>
          <c:dPt>
            <c:idx val="3"/>
            <c:invertIfNegative val="0"/>
            <c:bubble3D val="0"/>
            <c:extLst>
              <c:ext xmlns:c16="http://schemas.microsoft.com/office/drawing/2014/chart" uri="{C3380CC4-5D6E-409C-BE32-E72D297353CC}">
                <c16:uniqueId val="{00000003-8F16-4D89-BE62-EAF8E89296A3}"/>
              </c:ext>
            </c:extLst>
          </c:dPt>
          <c:dPt>
            <c:idx val="4"/>
            <c:invertIfNegative val="0"/>
            <c:bubble3D val="0"/>
            <c:extLst>
              <c:ext xmlns:c16="http://schemas.microsoft.com/office/drawing/2014/chart" uri="{C3380CC4-5D6E-409C-BE32-E72D297353CC}">
                <c16:uniqueId val="{00000004-8F16-4D89-BE62-EAF8E89296A3}"/>
              </c:ext>
            </c:extLst>
          </c:dPt>
          <c:dPt>
            <c:idx val="5"/>
            <c:invertIfNegative val="0"/>
            <c:bubble3D val="0"/>
            <c:extLst>
              <c:ext xmlns:c16="http://schemas.microsoft.com/office/drawing/2014/chart" uri="{C3380CC4-5D6E-409C-BE32-E72D297353CC}">
                <c16:uniqueId val="{00000005-8F16-4D89-BE62-EAF8E89296A3}"/>
              </c:ext>
            </c:extLst>
          </c:dPt>
          <c:dPt>
            <c:idx val="6"/>
            <c:invertIfNegative val="0"/>
            <c:bubble3D val="0"/>
            <c:extLst>
              <c:ext xmlns:c16="http://schemas.microsoft.com/office/drawing/2014/chart" uri="{C3380CC4-5D6E-409C-BE32-E72D297353CC}">
                <c16:uniqueId val="{00000006-8F16-4D89-BE62-EAF8E89296A3}"/>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'S(L)'!$F$18:$F$24</c:f>
              <c:strCache>
                <c:ptCount val="7"/>
                <c:pt idx="0">
                  <c:v>0 up to 15</c:v>
                </c:pt>
                <c:pt idx="1">
                  <c:v>15 up to 30</c:v>
                </c:pt>
                <c:pt idx="2">
                  <c:v>30 up to 45</c:v>
                </c:pt>
                <c:pt idx="3">
                  <c:v>45 up to 60</c:v>
                </c:pt>
                <c:pt idx="4">
                  <c:v>60 up to 75</c:v>
                </c:pt>
                <c:pt idx="5">
                  <c:v>75 up to 90</c:v>
                </c:pt>
                <c:pt idx="6">
                  <c:v>90 up to 105</c:v>
                </c:pt>
              </c:strCache>
            </c:strRef>
          </c:cat>
          <c:val>
            <c:numRef>
              <c:f>'S(L)'!$G$18:$G$24</c:f>
              <c:numCache>
                <c:formatCode>General</c:formatCode>
                <c:ptCount val="7"/>
                <c:pt idx="0">
                  <c:v>0</c:v>
                </c:pt>
                <c:pt idx="1">
                  <c:v>2</c:v>
                </c:pt>
                <c:pt idx="2">
                  <c:v>5</c:v>
                </c:pt>
                <c:pt idx="3">
                  <c:v>0</c:v>
                </c:pt>
                <c:pt idx="4">
                  <c:v>9</c:v>
                </c:pt>
                <c:pt idx="5">
                  <c:v>17</c:v>
                </c:pt>
                <c:pt idx="6">
                  <c:v>8</c:v>
                </c:pt>
              </c:numCache>
            </c:numRef>
          </c:val>
          <c:extLst>
            <c:ext xmlns:c16="http://schemas.microsoft.com/office/drawing/2014/chart" uri="{C3380CC4-5D6E-409C-BE32-E72D297353CC}">
              <c16:uniqueId val="{00000007-8F16-4D89-BE62-EAF8E89296A3}"/>
            </c:ext>
          </c:extLst>
        </c:ser>
        <c:dLbls>
          <c:showLegendKey val="0"/>
          <c:showVal val="0"/>
          <c:showCatName val="0"/>
          <c:showSerName val="0"/>
          <c:showPercent val="0"/>
          <c:showBubbleSize val="0"/>
        </c:dLbls>
        <c:gapWidth val="0"/>
        <c:axId val="1021325456"/>
        <c:axId val="1021326016"/>
      </c:barChart>
      <c:catAx>
        <c:axId val="1021325456"/>
        <c:scaling>
          <c:orientation val="minMax"/>
        </c:scaling>
        <c:delete val="0"/>
        <c:axPos val="b"/>
        <c:title>
          <c:tx>
            <c:rich>
              <a:bodyPr/>
              <a:lstStyle/>
              <a:p>
                <a:pPr>
                  <a:defRPr/>
                </a:pPr>
                <a:r>
                  <a:rPr lang="en-US"/>
                  <a:t>Classes for Test Scores</a:t>
                </a:r>
              </a:p>
            </c:rich>
          </c:tx>
          <c:overlay val="0"/>
        </c:title>
        <c:numFmt formatCode="General" sourceLinked="1"/>
        <c:majorTickMark val="none"/>
        <c:minorTickMark val="none"/>
        <c:tickLblPos val="nextTo"/>
        <c:crossAx val="1021326016"/>
        <c:crosses val="autoZero"/>
        <c:auto val="1"/>
        <c:lblAlgn val="ctr"/>
        <c:lblOffset val="100"/>
        <c:noMultiLvlLbl val="0"/>
      </c:catAx>
      <c:valAx>
        <c:axId val="1021326016"/>
        <c:scaling>
          <c:orientation val="minMax"/>
        </c:scaling>
        <c:delete val="0"/>
        <c:axPos val="l"/>
        <c:title>
          <c:tx>
            <c:rich>
              <a:bodyPr/>
              <a:lstStyle/>
              <a:p>
                <a:pPr>
                  <a:defRPr/>
                </a:pPr>
                <a:r>
                  <a:rPr lang="en-US"/>
                  <a:t>Frequency</a:t>
                </a:r>
              </a:p>
            </c:rich>
          </c:tx>
          <c:overlay val="0"/>
        </c:title>
        <c:numFmt formatCode="General" sourceLinked="1"/>
        <c:majorTickMark val="out"/>
        <c:minorTickMark val="none"/>
        <c:tickLblPos val="nextTo"/>
        <c:crossAx val="10213254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orientation="landscape"/>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'S(L)'!$A$52</c:f>
          <c:strCache>
            <c:ptCount val="1"/>
            <c:pt idx="0">
              <c:v>Tests Scores can be bi-modal</c:v>
            </c:pt>
          </c:strCache>
        </c:strRef>
      </c:tx>
      <c:overlay val="0"/>
    </c:title>
    <c:autoTitleDeleted val="0"/>
    <c:plotArea>
      <c:layout/>
      <c:barChart>
        <c:barDir val="col"/>
        <c:grouping val="clustered"/>
        <c:varyColors val="1"/>
        <c:ser>
          <c:idx val="0"/>
          <c:order val="0"/>
          <c:tx>
            <c:strRef>
              <c:f>'S(L)'!$G$63</c:f>
              <c:strCache>
                <c:ptCount val="1"/>
                <c:pt idx="0">
                  <c:v>Frequency</c:v>
                </c:pt>
              </c:strCache>
            </c:strRef>
          </c:tx>
          <c:invertIfNegative val="0"/>
          <c:dPt>
            <c:idx val="0"/>
            <c:invertIfNegative val="0"/>
            <c:bubble3D val="0"/>
            <c:extLst>
              <c:ext xmlns:c16="http://schemas.microsoft.com/office/drawing/2014/chart" uri="{C3380CC4-5D6E-409C-BE32-E72D297353CC}">
                <c16:uniqueId val="{00000000-B3AD-431E-BCF2-ECAADD1918A2}"/>
              </c:ext>
            </c:extLst>
          </c:dPt>
          <c:dPt>
            <c:idx val="1"/>
            <c:invertIfNegative val="0"/>
            <c:bubble3D val="0"/>
            <c:extLst>
              <c:ext xmlns:c16="http://schemas.microsoft.com/office/drawing/2014/chart" uri="{C3380CC4-5D6E-409C-BE32-E72D297353CC}">
                <c16:uniqueId val="{00000001-B3AD-431E-BCF2-ECAADD1918A2}"/>
              </c:ext>
            </c:extLst>
          </c:dPt>
          <c:dPt>
            <c:idx val="2"/>
            <c:invertIfNegative val="0"/>
            <c:bubble3D val="0"/>
            <c:extLst>
              <c:ext xmlns:c16="http://schemas.microsoft.com/office/drawing/2014/chart" uri="{C3380CC4-5D6E-409C-BE32-E72D297353CC}">
                <c16:uniqueId val="{00000002-B3AD-431E-BCF2-ECAADD1918A2}"/>
              </c:ext>
            </c:extLst>
          </c:dPt>
          <c:dPt>
            <c:idx val="3"/>
            <c:invertIfNegative val="0"/>
            <c:bubble3D val="0"/>
            <c:extLst>
              <c:ext xmlns:c16="http://schemas.microsoft.com/office/drawing/2014/chart" uri="{C3380CC4-5D6E-409C-BE32-E72D297353CC}">
                <c16:uniqueId val="{00000003-B3AD-431E-BCF2-ECAADD1918A2}"/>
              </c:ext>
            </c:extLst>
          </c:dPt>
          <c:dPt>
            <c:idx val="4"/>
            <c:invertIfNegative val="0"/>
            <c:bubble3D val="0"/>
            <c:extLst>
              <c:ext xmlns:c16="http://schemas.microsoft.com/office/drawing/2014/chart" uri="{C3380CC4-5D6E-409C-BE32-E72D297353CC}">
                <c16:uniqueId val="{00000004-B3AD-431E-BCF2-ECAADD1918A2}"/>
              </c:ext>
            </c:extLst>
          </c:dPt>
          <c:dPt>
            <c:idx val="5"/>
            <c:invertIfNegative val="0"/>
            <c:bubble3D val="0"/>
            <c:extLst>
              <c:ext xmlns:c16="http://schemas.microsoft.com/office/drawing/2014/chart" uri="{C3380CC4-5D6E-409C-BE32-E72D297353CC}">
                <c16:uniqueId val="{00000005-B3AD-431E-BCF2-ECAADD1918A2}"/>
              </c:ext>
            </c:extLst>
          </c:dPt>
          <c:dPt>
            <c:idx val="6"/>
            <c:invertIfNegative val="0"/>
            <c:bubble3D val="0"/>
            <c:extLst>
              <c:ext xmlns:c16="http://schemas.microsoft.com/office/drawing/2014/chart" uri="{C3380CC4-5D6E-409C-BE32-E72D297353CC}">
                <c16:uniqueId val="{00000006-B3AD-431E-BCF2-ECAADD1918A2}"/>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'S(L)'!$F$64:$F$70</c:f>
              <c:strCache>
                <c:ptCount val="7"/>
                <c:pt idx="0">
                  <c:v>0 up to 15</c:v>
                </c:pt>
                <c:pt idx="1">
                  <c:v>15 up to 30</c:v>
                </c:pt>
                <c:pt idx="2">
                  <c:v>30 up to 45</c:v>
                </c:pt>
                <c:pt idx="3">
                  <c:v>45 up to 60</c:v>
                </c:pt>
                <c:pt idx="4">
                  <c:v>60 up to 75</c:v>
                </c:pt>
                <c:pt idx="5">
                  <c:v>75 up to 90</c:v>
                </c:pt>
                <c:pt idx="6">
                  <c:v>90 up to 105</c:v>
                </c:pt>
              </c:strCache>
            </c:strRef>
          </c:cat>
          <c:val>
            <c:numRef>
              <c:f>'S(L)'!$G$64:$G$70</c:f>
              <c:numCache>
                <c:formatCode>General</c:formatCode>
                <c:ptCount val="7"/>
                <c:pt idx="0">
                  <c:v>5</c:v>
                </c:pt>
                <c:pt idx="1">
                  <c:v>11</c:v>
                </c:pt>
                <c:pt idx="2">
                  <c:v>2</c:v>
                </c:pt>
                <c:pt idx="3">
                  <c:v>1</c:v>
                </c:pt>
                <c:pt idx="4">
                  <c:v>6</c:v>
                </c:pt>
                <c:pt idx="5">
                  <c:v>7</c:v>
                </c:pt>
                <c:pt idx="6">
                  <c:v>9</c:v>
                </c:pt>
              </c:numCache>
            </c:numRef>
          </c:val>
          <c:extLst>
            <c:ext xmlns:c16="http://schemas.microsoft.com/office/drawing/2014/chart" uri="{C3380CC4-5D6E-409C-BE32-E72D297353CC}">
              <c16:uniqueId val="{00000007-B3AD-431E-BCF2-ECAADD1918A2}"/>
            </c:ext>
          </c:extLst>
        </c:ser>
        <c:dLbls>
          <c:showLegendKey val="0"/>
          <c:showVal val="0"/>
          <c:showCatName val="0"/>
          <c:showSerName val="0"/>
          <c:showPercent val="0"/>
          <c:showBubbleSize val="0"/>
        </c:dLbls>
        <c:gapWidth val="0"/>
        <c:axId val="1021328256"/>
        <c:axId val="1021328816"/>
      </c:barChart>
      <c:catAx>
        <c:axId val="1021328256"/>
        <c:scaling>
          <c:orientation val="minMax"/>
        </c:scaling>
        <c:delete val="0"/>
        <c:axPos val="b"/>
        <c:title>
          <c:tx>
            <c:rich>
              <a:bodyPr/>
              <a:lstStyle/>
              <a:p>
                <a:pPr>
                  <a:defRPr/>
                </a:pPr>
                <a:r>
                  <a:rPr lang="en-US"/>
                  <a:t>Classes for Test Scores</a:t>
                </a:r>
              </a:p>
            </c:rich>
          </c:tx>
          <c:overlay val="0"/>
        </c:title>
        <c:numFmt formatCode="General" sourceLinked="1"/>
        <c:majorTickMark val="out"/>
        <c:minorTickMark val="none"/>
        <c:tickLblPos val="nextTo"/>
        <c:crossAx val="1021328816"/>
        <c:crosses val="autoZero"/>
        <c:auto val="1"/>
        <c:lblAlgn val="ctr"/>
        <c:lblOffset val="100"/>
        <c:noMultiLvlLbl val="0"/>
      </c:catAx>
      <c:valAx>
        <c:axId val="10213288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282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'S(B)'!$A$6</c:f>
          <c:strCache>
            <c:ptCount val="1"/>
            <c:pt idx="0">
              <c:v>Human Height often Close to Symmetrical - bell shape - high in the middle and tapering off in both directions</c:v>
            </c:pt>
          </c:strCache>
        </c:strRef>
      </c:tx>
      <c:overlay val="0"/>
      <c:txPr>
        <a:bodyPr/>
        <a:lstStyle/>
        <a:p>
          <a:pPr>
            <a:defRPr sz="1400"/>
          </a:pPr>
          <a:endParaRPr lang="en-US"/>
        </a:p>
      </c:txPr>
    </c:title>
    <c:autoTitleDeleted val="0"/>
    <c:plotArea>
      <c:layout/>
      <c:barChart>
        <c:barDir val="col"/>
        <c:grouping val="clustered"/>
        <c:varyColors val="1"/>
        <c:ser>
          <c:idx val="0"/>
          <c:order val="0"/>
          <c:tx>
            <c:strRef>
              <c:f>'S(B)'!$G$17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7565-420B-AD15-17F43E955FAB}"/>
              </c:ext>
            </c:extLst>
          </c:dPt>
          <c:dPt>
            <c:idx val="1"/>
            <c:invertIfNegative val="0"/>
            <c:bubble3D val="0"/>
            <c:extLst>
              <c:ext xmlns:c16="http://schemas.microsoft.com/office/drawing/2014/chart" uri="{C3380CC4-5D6E-409C-BE32-E72D297353CC}">
                <c16:uniqueId val="{00000001-7565-420B-AD15-17F43E955FAB}"/>
              </c:ext>
            </c:extLst>
          </c:dPt>
          <c:dPt>
            <c:idx val="2"/>
            <c:invertIfNegative val="0"/>
            <c:bubble3D val="0"/>
            <c:extLst>
              <c:ext xmlns:c16="http://schemas.microsoft.com/office/drawing/2014/chart" uri="{C3380CC4-5D6E-409C-BE32-E72D297353CC}">
                <c16:uniqueId val="{00000002-7565-420B-AD15-17F43E955FAB}"/>
              </c:ext>
            </c:extLst>
          </c:dPt>
          <c:dPt>
            <c:idx val="3"/>
            <c:invertIfNegative val="0"/>
            <c:bubble3D val="0"/>
            <c:extLst>
              <c:ext xmlns:c16="http://schemas.microsoft.com/office/drawing/2014/chart" uri="{C3380CC4-5D6E-409C-BE32-E72D297353CC}">
                <c16:uniqueId val="{00000003-7565-420B-AD15-17F43E955FAB}"/>
              </c:ext>
            </c:extLst>
          </c:dPt>
          <c:dPt>
            <c:idx val="4"/>
            <c:invertIfNegative val="0"/>
            <c:bubble3D val="0"/>
            <c:extLst>
              <c:ext xmlns:c16="http://schemas.microsoft.com/office/drawing/2014/chart" uri="{C3380CC4-5D6E-409C-BE32-E72D297353CC}">
                <c16:uniqueId val="{00000004-7565-420B-AD15-17F43E955FAB}"/>
              </c:ext>
            </c:extLst>
          </c:dPt>
          <c:dPt>
            <c:idx val="5"/>
            <c:invertIfNegative val="0"/>
            <c:bubble3D val="0"/>
            <c:extLst>
              <c:ext xmlns:c16="http://schemas.microsoft.com/office/drawing/2014/chart" uri="{C3380CC4-5D6E-409C-BE32-E72D297353CC}">
                <c16:uniqueId val="{00000005-7565-420B-AD15-17F43E955FAB}"/>
              </c:ext>
            </c:extLst>
          </c:dPt>
          <c:dPt>
            <c:idx val="6"/>
            <c:invertIfNegative val="0"/>
            <c:bubble3D val="0"/>
            <c:extLst>
              <c:ext xmlns:c16="http://schemas.microsoft.com/office/drawing/2014/chart" uri="{C3380CC4-5D6E-409C-BE32-E72D297353CC}">
                <c16:uniqueId val="{00000006-7565-420B-AD15-17F43E955FAB}"/>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'S(B)'!$F$18:$F$24</c:f>
              <c:strCache>
                <c:ptCount val="7"/>
                <c:pt idx="0">
                  <c:v>2 up to 3</c:v>
                </c:pt>
                <c:pt idx="1">
                  <c:v>3 up to 4</c:v>
                </c:pt>
                <c:pt idx="2">
                  <c:v>4 up to 5</c:v>
                </c:pt>
                <c:pt idx="3">
                  <c:v>5 up to 6</c:v>
                </c:pt>
                <c:pt idx="4">
                  <c:v>6 up to 7</c:v>
                </c:pt>
                <c:pt idx="5">
                  <c:v>7 up to 8</c:v>
                </c:pt>
                <c:pt idx="6">
                  <c:v>8 up to 9</c:v>
                </c:pt>
              </c:strCache>
            </c:strRef>
          </c:cat>
          <c:val>
            <c:numRef>
              <c:f>'S(B)'!$G$18:$G$24</c:f>
              <c:numCache>
                <c:formatCode>General</c:formatCode>
                <c:ptCount val="7"/>
                <c:pt idx="0">
                  <c:v>1</c:v>
                </c:pt>
                <c:pt idx="1">
                  <c:v>1</c:v>
                </c:pt>
                <c:pt idx="2">
                  <c:v>9</c:v>
                </c:pt>
                <c:pt idx="3">
                  <c:v>19</c:v>
                </c:pt>
                <c:pt idx="4">
                  <c:v>10</c:v>
                </c:pt>
                <c:pt idx="5">
                  <c:v>1</c:v>
                </c:pt>
                <c:pt idx="6">
                  <c:v>0</c:v>
                </c:pt>
              </c:numCache>
            </c:numRef>
          </c:val>
          <c:extLst>
            <c:ext xmlns:c16="http://schemas.microsoft.com/office/drawing/2014/chart" uri="{C3380CC4-5D6E-409C-BE32-E72D297353CC}">
              <c16:uniqueId val="{00000007-7565-420B-AD15-17F43E955FAB}"/>
            </c:ext>
          </c:extLst>
        </c:ser>
        <c:dLbls>
          <c:showLegendKey val="0"/>
          <c:showVal val="0"/>
          <c:showCatName val="0"/>
          <c:showSerName val="0"/>
          <c:showPercent val="0"/>
          <c:showBubbleSize val="0"/>
        </c:dLbls>
        <c:gapWidth val="0"/>
        <c:axId val="1021331056"/>
        <c:axId val="1021331616"/>
      </c:barChart>
      <c:catAx>
        <c:axId val="1021331056"/>
        <c:scaling>
          <c:orientation val="minMax"/>
        </c:scaling>
        <c:delete val="0"/>
        <c:axPos val="b"/>
        <c:title>
          <c:tx>
            <c:rich>
              <a:bodyPr/>
              <a:lstStyle/>
              <a:p>
                <a:pPr>
                  <a:defRPr/>
                </a:pPr>
                <a:r>
                  <a:rPr lang="en-US"/>
                  <a:t>Height</a:t>
                </a:r>
                <a:r>
                  <a:rPr lang="en-US" baseline="0"/>
                  <a:t> in feet</a:t>
                </a:r>
                <a:endParaRPr lang="en-US"/>
              </a:p>
            </c:rich>
          </c:tx>
          <c:overlay val="0"/>
        </c:title>
        <c:numFmt formatCode="General" sourceLinked="1"/>
        <c:majorTickMark val="out"/>
        <c:minorTickMark val="none"/>
        <c:tickLblPos val="nextTo"/>
        <c:crossAx val="1021331616"/>
        <c:crosses val="autoZero"/>
        <c:auto val="1"/>
        <c:lblAlgn val="ctr"/>
        <c:lblOffset val="100"/>
        <c:noMultiLvlLbl val="0"/>
      </c:catAx>
      <c:valAx>
        <c:axId val="1021331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10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aseline="0"/>
            </a:pPr>
            <a:r>
              <a:rPr lang="en-US" sz="1200" b="1" i="0" baseline="0"/>
              <a:t>House Prices ($)  often Skewed Right (positive) - a few large values will tend to pull the Average (Mean) up</a:t>
            </a:r>
          </a:p>
        </c:rich>
      </c:tx>
      <c:overlay val="0"/>
    </c:title>
    <c:autoTitleDeleted val="0"/>
    <c:plotArea>
      <c:layout/>
      <c:barChart>
        <c:barDir val="col"/>
        <c:grouping val="clustered"/>
        <c:varyColors val="1"/>
        <c:ser>
          <c:idx val="0"/>
          <c:order val="0"/>
          <c:tx>
            <c:strRef>
              <c:f>'S(R)'!$G$17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33FF-48A2-8732-4FA61DF7B472}"/>
              </c:ext>
            </c:extLst>
          </c:dPt>
          <c:dPt>
            <c:idx val="1"/>
            <c:invertIfNegative val="0"/>
            <c:bubble3D val="0"/>
            <c:extLst>
              <c:ext xmlns:c16="http://schemas.microsoft.com/office/drawing/2014/chart" uri="{C3380CC4-5D6E-409C-BE32-E72D297353CC}">
                <c16:uniqueId val="{00000001-33FF-48A2-8732-4FA61DF7B472}"/>
              </c:ext>
            </c:extLst>
          </c:dPt>
          <c:dPt>
            <c:idx val="2"/>
            <c:invertIfNegative val="0"/>
            <c:bubble3D val="0"/>
            <c:extLst>
              <c:ext xmlns:c16="http://schemas.microsoft.com/office/drawing/2014/chart" uri="{C3380CC4-5D6E-409C-BE32-E72D297353CC}">
                <c16:uniqueId val="{00000002-33FF-48A2-8732-4FA61DF7B472}"/>
              </c:ext>
            </c:extLst>
          </c:dPt>
          <c:dPt>
            <c:idx val="3"/>
            <c:invertIfNegative val="0"/>
            <c:bubble3D val="0"/>
            <c:extLst>
              <c:ext xmlns:c16="http://schemas.microsoft.com/office/drawing/2014/chart" uri="{C3380CC4-5D6E-409C-BE32-E72D297353CC}">
                <c16:uniqueId val="{00000003-33FF-48A2-8732-4FA61DF7B472}"/>
              </c:ext>
            </c:extLst>
          </c:dPt>
          <c:dPt>
            <c:idx val="4"/>
            <c:invertIfNegative val="0"/>
            <c:bubble3D val="0"/>
            <c:extLst>
              <c:ext xmlns:c16="http://schemas.microsoft.com/office/drawing/2014/chart" uri="{C3380CC4-5D6E-409C-BE32-E72D297353CC}">
                <c16:uniqueId val="{00000004-33FF-48A2-8732-4FA61DF7B472}"/>
              </c:ext>
            </c:extLst>
          </c:dPt>
          <c:dPt>
            <c:idx val="5"/>
            <c:invertIfNegative val="0"/>
            <c:bubble3D val="0"/>
            <c:extLst>
              <c:ext xmlns:c16="http://schemas.microsoft.com/office/drawing/2014/chart" uri="{C3380CC4-5D6E-409C-BE32-E72D297353CC}">
                <c16:uniqueId val="{00000005-33FF-48A2-8732-4FA61DF7B472}"/>
              </c:ext>
            </c:extLst>
          </c:dPt>
          <c:dPt>
            <c:idx val="6"/>
            <c:invertIfNegative val="0"/>
            <c:bubble3D val="0"/>
            <c:extLst>
              <c:ext xmlns:c16="http://schemas.microsoft.com/office/drawing/2014/chart" uri="{C3380CC4-5D6E-409C-BE32-E72D297353CC}">
                <c16:uniqueId val="{00000006-33FF-48A2-8732-4FA61DF7B472}"/>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'S(R)'!$F$18:$F$24</c:f>
              <c:strCache>
                <c:ptCount val="7"/>
                <c:pt idx="0">
                  <c:v>$0 up to $150,000</c:v>
                </c:pt>
                <c:pt idx="1">
                  <c:v>$150,000 up to $300,000</c:v>
                </c:pt>
                <c:pt idx="2">
                  <c:v>$300,000 up to $450,000</c:v>
                </c:pt>
                <c:pt idx="3">
                  <c:v>$450,000 up to $600,000</c:v>
                </c:pt>
                <c:pt idx="4">
                  <c:v>$600,000 up to $750,000</c:v>
                </c:pt>
                <c:pt idx="5">
                  <c:v>$750,000 up to $900,000</c:v>
                </c:pt>
                <c:pt idx="6">
                  <c:v>$900,000 up to $1,050,000</c:v>
                </c:pt>
              </c:strCache>
            </c:strRef>
          </c:cat>
          <c:val>
            <c:numRef>
              <c:f>'S(R)'!$G$18:$G$24</c:f>
              <c:numCache>
                <c:formatCode>General</c:formatCode>
                <c:ptCount val="7"/>
                <c:pt idx="0">
                  <c:v>2</c:v>
                </c:pt>
                <c:pt idx="1">
                  <c:v>12</c:v>
                </c:pt>
                <c:pt idx="2">
                  <c:v>14</c:v>
                </c:pt>
                <c:pt idx="3">
                  <c:v>8</c:v>
                </c:pt>
                <c:pt idx="4">
                  <c:v>3</c:v>
                </c:pt>
                <c:pt idx="5">
                  <c:v>0</c:v>
                </c:pt>
                <c:pt idx="6">
                  <c:v>2</c:v>
                </c:pt>
              </c:numCache>
            </c:numRef>
          </c:val>
          <c:extLst>
            <c:ext xmlns:c16="http://schemas.microsoft.com/office/drawing/2014/chart" uri="{C3380CC4-5D6E-409C-BE32-E72D297353CC}">
              <c16:uniqueId val="{00000007-33FF-48A2-8732-4FA61DF7B472}"/>
            </c:ext>
          </c:extLst>
        </c:ser>
        <c:dLbls>
          <c:showLegendKey val="0"/>
          <c:showVal val="0"/>
          <c:showCatName val="0"/>
          <c:showSerName val="0"/>
          <c:showPercent val="0"/>
          <c:showBubbleSize val="0"/>
        </c:dLbls>
        <c:gapWidth val="0"/>
        <c:axId val="1021333856"/>
        <c:axId val="1021334416"/>
      </c:barChart>
      <c:catAx>
        <c:axId val="1021333856"/>
        <c:scaling>
          <c:orientation val="minMax"/>
        </c:scaling>
        <c:delete val="0"/>
        <c:axPos val="b"/>
        <c:numFmt formatCode="General" sourceLinked="1"/>
        <c:majorTickMark val="out"/>
        <c:minorTickMark val="none"/>
        <c:tickLblPos val="nextTo"/>
        <c:crossAx val="1021334416"/>
        <c:crosses val="autoZero"/>
        <c:auto val="1"/>
        <c:lblAlgn val="ctr"/>
        <c:lblOffset val="100"/>
        <c:noMultiLvlLbl val="0"/>
      </c:catAx>
      <c:valAx>
        <c:axId val="10213344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38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a:t>Amount Spent at Department Store ($) often Highly Skewed Right (Positive) - a few large values will tend to pull the Average (Mean) up</a:t>
            </a:r>
          </a:p>
        </c:rich>
      </c:tx>
      <c:overlay val="0"/>
    </c:title>
    <c:autoTitleDeleted val="0"/>
    <c:plotArea>
      <c:layout/>
      <c:barChart>
        <c:barDir val="col"/>
        <c:grouping val="clustered"/>
        <c:varyColors val="1"/>
        <c:ser>
          <c:idx val="0"/>
          <c:order val="0"/>
          <c:tx>
            <c:strRef>
              <c:f>'S(HR)'!$G$17</c:f>
              <c:strCache>
                <c:ptCount val="1"/>
                <c:pt idx="0">
                  <c:v>Frequency</c:v>
                </c:pt>
              </c:strCache>
            </c:strRef>
          </c:tx>
          <c:invertIfNegative val="0"/>
          <c:dPt>
            <c:idx val="0"/>
            <c:invertIfNegative val="0"/>
            <c:bubble3D val="0"/>
            <c:extLst>
              <c:ext xmlns:c16="http://schemas.microsoft.com/office/drawing/2014/chart" uri="{C3380CC4-5D6E-409C-BE32-E72D297353CC}">
                <c16:uniqueId val="{00000000-04AE-4D04-BF40-6A440CF1099E}"/>
              </c:ext>
            </c:extLst>
          </c:dPt>
          <c:dPt>
            <c:idx val="1"/>
            <c:invertIfNegative val="0"/>
            <c:bubble3D val="0"/>
            <c:extLst>
              <c:ext xmlns:c16="http://schemas.microsoft.com/office/drawing/2014/chart" uri="{C3380CC4-5D6E-409C-BE32-E72D297353CC}">
                <c16:uniqueId val="{00000001-04AE-4D04-BF40-6A440CF1099E}"/>
              </c:ext>
            </c:extLst>
          </c:dPt>
          <c:dPt>
            <c:idx val="2"/>
            <c:invertIfNegative val="0"/>
            <c:bubble3D val="0"/>
            <c:extLst>
              <c:ext xmlns:c16="http://schemas.microsoft.com/office/drawing/2014/chart" uri="{C3380CC4-5D6E-409C-BE32-E72D297353CC}">
                <c16:uniqueId val="{00000002-04AE-4D04-BF40-6A440CF1099E}"/>
              </c:ext>
            </c:extLst>
          </c:dPt>
          <c:dPt>
            <c:idx val="3"/>
            <c:invertIfNegative val="0"/>
            <c:bubble3D val="0"/>
            <c:extLst>
              <c:ext xmlns:c16="http://schemas.microsoft.com/office/drawing/2014/chart" uri="{C3380CC4-5D6E-409C-BE32-E72D297353CC}">
                <c16:uniqueId val="{00000003-04AE-4D04-BF40-6A440CF1099E}"/>
              </c:ext>
            </c:extLst>
          </c:dPt>
          <c:dPt>
            <c:idx val="4"/>
            <c:invertIfNegative val="0"/>
            <c:bubble3D val="0"/>
            <c:extLst>
              <c:ext xmlns:c16="http://schemas.microsoft.com/office/drawing/2014/chart" uri="{C3380CC4-5D6E-409C-BE32-E72D297353CC}">
                <c16:uniqueId val="{00000004-04AE-4D04-BF40-6A440CF1099E}"/>
              </c:ext>
            </c:extLst>
          </c:dPt>
          <c:dPt>
            <c:idx val="5"/>
            <c:invertIfNegative val="0"/>
            <c:bubble3D val="0"/>
            <c:extLst>
              <c:ext xmlns:c16="http://schemas.microsoft.com/office/drawing/2014/chart" uri="{C3380CC4-5D6E-409C-BE32-E72D297353CC}">
                <c16:uniqueId val="{00000005-04AE-4D04-BF40-6A440CF1099E}"/>
              </c:ext>
            </c:extLst>
          </c:dPt>
          <c:dPt>
            <c:idx val="6"/>
            <c:invertIfNegative val="0"/>
            <c:bubble3D val="0"/>
            <c:extLst>
              <c:ext xmlns:c16="http://schemas.microsoft.com/office/drawing/2014/chart" uri="{C3380CC4-5D6E-409C-BE32-E72D297353CC}">
                <c16:uniqueId val="{00000006-04AE-4D04-BF40-6A440CF1099E}"/>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'S(HR)'!$F$18:$F$24</c:f>
              <c:strCache>
                <c:ptCount val="7"/>
                <c:pt idx="0">
                  <c:v>$0 up to $250</c:v>
                </c:pt>
                <c:pt idx="1">
                  <c:v>$250 up to $500</c:v>
                </c:pt>
                <c:pt idx="2">
                  <c:v>$500 up to $750</c:v>
                </c:pt>
                <c:pt idx="3">
                  <c:v>$750 up to $1,000</c:v>
                </c:pt>
                <c:pt idx="4">
                  <c:v>$1,000 up to $1,250</c:v>
                </c:pt>
                <c:pt idx="5">
                  <c:v>$1,250 up to $4,750</c:v>
                </c:pt>
                <c:pt idx="6">
                  <c:v>$4,750 up to $8,250</c:v>
                </c:pt>
              </c:strCache>
            </c:strRef>
          </c:cat>
          <c:val>
            <c:numRef>
              <c:f>'S(HR)'!$G$18:$G$24</c:f>
              <c:numCache>
                <c:formatCode>General</c:formatCode>
                <c:ptCount val="7"/>
                <c:pt idx="0">
                  <c:v>17</c:v>
                </c:pt>
                <c:pt idx="1">
                  <c:v>10</c:v>
                </c:pt>
                <c:pt idx="2">
                  <c:v>10</c:v>
                </c:pt>
                <c:pt idx="3">
                  <c:v>0</c:v>
                </c:pt>
                <c:pt idx="4">
                  <c:v>0</c:v>
                </c:pt>
                <c:pt idx="5">
                  <c:v>3</c:v>
                </c:pt>
                <c:pt idx="6">
                  <c:v>1</c:v>
                </c:pt>
              </c:numCache>
            </c:numRef>
          </c:val>
          <c:extLst>
            <c:ext xmlns:c16="http://schemas.microsoft.com/office/drawing/2014/chart" uri="{C3380CC4-5D6E-409C-BE32-E72D297353CC}">
              <c16:uniqueId val="{00000007-04AE-4D04-BF40-6A440CF1099E}"/>
            </c:ext>
          </c:extLst>
        </c:ser>
        <c:dLbls>
          <c:showLegendKey val="0"/>
          <c:showVal val="0"/>
          <c:showCatName val="0"/>
          <c:showSerName val="0"/>
          <c:showPercent val="0"/>
          <c:showBubbleSize val="0"/>
        </c:dLbls>
        <c:gapWidth val="0"/>
        <c:axId val="1021336656"/>
        <c:axId val="1021337216"/>
      </c:barChart>
      <c:catAx>
        <c:axId val="1021336656"/>
        <c:scaling>
          <c:orientation val="minMax"/>
        </c:scaling>
        <c:delete val="0"/>
        <c:axPos val="b"/>
        <c:numFmt formatCode="General" sourceLinked="1"/>
        <c:majorTickMark val="out"/>
        <c:minorTickMark val="none"/>
        <c:tickLblPos val="nextTo"/>
        <c:crossAx val="1021337216"/>
        <c:crosses val="autoZero"/>
        <c:auto val="1"/>
        <c:lblAlgn val="ctr"/>
        <c:lblOffset val="100"/>
        <c:noMultiLvlLbl val="0"/>
      </c:catAx>
      <c:valAx>
        <c:axId val="10213372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21336656"/>
        <c:crosses val="autoZero"/>
        <c:crossBetween val="between"/>
      </c:valAx>
    </c:plotArea>
    <c:plotVisOnly val="1"/>
    <c:dispBlanksAs val="gap"/>
    <c:showDLblsOverMax val="0"/>
  </c:chart>
  <c:printSettings>
    <c:headerFooter/>
    <c:pageMargins b="0.75000000000000133" l="0.70000000000000062" r="0.70000000000000062" t="0.750000000000001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Your Calculus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'z(1)'!$R$1</c:f>
              <c:strCache>
                <c:ptCount val="1"/>
                <c:pt idx="0">
                  <c:v>Calculus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'z(1)'!$Q$2:$Q$26</c:f>
              <c:numCache>
                <c:formatCode>General</c:formatCode>
                <c:ptCount val="25"/>
                <c:pt idx="0">
                  <c:v>74</c:v>
                </c:pt>
                <c:pt idx="1">
                  <c:v>70</c:v>
                </c:pt>
                <c:pt idx="2">
                  <c:v>80</c:v>
                </c:pt>
                <c:pt idx="3">
                  <c:v>78</c:v>
                </c:pt>
                <c:pt idx="4">
                  <c:v>84</c:v>
                </c:pt>
                <c:pt idx="5">
                  <c:v>83</c:v>
                </c:pt>
                <c:pt idx="6">
                  <c:v>76</c:v>
                </c:pt>
                <c:pt idx="7">
                  <c:v>57</c:v>
                </c:pt>
                <c:pt idx="8">
                  <c:v>75</c:v>
                </c:pt>
                <c:pt idx="9">
                  <c:v>80</c:v>
                </c:pt>
                <c:pt idx="10">
                  <c:v>76</c:v>
                </c:pt>
                <c:pt idx="11">
                  <c:v>78</c:v>
                </c:pt>
                <c:pt idx="12">
                  <c:v>70</c:v>
                </c:pt>
                <c:pt idx="13">
                  <c:v>71</c:v>
                </c:pt>
                <c:pt idx="14">
                  <c:v>80</c:v>
                </c:pt>
                <c:pt idx="15">
                  <c:v>76</c:v>
                </c:pt>
                <c:pt idx="16">
                  <c:v>72</c:v>
                </c:pt>
                <c:pt idx="17">
                  <c:v>74</c:v>
                </c:pt>
                <c:pt idx="18">
                  <c:v>76</c:v>
                </c:pt>
                <c:pt idx="19">
                  <c:v>87</c:v>
                </c:pt>
                <c:pt idx="20">
                  <c:v>72</c:v>
                </c:pt>
                <c:pt idx="21">
                  <c:v>85</c:v>
                </c:pt>
                <c:pt idx="22">
                  <c:v>77</c:v>
                </c:pt>
                <c:pt idx="23">
                  <c:v>63</c:v>
                </c:pt>
                <c:pt idx="24">
                  <c:v>92</c:v>
                </c:pt>
              </c:numCache>
            </c:numRef>
          </c:xVal>
          <c:yVal>
            <c:numRef>
              <c:f>'z(1)'!$R$2:$R$26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B8FD-46E3-B7F0-C67BF2F75FFF}"/>
            </c:ext>
          </c:extLst>
        </c:ser>
        <c:ser>
          <c:idx val="1"/>
          <c:order val="1"/>
          <c:tx>
            <c:strRef>
              <c:f>'z(1)'!$U$1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5D89B05E-9FD8-4AEE-9E57-E95575744BB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8FD-46E3-B7F0-C67BF2F75FF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'z(1)'!$T$2</c:f>
              <c:numCache>
                <c:formatCode>General</c:formatCode>
                <c:ptCount val="1"/>
                <c:pt idx="0">
                  <c:v>76</c:v>
                </c:pt>
              </c:numCache>
            </c:numRef>
          </c:xVal>
          <c:yVal>
            <c:numRef>
              <c:f>'z(1)'!$U$2</c:f>
              <c:numCache>
                <c:formatCode>General</c:formatCode>
                <c:ptCount val="1"/>
                <c:pt idx="0">
                  <c:v>1</c:v>
                </c:pt>
              </c:numCache>
            </c:numRef>
          </c:yVal>
          <c:smooth val="0"/>
          <c:extLst>
            <c:ext xmlns:c15="http://schemas.microsoft.com/office/drawing/2012/chart" uri="{02D57815-91ED-43cb-92C2-25804820EDAC}">
              <c15:datalabelsRange>
                <c15:f>'z(1)'!$AD$2</c15:f>
                <c15:dlblRangeCache>
                  <c:ptCount val="1"/>
                  <c:pt idx="0">
                    <c:v>Xbar = 76
s = 7</c:v>
                  </c:pt>
                </c15:dlblRangeCache>
              </c15:datalabelsRange>
            </c:ext>
            <c:ext xmlns:c16="http://schemas.microsoft.com/office/drawing/2014/chart" uri="{C3380CC4-5D6E-409C-BE32-E72D297353CC}">
              <c16:uniqueId val="{00000002-B8FD-46E3-B7F0-C67BF2F75FFF}"/>
            </c:ext>
          </c:extLst>
        </c:ser>
        <c:ser>
          <c:idx val="2"/>
          <c:order val="2"/>
          <c:tx>
            <c:strRef>
              <c:f>'z(1)'!$AB$1</c:f>
              <c:strCache>
                <c:ptCount val="1"/>
                <c:pt idx="0">
                  <c:v>Your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9F8F350D-D3A9-4C38-8C56-3F0CB8D0624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8FD-46E3-B7F0-C67BF2F75FF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'z(1)'!$AA$2</c:f>
              <c:numCache>
                <c:formatCode>General</c:formatCode>
                <c:ptCount val="1"/>
                <c:pt idx="0">
                  <c:v>83</c:v>
                </c:pt>
              </c:numCache>
            </c:numRef>
          </c:xVal>
          <c:yVal>
            <c:numRef>
              <c:f>'z(1)'!$AB$2</c:f>
              <c:numCache>
                <c:formatCode>General</c:formatCode>
                <c:ptCount val="1"/>
                <c:pt idx="0">
                  <c:v>1</c:v>
                </c:pt>
              </c:numCache>
            </c:numRef>
          </c:yVal>
          <c:smooth val="0"/>
          <c:extLst>
            <c:ext xmlns:c15="http://schemas.microsoft.com/office/drawing/2012/chart" uri="{02D57815-91ED-43cb-92C2-25804820EDAC}">
              <c15:datalabelsRange>
                <c15:f>'z(1)'!$AE$2</c15:f>
                <c15:dlblRangeCache>
                  <c:ptCount val="1"/>
                  <c:pt idx="0">
                    <c:v>Your Score = 83
 1 SD Above Mean</c:v>
                  </c:pt>
                </c15:dlblRangeCache>
              </c15:datalabelsRange>
            </c:ext>
            <c:ext xmlns:c16="http://schemas.microsoft.com/office/drawing/2014/chart" uri="{C3380CC4-5D6E-409C-BE32-E72D297353CC}">
              <c16:uniqueId val="{00000004-B8FD-46E3-B7F0-C67BF2F75FFF}"/>
            </c:ext>
          </c:extLst>
        </c:ser>
        <c:dLbls>
          <c:showLegendKey val="0"/>
          <c:showVal val="0"/>
          <c:showCatName val="0"/>
          <c:showSerName val="0"/>
          <c:showPercent val="0"/>
          <c:showBubbleSize val="0"/>
        </c:dLbls>
        <c:axId val="1021340576"/>
        <c:axId val="1021341136"/>
      </c:scatterChart>
      <c:valAx>
        <c:axId val="1021340576"/>
        <c:scaling>
          <c:orientation val="minMax"/>
          <c:min val="55"/>
        </c:scaling>
        <c:delete val="0"/>
        <c:axPos val="b"/>
        <c:title>
          <c:tx>
            <c:strRef>
              <c:f>'z(1)'!$R$1</c:f>
              <c:strCache>
                <c:ptCount val="1"/>
                <c:pt idx="0">
                  <c:v>Calculus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1341136"/>
        <c:crosses val="autoZero"/>
        <c:crossBetween val="midCat"/>
      </c:valAx>
      <c:valAx>
        <c:axId val="1021341136"/>
        <c:scaling>
          <c:orientation val="minMax"/>
        </c:scaling>
        <c:delete val="1"/>
        <c:axPos val="l"/>
        <c:numFmt formatCode="General" sourceLinked="1"/>
        <c:majorTickMark val="none"/>
        <c:minorTickMark val="none"/>
        <c:tickLblPos val="nextTo"/>
        <c:crossAx val="10213405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Brother's History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'z(1)'!$AI$1</c:f>
              <c:strCache>
                <c:ptCount val="1"/>
                <c:pt idx="0">
                  <c:v>History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'z(1)'!$AH$2:$AH$26</c:f>
              <c:numCache>
                <c:formatCode>General</c:formatCode>
                <c:ptCount val="25"/>
                <c:pt idx="0">
                  <c:v>91</c:v>
                </c:pt>
                <c:pt idx="1">
                  <c:v>87</c:v>
                </c:pt>
                <c:pt idx="2">
                  <c:v>91</c:v>
                </c:pt>
                <c:pt idx="3">
                  <c:v>99</c:v>
                </c:pt>
                <c:pt idx="4">
                  <c:v>86</c:v>
                </c:pt>
                <c:pt idx="5">
                  <c:v>87</c:v>
                </c:pt>
                <c:pt idx="6">
                  <c:v>93</c:v>
                </c:pt>
                <c:pt idx="7">
                  <c:v>91</c:v>
                </c:pt>
                <c:pt idx="8">
                  <c:v>93</c:v>
                </c:pt>
                <c:pt idx="9">
                  <c:v>92</c:v>
                </c:pt>
                <c:pt idx="10">
                  <c:v>88</c:v>
                </c:pt>
                <c:pt idx="11">
                  <c:v>95</c:v>
                </c:pt>
                <c:pt idx="12">
                  <c:v>88</c:v>
                </c:pt>
                <c:pt idx="13">
                  <c:v>91</c:v>
                </c:pt>
                <c:pt idx="14">
                  <c:v>92</c:v>
                </c:pt>
                <c:pt idx="15">
                  <c:v>92</c:v>
                </c:pt>
                <c:pt idx="16">
                  <c:v>87</c:v>
                </c:pt>
                <c:pt idx="17">
                  <c:v>89</c:v>
                </c:pt>
                <c:pt idx="18">
                  <c:v>81</c:v>
                </c:pt>
                <c:pt idx="19">
                  <c:v>92</c:v>
                </c:pt>
                <c:pt idx="20">
                  <c:v>93</c:v>
                </c:pt>
                <c:pt idx="21">
                  <c:v>97</c:v>
                </c:pt>
                <c:pt idx="22">
                  <c:v>96</c:v>
                </c:pt>
                <c:pt idx="23">
                  <c:v>87</c:v>
                </c:pt>
                <c:pt idx="24">
                  <c:v>87</c:v>
                </c:pt>
              </c:numCache>
            </c:numRef>
          </c:xVal>
          <c:yVal>
            <c:numRef>
              <c:f>'z(1)'!$AI$2:$AI$26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E0A6-49DC-B0F3-5AEDE9AD6077}"/>
            </c:ext>
          </c:extLst>
        </c:ser>
        <c:ser>
          <c:idx val="1"/>
          <c:order val="1"/>
          <c:tx>
            <c:strRef>
              <c:f>'z(1)'!$AL$1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68892BBF-E0BE-4BE5-B34A-4364854F9D6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0A6-49DC-B0F3-5AEDE9AD60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'z(1)'!$AK$2</c:f>
              <c:numCache>
                <c:formatCode>General</c:formatCode>
                <c:ptCount val="1"/>
                <c:pt idx="0">
                  <c:v>91</c:v>
                </c:pt>
              </c:numCache>
            </c:numRef>
          </c:xVal>
          <c:yVal>
            <c:numRef>
              <c:f>'z(1)'!$AL$2</c:f>
              <c:numCache>
                <c:formatCode>General</c:formatCode>
                <c:ptCount val="1"/>
                <c:pt idx="0">
                  <c:v>1</c:v>
                </c:pt>
              </c:numCache>
            </c:numRef>
          </c:yVal>
          <c:smooth val="0"/>
          <c:extLst>
            <c:ext xmlns:c15="http://schemas.microsoft.com/office/drawing/2012/chart" uri="{02D57815-91ED-43cb-92C2-25804820EDAC}">
              <c15:datalabelsRange>
                <c15:f>'z(1)'!$AU$2</c15:f>
                <c15:dlblRangeCache>
                  <c:ptCount val="1"/>
                  <c:pt idx="0">
                    <c:v>Xbar = 91
s = 4</c:v>
                  </c:pt>
                </c15:dlblRangeCache>
              </c15:datalabelsRange>
            </c:ext>
            <c:ext xmlns:c16="http://schemas.microsoft.com/office/drawing/2014/chart" uri="{C3380CC4-5D6E-409C-BE32-E72D297353CC}">
              <c16:uniqueId val="{00000002-E0A6-49DC-B0F3-5AEDE9AD6077}"/>
            </c:ext>
          </c:extLst>
        </c:ser>
        <c:ser>
          <c:idx val="2"/>
          <c:order val="2"/>
          <c:tx>
            <c:strRef>
              <c:f>'z(1)'!$AS$1</c:f>
              <c:strCache>
                <c:ptCount val="1"/>
                <c:pt idx="0">
                  <c:v>Bro's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217F4F02-4151-488C-9483-FD3A49AE656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0A6-49DC-B0F3-5AEDE9AD607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'z(1)'!$AR$2</c:f>
              <c:numCache>
                <c:formatCode>General</c:formatCode>
                <c:ptCount val="1"/>
                <c:pt idx="0">
                  <c:v>86</c:v>
                </c:pt>
              </c:numCache>
            </c:numRef>
          </c:xVal>
          <c:yVal>
            <c:numRef>
              <c:f>'z(1)'!$AS$2</c:f>
              <c:numCache>
                <c:formatCode>General</c:formatCode>
                <c:ptCount val="1"/>
                <c:pt idx="0">
                  <c:v>1</c:v>
                </c:pt>
              </c:numCache>
            </c:numRef>
          </c:yVal>
          <c:smooth val="0"/>
          <c:extLst>
            <c:ext xmlns:c15="http://schemas.microsoft.com/office/drawing/2012/chart" uri="{02D57815-91ED-43cb-92C2-25804820EDAC}">
              <c15:datalabelsRange>
                <c15:f>'z(1)'!$AV$2</c15:f>
                <c15:dlblRangeCache>
                  <c:ptCount val="1"/>
                  <c:pt idx="0">
                    <c:v>Bro's Score = 86
 1.25 SD Below Mean</c:v>
                  </c:pt>
                </c15:dlblRangeCache>
              </c15:datalabelsRange>
            </c:ext>
            <c:ext xmlns:c16="http://schemas.microsoft.com/office/drawing/2014/chart" uri="{C3380CC4-5D6E-409C-BE32-E72D297353CC}">
              <c16:uniqueId val="{00000004-E0A6-49DC-B0F3-5AEDE9AD6077}"/>
            </c:ext>
          </c:extLst>
        </c:ser>
        <c:dLbls>
          <c:showLegendKey val="0"/>
          <c:showVal val="0"/>
          <c:showCatName val="0"/>
          <c:showSerName val="0"/>
          <c:showPercent val="0"/>
          <c:showBubbleSize val="0"/>
        </c:dLbls>
        <c:axId val="991191104"/>
        <c:axId val="991191664"/>
      </c:scatterChart>
      <c:valAx>
        <c:axId val="991191104"/>
        <c:scaling>
          <c:orientation val="minMax"/>
          <c:max val="100"/>
          <c:min val="80"/>
        </c:scaling>
        <c:delete val="0"/>
        <c:axPos val="b"/>
        <c:title>
          <c:tx>
            <c:strRef>
              <c:f>'z(1)'!$AI$1</c:f>
              <c:strCache>
                <c:ptCount val="1"/>
                <c:pt idx="0">
                  <c:v>History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191664"/>
        <c:crosses val="autoZero"/>
        <c:crossBetween val="midCat"/>
      </c:valAx>
      <c:valAx>
        <c:axId val="991191664"/>
        <c:scaling>
          <c:orientation val="minMax"/>
        </c:scaling>
        <c:delete val="1"/>
        <c:axPos val="l"/>
        <c:numFmt formatCode="General" sourceLinked="1"/>
        <c:majorTickMark val="none"/>
        <c:minorTickMark val="none"/>
        <c:tickLblPos val="nextTo"/>
        <c:crossAx val="991191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Your Calculus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'z(1an)'!$R$1</c:f>
              <c:strCache>
                <c:ptCount val="1"/>
                <c:pt idx="0">
                  <c:v>Calculus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'z(1an)'!$Q$2:$Q$26</c:f>
              <c:numCache>
                <c:formatCode>General</c:formatCode>
                <c:ptCount val="25"/>
                <c:pt idx="0">
                  <c:v>74</c:v>
                </c:pt>
                <c:pt idx="1">
                  <c:v>70</c:v>
                </c:pt>
                <c:pt idx="2">
                  <c:v>80</c:v>
                </c:pt>
                <c:pt idx="3">
                  <c:v>78</c:v>
                </c:pt>
                <c:pt idx="4">
                  <c:v>84</c:v>
                </c:pt>
                <c:pt idx="5">
                  <c:v>83</c:v>
                </c:pt>
                <c:pt idx="6">
                  <c:v>76</c:v>
                </c:pt>
                <c:pt idx="7">
                  <c:v>57</c:v>
                </c:pt>
                <c:pt idx="8">
                  <c:v>75</c:v>
                </c:pt>
                <c:pt idx="9">
                  <c:v>80</c:v>
                </c:pt>
                <c:pt idx="10">
                  <c:v>76</c:v>
                </c:pt>
                <c:pt idx="11">
                  <c:v>78</c:v>
                </c:pt>
                <c:pt idx="12">
                  <c:v>70</c:v>
                </c:pt>
                <c:pt idx="13">
                  <c:v>71</c:v>
                </c:pt>
                <c:pt idx="14">
                  <c:v>80</c:v>
                </c:pt>
                <c:pt idx="15">
                  <c:v>76</c:v>
                </c:pt>
                <c:pt idx="16">
                  <c:v>72</c:v>
                </c:pt>
                <c:pt idx="17">
                  <c:v>74</c:v>
                </c:pt>
                <c:pt idx="18">
                  <c:v>76</c:v>
                </c:pt>
                <c:pt idx="19">
                  <c:v>87</c:v>
                </c:pt>
                <c:pt idx="20">
                  <c:v>72</c:v>
                </c:pt>
                <c:pt idx="21">
                  <c:v>85</c:v>
                </c:pt>
                <c:pt idx="22">
                  <c:v>77</c:v>
                </c:pt>
                <c:pt idx="23">
                  <c:v>63</c:v>
                </c:pt>
                <c:pt idx="24">
                  <c:v>92</c:v>
                </c:pt>
              </c:numCache>
            </c:numRef>
          </c:xVal>
          <c:yVal>
            <c:numRef>
              <c:f>'z(1an)'!$R$2:$R$26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00ED-42B1-B6AC-7DC2EBCB8575}"/>
            </c:ext>
          </c:extLst>
        </c:ser>
        <c:ser>
          <c:idx val="1"/>
          <c:order val="1"/>
          <c:tx>
            <c:strRef>
              <c:f>'z(1an)'!$U$1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26084749-C35B-4750-87A9-BD2E350BB9C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0ED-42B1-B6AC-7DC2EBCB85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'z(1an)'!$T$2</c:f>
              <c:numCache>
                <c:formatCode>General</c:formatCode>
                <c:ptCount val="1"/>
                <c:pt idx="0">
                  <c:v>76</c:v>
                </c:pt>
              </c:numCache>
            </c:numRef>
          </c:xVal>
          <c:yVal>
            <c:numRef>
              <c:f>'z(1an)'!$U$2</c:f>
              <c:numCache>
                <c:formatCode>General</c:formatCode>
                <c:ptCount val="1"/>
                <c:pt idx="0">
                  <c:v>1</c:v>
                </c:pt>
              </c:numCache>
            </c:numRef>
          </c:yVal>
          <c:smooth val="0"/>
          <c:extLst>
            <c:ext xmlns:c15="http://schemas.microsoft.com/office/drawing/2012/chart" uri="{02D57815-91ED-43cb-92C2-25804820EDAC}">
              <c15:datalabelsRange>
                <c15:f>'z(1an)'!$AD$2</c15:f>
                <c15:dlblRangeCache>
                  <c:ptCount val="1"/>
                  <c:pt idx="0">
                    <c:v>Xbar = 76
s = 7</c:v>
                  </c:pt>
                </c15:dlblRangeCache>
              </c15:datalabelsRange>
            </c:ext>
            <c:ext xmlns:c16="http://schemas.microsoft.com/office/drawing/2014/chart" uri="{C3380CC4-5D6E-409C-BE32-E72D297353CC}">
              <c16:uniqueId val="{00000002-00ED-42B1-B6AC-7DC2EBCB8575}"/>
            </c:ext>
          </c:extLst>
        </c:ser>
        <c:ser>
          <c:idx val="2"/>
          <c:order val="2"/>
          <c:tx>
            <c:strRef>
              <c:f>'z(1an)'!$AB$1</c:f>
              <c:strCache>
                <c:ptCount val="1"/>
                <c:pt idx="0">
                  <c:v>Your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F3F03744-7A3E-4101-8EAE-5F24BE4E713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0ED-42B1-B6AC-7DC2EBCB85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'z(1an)'!$AA$2</c:f>
              <c:numCache>
                <c:formatCode>General</c:formatCode>
                <c:ptCount val="1"/>
                <c:pt idx="0">
                  <c:v>83</c:v>
                </c:pt>
              </c:numCache>
            </c:numRef>
          </c:xVal>
          <c:yVal>
            <c:numRef>
              <c:f>'z(1an)'!$AB$2</c:f>
              <c:numCache>
                <c:formatCode>General</c:formatCode>
                <c:ptCount val="1"/>
                <c:pt idx="0">
                  <c:v>1</c:v>
                </c:pt>
              </c:numCache>
            </c:numRef>
          </c:yVal>
          <c:smooth val="0"/>
          <c:extLst>
            <c:ext xmlns:c15="http://schemas.microsoft.com/office/drawing/2012/chart" uri="{02D57815-91ED-43cb-92C2-25804820EDAC}">
              <c15:datalabelsRange>
                <c15:f>'z(1an)'!$AE$2</c15:f>
                <c15:dlblRangeCache>
                  <c:ptCount val="1"/>
                  <c:pt idx="0">
                    <c:v>Your Score = 83
 1 SD Above Mean</c:v>
                  </c:pt>
                </c15:dlblRangeCache>
              </c15:datalabelsRange>
            </c:ext>
            <c:ext xmlns:c16="http://schemas.microsoft.com/office/drawing/2014/chart" uri="{C3380CC4-5D6E-409C-BE32-E72D297353CC}">
              <c16:uniqueId val="{00000004-00ED-42B1-B6AC-7DC2EBCB8575}"/>
            </c:ext>
          </c:extLst>
        </c:ser>
        <c:dLbls>
          <c:showLegendKey val="0"/>
          <c:showVal val="0"/>
          <c:showCatName val="0"/>
          <c:showSerName val="0"/>
          <c:showPercent val="0"/>
          <c:showBubbleSize val="0"/>
        </c:dLbls>
        <c:axId val="991195584"/>
        <c:axId val="991196144"/>
      </c:scatterChart>
      <c:valAx>
        <c:axId val="991195584"/>
        <c:scaling>
          <c:orientation val="minMax"/>
          <c:min val="55"/>
        </c:scaling>
        <c:delete val="0"/>
        <c:axPos val="b"/>
        <c:title>
          <c:tx>
            <c:strRef>
              <c:f>'z(1an)'!$R$1</c:f>
              <c:strCache>
                <c:ptCount val="1"/>
                <c:pt idx="0">
                  <c:v>Calculus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196144"/>
        <c:crosses val="autoZero"/>
        <c:crossBetween val="midCat"/>
      </c:valAx>
      <c:valAx>
        <c:axId val="991196144"/>
        <c:scaling>
          <c:orientation val="minMax"/>
        </c:scaling>
        <c:delete val="1"/>
        <c:axPos val="l"/>
        <c:numFmt formatCode="General" sourceLinked="1"/>
        <c:majorTickMark val="none"/>
        <c:minorTickMark val="none"/>
        <c:tickLblPos val="nextTo"/>
        <c:crossAx val="99119558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Spread in the Data for Brother's History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997300944669365E-2"/>
          <c:y val="0.49022392350401645"/>
          <c:w val="0.91600539811066128"/>
          <c:h val="0.28206617447215676"/>
        </c:manualLayout>
      </c:layout>
      <c:scatterChart>
        <c:scatterStyle val="lineMarker"/>
        <c:varyColors val="0"/>
        <c:ser>
          <c:idx val="0"/>
          <c:order val="0"/>
          <c:tx>
            <c:strRef>
              <c:f>'z(1an)'!$AI$1</c:f>
              <c:strCache>
                <c:ptCount val="1"/>
                <c:pt idx="0">
                  <c:v>History Test Scores</c:v>
                </c:pt>
              </c:strCache>
            </c:strRef>
          </c:tx>
          <c:spPr>
            <a:ln w="19050" cap="rnd">
              <a:noFill/>
              <a:round/>
            </a:ln>
            <a:effectLst/>
          </c:spPr>
          <c:marker>
            <c:symbol val="circle"/>
            <c:size val="5"/>
            <c:spPr>
              <a:solidFill>
                <a:schemeClr val="accent1"/>
              </a:solidFill>
              <a:ln w="9525">
                <a:solidFill>
                  <a:schemeClr val="accent1"/>
                </a:solidFill>
              </a:ln>
              <a:effectLst/>
            </c:spPr>
          </c:marker>
          <c:xVal>
            <c:numRef>
              <c:f>'z(1an)'!$AH$2:$AH$26</c:f>
              <c:numCache>
                <c:formatCode>General</c:formatCode>
                <c:ptCount val="25"/>
                <c:pt idx="0">
                  <c:v>91</c:v>
                </c:pt>
                <c:pt idx="1">
                  <c:v>87</c:v>
                </c:pt>
                <c:pt idx="2">
                  <c:v>91</c:v>
                </c:pt>
                <c:pt idx="3">
                  <c:v>99</c:v>
                </c:pt>
                <c:pt idx="4">
                  <c:v>86</c:v>
                </c:pt>
                <c:pt idx="5">
                  <c:v>87</c:v>
                </c:pt>
                <c:pt idx="6">
                  <c:v>93</c:v>
                </c:pt>
                <c:pt idx="7">
                  <c:v>91</c:v>
                </c:pt>
                <c:pt idx="8">
                  <c:v>93</c:v>
                </c:pt>
                <c:pt idx="9">
                  <c:v>92</c:v>
                </c:pt>
                <c:pt idx="10">
                  <c:v>88</c:v>
                </c:pt>
                <c:pt idx="11">
                  <c:v>95</c:v>
                </c:pt>
                <c:pt idx="12">
                  <c:v>88</c:v>
                </c:pt>
                <c:pt idx="13">
                  <c:v>91</c:v>
                </c:pt>
                <c:pt idx="14">
                  <c:v>92</c:v>
                </c:pt>
                <c:pt idx="15">
                  <c:v>92</c:v>
                </c:pt>
                <c:pt idx="16">
                  <c:v>87</c:v>
                </c:pt>
                <c:pt idx="17">
                  <c:v>89</c:v>
                </c:pt>
                <c:pt idx="18">
                  <c:v>81</c:v>
                </c:pt>
                <c:pt idx="19">
                  <c:v>92</c:v>
                </c:pt>
                <c:pt idx="20">
                  <c:v>93</c:v>
                </c:pt>
                <c:pt idx="21">
                  <c:v>97</c:v>
                </c:pt>
                <c:pt idx="22">
                  <c:v>96</c:v>
                </c:pt>
                <c:pt idx="23">
                  <c:v>87</c:v>
                </c:pt>
                <c:pt idx="24">
                  <c:v>87</c:v>
                </c:pt>
              </c:numCache>
            </c:numRef>
          </c:xVal>
          <c:yVal>
            <c:numRef>
              <c:f>'z(1an)'!$AI$2:$AI$26</c:f>
              <c:numCache>
                <c:formatCode>General</c:formatCode>
                <c:ptCount val="25"/>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numCache>
            </c:numRef>
          </c:yVal>
          <c:smooth val="0"/>
          <c:extLst>
            <c:ext xmlns:c16="http://schemas.microsoft.com/office/drawing/2014/chart" uri="{C3380CC4-5D6E-409C-BE32-E72D297353CC}">
              <c16:uniqueId val="{00000000-0C9C-40BE-90E9-B729D3ACD2CF}"/>
            </c:ext>
          </c:extLst>
        </c:ser>
        <c:ser>
          <c:idx val="1"/>
          <c:order val="1"/>
          <c:tx>
            <c:strRef>
              <c:f>'z(1an)'!$AL$1</c:f>
              <c:strCache>
                <c:ptCount val="1"/>
                <c:pt idx="0">
                  <c:v>Xbar</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fld id="{46CCAEF3-C9B2-4848-A62D-A8832C80D08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C9C-40BE-90E9-B729D3ACD2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'z(1an)'!$AK$2</c:f>
              <c:numCache>
                <c:formatCode>General</c:formatCode>
                <c:ptCount val="1"/>
                <c:pt idx="0">
                  <c:v>91</c:v>
                </c:pt>
              </c:numCache>
            </c:numRef>
          </c:xVal>
          <c:yVal>
            <c:numRef>
              <c:f>'z(1an)'!$AL$2</c:f>
              <c:numCache>
                <c:formatCode>General</c:formatCode>
                <c:ptCount val="1"/>
                <c:pt idx="0">
                  <c:v>1</c:v>
                </c:pt>
              </c:numCache>
            </c:numRef>
          </c:yVal>
          <c:smooth val="0"/>
          <c:extLst>
            <c:ext xmlns:c15="http://schemas.microsoft.com/office/drawing/2012/chart" uri="{02D57815-91ED-43cb-92C2-25804820EDAC}">
              <c15:datalabelsRange>
                <c15:f>'z(1an)'!$AU$2</c15:f>
                <c15:dlblRangeCache>
                  <c:ptCount val="1"/>
                  <c:pt idx="0">
                    <c:v>Xbar = 91
s = 4</c:v>
                  </c:pt>
                </c15:dlblRangeCache>
              </c15:datalabelsRange>
            </c:ext>
            <c:ext xmlns:c16="http://schemas.microsoft.com/office/drawing/2014/chart" uri="{C3380CC4-5D6E-409C-BE32-E72D297353CC}">
              <c16:uniqueId val="{00000002-0C9C-40BE-90E9-B729D3ACD2CF}"/>
            </c:ext>
          </c:extLst>
        </c:ser>
        <c:ser>
          <c:idx val="2"/>
          <c:order val="2"/>
          <c:tx>
            <c:strRef>
              <c:f>'z(1an)'!$AS$1</c:f>
              <c:strCache>
                <c:ptCount val="1"/>
                <c:pt idx="0">
                  <c:v>Bro's Score</c:v>
                </c:pt>
              </c:strCache>
            </c:strRef>
          </c:tx>
          <c:spPr>
            <a:ln w="25400" cap="rnd">
              <a:noFill/>
              <a:round/>
            </a:ln>
            <a:effectLst/>
          </c:spPr>
          <c:marker>
            <c:symbol val="x"/>
            <c:size val="8"/>
            <c:spPr>
              <a:solidFill>
                <a:srgbClr val="7030A0"/>
              </a:solidFill>
              <a:ln w="9525">
                <a:solidFill>
                  <a:schemeClr val="accent3"/>
                </a:solidFill>
              </a:ln>
              <a:effectLst/>
            </c:spPr>
          </c:marker>
          <c:dLbls>
            <c:dLbl>
              <c:idx val="0"/>
              <c:tx>
                <c:rich>
                  <a:bodyPr/>
                  <a:lstStyle/>
                  <a:p>
                    <a:fld id="{CED8E028-9083-4097-B6E8-62FB90CE171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C9C-40BE-90E9-B729D3ACD2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'z(1an)'!$AR$2</c:f>
              <c:numCache>
                <c:formatCode>General</c:formatCode>
                <c:ptCount val="1"/>
                <c:pt idx="0">
                  <c:v>86</c:v>
                </c:pt>
              </c:numCache>
            </c:numRef>
          </c:xVal>
          <c:yVal>
            <c:numRef>
              <c:f>'z(1an)'!$AS$2</c:f>
              <c:numCache>
                <c:formatCode>General</c:formatCode>
                <c:ptCount val="1"/>
                <c:pt idx="0">
                  <c:v>1</c:v>
                </c:pt>
              </c:numCache>
            </c:numRef>
          </c:yVal>
          <c:smooth val="0"/>
          <c:extLst>
            <c:ext xmlns:c15="http://schemas.microsoft.com/office/drawing/2012/chart" uri="{02D57815-91ED-43cb-92C2-25804820EDAC}">
              <c15:datalabelsRange>
                <c15:f>'z(1an)'!$AV$2</c15:f>
                <c15:dlblRangeCache>
                  <c:ptCount val="1"/>
                  <c:pt idx="0">
                    <c:v>Bro's Score = 86
 1.25 SD Below Mean</c:v>
                  </c:pt>
                </c15:dlblRangeCache>
              </c15:datalabelsRange>
            </c:ext>
            <c:ext xmlns:c16="http://schemas.microsoft.com/office/drawing/2014/chart" uri="{C3380CC4-5D6E-409C-BE32-E72D297353CC}">
              <c16:uniqueId val="{00000004-0C9C-40BE-90E9-B729D3ACD2CF}"/>
            </c:ext>
          </c:extLst>
        </c:ser>
        <c:dLbls>
          <c:showLegendKey val="0"/>
          <c:showVal val="0"/>
          <c:showCatName val="0"/>
          <c:showSerName val="0"/>
          <c:showPercent val="0"/>
          <c:showBubbleSize val="0"/>
        </c:dLbls>
        <c:axId val="991200064"/>
        <c:axId val="991200624"/>
      </c:scatterChart>
      <c:valAx>
        <c:axId val="991200064"/>
        <c:scaling>
          <c:orientation val="minMax"/>
          <c:max val="100"/>
          <c:min val="80"/>
        </c:scaling>
        <c:delete val="0"/>
        <c:axPos val="b"/>
        <c:title>
          <c:tx>
            <c:strRef>
              <c:f>'z(1an)'!$AI$1</c:f>
              <c:strCache>
                <c:ptCount val="1"/>
                <c:pt idx="0">
                  <c:v>History Test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200624"/>
        <c:crosses val="autoZero"/>
        <c:crossBetween val="midCat"/>
      </c:valAx>
      <c:valAx>
        <c:axId val="991200624"/>
        <c:scaling>
          <c:orientation val="minMax"/>
        </c:scaling>
        <c:delete val="1"/>
        <c:axPos val="l"/>
        <c:numFmt formatCode="General" sourceLinked="1"/>
        <c:majorTickMark val="none"/>
        <c:minorTickMark val="none"/>
        <c:tickLblPos val="nextTo"/>
        <c:crossAx val="9912000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Count of Test Scores</a:t>
            </a:r>
          </a:p>
        </c:rich>
      </c:tx>
      <c:overlay val="0"/>
    </c:title>
    <c:autoTitleDeleted val="0"/>
    <c:plotArea>
      <c:layout/>
      <c:barChart>
        <c:barDir val="col"/>
        <c:grouping val="clustered"/>
        <c:varyColors val="1"/>
        <c:ser>
          <c:idx val="0"/>
          <c:order val="0"/>
          <c:tx>
            <c:strRef>
              <c:f>'z(2)'!$G$5</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'z(2)'!$F$6:$F$16</c:f>
              <c:strCache>
                <c:ptCount val="11"/>
                <c:pt idx="0">
                  <c:v>0
up to
10</c:v>
                </c:pt>
                <c:pt idx="1">
                  <c:v>10
up to
20</c:v>
                </c:pt>
                <c:pt idx="2">
                  <c:v>20
up to
30</c:v>
                </c:pt>
                <c:pt idx="3">
                  <c:v>30
up to
40</c:v>
                </c:pt>
                <c:pt idx="4">
                  <c:v>40
up to
50</c:v>
                </c:pt>
                <c:pt idx="5">
                  <c:v>50
up to
60</c:v>
                </c:pt>
                <c:pt idx="6">
                  <c:v>60
up to
70</c:v>
                </c:pt>
                <c:pt idx="7">
                  <c:v>70
up to
80</c:v>
                </c:pt>
                <c:pt idx="8">
                  <c:v>80
up to
90</c:v>
                </c:pt>
                <c:pt idx="9">
                  <c:v>90
up to
100</c:v>
                </c:pt>
                <c:pt idx="10">
                  <c:v>100
up to
110</c:v>
                </c:pt>
              </c:strCache>
            </c:strRef>
          </c:cat>
          <c:val>
            <c:numRef>
              <c:f>'z(2)'!$G$6:$G$16</c:f>
              <c:numCache>
                <c:formatCode>General</c:formatCode>
                <c:ptCount val="11"/>
                <c:pt idx="0">
                  <c:v>0</c:v>
                </c:pt>
                <c:pt idx="1">
                  <c:v>0</c:v>
                </c:pt>
                <c:pt idx="2">
                  <c:v>0</c:v>
                </c:pt>
                <c:pt idx="3">
                  <c:v>8</c:v>
                </c:pt>
                <c:pt idx="4">
                  <c:v>6</c:v>
                </c:pt>
                <c:pt idx="5">
                  <c:v>33</c:v>
                </c:pt>
                <c:pt idx="6">
                  <c:v>33</c:v>
                </c:pt>
                <c:pt idx="7">
                  <c:v>7</c:v>
                </c:pt>
                <c:pt idx="8">
                  <c:v>10</c:v>
                </c:pt>
                <c:pt idx="9">
                  <c:v>3</c:v>
                </c:pt>
                <c:pt idx="10">
                  <c:v>0</c:v>
                </c:pt>
              </c:numCache>
            </c:numRef>
          </c:val>
          <c:extLst>
            <c:ext xmlns:c16="http://schemas.microsoft.com/office/drawing/2014/chart" uri="{C3380CC4-5D6E-409C-BE32-E72D297353CC}">
              <c16:uniqueId val="{00000000-E759-4EE2-A936-B56068E779B6}"/>
            </c:ext>
          </c:extLst>
        </c:ser>
        <c:dLbls>
          <c:showLegendKey val="0"/>
          <c:showVal val="0"/>
          <c:showCatName val="0"/>
          <c:showSerName val="0"/>
          <c:showPercent val="0"/>
          <c:showBubbleSize val="0"/>
        </c:dLbls>
        <c:gapWidth val="0"/>
        <c:overlap val="100"/>
        <c:axId val="991203424"/>
        <c:axId val="991203984"/>
      </c:barChart>
      <c:catAx>
        <c:axId val="991203424"/>
        <c:scaling>
          <c:orientation val="minMax"/>
        </c:scaling>
        <c:delete val="0"/>
        <c:axPos val="b"/>
        <c:title>
          <c:tx>
            <c:strRef>
              <c:f>'z(2)'!$A$5</c:f>
              <c:strCache>
                <c:ptCount val="1"/>
                <c:pt idx="0">
                  <c:v>Test 1 Scores</c:v>
                </c:pt>
              </c:strCache>
            </c:strRef>
          </c:tx>
          <c:overlay val="0"/>
        </c:title>
        <c:numFmt formatCode="General" sourceLinked="0"/>
        <c:majorTickMark val="out"/>
        <c:minorTickMark val="none"/>
        <c:tickLblPos val="nextTo"/>
        <c:crossAx val="991203984"/>
        <c:crosses val="autoZero"/>
        <c:auto val="1"/>
        <c:lblAlgn val="ctr"/>
        <c:lblOffset val="100"/>
        <c:noMultiLvlLbl val="0"/>
      </c:catAx>
      <c:valAx>
        <c:axId val="991203984"/>
        <c:scaling>
          <c:orientation val="minMax"/>
        </c:scaling>
        <c:delete val="1"/>
        <c:axPos val="l"/>
        <c:numFmt formatCode="General" sourceLinked="1"/>
        <c:majorTickMark val="out"/>
        <c:minorTickMark val="none"/>
        <c:tickLblPos val="nextTo"/>
        <c:crossAx val="991203424"/>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Count of Test Scores</a:t>
            </a:r>
          </a:p>
        </c:rich>
      </c:tx>
      <c:overlay val="0"/>
    </c:title>
    <c:autoTitleDeleted val="0"/>
    <c:plotArea>
      <c:layout/>
      <c:barChart>
        <c:barDir val="col"/>
        <c:grouping val="clustered"/>
        <c:varyColors val="1"/>
        <c:ser>
          <c:idx val="0"/>
          <c:order val="0"/>
          <c:tx>
            <c:strRef>
              <c:f>'z(2an)'!$G$5</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'z(2an)'!$F$6:$F$16</c:f>
              <c:strCache>
                <c:ptCount val="11"/>
                <c:pt idx="0">
                  <c:v>0
up to
10</c:v>
                </c:pt>
                <c:pt idx="1">
                  <c:v>10
up to
20</c:v>
                </c:pt>
                <c:pt idx="2">
                  <c:v>20
up to
30</c:v>
                </c:pt>
                <c:pt idx="3">
                  <c:v>30
up to
40</c:v>
                </c:pt>
                <c:pt idx="4">
                  <c:v>40
up to
50</c:v>
                </c:pt>
                <c:pt idx="5">
                  <c:v>50
up to
60</c:v>
                </c:pt>
                <c:pt idx="6">
                  <c:v>60
up to
70</c:v>
                </c:pt>
                <c:pt idx="7">
                  <c:v>70
up to
80</c:v>
                </c:pt>
                <c:pt idx="8">
                  <c:v>80
up to
90</c:v>
                </c:pt>
                <c:pt idx="9">
                  <c:v>90
up to
100</c:v>
                </c:pt>
                <c:pt idx="10">
                  <c:v>100
up to
110</c:v>
                </c:pt>
              </c:strCache>
            </c:strRef>
          </c:cat>
          <c:val>
            <c:numRef>
              <c:f>'z(2an)'!$G$6:$G$16</c:f>
              <c:numCache>
                <c:formatCode>General</c:formatCode>
                <c:ptCount val="11"/>
                <c:pt idx="0">
                  <c:v>0</c:v>
                </c:pt>
                <c:pt idx="1">
                  <c:v>0</c:v>
                </c:pt>
                <c:pt idx="2">
                  <c:v>0</c:v>
                </c:pt>
                <c:pt idx="3">
                  <c:v>8</c:v>
                </c:pt>
                <c:pt idx="4">
                  <c:v>6</c:v>
                </c:pt>
                <c:pt idx="5">
                  <c:v>33</c:v>
                </c:pt>
                <c:pt idx="6">
                  <c:v>33</c:v>
                </c:pt>
                <c:pt idx="7">
                  <c:v>7</c:v>
                </c:pt>
                <c:pt idx="8">
                  <c:v>10</c:v>
                </c:pt>
                <c:pt idx="9">
                  <c:v>3</c:v>
                </c:pt>
                <c:pt idx="10">
                  <c:v>0</c:v>
                </c:pt>
              </c:numCache>
            </c:numRef>
          </c:val>
          <c:extLst>
            <c:ext xmlns:c16="http://schemas.microsoft.com/office/drawing/2014/chart" uri="{C3380CC4-5D6E-409C-BE32-E72D297353CC}">
              <c16:uniqueId val="{00000000-56C8-47C3-9A37-818EE5052ADA}"/>
            </c:ext>
          </c:extLst>
        </c:ser>
        <c:dLbls>
          <c:showLegendKey val="0"/>
          <c:showVal val="0"/>
          <c:showCatName val="0"/>
          <c:showSerName val="0"/>
          <c:showPercent val="0"/>
          <c:showBubbleSize val="0"/>
        </c:dLbls>
        <c:gapWidth val="0"/>
        <c:overlap val="100"/>
        <c:axId val="991206224"/>
        <c:axId val="991206784"/>
      </c:barChart>
      <c:catAx>
        <c:axId val="991206224"/>
        <c:scaling>
          <c:orientation val="minMax"/>
        </c:scaling>
        <c:delete val="0"/>
        <c:axPos val="b"/>
        <c:title>
          <c:tx>
            <c:strRef>
              <c:f>'z(2an)'!$A$5</c:f>
              <c:strCache>
                <c:ptCount val="1"/>
                <c:pt idx="0">
                  <c:v>Test 1 Scores</c:v>
                </c:pt>
              </c:strCache>
            </c:strRef>
          </c:tx>
          <c:overlay val="0"/>
        </c:title>
        <c:numFmt formatCode="General" sourceLinked="0"/>
        <c:majorTickMark val="out"/>
        <c:minorTickMark val="none"/>
        <c:tickLblPos val="nextTo"/>
        <c:crossAx val="991206784"/>
        <c:crosses val="autoZero"/>
        <c:auto val="1"/>
        <c:lblAlgn val="ctr"/>
        <c:lblOffset val="100"/>
        <c:noMultiLvlLbl val="0"/>
      </c:catAx>
      <c:valAx>
        <c:axId val="991206784"/>
        <c:scaling>
          <c:orientation val="minMax"/>
        </c:scaling>
        <c:delete val="1"/>
        <c:axPos val="l"/>
        <c:numFmt formatCode="General" sourceLinked="1"/>
        <c:majorTickMark val="out"/>
        <c:minorTickMark val="none"/>
        <c:tickLblPos val="nextTo"/>
        <c:crossAx val="991206224"/>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19EF-4303-A942-D8004FD93381}"/>
            </c:ext>
          </c:extLst>
        </c:ser>
        <c:dLbls>
          <c:showLegendKey val="0"/>
          <c:showVal val="0"/>
          <c:showCatName val="0"/>
          <c:showSerName val="0"/>
          <c:showPercent val="0"/>
          <c:showBubbleSize val="0"/>
        </c:dLbls>
        <c:gapWidth val="0"/>
        <c:overlap val="100"/>
        <c:axId val="991210144"/>
        <c:axId val="991210704"/>
      </c:barChart>
      <c:catAx>
        <c:axId val="991210144"/>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991210704"/>
        <c:crosses val="autoZero"/>
        <c:auto val="1"/>
        <c:lblAlgn val="ctr"/>
        <c:lblOffset val="100"/>
        <c:noMultiLvlLbl val="0"/>
      </c:catAx>
      <c:valAx>
        <c:axId val="991210704"/>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991210144"/>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'z(3an)'!$A$4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'z(3an)'!$P$4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'z(3an)'!$O$5:$O$27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'z(3an)'!$P$5:$P$27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8BB6-4B48-9944-CEA680FCFB92}"/>
            </c:ext>
          </c:extLst>
        </c:ser>
        <c:dLbls>
          <c:showLegendKey val="0"/>
          <c:showVal val="0"/>
          <c:showCatName val="0"/>
          <c:showSerName val="0"/>
          <c:showPercent val="0"/>
          <c:showBubbleSize val="0"/>
        </c:dLbls>
        <c:gapWidth val="0"/>
        <c:overlap val="100"/>
        <c:axId val="991212944"/>
        <c:axId val="991213504"/>
      </c:barChart>
      <c:catAx>
        <c:axId val="991212944"/>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991213504"/>
        <c:crosses val="autoZero"/>
        <c:auto val="1"/>
        <c:lblAlgn val="ctr"/>
        <c:lblOffset val="100"/>
        <c:noMultiLvlLbl val="0"/>
      </c:catAx>
      <c:valAx>
        <c:axId val="991213504"/>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99121294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HeightChart!$AC$1</c:f>
          <c:strCache>
            <c:ptCount val="1"/>
            <c:pt idx="0">
              <c:v>Normal Distribution, Bell Shaped Distribution, Gaussian Distribution, Symmetrical Distribution</c:v>
            </c:pt>
          </c:strCache>
        </c:strRef>
      </c:tx>
      <c:overlay val="0"/>
    </c:title>
    <c:autoTitleDeleted val="0"/>
    <c:plotArea>
      <c:layout>
        <c:manualLayout>
          <c:layoutTarget val="inner"/>
          <c:xMode val="edge"/>
          <c:yMode val="edge"/>
          <c:x val="3.5681210660747857E-2"/>
          <c:y val="0.31801139219836133"/>
          <c:w val="0.93094956313331401"/>
          <c:h val="0.46506082989934439"/>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EEB8-492C-886F-B7281F19515C}"/>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EEB8-492C-886F-B7281F19515C}"/>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EEB8-492C-886F-B7281F19515C}"/>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EEB8-492C-886F-B7281F19515C}"/>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EEB8-492C-886F-B7281F19515C}"/>
            </c:ext>
          </c:extLst>
        </c:ser>
        <c:dLbls>
          <c:showLegendKey val="0"/>
          <c:showVal val="0"/>
          <c:showCatName val="0"/>
          <c:showSerName val="0"/>
          <c:showPercent val="0"/>
          <c:showBubbleSize val="0"/>
        </c:dLbls>
        <c:axId val="991217984"/>
        <c:axId val="991218544"/>
      </c:areaChart>
      <c:catAx>
        <c:axId val="991217984"/>
        <c:scaling>
          <c:orientation val="minMax"/>
        </c:scaling>
        <c:delete val="0"/>
        <c:axPos val="b"/>
        <c:title>
          <c:tx>
            <c:strRef>
              <c:f>HeightChart!$N$3</c:f>
              <c:strCache>
                <c:ptCount val="1"/>
                <c:pt idx="0">
                  <c:v>X = Hieght
z = # of SD from Mean</c:v>
                </c:pt>
              </c:strCache>
            </c:strRef>
          </c:tx>
          <c:overlay val="0"/>
        </c:title>
        <c:numFmt formatCode="General" sourceLinked="0"/>
        <c:majorTickMark val="none"/>
        <c:minorTickMark val="none"/>
        <c:tickLblPos val="nextTo"/>
        <c:crossAx val="991218544"/>
        <c:crosses val="autoZero"/>
        <c:auto val="1"/>
        <c:lblAlgn val="ctr"/>
        <c:lblOffset val="100"/>
        <c:tickLblSkip val="10"/>
        <c:noMultiLvlLbl val="0"/>
      </c:catAx>
      <c:valAx>
        <c:axId val="991218544"/>
        <c:scaling>
          <c:orientation val="minMax"/>
        </c:scaling>
        <c:delete val="1"/>
        <c:axPos val="l"/>
        <c:numFmt formatCode="General" sourceLinked="1"/>
        <c:majorTickMark val="out"/>
        <c:minorTickMark val="none"/>
        <c:tickLblPos val="nextTo"/>
        <c:crossAx val="991217984"/>
        <c:crosses val="autoZero"/>
        <c:crossBetween val="between"/>
      </c:valAx>
    </c:plotArea>
    <c:legend>
      <c:legendPos val="t"/>
      <c:overlay val="0"/>
    </c:legend>
    <c:plotVisOnly val="1"/>
    <c:dispBlanksAs val="zero"/>
    <c:showDLblsOverMax val="0"/>
  </c:chart>
  <c:txPr>
    <a:bodyPr/>
    <a:lstStyle/>
    <a:p>
      <a:pPr>
        <a:defRPr sz="1200"/>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A16F-4042-A4B9-4A1DB2326AF2}"/>
            </c:ext>
          </c:extLst>
        </c:ser>
        <c:dLbls>
          <c:showLegendKey val="0"/>
          <c:showVal val="0"/>
          <c:showCatName val="0"/>
          <c:showSerName val="0"/>
          <c:showPercent val="0"/>
          <c:showBubbleSize val="0"/>
        </c:dLbls>
        <c:gapWidth val="0"/>
        <c:overlap val="100"/>
        <c:axId val="1031464448"/>
        <c:axId val="1031465008"/>
      </c:barChart>
      <c:catAx>
        <c:axId val="1031464448"/>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1031465008"/>
        <c:crosses val="autoZero"/>
        <c:auto val="1"/>
        <c:lblAlgn val="ctr"/>
        <c:lblOffset val="100"/>
        <c:noMultiLvlLbl val="0"/>
      </c:catAx>
      <c:valAx>
        <c:axId val="1031465008"/>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1031464448"/>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81210660747857E-2"/>
          <c:y val="3.6530058552333974E-2"/>
          <c:w val="0.93094956313331401"/>
          <c:h val="0.74654214137249542"/>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1D15-42A2-82F9-EFD464AC8048}"/>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1D15-42A2-82F9-EFD464AC8048}"/>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1D15-42A2-82F9-EFD464AC8048}"/>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1D15-42A2-82F9-EFD464AC8048}"/>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1D15-42A2-82F9-EFD464AC8048}"/>
            </c:ext>
          </c:extLst>
        </c:ser>
        <c:dLbls>
          <c:showLegendKey val="0"/>
          <c:showVal val="0"/>
          <c:showCatName val="0"/>
          <c:showSerName val="0"/>
          <c:showPercent val="0"/>
          <c:showBubbleSize val="0"/>
        </c:dLbls>
        <c:axId val="1031468368"/>
        <c:axId val="1031468928"/>
      </c:areaChart>
      <c:catAx>
        <c:axId val="1031468368"/>
        <c:scaling>
          <c:orientation val="minMax"/>
        </c:scaling>
        <c:delete val="1"/>
        <c:axPos val="b"/>
        <c:title>
          <c:tx>
            <c:rich>
              <a:bodyPr/>
              <a:lstStyle/>
              <a:p>
                <a:pPr>
                  <a:defRPr/>
                </a:pPr>
                <a:r>
                  <a:rPr lang="en-US"/>
                  <a:t>z = # SD</a:t>
                </a:r>
              </a:p>
            </c:rich>
          </c:tx>
          <c:layout>
            <c:manualLayout>
              <c:xMode val="edge"/>
              <c:yMode val="edge"/>
              <c:x val="0.45671831082747938"/>
              <c:y val="0.92233142669433044"/>
            </c:manualLayout>
          </c:layout>
          <c:overlay val="0"/>
        </c:title>
        <c:numFmt formatCode="General" sourceLinked="0"/>
        <c:majorTickMark val="none"/>
        <c:minorTickMark val="none"/>
        <c:tickLblPos val="nextTo"/>
        <c:crossAx val="1031468928"/>
        <c:crosses val="autoZero"/>
        <c:auto val="1"/>
        <c:lblAlgn val="ctr"/>
        <c:lblOffset val="100"/>
        <c:tickLblSkip val="10"/>
        <c:noMultiLvlLbl val="0"/>
      </c:catAx>
      <c:valAx>
        <c:axId val="1031468928"/>
        <c:scaling>
          <c:orientation val="minMax"/>
        </c:scaling>
        <c:delete val="1"/>
        <c:axPos val="l"/>
        <c:numFmt formatCode="General" sourceLinked="1"/>
        <c:majorTickMark val="out"/>
        <c:minorTickMark val="none"/>
        <c:tickLblPos val="nextTo"/>
        <c:crossAx val="1031468368"/>
        <c:crosses val="autoZero"/>
        <c:crossBetween val="between"/>
      </c:valAx>
    </c:plotArea>
    <c:plotVisOnly val="1"/>
    <c:dispBlanksAs val="zero"/>
    <c:showDLblsOverMax val="0"/>
  </c:chart>
  <c:txPr>
    <a:bodyPr/>
    <a:lstStyle/>
    <a:p>
      <a:pPr>
        <a:defRPr sz="1200"/>
      </a:pPr>
      <a:endParaRPr lang="en-US"/>
    </a:p>
  </c:txPr>
  <c:printSettings>
    <c:headerFooter/>
    <c:pageMargins b="0.75" l="0.7" r="0.7" t="0.75" header="0.3" footer="0.3"/>
    <c:pageSetup/>
  </c:printSettings>
  <c:userShapes r:id="rId1"/>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HeightChart!$AC$1</c:f>
          <c:strCache>
            <c:ptCount val="1"/>
            <c:pt idx="0">
              <c:v>Normal Distribution, Bell Shaped Distribution, Gaussian Distribution, Symmetrical Distribution</c:v>
            </c:pt>
          </c:strCache>
        </c:strRef>
      </c:tx>
      <c:overlay val="0"/>
    </c:title>
    <c:autoTitleDeleted val="0"/>
    <c:plotArea>
      <c:layout>
        <c:manualLayout>
          <c:layoutTarget val="inner"/>
          <c:xMode val="edge"/>
          <c:yMode val="edge"/>
          <c:x val="3.5681210660747857E-2"/>
          <c:y val="0.31801139219836133"/>
          <c:w val="0.93094956313331401"/>
          <c:h val="0.46506082989934439"/>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4D35-4254-9A64-00358FF43103}"/>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4D35-4254-9A64-00358FF43103}"/>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4D35-4254-9A64-00358FF43103}"/>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4D35-4254-9A64-00358FF43103}"/>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4D35-4254-9A64-00358FF43103}"/>
            </c:ext>
          </c:extLst>
        </c:ser>
        <c:dLbls>
          <c:showLegendKey val="0"/>
          <c:showVal val="0"/>
          <c:showCatName val="0"/>
          <c:showSerName val="0"/>
          <c:showPercent val="0"/>
          <c:showBubbleSize val="0"/>
        </c:dLbls>
        <c:axId val="1031475648"/>
        <c:axId val="1031476208"/>
      </c:areaChart>
      <c:catAx>
        <c:axId val="1031475648"/>
        <c:scaling>
          <c:orientation val="minMax"/>
        </c:scaling>
        <c:delete val="0"/>
        <c:axPos val="b"/>
        <c:title>
          <c:tx>
            <c:strRef>
              <c:f>HeightChart!$N$3</c:f>
              <c:strCache>
                <c:ptCount val="1"/>
                <c:pt idx="0">
                  <c:v>X = Hieght
z = # of SD from Mean</c:v>
                </c:pt>
              </c:strCache>
            </c:strRef>
          </c:tx>
          <c:overlay val="0"/>
        </c:title>
        <c:numFmt formatCode="General" sourceLinked="0"/>
        <c:majorTickMark val="none"/>
        <c:minorTickMark val="none"/>
        <c:tickLblPos val="nextTo"/>
        <c:crossAx val="1031476208"/>
        <c:crosses val="autoZero"/>
        <c:auto val="1"/>
        <c:lblAlgn val="ctr"/>
        <c:lblOffset val="100"/>
        <c:tickLblSkip val="10"/>
        <c:noMultiLvlLbl val="0"/>
      </c:catAx>
      <c:valAx>
        <c:axId val="1031476208"/>
        <c:scaling>
          <c:orientation val="minMax"/>
        </c:scaling>
        <c:delete val="1"/>
        <c:axPos val="l"/>
        <c:numFmt formatCode="General" sourceLinked="1"/>
        <c:majorTickMark val="out"/>
        <c:minorTickMark val="none"/>
        <c:tickLblPos val="nextTo"/>
        <c:crossAx val="1031475648"/>
        <c:crosses val="autoZero"/>
        <c:crossBetween val="between"/>
      </c:valAx>
    </c:plotArea>
    <c:legend>
      <c:legendPos val="t"/>
      <c:overlay val="0"/>
    </c:legend>
    <c:plotVisOnly val="1"/>
    <c:dispBlanksAs val="zero"/>
    <c:showDLblsOverMax val="0"/>
  </c:chart>
  <c:txPr>
    <a:bodyPr/>
    <a:lstStyle/>
    <a:p>
      <a:pPr>
        <a:defRPr sz="120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'z(3)'!$A$4</c:f>
          <c:strCache>
            <c:ptCount val="1"/>
            <c:pt idx="0">
              <c:v>Heights of Students in Class (inches)</c:v>
            </c:pt>
          </c:strCache>
        </c:strRef>
      </c:tx>
      <c:overlay val="0"/>
      <c:txPr>
        <a:bodyPr/>
        <a:lstStyle/>
        <a:p>
          <a:pPr>
            <a:defRPr/>
          </a:pPr>
          <a:endParaRPr lang="en-US"/>
        </a:p>
      </c:txPr>
    </c:title>
    <c:autoTitleDeleted val="0"/>
    <c:plotArea>
      <c:layout/>
      <c:barChart>
        <c:barDir val="col"/>
        <c:grouping val="clustered"/>
        <c:varyColors val="1"/>
        <c:ser>
          <c:idx val="0"/>
          <c:order val="0"/>
          <c:tx>
            <c:strRef>
              <c:f>'z(3)'!$P$4</c:f>
              <c:strCache>
                <c:ptCount val="1"/>
                <c:pt idx="0">
                  <c:v>Frequency</c:v>
                </c:pt>
              </c:strCache>
            </c:strRef>
          </c:tx>
          <c:spPr>
            <a:ln>
              <a:solidFill>
                <a:schemeClr val="tx1"/>
              </a:solidFill>
            </a:ln>
          </c:spPr>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'z(3)'!$O$5:$O$27</c:f>
              <c:numCache>
                <c:formatCode>General</c:formatCode>
                <c:ptCount val="23"/>
                <c:pt idx="0">
                  <c:v>61</c:v>
                </c:pt>
                <c:pt idx="1">
                  <c:v>62</c:v>
                </c:pt>
                <c:pt idx="2">
                  <c:v>63</c:v>
                </c:pt>
                <c:pt idx="3">
                  <c:v>64</c:v>
                </c:pt>
                <c:pt idx="4">
                  <c:v>65</c:v>
                </c:pt>
                <c:pt idx="5">
                  <c:v>66</c:v>
                </c:pt>
                <c:pt idx="6">
                  <c:v>67</c:v>
                </c:pt>
                <c:pt idx="7">
                  <c:v>68</c:v>
                </c:pt>
                <c:pt idx="8">
                  <c:v>69</c:v>
                </c:pt>
                <c:pt idx="9">
                  <c:v>70</c:v>
                </c:pt>
                <c:pt idx="10">
                  <c:v>71</c:v>
                </c:pt>
                <c:pt idx="11">
                  <c:v>72</c:v>
                </c:pt>
                <c:pt idx="12">
                  <c:v>73</c:v>
                </c:pt>
                <c:pt idx="13">
                  <c:v>74</c:v>
                </c:pt>
                <c:pt idx="14">
                  <c:v>75</c:v>
                </c:pt>
                <c:pt idx="15">
                  <c:v>76</c:v>
                </c:pt>
                <c:pt idx="16">
                  <c:v>77</c:v>
                </c:pt>
                <c:pt idx="17">
                  <c:v>78</c:v>
                </c:pt>
                <c:pt idx="18">
                  <c:v>79</c:v>
                </c:pt>
                <c:pt idx="19">
                  <c:v>80</c:v>
                </c:pt>
                <c:pt idx="20">
                  <c:v>81</c:v>
                </c:pt>
                <c:pt idx="21">
                  <c:v>82</c:v>
                </c:pt>
                <c:pt idx="22">
                  <c:v>83</c:v>
                </c:pt>
              </c:numCache>
            </c:numRef>
          </c:cat>
          <c:val>
            <c:numRef>
              <c:f>'z(3)'!$P$5:$P$27</c:f>
              <c:numCache>
                <c:formatCode>General</c:formatCode>
                <c:ptCount val="23"/>
                <c:pt idx="0">
                  <c:v>1</c:v>
                </c:pt>
                <c:pt idx="1">
                  <c:v>0</c:v>
                </c:pt>
                <c:pt idx="2">
                  <c:v>1</c:v>
                </c:pt>
                <c:pt idx="3">
                  <c:v>2</c:v>
                </c:pt>
                <c:pt idx="4">
                  <c:v>3</c:v>
                </c:pt>
                <c:pt idx="5">
                  <c:v>3</c:v>
                </c:pt>
                <c:pt idx="6">
                  <c:v>5</c:v>
                </c:pt>
                <c:pt idx="7">
                  <c:v>5</c:v>
                </c:pt>
                <c:pt idx="8">
                  <c:v>6</c:v>
                </c:pt>
                <c:pt idx="9">
                  <c:v>8</c:v>
                </c:pt>
                <c:pt idx="10">
                  <c:v>10</c:v>
                </c:pt>
                <c:pt idx="11">
                  <c:v>9</c:v>
                </c:pt>
                <c:pt idx="12">
                  <c:v>8</c:v>
                </c:pt>
                <c:pt idx="13">
                  <c:v>6</c:v>
                </c:pt>
                <c:pt idx="14">
                  <c:v>6</c:v>
                </c:pt>
                <c:pt idx="15">
                  <c:v>4</c:v>
                </c:pt>
                <c:pt idx="16">
                  <c:v>4</c:v>
                </c:pt>
                <c:pt idx="17">
                  <c:v>1</c:v>
                </c:pt>
                <c:pt idx="18">
                  <c:v>2</c:v>
                </c:pt>
                <c:pt idx="19">
                  <c:v>0</c:v>
                </c:pt>
                <c:pt idx="20">
                  <c:v>1</c:v>
                </c:pt>
                <c:pt idx="21">
                  <c:v>0</c:v>
                </c:pt>
                <c:pt idx="22">
                  <c:v>1</c:v>
                </c:pt>
              </c:numCache>
            </c:numRef>
          </c:val>
          <c:extLst>
            <c:ext xmlns:c16="http://schemas.microsoft.com/office/drawing/2014/chart" uri="{C3380CC4-5D6E-409C-BE32-E72D297353CC}">
              <c16:uniqueId val="{00000000-C9FE-45B2-A5D5-AE2496E7F8C1}"/>
            </c:ext>
          </c:extLst>
        </c:ser>
        <c:dLbls>
          <c:showLegendKey val="0"/>
          <c:showVal val="0"/>
          <c:showCatName val="0"/>
          <c:showSerName val="0"/>
          <c:showPercent val="0"/>
          <c:showBubbleSize val="0"/>
        </c:dLbls>
        <c:gapWidth val="0"/>
        <c:overlap val="100"/>
        <c:axId val="808008880"/>
        <c:axId val="808009440"/>
      </c:barChart>
      <c:catAx>
        <c:axId val="808008880"/>
        <c:scaling>
          <c:orientation val="minMax"/>
        </c:scaling>
        <c:delete val="0"/>
        <c:axPos val="b"/>
        <c:title>
          <c:tx>
            <c:rich>
              <a:bodyPr/>
              <a:lstStyle/>
              <a:p>
                <a:pPr>
                  <a:defRPr/>
                </a:pPr>
                <a:r>
                  <a:rPr lang="en-US"/>
                  <a:t>Human Height (inches)</a:t>
                </a:r>
              </a:p>
            </c:rich>
          </c:tx>
          <c:overlay val="0"/>
        </c:title>
        <c:numFmt formatCode="General" sourceLinked="1"/>
        <c:majorTickMark val="out"/>
        <c:minorTickMark val="none"/>
        <c:tickLblPos val="nextTo"/>
        <c:crossAx val="808009440"/>
        <c:crosses val="autoZero"/>
        <c:auto val="1"/>
        <c:lblAlgn val="ctr"/>
        <c:lblOffset val="100"/>
        <c:noMultiLvlLbl val="0"/>
      </c:catAx>
      <c:valAx>
        <c:axId val="808009440"/>
        <c:scaling>
          <c:orientation val="minMax"/>
        </c:scaling>
        <c:delete val="1"/>
        <c:axPos val="l"/>
        <c:title>
          <c:tx>
            <c:rich>
              <a:bodyPr/>
              <a:lstStyle/>
              <a:p>
                <a:pPr>
                  <a:defRPr/>
                </a:pPr>
                <a:r>
                  <a:rPr lang="en-US"/>
                  <a:t>Frequency</a:t>
                </a:r>
              </a:p>
            </c:rich>
          </c:tx>
          <c:overlay val="0"/>
        </c:title>
        <c:numFmt formatCode="General" sourceLinked="1"/>
        <c:majorTickMark val="out"/>
        <c:minorTickMark val="none"/>
        <c:tickLblPos val="nextTo"/>
        <c:crossAx val="80800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681210660747857E-2"/>
          <c:y val="3.6530058552333974E-2"/>
          <c:w val="0.93094956313331401"/>
          <c:h val="0.74654214137249542"/>
        </c:manualLayout>
      </c:layout>
      <c:areaChart>
        <c:grouping val="standard"/>
        <c:varyColors val="0"/>
        <c:ser>
          <c:idx val="0"/>
          <c:order val="0"/>
          <c:tx>
            <c:strRef>
              <c:f>HeightChart!$E$10</c:f>
              <c:strCache>
                <c:ptCount val="1"/>
                <c:pt idx="0">
                  <c:v>All Area Under Curve = 100% = All Possibilities. Each half = 50%.</c:v>
                </c:pt>
              </c:strCache>
            </c:strRef>
          </c:tx>
          <c:cat>
            <c:strRef>
              <c:f>HeightChart!$D$11:$D$1230</c:f>
              <c:strCache>
                <c:ptCount val="571"/>
                <c:pt idx="90">
                  <c:v>59"
- 3 z</c:v>
                </c:pt>
                <c:pt idx="170">
                  <c:v>63"
- 2 z</c:v>
                </c:pt>
                <c:pt idx="250">
                  <c:v>67"
- 1 z</c:v>
                </c:pt>
                <c:pt idx="330">
                  <c:v>71"
 0 z</c:v>
                </c:pt>
                <c:pt idx="410">
                  <c:v>75"
 1 z</c:v>
                </c:pt>
                <c:pt idx="490">
                  <c:v>79"
 2 z</c:v>
                </c:pt>
                <c:pt idx="570">
                  <c:v>83"
 3 z</c:v>
                </c:pt>
              </c:strCache>
            </c:strRef>
          </c:cat>
          <c:val>
            <c:numRef>
              <c:f>HeightChart!$E$11:$E$1230</c:f>
              <c:numCache>
                <c:formatCode>General</c:formatCode>
                <c:ptCount val="660"/>
                <c:pt idx="0">
                  <c:v>2.0135112138898535E-5</c:v>
                </c:pt>
                <c:pt idx="1">
                  <c:v>2.1198905195858671E-5</c:v>
                </c:pt>
                <c:pt idx="2">
                  <c:v>2.2315414294283232E-5</c:v>
                </c:pt>
                <c:pt idx="3">
                  <c:v>2.3487057826141418E-5</c:v>
                </c:pt>
                <c:pt idx="4">
                  <c:v>2.4716354836342382E-5</c:v>
                </c:pt>
                <c:pt idx="5">
                  <c:v>2.6005928691920975E-5</c:v>
                </c:pt>
                <c:pt idx="6">
                  <c:v>2.735851085995004E-5</c:v>
                </c:pt>
                <c:pt idx="7">
                  <c:v>2.8776944796231929E-5</c:v>
                </c:pt>
                <c:pt idx="8">
                  <c:v>3.0264189946811098E-5</c:v>
                </c:pt>
                <c:pt idx="9">
                  <c:v>3.1823325864330464E-5</c:v>
                </c:pt>
                <c:pt idx="10">
                  <c:v>3.3457556441221342E-5</c:v>
                </c:pt>
                <c:pt idx="11">
                  <c:v>3.5170214261702399E-5</c:v>
                </c:pt>
                <c:pt idx="12">
                  <c:v>3.6964765074518469E-5</c:v>
                </c:pt>
                <c:pt idx="13">
                  <c:v>3.8844812388321954E-5</c:v>
                </c:pt>
                <c:pt idx="14">
                  <c:v>4.0814102191560646E-5</c:v>
                </c:pt>
                <c:pt idx="15">
                  <c:v>4.2876527798680873E-5</c:v>
                </c:pt>
                <c:pt idx="16">
                  <c:v>4.503613482442204E-5</c:v>
                </c:pt>
                <c:pt idx="17">
                  <c:v>4.729712628790806E-5</c:v>
                </c:pt>
                <c:pt idx="18">
                  <c:v>4.9663867848193091E-5</c:v>
                </c:pt>
                <c:pt idx="19">
                  <c:v>5.2140893172855465E-5</c:v>
                </c:pt>
                <c:pt idx="20">
                  <c:v>5.4732909441153025E-5</c:v>
                </c:pt>
                <c:pt idx="21">
                  <c:v>5.7444802983196287E-5</c:v>
                </c:pt>
                <c:pt idx="22">
                  <c:v>6.0281645056498418E-5</c:v>
                </c:pt>
                <c:pt idx="23">
                  <c:v>6.3248697761185001E-5</c:v>
                </c:pt>
                <c:pt idx="24">
                  <c:v>6.6351420095057308E-5</c:v>
                </c:pt>
                <c:pt idx="25">
                  <c:v>6.9595474149590522E-5</c:v>
                </c:pt>
                <c:pt idx="26">
                  <c:v>7.2986731447864878E-5</c:v>
                </c:pt>
                <c:pt idx="27">
                  <c:v>7.6531279425297126E-5</c:v>
                </c:pt>
                <c:pt idx="28">
                  <c:v>8.0235428053934997E-5</c:v>
                </c:pt>
                <c:pt idx="29">
                  <c:v>8.4105716610955778E-5</c:v>
                </c:pt>
                <c:pt idx="30">
                  <c:v>8.8148920591861352E-5</c:v>
                </c:pt>
                <c:pt idx="31">
                  <c:v>9.2372058768753335E-5</c:v>
                </c:pt>
                <c:pt idx="32">
                  <c:v>9.6782400393897422E-5</c:v>
                </c:pt>
                <c:pt idx="33">
                  <c:v>1.0138747254865338E-4</c:v>
                </c:pt>
                <c:pt idx="34">
                  <c:v>1.0619506763768822E-4</c:v>
                </c:pt>
                <c:pt idx="35">
                  <c:v>1.1121325102820257E-4</c:v>
                </c:pt>
                <c:pt idx="36">
                  <c:v>1.1645036883375885E-4</c:v>
                </c:pt>
                <c:pt idx="37">
                  <c:v>1.2191505584208344E-4</c:v>
                </c:pt>
                <c:pt idx="38">
                  <c:v>1.2761624358604618E-4</c:v>
                </c:pt>
                <c:pt idx="39">
                  <c:v>1.3356316855682706E-4</c:v>
                </c:pt>
                <c:pt idx="40">
                  <c:v>1.3976538055804122E-4</c:v>
                </c:pt>
                <c:pt idx="41">
                  <c:v>1.4623275119942847E-4</c:v>
                </c:pt>
                <c:pt idx="42">
                  <c:v>1.5297548252844325E-4</c:v>
                </c:pt>
                <c:pt idx="43">
                  <c:v>1.6000411579787717E-4</c:v>
                </c:pt>
                <c:pt idx="44">
                  <c:v>1.6732954036741482E-4</c:v>
                </c:pt>
                <c:pt idx="45">
                  <c:v>1.7496300273673568E-4</c:v>
                </c:pt>
                <c:pt idx="46">
                  <c:v>1.8291611570757724E-4</c:v>
                </c:pt>
                <c:pt idx="47">
                  <c:v>1.912008676718537E-4</c:v>
                </c:pt>
                <c:pt idx="48">
                  <c:v>1.9982963202268831E-4</c:v>
                </c:pt>
                <c:pt idx="49">
                  <c:v>2.0881517668493475E-4</c:v>
                </c:pt>
                <c:pt idx="50">
                  <c:v>2.1817067376144004E-4</c:v>
                </c:pt>
                <c:pt idx="51">
                  <c:v>2.2790970929105914E-4</c:v>
                </c:pt>
                <c:pt idx="52">
                  <c:v>2.3804629311406777E-4</c:v>
                </c:pt>
                <c:pt idx="53">
                  <c:v>2.4859486884034118E-4</c:v>
                </c:pt>
                <c:pt idx="54">
                  <c:v>2.5957032391535351E-4</c:v>
                </c:pt>
                <c:pt idx="55">
                  <c:v>2.70987999778663E-4</c:v>
                </c:pt>
                <c:pt idx="56">
                  <c:v>2.8286370210930131E-4</c:v>
                </c:pt>
                <c:pt idx="57">
                  <c:v>2.9521371115204508E-4</c:v>
                </c:pt>
                <c:pt idx="58">
                  <c:v>3.0805479211825439E-4</c:v>
                </c:pt>
                <c:pt idx="59">
                  <c:v>3.2140420565460317E-4</c:v>
                </c:pt>
                <c:pt idx="60">
                  <c:v>3.3527971837259444E-4</c:v>
                </c:pt>
                <c:pt idx="61">
                  <c:v>3.4969961343147481E-4</c:v>
                </c:pt>
                <c:pt idx="62">
                  <c:v>3.6468270116668679E-4</c:v>
                </c:pt>
                <c:pt idx="63">
                  <c:v>3.802483297556603E-4</c:v>
                </c:pt>
                <c:pt idx="64">
                  <c:v>3.9641639591236492E-4</c:v>
                </c:pt>
                <c:pt idx="65">
                  <c:v>4.1320735560156454E-4</c:v>
                </c:pt>
                <c:pt idx="66">
                  <c:v>4.3064223476341917E-4</c:v>
                </c:pt>
                <c:pt idx="67">
                  <c:v>4.4874264003856015E-4</c:v>
                </c:pt>
                <c:pt idx="68">
                  <c:v>4.6753076948341174E-4</c:v>
                </c:pt>
                <c:pt idx="69">
                  <c:v>4.8702942326512156E-4</c:v>
                </c:pt>
                <c:pt idx="70">
                  <c:v>5.0726201432494203E-4</c:v>
                </c:pt>
                <c:pt idx="71">
                  <c:v>5.2825257899862183E-4</c:v>
                </c:pt>
                <c:pt idx="72">
                  <c:v>5.5002578758178331E-4</c:v>
                </c:pt>
                <c:pt idx="73">
                  <c:v>5.7260695482791956E-4</c:v>
                </c:pt>
                <c:pt idx="74">
                  <c:v>5.9602205036621216E-4</c:v>
                </c:pt>
                <c:pt idx="75">
                  <c:v>6.2029770902582505E-4</c:v>
                </c:pt>
                <c:pt idx="76">
                  <c:v>6.454612410530528E-4</c:v>
                </c:pt>
                <c:pt idx="77">
                  <c:v>6.7154064220709131E-4</c:v>
                </c:pt>
                <c:pt idx="78">
                  <c:v>6.985646037198605E-4</c:v>
                </c:pt>
                <c:pt idx="79">
                  <c:v>7.2656252210489191E-4</c:v>
                </c:pt>
                <c:pt idx="80">
                  <c:v>7.5556450879968903E-4</c:v>
                </c:pt>
                <c:pt idx="81">
                  <c:v>7.856013996257764E-4</c:v>
                </c:pt>
                <c:pt idx="82">
                  <c:v>8.1670476404998118E-4</c:v>
                </c:pt>
                <c:pt idx="83">
                  <c:v>8.4890691423019184E-4</c:v>
                </c:pt>
                <c:pt idx="84">
                  <c:v>8.8224091382844202E-4</c:v>
                </c:pt>
                <c:pt idx="85">
                  <c:v>9.1674058657355653E-4</c:v>
                </c:pt>
                <c:pt idx="86">
                  <c:v>9.5244052455545E-4</c:v>
                </c:pt>
                <c:pt idx="87">
                  <c:v>9.8937609623249521E-4</c:v>
                </c:pt>
                <c:pt idx="88">
                  <c:v>1.0275834541331392E-3</c:v>
                </c:pt>
                <c:pt idx="89">
                  <c:v>1.0670995422325457E-3</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1.0670995422325457E-3</c:v>
                </c:pt>
                <c:pt idx="572">
                  <c:v>1.0275834541331446E-3</c:v>
                </c:pt>
                <c:pt idx="573">
                  <c:v>9.8937609623248979E-4</c:v>
                </c:pt>
                <c:pt idx="574">
                  <c:v>9.5244052455545E-4</c:v>
                </c:pt>
                <c:pt idx="575">
                  <c:v>9.1674058657355653E-4</c:v>
                </c:pt>
                <c:pt idx="576">
                  <c:v>8.8224091382844202E-4</c:v>
                </c:pt>
                <c:pt idx="577">
                  <c:v>8.4890691423019629E-4</c:v>
                </c:pt>
                <c:pt idx="578">
                  <c:v>8.1670476404997684E-4</c:v>
                </c:pt>
                <c:pt idx="579">
                  <c:v>7.856013996257764E-4</c:v>
                </c:pt>
                <c:pt idx="580">
                  <c:v>7.5556450879968903E-4</c:v>
                </c:pt>
                <c:pt idx="581">
                  <c:v>7.2656252210489191E-4</c:v>
                </c:pt>
                <c:pt idx="582">
                  <c:v>6.9856460371986483E-4</c:v>
                </c:pt>
                <c:pt idx="583">
                  <c:v>6.7154064220708708E-4</c:v>
                </c:pt>
                <c:pt idx="584">
                  <c:v>6.454612410530528E-4</c:v>
                </c:pt>
                <c:pt idx="585">
                  <c:v>6.2029770902582505E-4</c:v>
                </c:pt>
                <c:pt idx="586">
                  <c:v>5.9602205036621216E-4</c:v>
                </c:pt>
                <c:pt idx="587">
                  <c:v>5.7260695482792259E-4</c:v>
                </c:pt>
                <c:pt idx="588">
                  <c:v>5.5002578758178049E-4</c:v>
                </c:pt>
                <c:pt idx="589">
                  <c:v>5.2825257899862183E-4</c:v>
                </c:pt>
                <c:pt idx="590">
                  <c:v>5.0726201432494203E-4</c:v>
                </c:pt>
                <c:pt idx="591">
                  <c:v>4.8702942326512156E-4</c:v>
                </c:pt>
                <c:pt idx="592">
                  <c:v>4.6753076948341467E-4</c:v>
                </c:pt>
                <c:pt idx="593">
                  <c:v>4.4874264003855739E-4</c:v>
                </c:pt>
                <c:pt idx="594">
                  <c:v>4.3064223476341917E-4</c:v>
                </c:pt>
                <c:pt idx="595">
                  <c:v>4.1320735560156454E-4</c:v>
                </c:pt>
                <c:pt idx="596">
                  <c:v>3.9641639591236492E-4</c:v>
                </c:pt>
                <c:pt idx="597">
                  <c:v>3.8024832975566236E-4</c:v>
                </c:pt>
                <c:pt idx="598">
                  <c:v>3.646827011666849E-4</c:v>
                </c:pt>
                <c:pt idx="599">
                  <c:v>3.4969961343147481E-4</c:v>
                </c:pt>
                <c:pt idx="600">
                  <c:v>3.3527971837259444E-4</c:v>
                </c:pt>
                <c:pt idx="601">
                  <c:v>3.2140420565460317E-4</c:v>
                </c:pt>
                <c:pt idx="602">
                  <c:v>3.0805479211825634E-4</c:v>
                </c:pt>
                <c:pt idx="603">
                  <c:v>2.9521371115204329E-4</c:v>
                </c:pt>
                <c:pt idx="604">
                  <c:v>2.8286370210930131E-4</c:v>
                </c:pt>
                <c:pt idx="605">
                  <c:v>2.70987999778663E-4</c:v>
                </c:pt>
                <c:pt idx="606">
                  <c:v>2.5957032391535351E-4</c:v>
                </c:pt>
                <c:pt idx="607">
                  <c:v>2.485948688403427E-4</c:v>
                </c:pt>
                <c:pt idx="608">
                  <c:v>2.3804629311406631E-4</c:v>
                </c:pt>
                <c:pt idx="609">
                  <c:v>2.2790970929105914E-4</c:v>
                </c:pt>
                <c:pt idx="610">
                  <c:v>2.1817067376144004E-4</c:v>
                </c:pt>
                <c:pt idx="611">
                  <c:v>2.0881517668493475E-4</c:v>
                </c:pt>
                <c:pt idx="612">
                  <c:v>1.9982963202268956E-4</c:v>
                </c:pt>
                <c:pt idx="613">
                  <c:v>1.9120086767185254E-4</c:v>
                </c:pt>
                <c:pt idx="614">
                  <c:v>1.8291611570757724E-4</c:v>
                </c:pt>
                <c:pt idx="615">
                  <c:v>1.7496300273673568E-4</c:v>
                </c:pt>
                <c:pt idx="616">
                  <c:v>1.6732954036741482E-4</c:v>
                </c:pt>
                <c:pt idx="617">
                  <c:v>1.6000411579787817E-4</c:v>
                </c:pt>
                <c:pt idx="618">
                  <c:v>1.529754825284423E-4</c:v>
                </c:pt>
                <c:pt idx="619">
                  <c:v>1.4623275119942847E-4</c:v>
                </c:pt>
                <c:pt idx="620">
                  <c:v>1.3976538055804122E-4</c:v>
                </c:pt>
                <c:pt idx="621">
                  <c:v>1.3356316855682706E-4</c:v>
                </c:pt>
                <c:pt idx="622">
                  <c:v>1.2761624358604708E-4</c:v>
                </c:pt>
                <c:pt idx="623">
                  <c:v>1.2191505584208257E-4</c:v>
                </c:pt>
                <c:pt idx="624">
                  <c:v>1.1645036883375885E-4</c:v>
                </c:pt>
                <c:pt idx="625">
                  <c:v>1.1121325102820257E-4</c:v>
                </c:pt>
                <c:pt idx="626">
                  <c:v>1.0619506763768822E-4</c:v>
                </c:pt>
                <c:pt idx="627">
                  <c:v>1.0138747254865401E-4</c:v>
                </c:pt>
                <c:pt idx="628">
                  <c:v>9.6782400393896826E-5</c:v>
                </c:pt>
                <c:pt idx="629">
                  <c:v>9.2372058768753335E-5</c:v>
                </c:pt>
                <c:pt idx="630">
                  <c:v>8.8148920591861352E-5</c:v>
                </c:pt>
                <c:pt idx="631">
                  <c:v>8.4105716610955778E-5</c:v>
                </c:pt>
                <c:pt idx="632">
                  <c:v>8.0235428053935566E-5</c:v>
                </c:pt>
                <c:pt idx="633">
                  <c:v>7.6531279425296584E-5</c:v>
                </c:pt>
                <c:pt idx="634">
                  <c:v>7.2986731447864878E-5</c:v>
                </c:pt>
                <c:pt idx="635">
                  <c:v>6.9595474149590522E-5</c:v>
                </c:pt>
                <c:pt idx="636">
                  <c:v>6.6351420095057308E-5</c:v>
                </c:pt>
                <c:pt idx="637">
                  <c:v>6.3248697761185394E-5</c:v>
                </c:pt>
                <c:pt idx="638">
                  <c:v>6.0281645056498038E-5</c:v>
                </c:pt>
                <c:pt idx="639">
                  <c:v>5.7444802983196287E-5</c:v>
                </c:pt>
                <c:pt idx="640">
                  <c:v>5.4732909441153025E-5</c:v>
                </c:pt>
                <c:pt idx="641">
                  <c:v>5.2140893172855465E-5</c:v>
                </c:pt>
                <c:pt idx="642">
                  <c:v>4.9663867848193437E-5</c:v>
                </c:pt>
                <c:pt idx="643">
                  <c:v>4.7297126287907728E-5</c:v>
                </c:pt>
                <c:pt idx="644">
                  <c:v>4.503613482442204E-5</c:v>
                </c:pt>
                <c:pt idx="645">
                  <c:v>4.2876527798680873E-5</c:v>
                </c:pt>
                <c:pt idx="646">
                  <c:v>4.0814102191560646E-5</c:v>
                </c:pt>
                <c:pt idx="647">
                  <c:v>3.8844812388322232E-5</c:v>
                </c:pt>
                <c:pt idx="648">
                  <c:v>3.6964765074518204E-5</c:v>
                </c:pt>
                <c:pt idx="649">
                  <c:v>3.5170214261702399E-5</c:v>
                </c:pt>
                <c:pt idx="650">
                  <c:v>3.3457556441221342E-5</c:v>
                </c:pt>
                <c:pt idx="651">
                  <c:v>3.1823325864330464E-5</c:v>
                </c:pt>
                <c:pt idx="652">
                  <c:v>3.0264189946811315E-5</c:v>
                </c:pt>
                <c:pt idx="653">
                  <c:v>2.8776944796231722E-5</c:v>
                </c:pt>
                <c:pt idx="654">
                  <c:v>2.735851085995004E-5</c:v>
                </c:pt>
                <c:pt idx="655">
                  <c:v>2.6005928691920975E-5</c:v>
                </c:pt>
                <c:pt idx="656">
                  <c:v>2.4716354836342382E-5</c:v>
                </c:pt>
                <c:pt idx="657">
                  <c:v>2.3487057826141584E-5</c:v>
                </c:pt>
                <c:pt idx="658">
                  <c:v>2.2315414294283076E-5</c:v>
                </c:pt>
                <c:pt idx="659">
                  <c:v>2.1198905195858671E-5</c:v>
                </c:pt>
              </c:numCache>
            </c:numRef>
          </c:val>
          <c:extLst>
            <c:ext xmlns:c16="http://schemas.microsoft.com/office/drawing/2014/chart" uri="{C3380CC4-5D6E-409C-BE32-E72D297353CC}">
              <c16:uniqueId val="{00000000-63F1-4593-B806-FA3567A4CB23}"/>
            </c:ext>
          </c:extLst>
        </c:ser>
        <c:ser>
          <c:idx val="1"/>
          <c:order val="1"/>
          <c:tx>
            <c:strRef>
              <c:f>HeightChart!$F$10</c:f>
              <c:strCache>
                <c:ptCount val="1"/>
                <c:pt idx="0">
                  <c:v>About 99.0% of the values will lie between +/- 3 SD, or between 59 and 83 inches</c:v>
                </c:pt>
              </c:strCache>
            </c:strRef>
          </c:tx>
          <c:spPr>
            <a:ln w="25400">
              <a:noFill/>
            </a:ln>
          </c:spPr>
          <c:val>
            <c:numRef>
              <c:f>HeightChart!$F$11:$F$1230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1.1079621029845019E-3</c:v>
                </c:pt>
                <c:pt idx="91">
                  <c:v>1.1502096839887015E-3</c:v>
                </c:pt>
                <c:pt idx="92">
                  <c:v>1.1938816442728919E-3</c:v>
                </c:pt>
                <c:pt idx="93">
                  <c:v>1.2390181601691791E-3</c:v>
                </c:pt>
                <c:pt idx="94">
                  <c:v>1.2856602307634881E-3</c:v>
                </c:pt>
                <c:pt idx="95">
                  <c:v>1.3338496828965787E-3</c:v>
                </c:pt>
                <c:pt idx="96">
                  <c:v>1.3836291756951218E-3</c:v>
                </c:pt>
                <c:pt idx="97">
                  <c:v>1.4350422046106213E-3</c:v>
                </c:pt>
                <c:pt idx="98">
                  <c:v>1.4881331049439621E-3</c:v>
                </c:pt>
                <c:pt idx="99">
                  <c:v>1.5429470548330973E-3</c:v>
                </c:pt>
                <c:pt idx="100">
                  <c:v>1.5995300776808891E-3</c:v>
                </c:pt>
                <c:pt idx="101">
                  <c:v>1.657929044000293E-3</c:v>
                </c:pt>
                <c:pt idx="102">
                  <c:v>1.7181916726534945E-3</c:v>
                </c:pt>
                <c:pt idx="103">
                  <c:v>1.7803665314616386E-3</c:v>
                </c:pt>
                <c:pt idx="104">
                  <c:v>1.8445030371617012E-3</c:v>
                </c:pt>
                <c:pt idx="105">
                  <c:v>1.9106514546866004E-3</c:v>
                </c:pt>
                <c:pt idx="106">
                  <c:v>1.9788628957449865E-3</c:v>
                </c:pt>
                <c:pt idx="107">
                  <c:v>2.0491893166766514E-3</c:v>
                </c:pt>
                <c:pt idx="108">
                  <c:v>2.1216835155596775E-3</c:v>
                </c:pt>
                <c:pt idx="109">
                  <c:v>2.1963991285455166E-3</c:v>
                </c:pt>
                <c:pt idx="110">
                  <c:v>2.2733906253977632E-3</c:v>
                </c:pt>
                <c:pt idx="111">
                  <c:v>2.3527133042110593E-3</c:v>
                </c:pt>
                <c:pt idx="112">
                  <c:v>2.4344232852860021E-3</c:v>
                </c:pt>
                <c:pt idx="113">
                  <c:v>2.5185775041364402E-3</c:v>
                </c:pt>
                <c:pt idx="114">
                  <c:v>2.6052337036056535E-3</c:v>
                </c:pt>
                <c:pt idx="115">
                  <c:v>2.694450425067726E-3</c:v>
                </c:pt>
                <c:pt idx="116">
                  <c:v>2.7862869986911955E-3</c:v>
                </c:pt>
                <c:pt idx="117">
                  <c:v>2.8808035327417434E-3</c:v>
                </c:pt>
                <c:pt idx="118">
                  <c:v>2.9780609019012922E-3</c:v>
                </c:pt>
                <c:pt idx="119">
                  <c:v>3.0781207345812996E-3</c:v>
                </c:pt>
                <c:pt idx="120">
                  <c:v>3.1810453992078581E-3</c:v>
                </c:pt>
                <c:pt idx="121">
                  <c:v>3.2868979894573919E-3</c:v>
                </c:pt>
                <c:pt idx="122">
                  <c:v>3.3957423084214084E-3</c:v>
                </c:pt>
                <c:pt idx="123">
                  <c:v>3.5076428516797177E-3</c:v>
                </c:pt>
                <c:pt idx="124">
                  <c:v>3.6226647892621177E-3</c:v>
                </c:pt>
                <c:pt idx="125">
                  <c:v>3.7408739464784868E-3</c:v>
                </c:pt>
                <c:pt idx="126">
                  <c:v>3.8623367835987853E-3</c:v>
                </c:pt>
                <c:pt idx="127">
                  <c:v>3.9871203743641866E-3</c:v>
                </c:pt>
                <c:pt idx="128">
                  <c:v>4.1152923833118115E-3</c:v>
                </c:pt>
                <c:pt idx="129">
                  <c:v>4.2469210418963803E-3</c:v>
                </c:pt>
                <c:pt idx="130">
                  <c:v>4.3820751233921351E-3</c:v>
                </c:pt>
                <c:pt idx="131">
                  <c:v>4.5208239165603435E-3</c:v>
                </c:pt>
                <c:pt idx="132">
                  <c:v>4.6632371980674806E-3</c:v>
                </c:pt>
                <c:pt idx="133">
                  <c:v>4.8093852036407781E-3</c:v>
                </c:pt>
                <c:pt idx="134">
                  <c:v>4.9593385979488395E-3</c:v>
                </c:pt>
                <c:pt idx="135">
                  <c:v>5.1131684431953497E-3</c:v>
                </c:pt>
                <c:pt idx="136">
                  <c:v>5.2709461664160176E-3</c:v>
                </c:pt>
                <c:pt idx="137">
                  <c:v>5.4327435254689898E-3</c:v>
                </c:pt>
                <c:pt idx="138">
                  <c:v>5.5986325737107205E-3</c:v>
                </c:pt>
                <c:pt idx="139">
                  <c:v>5.7686856233506592E-3</c:v>
                </c:pt>
                <c:pt idx="140">
                  <c:v>5.9429752074784516E-3</c:v>
                </c:pt>
                <c:pt idx="141">
                  <c:v>6.1215740407599773E-3</c:v>
                </c:pt>
                <c:pt idx="142">
                  <c:v>6.3045549787986042E-3</c:v>
                </c:pt>
                <c:pt idx="143">
                  <c:v>6.4919909761602121E-3</c:v>
                </c:pt>
                <c:pt idx="144">
                  <c:v>6.6839550430620688E-3</c:v>
                </c:pt>
                <c:pt idx="145">
                  <c:v>6.8805202007261174E-3</c:v>
                </c:pt>
                <c:pt idx="146">
                  <c:v>7.08175943540028E-3</c:v>
                </c:pt>
                <c:pt idx="147">
                  <c:v>7.2877456510514523E-3</c:v>
                </c:pt>
                <c:pt idx="148">
                  <c:v>7.4985516207363183E-3</c:v>
                </c:pt>
                <c:pt idx="149">
                  <c:v>7.714249936657991E-3</c:v>
                </c:pt>
                <c:pt idx="150">
                  <c:v>7.9349129589168545E-3</c:v>
                </c:pt>
                <c:pt idx="151">
                  <c:v>8.1606127629676086E-3</c:v>
                </c:pt>
                <c:pt idx="152">
                  <c:v>8.391421085794392E-3</c:v>
                </c:pt>
                <c:pt idx="153">
                  <c:v>8.6274092708188716E-3</c:v>
                </c:pt>
                <c:pt idx="154">
                  <c:v>8.8686482115578717E-3</c:v>
                </c:pt>
                <c:pt idx="155">
                  <c:v>9.1152082940480356E-3</c:v>
                </c:pt>
                <c:pt idx="156">
                  <c:v>9.3671593380584301E-3</c:v>
                </c:pt>
                <c:pt idx="157">
                  <c:v>9.6245705371123674E-3</c:v>
                </c:pt>
                <c:pt idx="158">
                  <c:v>9.8875103973425464E-3</c:v>
                </c:pt>
                <c:pt idx="159">
                  <c:v>1.015604667520585E-2</c:v>
                </c:pt>
                <c:pt idx="160">
                  <c:v>1.0430246314084653E-2</c:v>
                </c:pt>
                <c:pt idx="161">
                  <c:v>1.0710175379805604E-2</c:v>
                </c:pt>
                <c:pt idx="162">
                  <c:v>1.0995898995106808E-2</c:v>
                </c:pt>
                <c:pt idx="163">
                  <c:v>1.1287481273087605E-2</c:v>
                </c:pt>
                <c:pt idx="164">
                  <c:v>1.1584985249677325E-2</c:v>
                </c:pt>
                <c:pt idx="165">
                  <c:v>1.1888472815159907E-2</c:v>
                </c:pt>
                <c:pt idx="166">
                  <c:v>1.219800464479567E-2</c:v>
                </c:pt>
                <c:pt idx="167">
                  <c:v>1.2513640128581277E-2</c:v>
                </c:pt>
                <c:pt idx="168">
                  <c:v>1.2835437300192352E-2</c:v>
                </c:pt>
                <c:pt idx="169">
                  <c:v>1.3163452765155551E-2</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1.3163452765155551E-2</c:v>
                </c:pt>
                <c:pt idx="492">
                  <c:v>1.2835437300192397E-2</c:v>
                </c:pt>
                <c:pt idx="493">
                  <c:v>1.2513640128581227E-2</c:v>
                </c:pt>
                <c:pt idx="494">
                  <c:v>1.219800464479567E-2</c:v>
                </c:pt>
                <c:pt idx="495">
                  <c:v>1.1888472815159907E-2</c:v>
                </c:pt>
                <c:pt idx="496">
                  <c:v>1.1584985249677325E-2</c:v>
                </c:pt>
                <c:pt idx="497">
                  <c:v>1.1287481273087646E-2</c:v>
                </c:pt>
                <c:pt idx="498">
                  <c:v>1.0995898995106763E-2</c:v>
                </c:pt>
                <c:pt idx="499">
                  <c:v>1.0710175379805604E-2</c:v>
                </c:pt>
                <c:pt idx="500">
                  <c:v>1.0430246314084653E-2</c:v>
                </c:pt>
                <c:pt idx="501">
                  <c:v>1.015604667520585E-2</c:v>
                </c:pt>
                <c:pt idx="502">
                  <c:v>9.8875103973425828E-3</c:v>
                </c:pt>
                <c:pt idx="503">
                  <c:v>9.6245705371123275E-3</c:v>
                </c:pt>
                <c:pt idx="504">
                  <c:v>9.3671593380584301E-3</c:v>
                </c:pt>
                <c:pt idx="505">
                  <c:v>9.1152082940480356E-3</c:v>
                </c:pt>
                <c:pt idx="506">
                  <c:v>8.8686482115578717E-3</c:v>
                </c:pt>
                <c:pt idx="507">
                  <c:v>8.6274092708189028E-3</c:v>
                </c:pt>
                <c:pt idx="508">
                  <c:v>8.3914210857943591E-3</c:v>
                </c:pt>
                <c:pt idx="509">
                  <c:v>8.1606127629676086E-3</c:v>
                </c:pt>
                <c:pt idx="510">
                  <c:v>7.9349129589168545E-3</c:v>
                </c:pt>
                <c:pt idx="511">
                  <c:v>7.714249936657991E-3</c:v>
                </c:pt>
                <c:pt idx="512">
                  <c:v>7.4985516207363469E-3</c:v>
                </c:pt>
                <c:pt idx="513">
                  <c:v>7.2877456510514202E-3</c:v>
                </c:pt>
                <c:pt idx="514">
                  <c:v>7.08175943540028E-3</c:v>
                </c:pt>
                <c:pt idx="515">
                  <c:v>6.8805202007261174E-3</c:v>
                </c:pt>
                <c:pt idx="516">
                  <c:v>6.6839550430620688E-3</c:v>
                </c:pt>
                <c:pt idx="517">
                  <c:v>6.4919909761602381E-3</c:v>
                </c:pt>
                <c:pt idx="518">
                  <c:v>6.3045549787985765E-3</c:v>
                </c:pt>
                <c:pt idx="519">
                  <c:v>6.1215740407599773E-3</c:v>
                </c:pt>
                <c:pt idx="520">
                  <c:v>5.9429752074784516E-3</c:v>
                </c:pt>
                <c:pt idx="521">
                  <c:v>5.7686856233506592E-3</c:v>
                </c:pt>
                <c:pt idx="522">
                  <c:v>5.5986325737107422E-3</c:v>
                </c:pt>
                <c:pt idx="523">
                  <c:v>5.4327435254689655E-3</c:v>
                </c:pt>
                <c:pt idx="524">
                  <c:v>5.2709461664160176E-3</c:v>
                </c:pt>
                <c:pt idx="525">
                  <c:v>5.1131684431953497E-3</c:v>
                </c:pt>
                <c:pt idx="526">
                  <c:v>4.9593385979488395E-3</c:v>
                </c:pt>
                <c:pt idx="527">
                  <c:v>4.8093852036407972E-3</c:v>
                </c:pt>
                <c:pt idx="528">
                  <c:v>4.6632371980674598E-3</c:v>
                </c:pt>
                <c:pt idx="529">
                  <c:v>4.5208239165603435E-3</c:v>
                </c:pt>
                <c:pt idx="530">
                  <c:v>4.3820751233921351E-3</c:v>
                </c:pt>
                <c:pt idx="531">
                  <c:v>4.2469210418963803E-3</c:v>
                </c:pt>
                <c:pt idx="532">
                  <c:v>4.1152923833118298E-3</c:v>
                </c:pt>
                <c:pt idx="533">
                  <c:v>3.9871203743641667E-3</c:v>
                </c:pt>
                <c:pt idx="534">
                  <c:v>3.8623367835987853E-3</c:v>
                </c:pt>
                <c:pt idx="535">
                  <c:v>3.7408739464784868E-3</c:v>
                </c:pt>
                <c:pt idx="536">
                  <c:v>3.6226647892621177E-3</c:v>
                </c:pt>
                <c:pt idx="537">
                  <c:v>3.5076428516797337E-3</c:v>
                </c:pt>
                <c:pt idx="538">
                  <c:v>3.3957423084213915E-3</c:v>
                </c:pt>
                <c:pt idx="539">
                  <c:v>3.2868979894573919E-3</c:v>
                </c:pt>
                <c:pt idx="540">
                  <c:v>3.1810453992078581E-3</c:v>
                </c:pt>
                <c:pt idx="541">
                  <c:v>3.0781207345812996E-3</c:v>
                </c:pt>
                <c:pt idx="542">
                  <c:v>2.9780609019013056E-3</c:v>
                </c:pt>
                <c:pt idx="543">
                  <c:v>2.8808035327417291E-3</c:v>
                </c:pt>
                <c:pt idx="544">
                  <c:v>2.7862869986911955E-3</c:v>
                </c:pt>
                <c:pt idx="545">
                  <c:v>2.694450425067726E-3</c:v>
                </c:pt>
                <c:pt idx="546">
                  <c:v>2.6052337036056535E-3</c:v>
                </c:pt>
                <c:pt idx="547">
                  <c:v>2.518577504136451E-3</c:v>
                </c:pt>
                <c:pt idx="548">
                  <c:v>2.4344232852859904E-3</c:v>
                </c:pt>
                <c:pt idx="549">
                  <c:v>2.3527133042110593E-3</c:v>
                </c:pt>
                <c:pt idx="550">
                  <c:v>2.2733906253977632E-3</c:v>
                </c:pt>
                <c:pt idx="551">
                  <c:v>2.1963991285455166E-3</c:v>
                </c:pt>
                <c:pt idx="552">
                  <c:v>2.1216835155596879E-3</c:v>
                </c:pt>
                <c:pt idx="553">
                  <c:v>2.0491893166766405E-3</c:v>
                </c:pt>
                <c:pt idx="554">
                  <c:v>1.9788628957449865E-3</c:v>
                </c:pt>
                <c:pt idx="555">
                  <c:v>1.9106514546866004E-3</c:v>
                </c:pt>
                <c:pt idx="556">
                  <c:v>1.8445030371617012E-3</c:v>
                </c:pt>
                <c:pt idx="557">
                  <c:v>1.7803665314616466E-3</c:v>
                </c:pt>
                <c:pt idx="558">
                  <c:v>1.7181916726534867E-3</c:v>
                </c:pt>
                <c:pt idx="559">
                  <c:v>1.657929044000293E-3</c:v>
                </c:pt>
                <c:pt idx="560">
                  <c:v>1.5995300776808891E-3</c:v>
                </c:pt>
                <c:pt idx="561">
                  <c:v>1.5429470548330973E-3</c:v>
                </c:pt>
                <c:pt idx="562">
                  <c:v>1.48813310494397E-3</c:v>
                </c:pt>
                <c:pt idx="563">
                  <c:v>1.4350422046106135E-3</c:v>
                </c:pt>
                <c:pt idx="564">
                  <c:v>1.3836291756951218E-3</c:v>
                </c:pt>
                <c:pt idx="565">
                  <c:v>1.3338496828965787E-3</c:v>
                </c:pt>
                <c:pt idx="566">
                  <c:v>1.2856602307634881E-3</c:v>
                </c:pt>
                <c:pt idx="567">
                  <c:v>1.2390181601691858E-3</c:v>
                </c:pt>
                <c:pt idx="568">
                  <c:v>1.1938816442728854E-3</c:v>
                </c:pt>
                <c:pt idx="569">
                  <c:v>1.1502096839887015E-3</c:v>
                </c:pt>
                <c:pt idx="570">
                  <c:v>1.1079621029845019E-3</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1-63F1-4593-B806-FA3567A4CB23}"/>
            </c:ext>
          </c:extLst>
        </c:ser>
        <c:ser>
          <c:idx val="2"/>
          <c:order val="2"/>
          <c:tx>
            <c:strRef>
              <c:f>HeightChart!$G$10</c:f>
              <c:strCache>
                <c:ptCount val="1"/>
                <c:pt idx="0">
                  <c:v>About 95.0% of the values will lie between +/- 2 SD, or between 63 and 79 inches</c:v>
                </c:pt>
              </c:strCache>
            </c:strRef>
          </c:tx>
          <c:spPr>
            <a:ln w="25400">
              <a:noFill/>
            </a:ln>
          </c:spPr>
          <c:val>
            <c:numRef>
              <c:f>HeightChart!$G$11:$G$1230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1.3497741628297016E-2</c:v>
                </c:pt>
                <c:pt idx="171">
                  <c:v>1.3838357420519041E-2</c:v>
                </c:pt>
                <c:pt idx="172">
                  <c:v>1.4185352024956015E-2</c:v>
                </c:pt>
                <c:pt idx="173">
                  <c:v>1.453877560256446E-2</c:v>
                </c:pt>
                <c:pt idx="174">
                  <c:v>1.4898676517204041E-2</c:v>
                </c:pt>
                <c:pt idx="175">
                  <c:v>1.5265101260266586E-2</c:v>
                </c:pt>
                <c:pt idx="176">
                  <c:v>1.5638094374914976E-2</c:v>
                </c:pt>
                <c:pt idx="177">
                  <c:v>1.6017698379992749E-2</c:v>
                </c:pt>
                <c:pt idx="178">
                  <c:v>1.6403953693669138E-2</c:v>
                </c:pt>
                <c:pt idx="179">
                  <c:v>1.6796898556885972E-2</c:v>
                </c:pt>
                <c:pt idx="180">
                  <c:v>1.7196568956672976E-2</c:v>
                </c:pt>
                <c:pt idx="181">
                  <c:v>1.7602998549402615E-2</c:v>
                </c:pt>
                <c:pt idx="182">
                  <c:v>1.801621858405451E-2</c:v>
                </c:pt>
                <c:pt idx="183">
                  <c:v>1.8436257825562918E-2</c:v>
                </c:pt>
                <c:pt idx="184">
                  <c:v>1.8863142478322575E-2</c:v>
                </c:pt>
                <c:pt idx="185">
                  <c:v>1.9296896109927679E-2</c:v>
                </c:pt>
                <c:pt idx="186">
                  <c:v>1.9737539575223517E-2</c:v>
                </c:pt>
                <c:pt idx="187">
                  <c:v>2.0185090940748506E-2</c:v>
                </c:pt>
                <c:pt idx="188">
                  <c:v>2.0639565409647894E-2</c:v>
                </c:pt>
                <c:pt idx="189">
                  <c:v>2.1100975247141579E-2</c:v>
                </c:pt>
                <c:pt idx="190">
                  <c:v>2.1569329706627883E-2</c:v>
                </c:pt>
                <c:pt idx="191">
                  <c:v>2.2044634956509337E-2</c:v>
                </c:pt>
                <c:pt idx="192">
                  <c:v>2.2526894007824472E-2</c:v>
                </c:pt>
                <c:pt idx="193">
                  <c:v>2.3016106642773169E-2</c:v>
                </c:pt>
                <c:pt idx="194">
                  <c:v>2.3512269344221761E-2</c:v>
                </c:pt>
                <c:pt idx="195">
                  <c:v>2.4015375226278338E-2</c:v>
                </c:pt>
                <c:pt idx="196">
                  <c:v>2.4525413966024426E-2</c:v>
                </c:pt>
                <c:pt idx="197">
                  <c:v>2.5042371736494741E-2</c:v>
                </c:pt>
                <c:pt idx="198">
                  <c:v>2.5566231140994562E-2</c:v>
                </c:pt>
                <c:pt idx="199">
                  <c:v>2.6096971148844562E-2</c:v>
                </c:pt>
                <c:pt idx="200">
                  <c:v>2.6634567032646269E-2</c:v>
                </c:pt>
                <c:pt idx="201">
                  <c:v>2.7178990307156439E-2</c:v>
                </c:pt>
                <c:pt idx="202">
                  <c:v>2.773020866986383E-2</c:v>
                </c:pt>
                <c:pt idx="203">
                  <c:v>2.8288185943359006E-2</c:v>
                </c:pt>
                <c:pt idx="204">
                  <c:v>2.8852882019587529E-2</c:v>
                </c:pt>
                <c:pt idx="205">
                  <c:v>2.9424252806080013E-2</c:v>
                </c:pt>
                <c:pt idx="206">
                  <c:v>3.0002250174246368E-2</c:v>
                </c:pt>
                <c:pt idx="207">
                  <c:v>3.058682190982696E-2</c:v>
                </c:pt>
                <c:pt idx="208">
                  <c:v>3.1177911665589367E-2</c:v>
                </c:pt>
                <c:pt idx="209">
                  <c:v>3.1775458916358829E-2</c:v>
                </c:pt>
                <c:pt idx="210">
                  <c:v>3.2379398916472936E-2</c:v>
                </c:pt>
                <c:pt idx="211">
                  <c:v>3.2989662659744311E-2</c:v>
                </c:pt>
                <c:pt idx="212">
                  <c:v>3.3606176842019699E-2</c:v>
                </c:pt>
                <c:pt idx="213">
                  <c:v>3.4228863826419487E-2</c:v>
                </c:pt>
                <c:pt idx="214">
                  <c:v>3.4857641611340105E-2</c:v>
                </c:pt>
                <c:pt idx="215">
                  <c:v>3.5492423801303886E-2</c:v>
                </c:pt>
                <c:pt idx="216">
                  <c:v>3.6133119580733189E-2</c:v>
                </c:pt>
                <c:pt idx="217">
                  <c:v>3.677963369072991E-2</c:v>
                </c:pt>
                <c:pt idx="218">
                  <c:v>3.7431866408936289E-2</c:v>
                </c:pt>
                <c:pt idx="219">
                  <c:v>3.8089713532550633E-2</c:v>
                </c:pt>
                <c:pt idx="220">
                  <c:v>3.8753066364573305E-2</c:v>
                </c:pt>
                <c:pt idx="221">
                  <c:v>3.9421811703349553E-2</c:v>
                </c:pt>
                <c:pt idx="222">
                  <c:v>4.0095831835479823E-2</c:v>
                </c:pt>
                <c:pt idx="223">
                  <c:v>4.0775004532161811E-2</c:v>
                </c:pt>
                <c:pt idx="224">
                  <c:v>4.1459203049026221E-2</c:v>
                </c:pt>
                <c:pt idx="225">
                  <c:v>4.2148296129528778E-2</c:v>
                </c:pt>
                <c:pt idx="226">
                  <c:v>4.2842148011951797E-2</c:v>
                </c:pt>
                <c:pt idx="227">
                  <c:v>4.3540618440072072E-2</c:v>
                </c:pt>
                <c:pt idx="228">
                  <c:v>4.4243562677545006E-2</c:v>
                </c:pt>
                <c:pt idx="229">
                  <c:v>4.4950831526051616E-2</c:v>
                </c:pt>
                <c:pt idx="230">
                  <c:v>4.5662271347255479E-2</c:v>
                </c:pt>
                <c:pt idx="231">
                  <c:v>4.6377724088606499E-2</c:v>
                </c:pt>
                <c:pt idx="232">
                  <c:v>4.7097027313031503E-2</c:v>
                </c:pt>
                <c:pt idx="233">
                  <c:v>4.7820014232544235E-2</c:v>
                </c:pt>
                <c:pt idx="234">
                  <c:v>4.854651374580328E-2</c:v>
                </c:pt>
                <c:pt idx="235">
                  <c:v>4.9276350479646826E-2</c:v>
                </c:pt>
                <c:pt idx="236">
                  <c:v>5.000934483462189E-2</c:v>
                </c:pt>
                <c:pt idx="237">
                  <c:v>5.0745313034528859E-2</c:v>
                </c:pt>
                <c:pt idx="238">
                  <c:v>5.1484067179993771E-2</c:v>
                </c:pt>
                <c:pt idx="239">
                  <c:v>5.2225415306076807E-2</c:v>
                </c:pt>
                <c:pt idx="240">
                  <c:v>5.296916144392487E-2</c:v>
                </c:pt>
                <c:pt idx="241">
                  <c:v>5.3715105686464974E-2</c:v>
                </c:pt>
                <c:pt idx="242">
                  <c:v>5.4463044258137555E-2</c:v>
                </c:pt>
                <c:pt idx="243">
                  <c:v>5.5212769588660511E-2</c:v>
                </c:pt>
                <c:pt idx="244">
                  <c:v>5.5964070390809917E-2</c:v>
                </c:pt>
                <c:pt idx="245">
                  <c:v>5.6716731742203159E-2</c:v>
                </c:pt>
                <c:pt idx="246">
                  <c:v>5.7470535171058205E-2</c:v>
                </c:pt>
                <c:pt idx="247">
                  <c:v>5.8225258745905249E-2</c:v>
                </c:pt>
                <c:pt idx="248">
                  <c:v>5.8980677169218218E-2</c:v>
                </c:pt>
                <c:pt idx="249">
                  <c:v>5.9736561874928915E-2</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5.9736561874928915E-2</c:v>
                </c:pt>
                <c:pt idx="412">
                  <c:v>5.8980677169218218E-2</c:v>
                </c:pt>
                <c:pt idx="413">
                  <c:v>5.8225258745905249E-2</c:v>
                </c:pt>
                <c:pt idx="414">
                  <c:v>5.7470535171058205E-2</c:v>
                </c:pt>
                <c:pt idx="415">
                  <c:v>5.6716731742203159E-2</c:v>
                </c:pt>
                <c:pt idx="416">
                  <c:v>5.5964070390809917E-2</c:v>
                </c:pt>
                <c:pt idx="417">
                  <c:v>5.5212769588660511E-2</c:v>
                </c:pt>
                <c:pt idx="418">
                  <c:v>5.4463044258137555E-2</c:v>
                </c:pt>
                <c:pt idx="419">
                  <c:v>5.3715105686464974E-2</c:v>
                </c:pt>
                <c:pt idx="420">
                  <c:v>5.296916144392487E-2</c:v>
                </c:pt>
                <c:pt idx="421">
                  <c:v>5.2225415306076807E-2</c:v>
                </c:pt>
                <c:pt idx="422">
                  <c:v>5.1484067179993771E-2</c:v>
                </c:pt>
                <c:pt idx="423">
                  <c:v>5.0745313034528859E-2</c:v>
                </c:pt>
                <c:pt idx="424">
                  <c:v>5.000934483462189E-2</c:v>
                </c:pt>
                <c:pt idx="425">
                  <c:v>4.9276350479646826E-2</c:v>
                </c:pt>
                <c:pt idx="426">
                  <c:v>4.854651374580328E-2</c:v>
                </c:pt>
                <c:pt idx="427">
                  <c:v>4.7820014232544235E-2</c:v>
                </c:pt>
                <c:pt idx="428">
                  <c:v>4.7097027313031503E-2</c:v>
                </c:pt>
                <c:pt idx="429">
                  <c:v>4.6377724088606499E-2</c:v>
                </c:pt>
                <c:pt idx="430">
                  <c:v>4.5662271347255479E-2</c:v>
                </c:pt>
                <c:pt idx="431">
                  <c:v>4.4950831526051616E-2</c:v>
                </c:pt>
                <c:pt idx="432">
                  <c:v>4.4243562677545006E-2</c:v>
                </c:pt>
                <c:pt idx="433">
                  <c:v>4.3540618440072072E-2</c:v>
                </c:pt>
                <c:pt idx="434">
                  <c:v>4.2842148011951797E-2</c:v>
                </c:pt>
                <c:pt idx="435">
                  <c:v>4.2148296129528778E-2</c:v>
                </c:pt>
                <c:pt idx="436">
                  <c:v>4.1459203049026221E-2</c:v>
                </c:pt>
                <c:pt idx="437">
                  <c:v>4.0775004532161811E-2</c:v>
                </c:pt>
                <c:pt idx="438">
                  <c:v>4.0095831835479823E-2</c:v>
                </c:pt>
                <c:pt idx="439">
                  <c:v>3.9421811703349553E-2</c:v>
                </c:pt>
                <c:pt idx="440">
                  <c:v>3.8753066364573305E-2</c:v>
                </c:pt>
                <c:pt idx="441">
                  <c:v>3.8089713532550633E-2</c:v>
                </c:pt>
                <c:pt idx="442">
                  <c:v>3.7431866408936289E-2</c:v>
                </c:pt>
                <c:pt idx="443">
                  <c:v>3.677963369072991E-2</c:v>
                </c:pt>
                <c:pt idx="444">
                  <c:v>3.6133119580733189E-2</c:v>
                </c:pt>
                <c:pt idx="445">
                  <c:v>3.5492423801303886E-2</c:v>
                </c:pt>
                <c:pt idx="446">
                  <c:v>3.4857641611340105E-2</c:v>
                </c:pt>
                <c:pt idx="447">
                  <c:v>3.4228863826419487E-2</c:v>
                </c:pt>
                <c:pt idx="448">
                  <c:v>3.3606176842019699E-2</c:v>
                </c:pt>
                <c:pt idx="449">
                  <c:v>3.2989662659744311E-2</c:v>
                </c:pt>
                <c:pt idx="450">
                  <c:v>3.2379398916472936E-2</c:v>
                </c:pt>
                <c:pt idx="451">
                  <c:v>3.1775458916358829E-2</c:v>
                </c:pt>
                <c:pt idx="452">
                  <c:v>3.1177911665589367E-2</c:v>
                </c:pt>
                <c:pt idx="453">
                  <c:v>3.058682190982696E-2</c:v>
                </c:pt>
                <c:pt idx="454">
                  <c:v>3.0002250174246368E-2</c:v>
                </c:pt>
                <c:pt idx="455">
                  <c:v>2.9424252806080013E-2</c:v>
                </c:pt>
                <c:pt idx="456">
                  <c:v>2.8852882019587529E-2</c:v>
                </c:pt>
                <c:pt idx="457">
                  <c:v>2.8288185943359006E-2</c:v>
                </c:pt>
                <c:pt idx="458">
                  <c:v>2.773020866986383E-2</c:v>
                </c:pt>
                <c:pt idx="459">
                  <c:v>2.7178990307156439E-2</c:v>
                </c:pt>
                <c:pt idx="460">
                  <c:v>2.6634567032646269E-2</c:v>
                </c:pt>
                <c:pt idx="461">
                  <c:v>2.6096971148844562E-2</c:v>
                </c:pt>
                <c:pt idx="462">
                  <c:v>2.5566231140994562E-2</c:v>
                </c:pt>
                <c:pt idx="463">
                  <c:v>2.5042371736494741E-2</c:v>
                </c:pt>
                <c:pt idx="464">
                  <c:v>2.4525413966024426E-2</c:v>
                </c:pt>
                <c:pt idx="465">
                  <c:v>2.4015375226278338E-2</c:v>
                </c:pt>
                <c:pt idx="466">
                  <c:v>2.3512269344221761E-2</c:v>
                </c:pt>
                <c:pt idx="467">
                  <c:v>2.3016106642773169E-2</c:v>
                </c:pt>
                <c:pt idx="468">
                  <c:v>2.2526894007824472E-2</c:v>
                </c:pt>
                <c:pt idx="469">
                  <c:v>2.2044634956509337E-2</c:v>
                </c:pt>
                <c:pt idx="470">
                  <c:v>2.1569329706627883E-2</c:v>
                </c:pt>
                <c:pt idx="471">
                  <c:v>2.1100975247141579E-2</c:v>
                </c:pt>
                <c:pt idx="472">
                  <c:v>2.0639565409647957E-2</c:v>
                </c:pt>
                <c:pt idx="473">
                  <c:v>2.0185090940748447E-2</c:v>
                </c:pt>
                <c:pt idx="474">
                  <c:v>1.9737539575223517E-2</c:v>
                </c:pt>
                <c:pt idx="475">
                  <c:v>1.9296896109927679E-2</c:v>
                </c:pt>
                <c:pt idx="476">
                  <c:v>1.8863142478322575E-2</c:v>
                </c:pt>
                <c:pt idx="477">
                  <c:v>1.843625782556298E-2</c:v>
                </c:pt>
                <c:pt idx="478">
                  <c:v>1.8016218584054455E-2</c:v>
                </c:pt>
                <c:pt idx="479">
                  <c:v>1.7602998549402615E-2</c:v>
                </c:pt>
                <c:pt idx="480">
                  <c:v>1.7196568956672976E-2</c:v>
                </c:pt>
                <c:pt idx="481">
                  <c:v>1.6796898556885972E-2</c:v>
                </c:pt>
                <c:pt idx="482">
                  <c:v>1.6403953693669194E-2</c:v>
                </c:pt>
                <c:pt idx="483">
                  <c:v>1.6017698379992697E-2</c:v>
                </c:pt>
                <c:pt idx="484">
                  <c:v>1.5638094374914976E-2</c:v>
                </c:pt>
                <c:pt idx="485">
                  <c:v>1.5265101260266586E-2</c:v>
                </c:pt>
                <c:pt idx="486">
                  <c:v>1.4898676517204041E-2</c:v>
                </c:pt>
                <c:pt idx="487">
                  <c:v>1.4538775602564512E-2</c:v>
                </c:pt>
                <c:pt idx="488">
                  <c:v>1.4185352024955966E-2</c:v>
                </c:pt>
                <c:pt idx="489">
                  <c:v>1.3838357420519041E-2</c:v>
                </c:pt>
                <c:pt idx="490">
                  <c:v>1.3497741628297016E-2</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2-63F1-4593-B806-FA3567A4CB23}"/>
            </c:ext>
          </c:extLst>
        </c:ser>
        <c:ser>
          <c:idx val="3"/>
          <c:order val="3"/>
          <c:tx>
            <c:strRef>
              <c:f>HeightChart!$H$10</c:f>
              <c:strCache>
                <c:ptCount val="1"/>
                <c:pt idx="0">
                  <c:v>About 68.0% of the values will lie between +/- 1 SD, or between 67 and 75 inches</c:v>
                </c:pt>
              </c:strCache>
            </c:strRef>
          </c:tx>
          <c:spPr>
            <a:ln w="25400">
              <a:noFill/>
            </a:ln>
          </c:spPr>
          <c:val>
            <c:numRef>
              <c:f>HeightChart!$H$11:$H$1230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6.0492681129785841E-2</c:v>
                </c:pt>
                <c:pt idx="251">
                  <c:v>6.124880013850767E-2</c:v>
                </c:pt>
                <c:pt idx="252">
                  <c:v>6.2004681152684198E-2</c:v>
                </c:pt>
                <c:pt idx="253">
                  <c:v>6.2760083583368237E-2</c:v>
                </c:pt>
                <c:pt idx="254">
                  <c:v>6.3514764117297284E-2</c:v>
                </c:pt>
                <c:pt idx="255">
                  <c:v>6.4268476836683672E-2</c:v>
                </c:pt>
                <c:pt idx="256">
                  <c:v>6.5020973342498886E-2</c:v>
                </c:pt>
                <c:pt idx="257">
                  <c:v>6.5772002881181513E-2</c:v>
                </c:pt>
                <c:pt idx="258">
                  <c:v>6.6521312474688801E-2</c:v>
                </c:pt>
                <c:pt idx="259">
                  <c:v>6.726864705380696E-2</c:v>
                </c:pt>
                <c:pt idx="260">
                  <c:v>6.8013749594635881E-2</c:v>
                </c:pt>
                <c:pt idx="261">
                  <c:v>6.8756361258151016E-2</c:v>
                </c:pt>
                <c:pt idx="262">
                  <c:v>6.9496221532749036E-2</c:v>
                </c:pt>
                <c:pt idx="263">
                  <c:v>7.0233068379674621E-2</c:v>
                </c:pt>
                <c:pt idx="264">
                  <c:v>7.0966638381221872E-2</c:v>
                </c:pt>
                <c:pt idx="265">
                  <c:v>7.1696666891603617E-2</c:v>
                </c:pt>
                <c:pt idx="266">
                  <c:v>7.2422888190370641E-2</c:v>
                </c:pt>
                <c:pt idx="267">
                  <c:v>7.3145035638265868E-2</c:v>
                </c:pt>
                <c:pt idx="268">
                  <c:v>7.3862841835390824E-2</c:v>
                </c:pt>
                <c:pt idx="269">
                  <c:v>7.4576038781557746E-2</c:v>
                </c:pt>
                <c:pt idx="270">
                  <c:v>7.5284358038701107E-2</c:v>
                </c:pt>
                <c:pt idx="271">
                  <c:v>7.5987530895211652E-2</c:v>
                </c:pt>
                <c:pt idx="272">
                  <c:v>7.6685288532059914E-2</c:v>
                </c:pt>
                <c:pt idx="273">
                  <c:v>7.7377362190568594E-2</c:v>
                </c:pt>
                <c:pt idx="274">
                  <c:v>7.806348334169036E-2</c:v>
                </c:pt>
                <c:pt idx="275">
                  <c:v>7.8743383856648336E-2</c:v>
                </c:pt>
                <c:pt idx="276">
                  <c:v>7.9416796178787011E-2</c:v>
                </c:pt>
                <c:pt idx="277">
                  <c:v>8.0083453496485532E-2</c:v>
                </c:pt>
                <c:pt idx="278">
                  <c:v>8.074308991697865E-2</c:v>
                </c:pt>
                <c:pt idx="279">
                  <c:v>8.1395440640928754E-2</c:v>
                </c:pt>
                <c:pt idx="280">
                  <c:v>8.2040242137593769E-2</c:v>
                </c:pt>
                <c:pt idx="281">
                  <c:v>8.2677232320426911E-2</c:v>
                </c:pt>
                <c:pt idx="282">
                  <c:v>8.3306150722949848E-2</c:v>
                </c:pt>
                <c:pt idx="283">
                  <c:v>8.3926738674734436E-2</c:v>
                </c:pt>
                <c:pt idx="284">
                  <c:v>8.4538739477327887E-2</c:v>
                </c:pt>
                <c:pt idx="285">
                  <c:v>8.5141898579957673E-2</c:v>
                </c:pt>
                <c:pt idx="286">
                  <c:v>8.5735963754845948E-2</c:v>
                </c:pt>
                <c:pt idx="287">
                  <c:v>8.6320685271968206E-2</c:v>
                </c:pt>
                <c:pt idx="288">
                  <c:v>8.6895816073087093E-2</c:v>
                </c:pt>
                <c:pt idx="289">
                  <c:v>8.7461111944891493E-2</c:v>
                </c:pt>
                <c:pt idx="290">
                  <c:v>8.8016331691074881E-2</c:v>
                </c:pt>
                <c:pt idx="291">
                  <c:v>8.8561237303180246E-2</c:v>
                </c:pt>
                <c:pt idx="292">
                  <c:v>8.9095594130045752E-2</c:v>
                </c:pt>
                <c:pt idx="293">
                  <c:v>8.9619171045681928E-2</c:v>
                </c:pt>
                <c:pt idx="294">
                  <c:v>9.0131740615412015E-2</c:v>
                </c:pt>
                <c:pt idx="295">
                  <c:v>9.0633079260111313E-2</c:v>
                </c:pt>
                <c:pt idx="296">
                  <c:v>9.1122967418376583E-2</c:v>
                </c:pt>
                <c:pt idx="297">
                  <c:v>9.1601189706463873E-2</c:v>
                </c:pt>
                <c:pt idx="298">
                  <c:v>9.2067535075830889E-2</c:v>
                </c:pt>
                <c:pt idx="299">
                  <c:v>9.2521796968122502E-2</c:v>
                </c:pt>
                <c:pt idx="300">
                  <c:v>9.2963773467442237E-2</c:v>
                </c:pt>
                <c:pt idx="301">
                  <c:v>9.3393267449750142E-2</c:v>
                </c:pt>
                <c:pt idx="302">
                  <c:v>9.3810086729234438E-2</c:v>
                </c:pt>
                <c:pt idx="303">
                  <c:v>9.4214044201504449E-2</c:v>
                </c:pt>
                <c:pt idx="304">
                  <c:v>9.460495798345489E-2</c:v>
                </c:pt>
                <c:pt idx="305">
                  <c:v>9.4982651549656946E-2</c:v>
                </c:pt>
                <c:pt idx="306">
                  <c:v>9.5346953865131007E-2</c:v>
                </c:pt>
                <c:pt idx="307">
                  <c:v>9.5697699514362786E-2</c:v>
                </c:pt>
                <c:pt idx="308">
                  <c:v>9.6034728826426233E-2</c:v>
                </c:pt>
                <c:pt idx="309">
                  <c:v>9.6357887996080277E-2</c:v>
                </c:pt>
                <c:pt idx="310">
                  <c:v>9.6667029200712309E-2</c:v>
                </c:pt>
                <c:pt idx="311">
                  <c:v>9.6962010713002103E-2</c:v>
                </c:pt>
                <c:pt idx="312">
                  <c:v>9.7242697009187321E-2</c:v>
                </c:pt>
                <c:pt idx="313">
                  <c:v>9.750895887281455E-2</c:v>
                </c:pt>
                <c:pt idx="314">
                  <c:v>9.7760673493863998E-2</c:v>
                </c:pt>
                <c:pt idx="315">
                  <c:v>9.7997724563142985E-2</c:v>
                </c:pt>
                <c:pt idx="316">
                  <c:v>9.8220002361844819E-2</c:v>
                </c:pt>
                <c:pt idx="317">
                  <c:v>9.8427403846177736E-2</c:v>
                </c:pt>
                <c:pt idx="318">
                  <c:v>9.8619832726972251E-2</c:v>
                </c:pt>
                <c:pt idx="319">
                  <c:v>9.8797199544180453E-2</c:v>
                </c:pt>
                <c:pt idx="320">
                  <c:v>9.8959421736187381E-2</c:v>
                </c:pt>
                <c:pt idx="321">
                  <c:v>9.9106423703858262E-2</c:v>
                </c:pt>
                <c:pt idx="322">
                  <c:v>9.9238136869252938E-2</c:v>
                </c:pt>
                <c:pt idx="323">
                  <c:v>9.9354499728943044E-2</c:v>
                </c:pt>
                <c:pt idx="324">
                  <c:v>9.9455457901874281E-2</c:v>
                </c:pt>
                <c:pt idx="325">
                  <c:v>9.954096417172166E-2</c:v>
                </c:pt>
                <c:pt idx="326">
                  <c:v>9.9610978523690996E-2</c:v>
                </c:pt>
                <c:pt idx="327">
                  <c:v>9.9665468175727343E-2</c:v>
                </c:pt>
                <c:pt idx="328">
                  <c:v>9.9704407604095449E-2</c:v>
                </c:pt>
                <c:pt idx="329">
                  <c:v>9.9727778563304961E-2</c:v>
                </c:pt>
                <c:pt idx="330">
                  <c:v>9.9735570100358176E-2</c:v>
                </c:pt>
                <c:pt idx="331">
                  <c:v>9.9727778563304961E-2</c:v>
                </c:pt>
                <c:pt idx="332">
                  <c:v>9.9704407604095449E-2</c:v>
                </c:pt>
                <c:pt idx="333">
                  <c:v>9.9665468175727343E-2</c:v>
                </c:pt>
                <c:pt idx="334">
                  <c:v>9.9610978523690996E-2</c:v>
                </c:pt>
                <c:pt idx="335">
                  <c:v>9.954096417172166E-2</c:v>
                </c:pt>
                <c:pt idx="336">
                  <c:v>9.9455457901874281E-2</c:v>
                </c:pt>
                <c:pt idx="337">
                  <c:v>9.9354499728943044E-2</c:v>
                </c:pt>
                <c:pt idx="338">
                  <c:v>9.9238136869252938E-2</c:v>
                </c:pt>
                <c:pt idx="339">
                  <c:v>9.9106423703858262E-2</c:v>
                </c:pt>
                <c:pt idx="340">
                  <c:v>9.8959421736187381E-2</c:v>
                </c:pt>
                <c:pt idx="341">
                  <c:v>9.8797199544180453E-2</c:v>
                </c:pt>
                <c:pt idx="342">
                  <c:v>9.8619832726972251E-2</c:v>
                </c:pt>
                <c:pt idx="343">
                  <c:v>9.8427403846177736E-2</c:v>
                </c:pt>
                <c:pt idx="344">
                  <c:v>9.8220002361844819E-2</c:v>
                </c:pt>
                <c:pt idx="345">
                  <c:v>9.7997724563142985E-2</c:v>
                </c:pt>
                <c:pt idx="346">
                  <c:v>9.7760673493863998E-2</c:v>
                </c:pt>
                <c:pt idx="347">
                  <c:v>9.750895887281455E-2</c:v>
                </c:pt>
                <c:pt idx="348">
                  <c:v>9.7242697009187321E-2</c:v>
                </c:pt>
                <c:pt idx="349">
                  <c:v>9.6962010713002103E-2</c:v>
                </c:pt>
                <c:pt idx="350">
                  <c:v>9.6667029200712309E-2</c:v>
                </c:pt>
                <c:pt idx="351">
                  <c:v>9.6357887996080277E-2</c:v>
                </c:pt>
                <c:pt idx="352">
                  <c:v>9.6034728826426233E-2</c:v>
                </c:pt>
                <c:pt idx="353">
                  <c:v>9.5697699514362786E-2</c:v>
                </c:pt>
                <c:pt idx="354">
                  <c:v>9.5346953865131007E-2</c:v>
                </c:pt>
                <c:pt idx="355">
                  <c:v>9.4982651549656946E-2</c:v>
                </c:pt>
                <c:pt idx="356">
                  <c:v>9.460495798345489E-2</c:v>
                </c:pt>
                <c:pt idx="357">
                  <c:v>9.4214044201504449E-2</c:v>
                </c:pt>
                <c:pt idx="358">
                  <c:v>9.3810086729234438E-2</c:v>
                </c:pt>
                <c:pt idx="359">
                  <c:v>9.3393267449750142E-2</c:v>
                </c:pt>
                <c:pt idx="360">
                  <c:v>9.2963773467442237E-2</c:v>
                </c:pt>
                <c:pt idx="361">
                  <c:v>9.2521796968122502E-2</c:v>
                </c:pt>
                <c:pt idx="362">
                  <c:v>9.2067535075830889E-2</c:v>
                </c:pt>
                <c:pt idx="363">
                  <c:v>9.1601189706463873E-2</c:v>
                </c:pt>
                <c:pt idx="364">
                  <c:v>9.1122967418376583E-2</c:v>
                </c:pt>
                <c:pt idx="365">
                  <c:v>9.0633079260111313E-2</c:v>
                </c:pt>
                <c:pt idx="366">
                  <c:v>9.0131740615412015E-2</c:v>
                </c:pt>
                <c:pt idx="367">
                  <c:v>8.9619171045681928E-2</c:v>
                </c:pt>
                <c:pt idx="368">
                  <c:v>8.9095594130045752E-2</c:v>
                </c:pt>
                <c:pt idx="369">
                  <c:v>8.8561237303180246E-2</c:v>
                </c:pt>
                <c:pt idx="370">
                  <c:v>8.8016331691074881E-2</c:v>
                </c:pt>
                <c:pt idx="371">
                  <c:v>8.7461111944891493E-2</c:v>
                </c:pt>
                <c:pt idx="372">
                  <c:v>8.6895816073087093E-2</c:v>
                </c:pt>
                <c:pt idx="373">
                  <c:v>8.6320685271968206E-2</c:v>
                </c:pt>
                <c:pt idx="374">
                  <c:v>8.5735963754845948E-2</c:v>
                </c:pt>
                <c:pt idx="375">
                  <c:v>8.5141898579957673E-2</c:v>
                </c:pt>
                <c:pt idx="376">
                  <c:v>8.4538739477327887E-2</c:v>
                </c:pt>
                <c:pt idx="377">
                  <c:v>8.3926738674734436E-2</c:v>
                </c:pt>
                <c:pt idx="378">
                  <c:v>8.3306150722949848E-2</c:v>
                </c:pt>
                <c:pt idx="379">
                  <c:v>8.2677232320426911E-2</c:v>
                </c:pt>
                <c:pt idx="380">
                  <c:v>8.2040242137593769E-2</c:v>
                </c:pt>
                <c:pt idx="381">
                  <c:v>8.1395440640928754E-2</c:v>
                </c:pt>
                <c:pt idx="382">
                  <c:v>8.074308991697865E-2</c:v>
                </c:pt>
                <c:pt idx="383">
                  <c:v>8.0083453496485532E-2</c:v>
                </c:pt>
                <c:pt idx="384">
                  <c:v>7.9416796178787011E-2</c:v>
                </c:pt>
                <c:pt idx="385">
                  <c:v>7.8743383856648336E-2</c:v>
                </c:pt>
                <c:pt idx="386">
                  <c:v>7.806348334169036E-2</c:v>
                </c:pt>
                <c:pt idx="387">
                  <c:v>7.7377362190568594E-2</c:v>
                </c:pt>
                <c:pt idx="388">
                  <c:v>7.6685288532059914E-2</c:v>
                </c:pt>
                <c:pt idx="389">
                  <c:v>7.5987530895211652E-2</c:v>
                </c:pt>
                <c:pt idx="390">
                  <c:v>7.5284358038701107E-2</c:v>
                </c:pt>
                <c:pt idx="391">
                  <c:v>7.4576038781557746E-2</c:v>
                </c:pt>
                <c:pt idx="392">
                  <c:v>7.3862841835390824E-2</c:v>
                </c:pt>
                <c:pt idx="393">
                  <c:v>7.3145035638265868E-2</c:v>
                </c:pt>
                <c:pt idx="394">
                  <c:v>7.2422888190370641E-2</c:v>
                </c:pt>
                <c:pt idx="395">
                  <c:v>7.1696666891603617E-2</c:v>
                </c:pt>
                <c:pt idx="396">
                  <c:v>7.0966638381221872E-2</c:v>
                </c:pt>
                <c:pt idx="397">
                  <c:v>7.0233068379674621E-2</c:v>
                </c:pt>
                <c:pt idx="398">
                  <c:v>6.9496221532749036E-2</c:v>
                </c:pt>
                <c:pt idx="399">
                  <c:v>6.8756361258151016E-2</c:v>
                </c:pt>
                <c:pt idx="400">
                  <c:v>6.8013749594635881E-2</c:v>
                </c:pt>
                <c:pt idx="401">
                  <c:v>6.726864705380696E-2</c:v>
                </c:pt>
                <c:pt idx="402">
                  <c:v>6.6521312474688801E-2</c:v>
                </c:pt>
                <c:pt idx="403">
                  <c:v>6.5772002881181513E-2</c:v>
                </c:pt>
                <c:pt idx="404">
                  <c:v>6.5020973342498886E-2</c:v>
                </c:pt>
                <c:pt idx="405">
                  <c:v>6.4268476836683672E-2</c:v>
                </c:pt>
                <c:pt idx="406">
                  <c:v>6.3514764117297284E-2</c:v>
                </c:pt>
                <c:pt idx="407">
                  <c:v>6.2760083583368237E-2</c:v>
                </c:pt>
                <c:pt idx="408">
                  <c:v>6.2004681152684198E-2</c:v>
                </c:pt>
                <c:pt idx="409">
                  <c:v>6.124880013850767E-2</c:v>
                </c:pt>
                <c:pt idx="410">
                  <c:v>6.0492681129785841E-2</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3-63F1-4593-B806-FA3567A4CB23}"/>
            </c:ext>
          </c:extLst>
        </c:ser>
        <c:ser>
          <c:idx val="4"/>
          <c:order val="4"/>
          <c:tx>
            <c:strRef>
              <c:f>HeightChart!$I$10</c:f>
              <c:strCache>
                <c:ptCount val="1"/>
                <c:pt idx="0">
                  <c:v>Mean = 71, where z = 0</c:v>
                </c:pt>
              </c:strCache>
            </c:strRef>
          </c:tx>
          <c:spPr>
            <a:ln w="25400">
              <a:noFill/>
            </a:ln>
          </c:spPr>
          <c:val>
            <c:numRef>
              <c:f>HeightChart!$I$11:$I$1230</c:f>
              <c:numCache>
                <c:formatCode>General</c:formatCode>
                <c:ptCount val="6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9.9727778563304961E-2</c:v>
                </c:pt>
                <c:pt idx="330">
                  <c:v>9.9735570100358176E-2</c:v>
                </c:pt>
                <c:pt idx="331">
                  <c:v>9.9727778563304961E-2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numCache>
            </c:numRef>
          </c:val>
          <c:extLst>
            <c:ext xmlns:c16="http://schemas.microsoft.com/office/drawing/2014/chart" uri="{C3380CC4-5D6E-409C-BE32-E72D297353CC}">
              <c16:uniqueId val="{00000004-63F1-4593-B806-FA3567A4CB23}"/>
            </c:ext>
          </c:extLst>
        </c:ser>
        <c:dLbls>
          <c:showLegendKey val="0"/>
          <c:showVal val="0"/>
          <c:showCatName val="0"/>
          <c:showSerName val="0"/>
          <c:showPercent val="0"/>
          <c:showBubbleSize val="0"/>
        </c:dLbls>
        <c:axId val="808012800"/>
        <c:axId val="808013360"/>
      </c:areaChart>
      <c:catAx>
        <c:axId val="808012800"/>
        <c:scaling>
          <c:orientation val="minMax"/>
        </c:scaling>
        <c:delete val="1"/>
        <c:axPos val="b"/>
        <c:title>
          <c:tx>
            <c:rich>
              <a:bodyPr/>
              <a:lstStyle/>
              <a:p>
                <a:pPr>
                  <a:defRPr/>
                </a:pPr>
                <a:r>
                  <a:rPr lang="en-US"/>
                  <a:t>z = # SD</a:t>
                </a:r>
              </a:p>
            </c:rich>
          </c:tx>
          <c:layout>
            <c:manualLayout>
              <c:xMode val="edge"/>
              <c:yMode val="edge"/>
              <c:x val="0.45671831082747938"/>
              <c:y val="0.92233142669433044"/>
            </c:manualLayout>
          </c:layout>
          <c:overlay val="0"/>
        </c:title>
        <c:numFmt formatCode="General" sourceLinked="0"/>
        <c:majorTickMark val="none"/>
        <c:minorTickMark val="none"/>
        <c:tickLblPos val="nextTo"/>
        <c:crossAx val="808013360"/>
        <c:crosses val="autoZero"/>
        <c:auto val="1"/>
        <c:lblAlgn val="ctr"/>
        <c:lblOffset val="100"/>
        <c:tickLblSkip val="10"/>
        <c:noMultiLvlLbl val="0"/>
      </c:catAx>
      <c:valAx>
        <c:axId val="808013360"/>
        <c:scaling>
          <c:orientation val="minMax"/>
        </c:scaling>
        <c:delete val="1"/>
        <c:axPos val="l"/>
        <c:numFmt formatCode="General" sourceLinked="1"/>
        <c:majorTickMark val="out"/>
        <c:minorTickMark val="none"/>
        <c:tickLblPos val="nextTo"/>
        <c:crossAx val="808012800"/>
        <c:crosses val="autoZero"/>
        <c:crossBetween val="between"/>
      </c:valAx>
    </c:plotArea>
    <c:plotVisOnly val="1"/>
    <c:dispBlanksAs val="zero"/>
    <c:showDLblsOverMax val="0"/>
  </c:chart>
  <c:txPr>
    <a:bodyPr/>
    <a:lstStyle/>
    <a:p>
      <a:pPr>
        <a:defRPr sz="1200"/>
      </a:pPr>
      <a:endParaRPr lang="en-US"/>
    </a:p>
  </c:txPr>
  <c:printSettings>
    <c:headerFooter/>
    <c:pageMargins b="0.75" l="0.7" r="0.7" t="0.75" header="0.3" footer="0.3"/>
    <c:pageSetup/>
  </c:printSettings>
  <c:userShapes r:id="rId1"/>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35591360262064E-2"/>
          <c:y val="0.36482884005495092"/>
          <c:w val="0.93148255119690138"/>
          <c:h val="0.41756432222908818"/>
        </c:manualLayout>
      </c:layout>
      <c:barChart>
        <c:barDir val="bar"/>
        <c:grouping val="stacked"/>
        <c:varyColors val="0"/>
        <c:ser>
          <c:idx val="0"/>
          <c:order val="0"/>
          <c:tx>
            <c:strRef>
              <c:f>'5 Number &amp; Box Blot (an)'!$N$17</c:f>
              <c:strCache>
                <c:ptCount val="1"/>
                <c:pt idx="0">
                  <c:v>Min</c:v>
                </c:pt>
              </c:strCache>
            </c:strRef>
          </c:tx>
          <c:spPr>
            <a:noFill/>
            <a:ln>
              <a:noFill/>
            </a:ln>
            <a:effectLst/>
          </c:spPr>
          <c:invertIfNegative val="0"/>
          <c:val>
            <c:numRef>
              <c:f>'5 Number &amp; Box Blot (an)'!$O$17</c:f>
              <c:numCache>
                <c:formatCode>General</c:formatCode>
                <c:ptCount val="1"/>
                <c:pt idx="0">
                  <c:v>10</c:v>
                </c:pt>
              </c:numCache>
            </c:numRef>
          </c:val>
          <c:extLst>
            <c:ext xmlns:c16="http://schemas.microsoft.com/office/drawing/2014/chart" uri="{C3380CC4-5D6E-409C-BE32-E72D297353CC}">
              <c16:uniqueId val="{00000000-D918-4BDC-8CC3-891D629B69AE}"/>
            </c:ext>
          </c:extLst>
        </c:ser>
        <c:ser>
          <c:idx val="1"/>
          <c:order val="1"/>
          <c:tx>
            <c:strRef>
              <c:f>'5 Number &amp; Box Blot (an)'!$N$18</c:f>
              <c:strCache>
                <c:ptCount val="1"/>
                <c:pt idx="0">
                  <c:v>Quartile 1</c:v>
                </c:pt>
              </c:strCache>
            </c:strRef>
          </c:tx>
          <c:spPr>
            <a:noFill/>
            <a:ln>
              <a:noFill/>
            </a:ln>
            <a:effectLst/>
          </c:spPr>
          <c:invertIfNegative val="0"/>
          <c:errBars>
            <c:errBarType val="minus"/>
            <c:errValType val="cust"/>
            <c:noEndCap val="0"/>
            <c:plus>
              <c:numLit>
                <c:formatCode>General</c:formatCode>
                <c:ptCount val="1"/>
                <c:pt idx="0">
                  <c:v>1</c:v>
                </c:pt>
              </c:numLit>
            </c:plus>
            <c:minus>
              <c:numRef>
                <c:f>'5 Number &amp; Box Blot (an)'!$O$18</c:f>
                <c:numCache>
                  <c:formatCode>General</c:formatCode>
                  <c:ptCount val="1"/>
                  <c:pt idx="0">
                    <c:v>7.5</c:v>
                  </c:pt>
                </c:numCache>
              </c:numRef>
            </c:minus>
            <c:spPr>
              <a:noFill/>
              <a:ln w="9525" cap="flat" cmpd="sng" algn="ctr">
                <a:solidFill>
                  <a:schemeClr val="tx1">
                    <a:lumMod val="65000"/>
                    <a:lumOff val="35000"/>
                  </a:schemeClr>
                </a:solidFill>
                <a:round/>
              </a:ln>
              <a:effectLst/>
            </c:spPr>
          </c:errBars>
          <c:val>
            <c:numRef>
              <c:f>'5 Number &amp; Box Blot (an)'!$O$18</c:f>
              <c:numCache>
                <c:formatCode>General</c:formatCode>
                <c:ptCount val="1"/>
                <c:pt idx="0">
                  <c:v>7.5</c:v>
                </c:pt>
              </c:numCache>
            </c:numRef>
          </c:val>
          <c:extLst>
            <c:ext xmlns:c16="http://schemas.microsoft.com/office/drawing/2014/chart" uri="{C3380CC4-5D6E-409C-BE32-E72D297353CC}">
              <c16:uniqueId val="{00000001-D918-4BDC-8CC3-891D629B69AE}"/>
            </c:ext>
          </c:extLst>
        </c:ser>
        <c:ser>
          <c:idx val="2"/>
          <c:order val="2"/>
          <c:tx>
            <c:strRef>
              <c:f>'5 Number &amp; Box Blot (an)'!$N$19</c:f>
              <c:strCache>
                <c:ptCount val="1"/>
                <c:pt idx="0">
                  <c:v>Median</c:v>
                </c:pt>
              </c:strCache>
            </c:strRef>
          </c:tx>
          <c:spPr>
            <a:solidFill>
              <a:schemeClr val="accent3"/>
            </a:solidFill>
            <a:ln>
              <a:noFill/>
            </a:ln>
            <a:effectLst/>
          </c:spPr>
          <c:invertIfNegative val="0"/>
          <c:val>
            <c:numRef>
              <c:f>'5 Number &amp; Box Blot (an)'!$O$19</c:f>
              <c:numCache>
                <c:formatCode>General</c:formatCode>
                <c:ptCount val="1"/>
                <c:pt idx="0">
                  <c:v>9.5</c:v>
                </c:pt>
              </c:numCache>
            </c:numRef>
          </c:val>
          <c:extLst>
            <c:ext xmlns:c16="http://schemas.microsoft.com/office/drawing/2014/chart" uri="{C3380CC4-5D6E-409C-BE32-E72D297353CC}">
              <c16:uniqueId val="{00000002-D918-4BDC-8CC3-891D629B69AE}"/>
            </c:ext>
          </c:extLst>
        </c:ser>
        <c:ser>
          <c:idx val="3"/>
          <c:order val="3"/>
          <c:tx>
            <c:strRef>
              <c:f>'5 Number &amp; Box Blot (an)'!$N$20</c:f>
              <c:strCache>
                <c:ptCount val="1"/>
                <c:pt idx="0">
                  <c:v>Quartile 3</c:v>
                </c:pt>
              </c:strCache>
            </c:strRef>
          </c:tx>
          <c:spPr>
            <a:solidFill>
              <a:schemeClr val="accent4"/>
            </a:solidFill>
            <a:ln>
              <a:noFill/>
            </a:ln>
            <a:effectLst/>
          </c:spPr>
          <c:invertIfNegative val="0"/>
          <c:errBars>
            <c:errBarType val="plus"/>
            <c:errValType val="fixedVal"/>
            <c:noEndCap val="0"/>
            <c:val val="5"/>
            <c:spPr>
              <a:noFill/>
              <a:ln w="9525" cap="flat" cmpd="sng" algn="ctr">
                <a:solidFill>
                  <a:schemeClr val="tx1">
                    <a:lumMod val="65000"/>
                    <a:lumOff val="35000"/>
                  </a:schemeClr>
                </a:solidFill>
                <a:round/>
              </a:ln>
              <a:effectLst/>
            </c:spPr>
          </c:errBars>
          <c:val>
            <c:numRef>
              <c:f>'5 Number &amp; Box Blot (an)'!$O$20</c:f>
              <c:numCache>
                <c:formatCode>General</c:formatCode>
                <c:ptCount val="1"/>
                <c:pt idx="0">
                  <c:v>2.5</c:v>
                </c:pt>
              </c:numCache>
            </c:numRef>
          </c:val>
          <c:extLst>
            <c:ext xmlns:c16="http://schemas.microsoft.com/office/drawing/2014/chart" uri="{C3380CC4-5D6E-409C-BE32-E72D297353CC}">
              <c16:uniqueId val="{00000003-D918-4BDC-8CC3-891D629B69AE}"/>
            </c:ext>
          </c:extLst>
        </c:ser>
        <c:ser>
          <c:idx val="4"/>
          <c:order val="4"/>
          <c:tx>
            <c:strRef>
              <c:f>'5 Number &amp; Box Blot (an)'!$N$21</c:f>
              <c:strCache>
                <c:ptCount val="1"/>
                <c:pt idx="0">
                  <c:v>Max</c:v>
                </c:pt>
              </c:strCache>
            </c:strRef>
          </c:tx>
          <c:spPr>
            <a:noFill/>
            <a:ln>
              <a:noFill/>
            </a:ln>
            <a:effectLst/>
          </c:spPr>
          <c:invertIfNegative val="0"/>
          <c:val>
            <c:numRef>
              <c:f>'5 Number &amp; Box Blot (an)'!$O$21</c:f>
              <c:numCache>
                <c:formatCode>General</c:formatCode>
                <c:ptCount val="1"/>
                <c:pt idx="0">
                  <c:v>5.5</c:v>
                </c:pt>
              </c:numCache>
            </c:numRef>
          </c:val>
          <c:extLst>
            <c:ext xmlns:c16="http://schemas.microsoft.com/office/drawing/2014/chart" uri="{C3380CC4-5D6E-409C-BE32-E72D297353CC}">
              <c16:uniqueId val="{00000004-D918-4BDC-8CC3-891D629B69AE}"/>
            </c:ext>
          </c:extLst>
        </c:ser>
        <c:dLbls>
          <c:showLegendKey val="0"/>
          <c:showVal val="0"/>
          <c:showCatName val="0"/>
          <c:showSerName val="0"/>
          <c:showPercent val="0"/>
          <c:showBubbleSize val="0"/>
        </c:dLbls>
        <c:gapWidth val="150"/>
        <c:overlap val="100"/>
        <c:axId val="808023440"/>
        <c:axId val="808024000"/>
      </c:barChart>
      <c:scatterChart>
        <c:scatterStyle val="lineMarker"/>
        <c:varyColors val="0"/>
        <c:ser>
          <c:idx val="5"/>
          <c:order val="5"/>
          <c:tx>
            <c:strRef>
              <c:f>'5 Number &amp; Box Blot (an)'!$N$22</c:f>
              <c:strCache>
                <c:ptCount val="1"/>
                <c:pt idx="0">
                  <c:v>Mean</c:v>
                </c:pt>
              </c:strCache>
            </c:strRef>
          </c:tx>
          <c:spPr>
            <a:ln w="25400" cap="rnd">
              <a:noFill/>
              <a:round/>
            </a:ln>
            <a:effectLst/>
          </c:spPr>
          <c:marker>
            <c:symbol val="circle"/>
            <c:size val="5"/>
            <c:spPr>
              <a:solidFill>
                <a:schemeClr val="accent6"/>
              </a:solidFill>
              <a:ln w="9525">
                <a:solidFill>
                  <a:schemeClr val="accent6"/>
                </a:solidFill>
              </a:ln>
              <a:effectLst/>
            </c:spPr>
          </c:marker>
          <c:xVal>
            <c:numRef>
              <c:f>'5 Number &amp; Box Blot (an)'!$O$22</c:f>
              <c:numCache>
                <c:formatCode>General</c:formatCode>
                <c:ptCount val="1"/>
                <c:pt idx="0">
                  <c:v>24.235294117647058</c:v>
                </c:pt>
              </c:numCache>
            </c:numRef>
          </c:xVal>
          <c:yVal>
            <c:numRef>
              <c:f>'5 Number &amp; Box Blot (an)'!$Q$22</c:f>
              <c:numCache>
                <c:formatCode>General</c:formatCode>
                <c:ptCount val="1"/>
                <c:pt idx="0">
                  <c:v>1.5</c:v>
                </c:pt>
              </c:numCache>
            </c:numRef>
          </c:yVal>
          <c:smooth val="0"/>
          <c:extLst>
            <c:ext xmlns:c16="http://schemas.microsoft.com/office/drawing/2014/chart" uri="{C3380CC4-5D6E-409C-BE32-E72D297353CC}">
              <c16:uniqueId val="{00000007-D918-4BDC-8CC3-891D629B69AE}"/>
            </c:ext>
          </c:extLst>
        </c:ser>
        <c:dLbls>
          <c:showLegendKey val="0"/>
          <c:showVal val="0"/>
          <c:showCatName val="0"/>
          <c:showSerName val="0"/>
          <c:showPercent val="0"/>
          <c:showBubbleSize val="0"/>
        </c:dLbls>
        <c:axId val="808025120"/>
        <c:axId val="808024560"/>
      </c:scatterChart>
      <c:scatterChart>
        <c:scatterStyle val="smoothMarker"/>
        <c:varyColors val="0"/>
        <c:ser>
          <c:idx val="6"/>
          <c:order val="6"/>
          <c:tx>
            <c:strRef>
              <c:f>'5 Number &amp; Box Blot (an)'!$O$26</c:f>
              <c:strCache>
                <c:ptCount val="1"/>
                <c:pt idx="0">
                  <c:v>Lower Limit X </c:v>
                </c:pt>
              </c:strCache>
            </c:strRef>
          </c:tx>
          <c:spPr>
            <a:ln w="28575" cap="rnd">
              <a:solidFill>
                <a:schemeClr val="accent1">
                  <a:lumMod val="60000"/>
                </a:schemeClr>
              </a:solidFill>
              <a:round/>
            </a:ln>
            <a:effectLst/>
          </c:spPr>
          <c:marker>
            <c:symbol val="none"/>
          </c:marker>
          <c:xVal>
            <c:numRef>
              <c:f>'5 Number &amp; Box Blot (an)'!$O$27:$O$28</c:f>
              <c:numCache>
                <c:formatCode>General</c:formatCode>
                <c:ptCount val="2"/>
                <c:pt idx="0">
                  <c:v>0</c:v>
                </c:pt>
                <c:pt idx="1">
                  <c:v>0</c:v>
                </c:pt>
              </c:numCache>
            </c:numRef>
          </c:xVal>
          <c:yVal>
            <c:numRef>
              <c:f>'5 Number &amp; Box Blot (an)'!$P$27:$P$28</c:f>
              <c:numCache>
                <c:formatCode>General</c:formatCode>
                <c:ptCount val="2"/>
                <c:pt idx="0">
                  <c:v>0</c:v>
                </c:pt>
                <c:pt idx="1">
                  <c:v>1.5</c:v>
                </c:pt>
              </c:numCache>
            </c:numRef>
          </c:yVal>
          <c:smooth val="1"/>
          <c:extLst>
            <c:ext xmlns:c16="http://schemas.microsoft.com/office/drawing/2014/chart" uri="{C3380CC4-5D6E-409C-BE32-E72D297353CC}">
              <c16:uniqueId val="{00000005-D918-4BDC-8CC3-891D629B69AE}"/>
            </c:ext>
          </c:extLst>
        </c:ser>
        <c:ser>
          <c:idx val="7"/>
          <c:order val="7"/>
          <c:tx>
            <c:strRef>
              <c:f>'5 Number &amp; Box Blot (an)'!$R$26</c:f>
              <c:strCache>
                <c:ptCount val="1"/>
                <c:pt idx="0">
                  <c:v>Upper Limit X</c:v>
                </c:pt>
              </c:strCache>
            </c:strRef>
          </c:tx>
          <c:spPr>
            <a:ln w="28575" cap="rnd">
              <a:solidFill>
                <a:schemeClr val="accent2">
                  <a:lumMod val="60000"/>
                </a:schemeClr>
              </a:solidFill>
              <a:round/>
            </a:ln>
            <a:effectLst/>
          </c:spPr>
          <c:marker>
            <c:symbol val="none"/>
          </c:marker>
          <c:xVal>
            <c:numRef>
              <c:f>'5 Number &amp; Box Blot (an)'!$R$27:$R$28</c:f>
              <c:numCache>
                <c:formatCode>General</c:formatCode>
                <c:ptCount val="2"/>
                <c:pt idx="0">
                  <c:v>47.5</c:v>
                </c:pt>
                <c:pt idx="1">
                  <c:v>47.5</c:v>
                </c:pt>
              </c:numCache>
            </c:numRef>
          </c:xVal>
          <c:yVal>
            <c:numRef>
              <c:f>'5 Number &amp; Box Blot (an)'!$S$27:$S$28</c:f>
              <c:numCache>
                <c:formatCode>General</c:formatCode>
                <c:ptCount val="2"/>
                <c:pt idx="0">
                  <c:v>0</c:v>
                </c:pt>
                <c:pt idx="1">
                  <c:v>1.5</c:v>
                </c:pt>
              </c:numCache>
            </c:numRef>
          </c:yVal>
          <c:smooth val="1"/>
          <c:extLst>
            <c:ext xmlns:c16="http://schemas.microsoft.com/office/drawing/2014/chart" uri="{C3380CC4-5D6E-409C-BE32-E72D297353CC}">
              <c16:uniqueId val="{00000006-D918-4BDC-8CC3-891D629B69AE}"/>
            </c:ext>
          </c:extLst>
        </c:ser>
        <c:dLbls>
          <c:showLegendKey val="0"/>
          <c:showVal val="0"/>
          <c:showCatName val="0"/>
          <c:showSerName val="0"/>
          <c:showPercent val="0"/>
          <c:showBubbleSize val="0"/>
        </c:dLbls>
        <c:axId val="808025120"/>
        <c:axId val="808024560"/>
      </c:scatterChart>
      <c:catAx>
        <c:axId val="808023440"/>
        <c:scaling>
          <c:orientation val="minMax"/>
        </c:scaling>
        <c:delete val="1"/>
        <c:axPos val="l"/>
        <c:numFmt formatCode="General" sourceLinked="1"/>
        <c:majorTickMark val="out"/>
        <c:minorTickMark val="none"/>
        <c:tickLblPos val="nextTo"/>
        <c:crossAx val="808024000"/>
        <c:crosses val="autoZero"/>
        <c:auto val="1"/>
        <c:lblAlgn val="ctr"/>
        <c:lblOffset val="100"/>
        <c:noMultiLvlLbl val="0"/>
      </c:catAx>
      <c:valAx>
        <c:axId val="808024000"/>
        <c:scaling>
          <c:orientation val="minMax"/>
        </c:scaling>
        <c:delete val="0"/>
        <c:axPos val="b"/>
        <c:title>
          <c:tx>
            <c:strRef>
              <c:f>'5 Number &amp; Box Blot (an)'!$A$16</c:f>
              <c:strCache>
                <c:ptCount val="1"/>
                <c:pt idx="0">
                  <c:v>Quiz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08023440"/>
        <c:crosses val="autoZero"/>
        <c:crossBetween val="between"/>
      </c:valAx>
      <c:valAx>
        <c:axId val="808024560"/>
        <c:scaling>
          <c:orientation val="minMax"/>
        </c:scaling>
        <c:delete val="1"/>
        <c:axPos val="r"/>
        <c:numFmt formatCode="General" sourceLinked="1"/>
        <c:majorTickMark val="out"/>
        <c:minorTickMark val="none"/>
        <c:tickLblPos val="nextTo"/>
        <c:crossAx val="808025120"/>
        <c:crosses val="max"/>
        <c:crossBetween val="midCat"/>
      </c:valAx>
      <c:valAx>
        <c:axId val="808025120"/>
        <c:scaling>
          <c:orientation val="minMax"/>
        </c:scaling>
        <c:delete val="1"/>
        <c:axPos val="t"/>
        <c:numFmt formatCode="General" sourceLinked="1"/>
        <c:majorTickMark val="out"/>
        <c:minorTickMark val="none"/>
        <c:tickLblPos val="nextTo"/>
        <c:crossAx val="808024560"/>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535591360262064E-2"/>
          <c:y val="0.36482884005495092"/>
          <c:w val="0.93148255119690138"/>
          <c:h val="0.41756432222908818"/>
        </c:manualLayout>
      </c:layout>
      <c:barChart>
        <c:barDir val="bar"/>
        <c:grouping val="stacked"/>
        <c:varyColors val="0"/>
        <c:ser>
          <c:idx val="0"/>
          <c:order val="0"/>
          <c:tx>
            <c:strRef>
              <c:f>'5 Number &amp; Box Blot (an)'!$N$17</c:f>
              <c:strCache>
                <c:ptCount val="1"/>
                <c:pt idx="0">
                  <c:v>Min</c:v>
                </c:pt>
              </c:strCache>
            </c:strRef>
          </c:tx>
          <c:spPr>
            <a:noFill/>
            <a:ln>
              <a:noFill/>
            </a:ln>
            <a:effectLst/>
          </c:spPr>
          <c:invertIfNegative val="0"/>
          <c:val>
            <c:numRef>
              <c:f>'5 Number &amp; Box Blot (an)'!$O$17</c:f>
              <c:numCache>
                <c:formatCode>General</c:formatCode>
                <c:ptCount val="1"/>
                <c:pt idx="0">
                  <c:v>10</c:v>
                </c:pt>
              </c:numCache>
            </c:numRef>
          </c:val>
          <c:extLst>
            <c:ext xmlns:c16="http://schemas.microsoft.com/office/drawing/2014/chart" uri="{C3380CC4-5D6E-409C-BE32-E72D297353CC}">
              <c16:uniqueId val="{00000000-CE14-4F90-BAC4-0C6FA92231A8}"/>
            </c:ext>
          </c:extLst>
        </c:ser>
        <c:ser>
          <c:idx val="1"/>
          <c:order val="1"/>
          <c:tx>
            <c:strRef>
              <c:f>'5 Number &amp; Box Blot (an)'!$N$18</c:f>
              <c:strCache>
                <c:ptCount val="1"/>
                <c:pt idx="0">
                  <c:v>Quartile 1</c:v>
                </c:pt>
              </c:strCache>
            </c:strRef>
          </c:tx>
          <c:spPr>
            <a:noFill/>
            <a:ln>
              <a:noFill/>
            </a:ln>
            <a:effectLst/>
          </c:spPr>
          <c:invertIfNegative val="0"/>
          <c:errBars>
            <c:errBarType val="minus"/>
            <c:errValType val="cust"/>
            <c:noEndCap val="0"/>
            <c:plus>
              <c:numLit>
                <c:formatCode>General</c:formatCode>
                <c:ptCount val="1"/>
                <c:pt idx="0">
                  <c:v>1</c:v>
                </c:pt>
              </c:numLit>
            </c:plus>
            <c:minus>
              <c:numRef>
                <c:f>'5 Number &amp; Box Blot (an)'!$O$18</c:f>
                <c:numCache>
                  <c:formatCode>General</c:formatCode>
                  <c:ptCount val="1"/>
                  <c:pt idx="0">
                    <c:v>7.5</c:v>
                  </c:pt>
                </c:numCache>
              </c:numRef>
            </c:minus>
            <c:spPr>
              <a:noFill/>
              <a:ln w="9525" cap="flat" cmpd="sng" algn="ctr">
                <a:solidFill>
                  <a:schemeClr val="tx1">
                    <a:lumMod val="65000"/>
                    <a:lumOff val="35000"/>
                  </a:schemeClr>
                </a:solidFill>
                <a:round/>
              </a:ln>
              <a:effectLst/>
            </c:spPr>
          </c:errBars>
          <c:val>
            <c:numRef>
              <c:f>'5 Number &amp; Box Blot (an)'!$O$18</c:f>
              <c:numCache>
                <c:formatCode>General</c:formatCode>
                <c:ptCount val="1"/>
                <c:pt idx="0">
                  <c:v>7.5</c:v>
                </c:pt>
              </c:numCache>
            </c:numRef>
          </c:val>
          <c:extLst>
            <c:ext xmlns:c16="http://schemas.microsoft.com/office/drawing/2014/chart" uri="{C3380CC4-5D6E-409C-BE32-E72D297353CC}">
              <c16:uniqueId val="{00000001-CE14-4F90-BAC4-0C6FA92231A8}"/>
            </c:ext>
          </c:extLst>
        </c:ser>
        <c:ser>
          <c:idx val="2"/>
          <c:order val="2"/>
          <c:tx>
            <c:strRef>
              <c:f>'5 Number &amp; Box Blot (an)'!$N$19</c:f>
              <c:strCache>
                <c:ptCount val="1"/>
                <c:pt idx="0">
                  <c:v>Median</c:v>
                </c:pt>
              </c:strCache>
            </c:strRef>
          </c:tx>
          <c:spPr>
            <a:solidFill>
              <a:schemeClr val="accent3"/>
            </a:solidFill>
            <a:ln>
              <a:noFill/>
            </a:ln>
            <a:effectLst/>
          </c:spPr>
          <c:invertIfNegative val="0"/>
          <c:val>
            <c:numRef>
              <c:f>'5 Number &amp; Box Blot (an)'!$O$19</c:f>
              <c:numCache>
                <c:formatCode>General</c:formatCode>
                <c:ptCount val="1"/>
                <c:pt idx="0">
                  <c:v>9.5</c:v>
                </c:pt>
              </c:numCache>
            </c:numRef>
          </c:val>
          <c:extLst>
            <c:ext xmlns:c16="http://schemas.microsoft.com/office/drawing/2014/chart" uri="{C3380CC4-5D6E-409C-BE32-E72D297353CC}">
              <c16:uniqueId val="{00000002-CE14-4F90-BAC4-0C6FA92231A8}"/>
            </c:ext>
          </c:extLst>
        </c:ser>
        <c:ser>
          <c:idx val="3"/>
          <c:order val="3"/>
          <c:tx>
            <c:strRef>
              <c:f>'5 Number &amp; Box Blot (an)'!$N$20</c:f>
              <c:strCache>
                <c:ptCount val="1"/>
                <c:pt idx="0">
                  <c:v>Quartile 3</c:v>
                </c:pt>
              </c:strCache>
            </c:strRef>
          </c:tx>
          <c:spPr>
            <a:solidFill>
              <a:schemeClr val="accent4"/>
            </a:solidFill>
            <a:ln>
              <a:noFill/>
            </a:ln>
            <a:effectLst/>
          </c:spPr>
          <c:invertIfNegative val="0"/>
          <c:errBars>
            <c:errBarType val="plus"/>
            <c:errValType val="fixedVal"/>
            <c:noEndCap val="0"/>
            <c:val val="5"/>
            <c:spPr>
              <a:noFill/>
              <a:ln w="9525" cap="flat" cmpd="sng" algn="ctr">
                <a:solidFill>
                  <a:schemeClr val="tx1">
                    <a:lumMod val="65000"/>
                    <a:lumOff val="35000"/>
                  </a:schemeClr>
                </a:solidFill>
                <a:round/>
              </a:ln>
              <a:effectLst/>
            </c:spPr>
          </c:errBars>
          <c:val>
            <c:numRef>
              <c:f>'5 Number &amp; Box Blot (an)'!$O$20</c:f>
              <c:numCache>
                <c:formatCode>General</c:formatCode>
                <c:ptCount val="1"/>
                <c:pt idx="0">
                  <c:v>2.5</c:v>
                </c:pt>
              </c:numCache>
            </c:numRef>
          </c:val>
          <c:extLst>
            <c:ext xmlns:c16="http://schemas.microsoft.com/office/drawing/2014/chart" uri="{C3380CC4-5D6E-409C-BE32-E72D297353CC}">
              <c16:uniqueId val="{00000003-CE14-4F90-BAC4-0C6FA92231A8}"/>
            </c:ext>
          </c:extLst>
        </c:ser>
        <c:ser>
          <c:idx val="4"/>
          <c:order val="4"/>
          <c:tx>
            <c:strRef>
              <c:f>'5 Number &amp; Box Blot (an)'!$N$21</c:f>
              <c:strCache>
                <c:ptCount val="1"/>
                <c:pt idx="0">
                  <c:v>Max</c:v>
                </c:pt>
              </c:strCache>
            </c:strRef>
          </c:tx>
          <c:spPr>
            <a:noFill/>
            <a:ln>
              <a:noFill/>
            </a:ln>
            <a:effectLst/>
          </c:spPr>
          <c:invertIfNegative val="0"/>
          <c:val>
            <c:numRef>
              <c:f>'5 Number &amp; Box Blot (an)'!$O$21</c:f>
              <c:numCache>
                <c:formatCode>General</c:formatCode>
                <c:ptCount val="1"/>
                <c:pt idx="0">
                  <c:v>5.5</c:v>
                </c:pt>
              </c:numCache>
            </c:numRef>
          </c:val>
          <c:extLst>
            <c:ext xmlns:c16="http://schemas.microsoft.com/office/drawing/2014/chart" uri="{C3380CC4-5D6E-409C-BE32-E72D297353CC}">
              <c16:uniqueId val="{00000004-CE14-4F90-BAC4-0C6FA92231A8}"/>
            </c:ext>
          </c:extLst>
        </c:ser>
        <c:dLbls>
          <c:showLegendKey val="0"/>
          <c:showVal val="0"/>
          <c:showCatName val="0"/>
          <c:showSerName val="0"/>
          <c:showPercent val="0"/>
          <c:showBubbleSize val="0"/>
        </c:dLbls>
        <c:gapWidth val="150"/>
        <c:overlap val="100"/>
        <c:axId val="808032400"/>
        <c:axId val="808032960"/>
      </c:barChart>
      <c:scatterChart>
        <c:scatterStyle val="lineMarker"/>
        <c:varyColors val="0"/>
        <c:ser>
          <c:idx val="5"/>
          <c:order val="5"/>
          <c:tx>
            <c:strRef>
              <c:f>'5 Number &amp; Box Blot (an)'!$N$22</c:f>
              <c:strCache>
                <c:ptCount val="1"/>
                <c:pt idx="0">
                  <c:v>Mean</c:v>
                </c:pt>
              </c:strCache>
            </c:strRef>
          </c:tx>
          <c:spPr>
            <a:ln w="25400" cap="rnd">
              <a:noFill/>
              <a:round/>
            </a:ln>
            <a:effectLst/>
          </c:spPr>
          <c:marker>
            <c:symbol val="circle"/>
            <c:size val="5"/>
            <c:spPr>
              <a:solidFill>
                <a:schemeClr val="accent6"/>
              </a:solidFill>
              <a:ln w="9525">
                <a:solidFill>
                  <a:schemeClr val="accent6"/>
                </a:solidFill>
              </a:ln>
              <a:effectLst/>
            </c:spPr>
          </c:marker>
          <c:xVal>
            <c:numRef>
              <c:f>'5 Number &amp; Box Blot (an)'!$O$22</c:f>
              <c:numCache>
                <c:formatCode>General</c:formatCode>
                <c:ptCount val="1"/>
                <c:pt idx="0">
                  <c:v>24.235294117647058</c:v>
                </c:pt>
              </c:numCache>
            </c:numRef>
          </c:xVal>
          <c:yVal>
            <c:numRef>
              <c:f>'5 Number &amp; Box Blot (an)'!$Q$22</c:f>
              <c:numCache>
                <c:formatCode>General</c:formatCode>
                <c:ptCount val="1"/>
                <c:pt idx="0">
                  <c:v>1.5</c:v>
                </c:pt>
              </c:numCache>
            </c:numRef>
          </c:yVal>
          <c:smooth val="0"/>
          <c:extLst>
            <c:ext xmlns:c16="http://schemas.microsoft.com/office/drawing/2014/chart" uri="{C3380CC4-5D6E-409C-BE32-E72D297353CC}">
              <c16:uniqueId val="{00000007-CE14-4F90-BAC4-0C6FA92231A8}"/>
            </c:ext>
          </c:extLst>
        </c:ser>
        <c:dLbls>
          <c:showLegendKey val="0"/>
          <c:showVal val="0"/>
          <c:showCatName val="0"/>
          <c:showSerName val="0"/>
          <c:showPercent val="0"/>
          <c:showBubbleSize val="0"/>
        </c:dLbls>
        <c:axId val="808034080"/>
        <c:axId val="808033520"/>
      </c:scatterChart>
      <c:scatterChart>
        <c:scatterStyle val="smoothMarker"/>
        <c:varyColors val="0"/>
        <c:ser>
          <c:idx val="6"/>
          <c:order val="6"/>
          <c:tx>
            <c:strRef>
              <c:f>'5 Number &amp; Box Blot (an)'!$O$26</c:f>
              <c:strCache>
                <c:ptCount val="1"/>
                <c:pt idx="0">
                  <c:v>Lower Limit X </c:v>
                </c:pt>
              </c:strCache>
            </c:strRef>
          </c:tx>
          <c:spPr>
            <a:ln w="28575" cap="rnd">
              <a:solidFill>
                <a:schemeClr val="accent1">
                  <a:lumMod val="60000"/>
                </a:schemeClr>
              </a:solidFill>
              <a:round/>
            </a:ln>
            <a:effectLst/>
          </c:spPr>
          <c:marker>
            <c:symbol val="none"/>
          </c:marker>
          <c:xVal>
            <c:numRef>
              <c:f>'5 Number &amp; Box Blot (an)'!$O$27:$O$28</c:f>
              <c:numCache>
                <c:formatCode>General</c:formatCode>
                <c:ptCount val="2"/>
                <c:pt idx="0">
                  <c:v>0</c:v>
                </c:pt>
                <c:pt idx="1">
                  <c:v>0</c:v>
                </c:pt>
              </c:numCache>
            </c:numRef>
          </c:xVal>
          <c:yVal>
            <c:numRef>
              <c:f>'5 Number &amp; Box Blot (an)'!$P$27:$P$28</c:f>
              <c:numCache>
                <c:formatCode>General</c:formatCode>
                <c:ptCount val="2"/>
                <c:pt idx="0">
                  <c:v>0</c:v>
                </c:pt>
                <c:pt idx="1">
                  <c:v>1.5</c:v>
                </c:pt>
              </c:numCache>
            </c:numRef>
          </c:yVal>
          <c:smooth val="1"/>
          <c:extLst>
            <c:ext xmlns:c16="http://schemas.microsoft.com/office/drawing/2014/chart" uri="{C3380CC4-5D6E-409C-BE32-E72D297353CC}">
              <c16:uniqueId val="{00000005-CE14-4F90-BAC4-0C6FA92231A8}"/>
            </c:ext>
          </c:extLst>
        </c:ser>
        <c:ser>
          <c:idx val="7"/>
          <c:order val="7"/>
          <c:tx>
            <c:strRef>
              <c:f>'5 Number &amp; Box Blot (an)'!$R$26</c:f>
              <c:strCache>
                <c:ptCount val="1"/>
                <c:pt idx="0">
                  <c:v>Upper Limit X</c:v>
                </c:pt>
              </c:strCache>
            </c:strRef>
          </c:tx>
          <c:spPr>
            <a:ln w="28575" cap="rnd">
              <a:solidFill>
                <a:schemeClr val="accent2">
                  <a:lumMod val="60000"/>
                </a:schemeClr>
              </a:solidFill>
              <a:round/>
            </a:ln>
            <a:effectLst/>
          </c:spPr>
          <c:marker>
            <c:symbol val="none"/>
          </c:marker>
          <c:xVal>
            <c:numRef>
              <c:f>'5 Number &amp; Box Blot (an)'!$R$27:$R$28</c:f>
              <c:numCache>
                <c:formatCode>General</c:formatCode>
                <c:ptCount val="2"/>
                <c:pt idx="0">
                  <c:v>47.5</c:v>
                </c:pt>
                <c:pt idx="1">
                  <c:v>47.5</c:v>
                </c:pt>
              </c:numCache>
            </c:numRef>
          </c:xVal>
          <c:yVal>
            <c:numRef>
              <c:f>'5 Number &amp; Box Blot (an)'!$S$27:$S$28</c:f>
              <c:numCache>
                <c:formatCode>General</c:formatCode>
                <c:ptCount val="2"/>
                <c:pt idx="0">
                  <c:v>0</c:v>
                </c:pt>
                <c:pt idx="1">
                  <c:v>1.5</c:v>
                </c:pt>
              </c:numCache>
            </c:numRef>
          </c:yVal>
          <c:smooth val="1"/>
          <c:extLst>
            <c:ext xmlns:c16="http://schemas.microsoft.com/office/drawing/2014/chart" uri="{C3380CC4-5D6E-409C-BE32-E72D297353CC}">
              <c16:uniqueId val="{00000006-CE14-4F90-BAC4-0C6FA92231A8}"/>
            </c:ext>
          </c:extLst>
        </c:ser>
        <c:dLbls>
          <c:showLegendKey val="0"/>
          <c:showVal val="0"/>
          <c:showCatName val="0"/>
          <c:showSerName val="0"/>
          <c:showPercent val="0"/>
          <c:showBubbleSize val="0"/>
        </c:dLbls>
        <c:axId val="808034080"/>
        <c:axId val="808033520"/>
      </c:scatterChart>
      <c:catAx>
        <c:axId val="808032400"/>
        <c:scaling>
          <c:orientation val="minMax"/>
        </c:scaling>
        <c:delete val="1"/>
        <c:axPos val="l"/>
        <c:numFmt formatCode="General" sourceLinked="1"/>
        <c:majorTickMark val="out"/>
        <c:minorTickMark val="none"/>
        <c:tickLblPos val="nextTo"/>
        <c:crossAx val="808032960"/>
        <c:crosses val="autoZero"/>
        <c:auto val="1"/>
        <c:lblAlgn val="ctr"/>
        <c:lblOffset val="100"/>
        <c:noMultiLvlLbl val="0"/>
      </c:catAx>
      <c:valAx>
        <c:axId val="808032960"/>
        <c:scaling>
          <c:orientation val="minMax"/>
        </c:scaling>
        <c:delete val="0"/>
        <c:axPos val="b"/>
        <c:title>
          <c:tx>
            <c:strRef>
              <c:f>'5 Number &amp; Box Blot (an)'!$A$16</c:f>
              <c:strCache>
                <c:ptCount val="1"/>
                <c:pt idx="0">
                  <c:v>Quiz Scores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08032400"/>
        <c:crosses val="autoZero"/>
        <c:crossBetween val="between"/>
      </c:valAx>
      <c:valAx>
        <c:axId val="808033520"/>
        <c:scaling>
          <c:orientation val="minMax"/>
        </c:scaling>
        <c:delete val="1"/>
        <c:axPos val="r"/>
        <c:numFmt formatCode="General" sourceLinked="1"/>
        <c:majorTickMark val="out"/>
        <c:minorTickMark val="none"/>
        <c:tickLblPos val="nextTo"/>
        <c:crossAx val="808034080"/>
        <c:crosses val="max"/>
        <c:crossBetween val="midCat"/>
      </c:valAx>
      <c:valAx>
        <c:axId val="808034080"/>
        <c:scaling>
          <c:orientation val="minMax"/>
        </c:scaling>
        <c:delete val="1"/>
        <c:axPos val="t"/>
        <c:numFmt formatCode="General" sourceLinked="1"/>
        <c:majorTickMark val="out"/>
        <c:minorTickMark val="none"/>
        <c:tickLblPos val="nextTo"/>
        <c:crossAx val="808033520"/>
        <c:crosses val="max"/>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spPr>
            <a:noFill/>
          </c:spPr>
          <c:invertIfNegative val="0"/>
          <c:cat>
            <c:strRef>
              <c:f>'BP Chart'!$E$14</c:f>
              <c:strCache>
                <c:ptCount val="1"/>
                <c:pt idx="0">
                  <c:v>Scores</c:v>
                </c:pt>
              </c:strCache>
            </c:strRef>
          </c:cat>
          <c:val>
            <c:numRef>
              <c:f>'BP Chart'!$E$15</c:f>
              <c:numCache>
                <c:formatCode>General</c:formatCode>
                <c:ptCount val="1"/>
                <c:pt idx="0">
                  <c:v>23</c:v>
                </c:pt>
              </c:numCache>
            </c:numRef>
          </c:val>
          <c:extLst>
            <c:ext xmlns:c16="http://schemas.microsoft.com/office/drawing/2014/chart" uri="{C3380CC4-5D6E-409C-BE32-E72D297353CC}">
              <c16:uniqueId val="{00000000-BD82-4682-9D1F-539957C7CD69}"/>
            </c:ext>
          </c:extLst>
        </c:ser>
        <c:ser>
          <c:idx val="1"/>
          <c:order val="1"/>
          <c:spPr>
            <a:noFill/>
          </c:spPr>
          <c:invertIfNegative val="0"/>
          <c:errBars>
            <c:errBarType val="minus"/>
            <c:errValType val="cust"/>
            <c:noEndCap val="0"/>
            <c:plus>
              <c:numLit>
                <c:formatCode>General</c:formatCode>
                <c:ptCount val="1"/>
                <c:pt idx="0">
                  <c:v>1</c:v>
                </c:pt>
              </c:numLit>
            </c:plus>
            <c:minus>
              <c:numRef>
                <c:f>'BP Chart'!$E$16</c:f>
                <c:numCache>
                  <c:formatCode>General</c:formatCode>
                  <c:ptCount val="1"/>
                  <c:pt idx="0">
                    <c:v>27.25</c:v>
                  </c:pt>
                </c:numCache>
              </c:numRef>
            </c:minus>
          </c:errBars>
          <c:cat>
            <c:strRef>
              <c:f>'BP Chart'!$E$14</c:f>
              <c:strCache>
                <c:ptCount val="1"/>
                <c:pt idx="0">
                  <c:v>Scores</c:v>
                </c:pt>
              </c:strCache>
            </c:strRef>
          </c:cat>
          <c:val>
            <c:numRef>
              <c:f>'BP Chart'!$E$16</c:f>
              <c:numCache>
                <c:formatCode>General</c:formatCode>
                <c:ptCount val="1"/>
                <c:pt idx="0">
                  <c:v>27.25</c:v>
                </c:pt>
              </c:numCache>
            </c:numRef>
          </c:val>
          <c:extLst>
            <c:ext xmlns:c16="http://schemas.microsoft.com/office/drawing/2014/chart" uri="{C3380CC4-5D6E-409C-BE32-E72D297353CC}">
              <c16:uniqueId val="{00000001-BD82-4682-9D1F-539957C7CD69}"/>
            </c:ext>
          </c:extLst>
        </c:ser>
        <c:ser>
          <c:idx val="2"/>
          <c:order val="2"/>
          <c:invertIfNegative val="0"/>
          <c:cat>
            <c:strRef>
              <c:f>'BP Chart'!$E$14</c:f>
              <c:strCache>
                <c:ptCount val="1"/>
                <c:pt idx="0">
                  <c:v>Scores</c:v>
                </c:pt>
              </c:strCache>
            </c:strRef>
          </c:cat>
          <c:val>
            <c:numRef>
              <c:f>'BP Chart'!$E$17</c:f>
              <c:numCache>
                <c:formatCode>General</c:formatCode>
                <c:ptCount val="1"/>
                <c:pt idx="0">
                  <c:v>20.75</c:v>
                </c:pt>
              </c:numCache>
            </c:numRef>
          </c:val>
          <c:extLst>
            <c:ext xmlns:c16="http://schemas.microsoft.com/office/drawing/2014/chart" uri="{C3380CC4-5D6E-409C-BE32-E72D297353CC}">
              <c16:uniqueId val="{00000002-BD82-4682-9D1F-539957C7CD69}"/>
            </c:ext>
          </c:extLst>
        </c:ser>
        <c:ser>
          <c:idx val="3"/>
          <c:order val="3"/>
          <c:invertIfNegative val="0"/>
          <c:errBars>
            <c:errBarType val="plus"/>
            <c:errValType val="cust"/>
            <c:noEndCap val="0"/>
            <c:plus>
              <c:numRef>
                <c:f>'BP Chart'!$E$19</c:f>
                <c:numCache>
                  <c:formatCode>General</c:formatCode>
                  <c:ptCount val="1"/>
                  <c:pt idx="0">
                    <c:v>14.5</c:v>
                  </c:pt>
                </c:numCache>
              </c:numRef>
            </c:plus>
            <c:minus>
              <c:numLit>
                <c:formatCode>General</c:formatCode>
                <c:ptCount val="1"/>
                <c:pt idx="0">
                  <c:v>1</c:v>
                </c:pt>
              </c:numLit>
            </c:minus>
          </c:errBars>
          <c:cat>
            <c:strRef>
              <c:f>'BP Chart'!$E$14</c:f>
              <c:strCache>
                <c:ptCount val="1"/>
                <c:pt idx="0">
                  <c:v>Scores</c:v>
                </c:pt>
              </c:strCache>
            </c:strRef>
          </c:cat>
          <c:val>
            <c:numRef>
              <c:f>'BP Chart'!$E$18</c:f>
              <c:numCache>
                <c:formatCode>General</c:formatCode>
                <c:ptCount val="1"/>
                <c:pt idx="0">
                  <c:v>10.5</c:v>
                </c:pt>
              </c:numCache>
            </c:numRef>
          </c:val>
          <c:extLst>
            <c:ext xmlns:c16="http://schemas.microsoft.com/office/drawing/2014/chart" uri="{C3380CC4-5D6E-409C-BE32-E72D297353CC}">
              <c16:uniqueId val="{00000003-BD82-4682-9D1F-539957C7CD69}"/>
            </c:ext>
          </c:extLst>
        </c:ser>
        <c:ser>
          <c:idx val="4"/>
          <c:order val="4"/>
          <c:spPr>
            <a:noFill/>
          </c:spPr>
          <c:invertIfNegative val="0"/>
          <c:cat>
            <c:strRef>
              <c:f>'BP Chart'!$E$14</c:f>
              <c:strCache>
                <c:ptCount val="1"/>
                <c:pt idx="0">
                  <c:v>Scores</c:v>
                </c:pt>
              </c:strCache>
            </c:strRef>
          </c:cat>
          <c:val>
            <c:numRef>
              <c:f>'BP Chart'!$E$19</c:f>
              <c:numCache>
                <c:formatCode>General</c:formatCode>
                <c:ptCount val="1"/>
                <c:pt idx="0">
                  <c:v>14.5</c:v>
                </c:pt>
              </c:numCache>
            </c:numRef>
          </c:val>
          <c:extLst>
            <c:ext xmlns:c16="http://schemas.microsoft.com/office/drawing/2014/chart" uri="{C3380CC4-5D6E-409C-BE32-E72D297353CC}">
              <c16:uniqueId val="{00000004-BD82-4682-9D1F-539957C7CD69}"/>
            </c:ext>
          </c:extLst>
        </c:ser>
        <c:dLbls>
          <c:showLegendKey val="0"/>
          <c:showVal val="0"/>
          <c:showCatName val="0"/>
          <c:showSerName val="0"/>
          <c:showPercent val="0"/>
          <c:showBubbleSize val="0"/>
        </c:dLbls>
        <c:gapWidth val="150"/>
        <c:overlap val="100"/>
        <c:axId val="266952128"/>
        <c:axId val="266952688"/>
      </c:barChart>
      <c:scatterChart>
        <c:scatterStyle val="smoothMarker"/>
        <c:varyColors val="0"/>
        <c:ser>
          <c:idx val="6"/>
          <c:order val="6"/>
          <c:tx>
            <c:strRef>
              <c:f>'BP Chart'!$I$1</c:f>
              <c:strCache>
                <c:ptCount val="1"/>
                <c:pt idx="0">
                  <c:v>Lower Limit</c:v>
                </c:pt>
              </c:strCache>
            </c:strRef>
          </c:tx>
          <c:marker>
            <c:symbol val="none"/>
          </c:marker>
          <c:xVal>
            <c:numRef>
              <c:f>'BP Chart'!$I$2:$I$3</c:f>
              <c:numCache>
                <c:formatCode>General</c:formatCode>
                <c:ptCount val="2"/>
                <c:pt idx="0">
                  <c:v>3.375</c:v>
                </c:pt>
                <c:pt idx="1">
                  <c:v>3.375</c:v>
                </c:pt>
              </c:numCache>
            </c:numRef>
          </c:xVal>
          <c:yVal>
            <c:numRef>
              <c:f>'BP Chart'!$J$2:$J$3</c:f>
              <c:numCache>
                <c:formatCode>General</c:formatCode>
                <c:ptCount val="2"/>
                <c:pt idx="0">
                  <c:v>0</c:v>
                </c:pt>
                <c:pt idx="1">
                  <c:v>1</c:v>
                </c:pt>
              </c:numCache>
            </c:numRef>
          </c:yVal>
          <c:smooth val="1"/>
          <c:extLst>
            <c:ext xmlns:c16="http://schemas.microsoft.com/office/drawing/2014/chart" uri="{C3380CC4-5D6E-409C-BE32-E72D297353CC}">
              <c16:uniqueId val="{00000006-BD82-4682-9D1F-539957C7CD69}"/>
            </c:ext>
          </c:extLst>
        </c:ser>
        <c:ser>
          <c:idx val="7"/>
          <c:order val="7"/>
          <c:tx>
            <c:strRef>
              <c:f>'BP Chart'!$L$1</c:f>
              <c:strCache>
                <c:ptCount val="1"/>
                <c:pt idx="0">
                  <c:v>Upper Limit</c:v>
                </c:pt>
              </c:strCache>
            </c:strRef>
          </c:tx>
          <c:marker>
            <c:symbol val="none"/>
          </c:marker>
          <c:xVal>
            <c:numRef>
              <c:f>'BP Chart'!$L$2:$L$3</c:f>
              <c:numCache>
                <c:formatCode>General</c:formatCode>
                <c:ptCount val="2"/>
                <c:pt idx="0">
                  <c:v>128.375</c:v>
                </c:pt>
                <c:pt idx="1">
                  <c:v>128.375</c:v>
                </c:pt>
              </c:numCache>
            </c:numRef>
          </c:xVal>
          <c:yVal>
            <c:numRef>
              <c:f>'BP Chart'!$M$2:$M$3</c:f>
              <c:numCache>
                <c:formatCode>General</c:formatCode>
                <c:ptCount val="2"/>
                <c:pt idx="0">
                  <c:v>0</c:v>
                </c:pt>
                <c:pt idx="1">
                  <c:v>1</c:v>
                </c:pt>
              </c:numCache>
            </c:numRef>
          </c:yVal>
          <c:smooth val="1"/>
          <c:extLst>
            <c:ext xmlns:c16="http://schemas.microsoft.com/office/drawing/2014/chart" uri="{C3380CC4-5D6E-409C-BE32-E72D297353CC}">
              <c16:uniqueId val="{00000007-BD82-4682-9D1F-539957C7CD69}"/>
            </c:ext>
          </c:extLst>
        </c:ser>
        <c:dLbls>
          <c:showLegendKey val="0"/>
          <c:showVal val="0"/>
          <c:showCatName val="0"/>
          <c:showSerName val="0"/>
          <c:showPercent val="0"/>
          <c:showBubbleSize val="0"/>
        </c:dLbls>
        <c:axId val="266953808"/>
        <c:axId val="266953248"/>
      </c:scatterChart>
      <c:scatterChart>
        <c:scatterStyle val="lineMarker"/>
        <c:varyColors val="0"/>
        <c:ser>
          <c:idx val="5"/>
          <c:order val="5"/>
          <c:tx>
            <c:strRef>
              <c:f>'BP Chart'!$D$10</c:f>
              <c:strCache>
                <c:ptCount val="1"/>
                <c:pt idx="0">
                  <c:v>Mean</c:v>
                </c:pt>
              </c:strCache>
            </c:strRef>
          </c:tx>
          <c:spPr>
            <a:ln w="28575">
              <a:noFill/>
            </a:ln>
          </c:spPr>
          <c:xVal>
            <c:numRef>
              <c:f>'BP Chart'!$E$10</c:f>
              <c:numCache>
                <c:formatCode>General</c:formatCode>
                <c:ptCount val="1"/>
                <c:pt idx="0">
                  <c:v>65.650000000000006</c:v>
                </c:pt>
              </c:numCache>
            </c:numRef>
          </c:xVal>
          <c:yVal>
            <c:numRef>
              <c:f>'BP Chart'!$F$10</c:f>
              <c:numCache>
                <c:formatCode>General</c:formatCode>
                <c:ptCount val="1"/>
                <c:pt idx="0">
                  <c:v>1</c:v>
                </c:pt>
              </c:numCache>
            </c:numRef>
          </c:yVal>
          <c:smooth val="0"/>
          <c:extLst>
            <c:ext xmlns:c16="http://schemas.microsoft.com/office/drawing/2014/chart" uri="{C3380CC4-5D6E-409C-BE32-E72D297353CC}">
              <c16:uniqueId val="{00000005-BD82-4682-9D1F-539957C7CD69}"/>
            </c:ext>
          </c:extLst>
        </c:ser>
        <c:dLbls>
          <c:showLegendKey val="0"/>
          <c:showVal val="0"/>
          <c:showCatName val="0"/>
          <c:showSerName val="0"/>
          <c:showPercent val="0"/>
          <c:showBubbleSize val="0"/>
        </c:dLbls>
        <c:axId val="266953808"/>
        <c:axId val="266953248"/>
      </c:scatterChart>
      <c:catAx>
        <c:axId val="266952128"/>
        <c:scaling>
          <c:orientation val="minMax"/>
        </c:scaling>
        <c:delete val="0"/>
        <c:axPos val="l"/>
        <c:numFmt formatCode="General" sourceLinked="0"/>
        <c:majorTickMark val="out"/>
        <c:minorTickMark val="none"/>
        <c:tickLblPos val="nextTo"/>
        <c:crossAx val="266952688"/>
        <c:crosses val="autoZero"/>
        <c:auto val="1"/>
        <c:lblAlgn val="ctr"/>
        <c:lblOffset val="100"/>
        <c:noMultiLvlLbl val="0"/>
      </c:catAx>
      <c:valAx>
        <c:axId val="266952688"/>
        <c:scaling>
          <c:orientation val="minMax"/>
        </c:scaling>
        <c:delete val="0"/>
        <c:axPos val="b"/>
        <c:majorGridlines/>
        <c:numFmt formatCode="General" sourceLinked="1"/>
        <c:majorTickMark val="out"/>
        <c:minorTickMark val="none"/>
        <c:tickLblPos val="nextTo"/>
        <c:crossAx val="266952128"/>
        <c:crosses val="autoZero"/>
        <c:crossBetween val="between"/>
      </c:valAx>
      <c:valAx>
        <c:axId val="266953248"/>
        <c:scaling>
          <c:orientation val="minMax"/>
        </c:scaling>
        <c:delete val="0"/>
        <c:axPos val="r"/>
        <c:numFmt formatCode=";;;" sourceLinked="0"/>
        <c:majorTickMark val="out"/>
        <c:minorTickMark val="none"/>
        <c:tickLblPos val="nextTo"/>
        <c:spPr>
          <a:solidFill>
            <a:schemeClr val="bg1"/>
          </a:solidFill>
        </c:spPr>
        <c:crossAx val="266953808"/>
        <c:crosses val="max"/>
        <c:crossBetween val="midCat"/>
      </c:valAx>
      <c:valAx>
        <c:axId val="266953808"/>
        <c:scaling>
          <c:orientation val="minMax"/>
        </c:scaling>
        <c:delete val="1"/>
        <c:axPos val="b"/>
        <c:numFmt formatCode="General" sourceLinked="1"/>
        <c:majorTickMark val="out"/>
        <c:minorTickMark val="none"/>
        <c:tickLblPos val="nextTo"/>
        <c:crossAx val="266953248"/>
        <c:crosses val="autoZero"/>
        <c:crossBetween val="midCat"/>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'Multiple BP'!$A$3</c:f>
              <c:strCache>
                <c:ptCount val="1"/>
                <c:pt idx="0">
                  <c:v>Min</c:v>
                </c:pt>
              </c:strCache>
            </c:strRef>
          </c:tx>
          <c:spPr>
            <a:noFill/>
          </c:spPr>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BP'!$B$3:$F$3</c:f>
              <c:numCache>
                <c:formatCode>General</c:formatCode>
                <c:ptCount val="5"/>
                <c:pt idx="0">
                  <c:v>0</c:v>
                </c:pt>
                <c:pt idx="1">
                  <c:v>5</c:v>
                </c:pt>
                <c:pt idx="2">
                  <c:v>5</c:v>
                </c:pt>
                <c:pt idx="3">
                  <c:v>8</c:v>
                </c:pt>
                <c:pt idx="4">
                  <c:v>11</c:v>
                </c:pt>
              </c:numCache>
            </c:numRef>
          </c:val>
          <c:extLst>
            <c:ext xmlns:c16="http://schemas.microsoft.com/office/drawing/2014/chart" uri="{C3380CC4-5D6E-409C-BE32-E72D297353CC}">
              <c16:uniqueId val="{00000000-C3C3-4672-8308-2C6590793EFC}"/>
            </c:ext>
          </c:extLst>
        </c:ser>
        <c:ser>
          <c:idx val="1"/>
          <c:order val="1"/>
          <c:tx>
            <c:strRef>
              <c:f>'Multiple BP'!$A$4</c:f>
              <c:strCache>
                <c:ptCount val="1"/>
                <c:pt idx="0">
                  <c:v>Q1</c:v>
                </c:pt>
              </c:strCache>
            </c:strRef>
          </c:tx>
          <c:spPr>
            <a:noFill/>
          </c:spPr>
          <c:invertIfNegative val="0"/>
          <c:errBars>
            <c:errBarType val="minus"/>
            <c:errValType val="cust"/>
            <c:noEndCap val="0"/>
            <c:plus>
              <c:numLit>
                <c:formatCode>General</c:formatCode>
                <c:ptCount val="1"/>
                <c:pt idx="0">
                  <c:v>1</c:v>
                </c:pt>
              </c:numLit>
            </c:plus>
            <c:minus>
              <c:numRef>
                <c:f>'Multiple BP'!$B$4:$F$4</c:f>
                <c:numCache>
                  <c:formatCode>General</c:formatCode>
                  <c:ptCount val="5"/>
                  <c:pt idx="0">
                    <c:v>42</c:v>
                  </c:pt>
                  <c:pt idx="1">
                    <c:v>39</c:v>
                  </c:pt>
                  <c:pt idx="2">
                    <c:v>37</c:v>
                  </c:pt>
                  <c:pt idx="3">
                    <c:v>30</c:v>
                  </c:pt>
                  <c:pt idx="4">
                    <c:v>43</c:v>
                  </c:pt>
                </c:numCache>
              </c:numRef>
            </c:minus>
          </c:errBars>
          <c:cat>
            <c:strRef>
              <c:f>'Multiple BP'!$B$15:$H$15</c:f>
              <c:strCache>
                <c:ptCount val="5"/>
                <c:pt idx="0">
                  <c:v>CPA Scores 1</c:v>
                </c:pt>
                <c:pt idx="1">
                  <c:v>CPA Scores 2</c:v>
                </c:pt>
                <c:pt idx="2">
                  <c:v>CPA Scores 3</c:v>
                </c:pt>
                <c:pt idx="3">
                  <c:v>CPA Scores 4</c:v>
                </c:pt>
                <c:pt idx="4">
                  <c:v>CPA Scores 5</c:v>
                </c:pt>
              </c:strCache>
            </c:strRef>
          </c:cat>
          <c:val>
            <c:numRef>
              <c:f>'Multiple BP'!$B$4:$F$4</c:f>
              <c:numCache>
                <c:formatCode>General</c:formatCode>
                <c:ptCount val="5"/>
                <c:pt idx="0">
                  <c:v>42</c:v>
                </c:pt>
                <c:pt idx="1">
                  <c:v>39</c:v>
                </c:pt>
                <c:pt idx="2">
                  <c:v>37</c:v>
                </c:pt>
                <c:pt idx="3">
                  <c:v>30</c:v>
                </c:pt>
                <c:pt idx="4">
                  <c:v>43</c:v>
                </c:pt>
              </c:numCache>
            </c:numRef>
          </c:val>
          <c:extLst>
            <c:ext xmlns:c16="http://schemas.microsoft.com/office/drawing/2014/chart" uri="{C3380CC4-5D6E-409C-BE32-E72D297353CC}">
              <c16:uniqueId val="{00000001-C3C3-4672-8308-2C6590793EFC}"/>
            </c:ext>
          </c:extLst>
        </c:ser>
        <c:ser>
          <c:idx val="2"/>
          <c:order val="2"/>
          <c:tx>
            <c:strRef>
              <c:f>'Multiple BP'!$A$5</c:f>
              <c:strCache>
                <c:ptCount val="1"/>
                <c:pt idx="0">
                  <c:v>Q2</c:v>
                </c:pt>
              </c:strCache>
            </c:strRef>
          </c:tx>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BP'!$B$5:$F$5</c:f>
              <c:numCache>
                <c:formatCode>General</c:formatCode>
                <c:ptCount val="5"/>
                <c:pt idx="0">
                  <c:v>8</c:v>
                </c:pt>
                <c:pt idx="1">
                  <c:v>9</c:v>
                </c:pt>
                <c:pt idx="2">
                  <c:v>8</c:v>
                </c:pt>
                <c:pt idx="3">
                  <c:v>12</c:v>
                </c:pt>
                <c:pt idx="4">
                  <c:v>9</c:v>
                </c:pt>
              </c:numCache>
            </c:numRef>
          </c:val>
          <c:extLst>
            <c:ext xmlns:c16="http://schemas.microsoft.com/office/drawing/2014/chart" uri="{C3380CC4-5D6E-409C-BE32-E72D297353CC}">
              <c16:uniqueId val="{00000002-C3C3-4672-8308-2C6590793EFC}"/>
            </c:ext>
          </c:extLst>
        </c:ser>
        <c:ser>
          <c:idx val="3"/>
          <c:order val="3"/>
          <c:tx>
            <c:strRef>
              <c:f>'Multiple BP'!$A$6</c:f>
              <c:strCache>
                <c:ptCount val="1"/>
                <c:pt idx="0">
                  <c:v>Q3</c:v>
                </c:pt>
              </c:strCache>
            </c:strRef>
          </c:tx>
          <c:invertIfNegative val="0"/>
          <c:errBars>
            <c:errBarType val="plus"/>
            <c:errValType val="cust"/>
            <c:noEndCap val="0"/>
            <c:plus>
              <c:numRef>
                <c:f>'Multiple BP'!$B$7:$F$7</c:f>
                <c:numCache>
                  <c:formatCode>General</c:formatCode>
                  <c:ptCount val="5"/>
                  <c:pt idx="0">
                    <c:v>27.5</c:v>
                  </c:pt>
                  <c:pt idx="1">
                    <c:v>30</c:v>
                  </c:pt>
                  <c:pt idx="2">
                    <c:v>31</c:v>
                  </c:pt>
                  <c:pt idx="3">
                    <c:v>32.5</c:v>
                  </c:pt>
                  <c:pt idx="4">
                    <c:v>20</c:v>
                  </c:pt>
                </c:numCache>
              </c:numRef>
            </c:plus>
            <c:minus>
              <c:numLit>
                <c:formatCode>General</c:formatCode>
                <c:ptCount val="1"/>
                <c:pt idx="0">
                  <c:v>1</c:v>
                </c:pt>
              </c:numLit>
            </c:minus>
          </c:errBars>
          <c:cat>
            <c:strRef>
              <c:f>'Multiple BP'!$B$15:$H$15</c:f>
              <c:strCache>
                <c:ptCount val="5"/>
                <c:pt idx="0">
                  <c:v>CPA Scores 1</c:v>
                </c:pt>
                <c:pt idx="1">
                  <c:v>CPA Scores 2</c:v>
                </c:pt>
                <c:pt idx="2">
                  <c:v>CPA Scores 3</c:v>
                </c:pt>
                <c:pt idx="3">
                  <c:v>CPA Scores 4</c:v>
                </c:pt>
                <c:pt idx="4">
                  <c:v>CPA Scores 5</c:v>
                </c:pt>
              </c:strCache>
            </c:strRef>
          </c:cat>
          <c:val>
            <c:numRef>
              <c:f>'Multiple BP'!$B$6:$F$6</c:f>
              <c:numCache>
                <c:formatCode>General</c:formatCode>
                <c:ptCount val="5"/>
                <c:pt idx="0">
                  <c:v>10.5</c:v>
                </c:pt>
                <c:pt idx="1">
                  <c:v>11</c:v>
                </c:pt>
                <c:pt idx="2">
                  <c:v>10</c:v>
                </c:pt>
                <c:pt idx="3">
                  <c:v>10.5</c:v>
                </c:pt>
                <c:pt idx="4">
                  <c:v>7</c:v>
                </c:pt>
              </c:numCache>
            </c:numRef>
          </c:val>
          <c:extLst>
            <c:ext xmlns:c16="http://schemas.microsoft.com/office/drawing/2014/chart" uri="{C3380CC4-5D6E-409C-BE32-E72D297353CC}">
              <c16:uniqueId val="{00000003-C3C3-4672-8308-2C6590793EFC}"/>
            </c:ext>
          </c:extLst>
        </c:ser>
        <c:ser>
          <c:idx val="4"/>
          <c:order val="4"/>
          <c:tx>
            <c:strRef>
              <c:f>'Multiple BP'!$A$7</c:f>
              <c:strCache>
                <c:ptCount val="1"/>
                <c:pt idx="0">
                  <c:v>Max</c:v>
                </c:pt>
              </c:strCache>
            </c:strRef>
          </c:tx>
          <c:spPr>
            <a:noFill/>
          </c:spPr>
          <c:invertIfNegative val="0"/>
          <c:cat>
            <c:strRef>
              <c:f>'Multiple BP'!$B$15:$H$15</c:f>
              <c:strCache>
                <c:ptCount val="5"/>
                <c:pt idx="0">
                  <c:v>CPA Scores 1</c:v>
                </c:pt>
                <c:pt idx="1">
                  <c:v>CPA Scores 2</c:v>
                </c:pt>
                <c:pt idx="2">
                  <c:v>CPA Scores 3</c:v>
                </c:pt>
                <c:pt idx="3">
                  <c:v>CPA Scores 4</c:v>
                </c:pt>
                <c:pt idx="4">
                  <c:v>CPA Scores 5</c:v>
                </c:pt>
              </c:strCache>
            </c:strRef>
          </c:cat>
          <c:val>
            <c:numRef>
              <c:f>'Multiple BP'!$B$7:$F$7</c:f>
              <c:numCache>
                <c:formatCode>General</c:formatCode>
                <c:ptCount val="5"/>
                <c:pt idx="0">
                  <c:v>27.5</c:v>
                </c:pt>
                <c:pt idx="1">
                  <c:v>30</c:v>
                </c:pt>
                <c:pt idx="2">
                  <c:v>31</c:v>
                </c:pt>
                <c:pt idx="3">
                  <c:v>32.5</c:v>
                </c:pt>
                <c:pt idx="4">
                  <c:v>20</c:v>
                </c:pt>
              </c:numCache>
            </c:numRef>
          </c:val>
          <c:extLst>
            <c:ext xmlns:c16="http://schemas.microsoft.com/office/drawing/2014/chart" uri="{C3380CC4-5D6E-409C-BE32-E72D297353CC}">
              <c16:uniqueId val="{00000004-C3C3-4672-8308-2C6590793EFC}"/>
            </c:ext>
          </c:extLst>
        </c:ser>
        <c:dLbls>
          <c:showLegendKey val="0"/>
          <c:showVal val="0"/>
          <c:showCatName val="0"/>
          <c:showSerName val="0"/>
          <c:showPercent val="0"/>
          <c:showBubbleSize val="0"/>
        </c:dLbls>
        <c:gapWidth val="150"/>
        <c:overlap val="100"/>
        <c:axId val="266958848"/>
        <c:axId val="266959408"/>
      </c:barChart>
      <c:catAx>
        <c:axId val="266958848"/>
        <c:scaling>
          <c:orientation val="minMax"/>
        </c:scaling>
        <c:delete val="0"/>
        <c:axPos val="l"/>
        <c:numFmt formatCode="General" sourceLinked="0"/>
        <c:majorTickMark val="out"/>
        <c:minorTickMark val="none"/>
        <c:tickLblPos val="nextTo"/>
        <c:crossAx val="266959408"/>
        <c:crosses val="autoZero"/>
        <c:auto val="1"/>
        <c:lblAlgn val="ctr"/>
        <c:lblOffset val="100"/>
        <c:noMultiLvlLbl val="0"/>
      </c:catAx>
      <c:valAx>
        <c:axId val="266959408"/>
        <c:scaling>
          <c:orientation val="minMax"/>
        </c:scaling>
        <c:delete val="0"/>
        <c:axPos val="b"/>
        <c:majorGridlines/>
        <c:numFmt formatCode="General" sourceLinked="1"/>
        <c:majorTickMark val="out"/>
        <c:minorTickMark val="none"/>
        <c:tickLblPos val="nextTo"/>
        <c:crossAx val="266958848"/>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055555555555549E-2"/>
          <c:y val="5.0925925925925923E-2"/>
          <c:w val="0.88255555555555554"/>
          <c:h val="0.83309419655876349"/>
        </c:manualLayout>
      </c:layout>
      <c:barChart>
        <c:barDir val="bar"/>
        <c:grouping val="stacked"/>
        <c:varyColors val="0"/>
        <c:ser>
          <c:idx val="0"/>
          <c:order val="0"/>
          <c:tx>
            <c:strRef>
              <c:f>'Monthly Salary'!$C$24</c:f>
              <c:strCache>
                <c:ptCount val="1"/>
                <c:pt idx="0">
                  <c:v>Smallest value Inside Limit</c:v>
                </c:pt>
              </c:strCache>
            </c:strRef>
          </c:tx>
          <c:spPr>
            <a:noFill/>
          </c:spPr>
          <c:invertIfNegative val="0"/>
          <c:val>
            <c:numRef>
              <c:f>'Monthly Salary'!$D$24</c:f>
              <c:numCache>
                <c:formatCode>General</c:formatCode>
                <c:ptCount val="1"/>
                <c:pt idx="0">
                  <c:v>3184</c:v>
                </c:pt>
              </c:numCache>
            </c:numRef>
          </c:val>
          <c:extLst>
            <c:ext xmlns:c16="http://schemas.microsoft.com/office/drawing/2014/chart" uri="{C3380CC4-5D6E-409C-BE32-E72D297353CC}">
              <c16:uniqueId val="{00000000-3421-4EC6-9FE0-BE61BCB54539}"/>
            </c:ext>
          </c:extLst>
        </c:ser>
        <c:ser>
          <c:idx val="1"/>
          <c:order val="1"/>
          <c:tx>
            <c:strRef>
              <c:f>'Monthly Salary'!$C$25</c:f>
              <c:strCache>
                <c:ptCount val="1"/>
                <c:pt idx="0">
                  <c:v>Quartile 1</c:v>
                </c:pt>
              </c:strCache>
            </c:strRef>
          </c:tx>
          <c:spPr>
            <a:noFill/>
          </c:spPr>
          <c:invertIfNegative val="0"/>
          <c:errBars>
            <c:errBarType val="minus"/>
            <c:errValType val="fixedVal"/>
            <c:noEndCap val="0"/>
            <c:val val="200"/>
          </c:errBars>
          <c:val>
            <c:numRef>
              <c:f>'Monthly Salary'!$D$25</c:f>
              <c:numCache>
                <c:formatCode>General</c:formatCode>
                <c:ptCount val="1"/>
                <c:pt idx="0">
                  <c:v>819</c:v>
                </c:pt>
              </c:numCache>
            </c:numRef>
          </c:val>
          <c:extLst>
            <c:ext xmlns:c16="http://schemas.microsoft.com/office/drawing/2014/chart" uri="{C3380CC4-5D6E-409C-BE32-E72D297353CC}">
              <c16:uniqueId val="{00000001-3421-4EC6-9FE0-BE61BCB54539}"/>
            </c:ext>
          </c:extLst>
        </c:ser>
        <c:ser>
          <c:idx val="2"/>
          <c:order val="2"/>
          <c:tx>
            <c:strRef>
              <c:f>'Monthly Salary'!$C$26</c:f>
              <c:strCache>
                <c:ptCount val="1"/>
                <c:pt idx="0">
                  <c:v>Median</c:v>
                </c:pt>
              </c:strCache>
            </c:strRef>
          </c:tx>
          <c:invertIfNegative val="0"/>
          <c:val>
            <c:numRef>
              <c:f>'Monthly Salary'!$D$26</c:f>
              <c:numCache>
                <c:formatCode>General</c:formatCode>
                <c:ptCount val="1"/>
                <c:pt idx="0">
                  <c:v>316</c:v>
                </c:pt>
              </c:numCache>
            </c:numRef>
          </c:val>
          <c:extLst>
            <c:ext xmlns:c16="http://schemas.microsoft.com/office/drawing/2014/chart" uri="{C3380CC4-5D6E-409C-BE32-E72D297353CC}">
              <c16:uniqueId val="{00000002-3421-4EC6-9FE0-BE61BCB54539}"/>
            </c:ext>
          </c:extLst>
        </c:ser>
        <c:ser>
          <c:idx val="3"/>
          <c:order val="3"/>
          <c:tx>
            <c:strRef>
              <c:f>'Monthly Salary'!$C$27</c:f>
              <c:strCache>
                <c:ptCount val="1"/>
                <c:pt idx="0">
                  <c:v>Quartile 3</c:v>
                </c:pt>
              </c:strCache>
            </c:strRef>
          </c:tx>
          <c:invertIfNegative val="0"/>
          <c:errBars>
            <c:errBarType val="plus"/>
            <c:errValType val="fixedVal"/>
            <c:noEndCap val="0"/>
            <c:val val="200"/>
          </c:errBars>
          <c:val>
            <c:numRef>
              <c:f>'Monthly Salary'!$D$27</c:f>
              <c:numCache>
                <c:formatCode>General</c:formatCode>
                <c:ptCount val="1"/>
                <c:pt idx="0">
                  <c:v>345</c:v>
                </c:pt>
              </c:numCache>
            </c:numRef>
          </c:val>
          <c:extLst>
            <c:ext xmlns:c16="http://schemas.microsoft.com/office/drawing/2014/chart" uri="{C3380CC4-5D6E-409C-BE32-E72D297353CC}">
              <c16:uniqueId val="{00000003-3421-4EC6-9FE0-BE61BCB54539}"/>
            </c:ext>
          </c:extLst>
        </c:ser>
        <c:ser>
          <c:idx val="4"/>
          <c:order val="4"/>
          <c:tx>
            <c:strRef>
              <c:f>'Monthly Salary'!$C$28</c:f>
              <c:strCache>
                <c:ptCount val="1"/>
                <c:pt idx="0">
                  <c:v>Larget Value Inside Limit</c:v>
                </c:pt>
              </c:strCache>
            </c:strRef>
          </c:tx>
          <c:spPr>
            <a:noFill/>
          </c:spPr>
          <c:invertIfNegative val="0"/>
          <c:val>
            <c:numRef>
              <c:f>'Monthly Salary'!$D$28</c:f>
              <c:numCache>
                <c:formatCode>General</c:formatCode>
                <c:ptCount val="1"/>
                <c:pt idx="0">
                  <c:v>956</c:v>
                </c:pt>
              </c:numCache>
            </c:numRef>
          </c:val>
          <c:extLst>
            <c:ext xmlns:c16="http://schemas.microsoft.com/office/drawing/2014/chart" uri="{C3380CC4-5D6E-409C-BE32-E72D297353CC}">
              <c16:uniqueId val="{00000004-3421-4EC6-9FE0-BE61BCB54539}"/>
            </c:ext>
          </c:extLst>
        </c:ser>
        <c:dLbls>
          <c:showLegendKey val="0"/>
          <c:showVal val="0"/>
          <c:showCatName val="0"/>
          <c:showSerName val="0"/>
          <c:showPercent val="0"/>
          <c:showBubbleSize val="0"/>
        </c:dLbls>
        <c:gapWidth val="150"/>
        <c:overlap val="100"/>
        <c:axId val="266967248"/>
        <c:axId val="266967808"/>
      </c:barChart>
      <c:scatterChart>
        <c:scatterStyle val="lineMarker"/>
        <c:varyColors val="0"/>
        <c:ser>
          <c:idx val="5"/>
          <c:order val="5"/>
          <c:tx>
            <c:strRef>
              <c:f>'Monthly Salary'!$D$17</c:f>
              <c:strCache>
                <c:ptCount val="1"/>
                <c:pt idx="0">
                  <c:v>Mean</c:v>
                </c:pt>
              </c:strCache>
            </c:strRef>
          </c:tx>
          <c:spPr>
            <a:ln w="28575">
              <a:noFill/>
            </a:ln>
          </c:spPr>
          <c:xVal>
            <c:numRef>
              <c:f>'Monthly Salary'!$D$18</c:f>
              <c:numCache>
                <c:formatCode>"$"#,##0_);[Red]\("$"#,##0\)</c:formatCode>
                <c:ptCount val="1"/>
                <c:pt idx="0">
                  <c:v>4377.7864077669901</c:v>
                </c:pt>
              </c:numCache>
            </c:numRef>
          </c:xVal>
          <c:yVal>
            <c:numRef>
              <c:f>'Monthly Salary'!$E$18</c:f>
              <c:numCache>
                <c:formatCode>General</c:formatCode>
                <c:ptCount val="1"/>
                <c:pt idx="0">
                  <c:v>2</c:v>
                </c:pt>
              </c:numCache>
            </c:numRef>
          </c:yVal>
          <c:smooth val="0"/>
          <c:extLst>
            <c:ext xmlns:c16="http://schemas.microsoft.com/office/drawing/2014/chart" uri="{C3380CC4-5D6E-409C-BE32-E72D297353CC}">
              <c16:uniqueId val="{00000007-3421-4EC6-9FE0-BE61BCB54539}"/>
            </c:ext>
          </c:extLst>
        </c:ser>
        <c:ser>
          <c:idx val="8"/>
          <c:order val="8"/>
          <c:tx>
            <c:strRef>
              <c:f>'Monthly Salary'!$C$32</c:f>
              <c:strCache>
                <c:ptCount val="1"/>
                <c:pt idx="0">
                  <c:v>Outliers Below</c:v>
                </c:pt>
              </c:strCache>
            </c:strRef>
          </c:tx>
          <c:spPr>
            <a:ln w="28575">
              <a:noFill/>
            </a:ln>
          </c:spPr>
          <c:marker>
            <c:symbol val="square"/>
            <c:size val="5"/>
            <c:spPr>
              <a:solidFill>
                <a:srgbClr val="00B050"/>
              </a:solidFill>
            </c:spPr>
          </c:marker>
          <c:xVal>
            <c:numRef>
              <c:f>[0]!XOutlierBelow</c:f>
              <c:numCache>
                <c:formatCode>General</c:formatCode>
                <c:ptCount val="2"/>
                <c:pt idx="0">
                  <c:v>2510</c:v>
                </c:pt>
                <c:pt idx="1">
                  <c:v>3008</c:v>
                </c:pt>
              </c:numCache>
            </c:numRef>
          </c:xVal>
          <c:yVal>
            <c:numRef>
              <c:f>[0]!YOutlierBelow</c:f>
              <c:numCache>
                <c:formatCode>General</c:formatCode>
                <c:ptCount val="2"/>
                <c:pt idx="0">
                  <c:v>1</c:v>
                </c:pt>
                <c:pt idx="1">
                  <c:v>1</c:v>
                </c:pt>
              </c:numCache>
            </c:numRef>
          </c:yVal>
          <c:smooth val="0"/>
          <c:extLst>
            <c:ext xmlns:c16="http://schemas.microsoft.com/office/drawing/2014/chart" uri="{C3380CC4-5D6E-409C-BE32-E72D297353CC}">
              <c16:uniqueId val="{00000008-3421-4EC6-9FE0-BE61BCB54539}"/>
            </c:ext>
          </c:extLst>
        </c:ser>
        <c:ser>
          <c:idx val="9"/>
          <c:order val="9"/>
          <c:tx>
            <c:strRef>
              <c:f>'Monthly Salary'!$F$32</c:f>
              <c:strCache>
                <c:ptCount val="1"/>
                <c:pt idx="0">
                  <c:v>Outliers Above</c:v>
                </c:pt>
              </c:strCache>
            </c:strRef>
          </c:tx>
          <c:spPr>
            <a:ln w="28575">
              <a:noFill/>
            </a:ln>
          </c:spPr>
          <c:marker>
            <c:spPr>
              <a:solidFill>
                <a:srgbClr val="FF0000"/>
              </a:solidFill>
            </c:spPr>
          </c:marker>
          <c:xVal>
            <c:numRef>
              <c:f>[0]!XOutlierAbove</c:f>
              <c:numCache>
                <c:formatCode>General</c:formatCode>
                <c:ptCount val="5"/>
                <c:pt idx="0">
                  <c:v>6987</c:v>
                </c:pt>
                <c:pt idx="1">
                  <c:v>5942</c:v>
                </c:pt>
                <c:pt idx="2">
                  <c:v>5942</c:v>
                </c:pt>
                <c:pt idx="3">
                  <c:v>5802</c:v>
                </c:pt>
                <c:pt idx="4">
                  <c:v>5767</c:v>
                </c:pt>
              </c:numCache>
            </c:numRef>
          </c:xVal>
          <c:yVal>
            <c:numRef>
              <c:f>[0]!YOutlierAbove</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9-3421-4EC6-9FE0-BE61BCB54539}"/>
            </c:ext>
          </c:extLst>
        </c:ser>
        <c:dLbls>
          <c:showLegendKey val="0"/>
          <c:showVal val="0"/>
          <c:showCatName val="0"/>
          <c:showSerName val="0"/>
          <c:showPercent val="0"/>
          <c:showBubbleSize val="0"/>
        </c:dLbls>
        <c:axId val="266968928"/>
        <c:axId val="266968368"/>
      </c:scatterChart>
      <c:scatterChart>
        <c:scatterStyle val="smoothMarker"/>
        <c:varyColors val="0"/>
        <c:ser>
          <c:idx val="6"/>
          <c:order val="6"/>
          <c:tx>
            <c:strRef>
              <c:f>'Monthly Salary'!$D$9</c:f>
              <c:strCache>
                <c:ptCount val="1"/>
                <c:pt idx="0">
                  <c:v>Lower Limits</c:v>
                </c:pt>
              </c:strCache>
            </c:strRef>
          </c:tx>
          <c:marker>
            <c:symbol val="none"/>
          </c:marker>
          <c:xVal>
            <c:numRef>
              <c:f>'Monthly Salary'!$D$10:$D$11</c:f>
              <c:numCache>
                <c:formatCode>General</c:formatCode>
                <c:ptCount val="2"/>
                <c:pt idx="0">
                  <c:v>3011.5</c:v>
                </c:pt>
                <c:pt idx="1">
                  <c:v>3011.5</c:v>
                </c:pt>
              </c:numCache>
            </c:numRef>
          </c:xVal>
          <c:yVal>
            <c:numRef>
              <c:f>'Monthly Salary'!$E$10:$E$11</c:f>
              <c:numCache>
                <c:formatCode>General</c:formatCode>
                <c:ptCount val="2"/>
                <c:pt idx="0">
                  <c:v>0</c:v>
                </c:pt>
                <c:pt idx="1">
                  <c:v>2</c:v>
                </c:pt>
              </c:numCache>
            </c:numRef>
          </c:yVal>
          <c:smooth val="1"/>
          <c:extLst>
            <c:ext xmlns:c16="http://schemas.microsoft.com/office/drawing/2014/chart" uri="{C3380CC4-5D6E-409C-BE32-E72D297353CC}">
              <c16:uniqueId val="{00000005-3421-4EC6-9FE0-BE61BCB54539}"/>
            </c:ext>
          </c:extLst>
        </c:ser>
        <c:ser>
          <c:idx val="7"/>
          <c:order val="7"/>
          <c:tx>
            <c:strRef>
              <c:f>'Monthly Salary'!$D$13</c:f>
              <c:strCache>
                <c:ptCount val="1"/>
                <c:pt idx="0">
                  <c:v>Uper Limits</c:v>
                </c:pt>
              </c:strCache>
            </c:strRef>
          </c:tx>
          <c:marker>
            <c:symbol val="none"/>
          </c:marker>
          <c:xVal>
            <c:numRef>
              <c:f>'Monthly Salary'!$D$14:$D$15</c:f>
              <c:numCache>
                <c:formatCode>General</c:formatCode>
                <c:ptCount val="2"/>
                <c:pt idx="0">
                  <c:v>5655.5</c:v>
                </c:pt>
                <c:pt idx="1">
                  <c:v>5655.5</c:v>
                </c:pt>
              </c:numCache>
            </c:numRef>
          </c:xVal>
          <c:yVal>
            <c:numRef>
              <c:f>'Monthly Salary'!$E$14:$E$15</c:f>
              <c:numCache>
                <c:formatCode>General</c:formatCode>
                <c:ptCount val="2"/>
                <c:pt idx="0">
                  <c:v>0</c:v>
                </c:pt>
                <c:pt idx="1">
                  <c:v>2</c:v>
                </c:pt>
              </c:numCache>
            </c:numRef>
          </c:yVal>
          <c:smooth val="1"/>
          <c:extLst>
            <c:ext xmlns:c16="http://schemas.microsoft.com/office/drawing/2014/chart" uri="{C3380CC4-5D6E-409C-BE32-E72D297353CC}">
              <c16:uniqueId val="{00000006-3421-4EC6-9FE0-BE61BCB54539}"/>
            </c:ext>
          </c:extLst>
        </c:ser>
        <c:dLbls>
          <c:showLegendKey val="0"/>
          <c:showVal val="0"/>
          <c:showCatName val="0"/>
          <c:showSerName val="0"/>
          <c:showPercent val="0"/>
          <c:showBubbleSize val="0"/>
        </c:dLbls>
        <c:axId val="266968928"/>
        <c:axId val="266968368"/>
      </c:scatterChart>
      <c:catAx>
        <c:axId val="266967248"/>
        <c:scaling>
          <c:orientation val="minMax"/>
        </c:scaling>
        <c:delete val="1"/>
        <c:axPos val="l"/>
        <c:majorTickMark val="out"/>
        <c:minorTickMark val="none"/>
        <c:tickLblPos val="nextTo"/>
        <c:crossAx val="266967808"/>
        <c:crosses val="autoZero"/>
        <c:auto val="1"/>
        <c:lblAlgn val="ctr"/>
        <c:lblOffset val="100"/>
        <c:noMultiLvlLbl val="0"/>
      </c:catAx>
      <c:valAx>
        <c:axId val="266967808"/>
        <c:scaling>
          <c:orientation val="minMax"/>
        </c:scaling>
        <c:delete val="0"/>
        <c:axPos val="b"/>
        <c:numFmt formatCode="General" sourceLinked="1"/>
        <c:majorTickMark val="out"/>
        <c:minorTickMark val="none"/>
        <c:tickLblPos val="nextTo"/>
        <c:crossAx val="266967248"/>
        <c:crosses val="autoZero"/>
        <c:crossBetween val="between"/>
      </c:valAx>
      <c:valAx>
        <c:axId val="266968368"/>
        <c:scaling>
          <c:orientation val="minMax"/>
        </c:scaling>
        <c:delete val="1"/>
        <c:axPos val="r"/>
        <c:numFmt formatCode="General" sourceLinked="1"/>
        <c:majorTickMark val="out"/>
        <c:minorTickMark val="none"/>
        <c:tickLblPos val="nextTo"/>
        <c:crossAx val="266968928"/>
        <c:crosses val="max"/>
        <c:crossBetween val="midCat"/>
      </c:valAx>
      <c:valAx>
        <c:axId val="266968928"/>
        <c:scaling>
          <c:orientation val="minMax"/>
        </c:scaling>
        <c:delete val="1"/>
        <c:axPos val="b"/>
        <c:numFmt formatCode="&quot;$&quot;#,##0_);[Red]\(&quot;$&quot;#,##0\)" sourceLinked="1"/>
        <c:majorTickMark val="out"/>
        <c:minorTickMark val="none"/>
        <c:tickLblPos val="nextTo"/>
        <c:crossAx val="266968368"/>
        <c:crosses val="autoZero"/>
        <c:crossBetween val="midCat"/>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Scatter'!$B$52</c:f>
          <c:strCache>
            <c:ptCount val="1"/>
            <c:pt idx="0">
              <c:v>Relationship Between Study Time &amp; Score?</c:v>
            </c:pt>
          </c:strCache>
        </c:strRef>
      </c:tx>
      <c:overlay val="0"/>
      <c:txPr>
        <a:bodyPr/>
        <a:lstStyle/>
        <a:p>
          <a:pPr>
            <a:defRPr sz="1200"/>
          </a:pPr>
          <a:endParaRPr lang="en-US"/>
        </a:p>
      </c:txPr>
    </c:title>
    <c:autoTitleDeleted val="0"/>
    <c:plotArea>
      <c:layout/>
      <c:scatterChart>
        <c:scatterStyle val="lineMarker"/>
        <c:varyColors val="0"/>
        <c:ser>
          <c:idx val="0"/>
          <c:order val="0"/>
          <c:tx>
            <c:strRef>
              <c:f>'2 Variable Scatter'!$C$57</c:f>
              <c:strCache>
                <c:ptCount val="1"/>
                <c:pt idx="0">
                  <c:v>Score on Test</c:v>
                </c:pt>
              </c:strCache>
            </c:strRef>
          </c:tx>
          <c:spPr>
            <a:ln w="19050">
              <a:noFill/>
            </a:ln>
          </c:spPr>
          <c:trendline>
            <c:trendlineType val="linear"/>
            <c:dispRSqr val="0"/>
            <c:dispEq val="0"/>
          </c:trendline>
          <c:xVal>
            <c:numRef>
              <c:f>'2 Variable Scatter'!$B$58:$B$87</c:f>
              <c:numCache>
                <c:formatCode>General</c:formatCode>
                <c:ptCount val="30"/>
                <c:pt idx="0">
                  <c:v>3</c:v>
                </c:pt>
                <c:pt idx="1">
                  <c:v>11</c:v>
                </c:pt>
                <c:pt idx="2">
                  <c:v>2</c:v>
                </c:pt>
                <c:pt idx="3">
                  <c:v>13</c:v>
                </c:pt>
                <c:pt idx="4">
                  <c:v>8</c:v>
                </c:pt>
                <c:pt idx="5">
                  <c:v>12</c:v>
                </c:pt>
                <c:pt idx="6">
                  <c:v>13</c:v>
                </c:pt>
                <c:pt idx="7">
                  <c:v>4</c:v>
                </c:pt>
                <c:pt idx="8">
                  <c:v>7</c:v>
                </c:pt>
                <c:pt idx="9">
                  <c:v>14</c:v>
                </c:pt>
                <c:pt idx="10">
                  <c:v>7</c:v>
                </c:pt>
                <c:pt idx="11">
                  <c:v>7</c:v>
                </c:pt>
                <c:pt idx="12">
                  <c:v>14</c:v>
                </c:pt>
                <c:pt idx="13">
                  <c:v>4</c:v>
                </c:pt>
                <c:pt idx="14">
                  <c:v>4</c:v>
                </c:pt>
                <c:pt idx="15">
                  <c:v>5</c:v>
                </c:pt>
                <c:pt idx="16">
                  <c:v>12</c:v>
                </c:pt>
                <c:pt idx="17">
                  <c:v>16</c:v>
                </c:pt>
                <c:pt idx="18">
                  <c:v>12</c:v>
                </c:pt>
                <c:pt idx="19">
                  <c:v>14</c:v>
                </c:pt>
                <c:pt idx="20">
                  <c:v>2</c:v>
                </c:pt>
                <c:pt idx="21">
                  <c:v>12</c:v>
                </c:pt>
                <c:pt idx="22">
                  <c:v>11</c:v>
                </c:pt>
                <c:pt idx="23">
                  <c:v>6</c:v>
                </c:pt>
                <c:pt idx="24">
                  <c:v>11</c:v>
                </c:pt>
                <c:pt idx="25">
                  <c:v>14</c:v>
                </c:pt>
                <c:pt idx="26">
                  <c:v>10</c:v>
                </c:pt>
                <c:pt idx="27">
                  <c:v>6</c:v>
                </c:pt>
                <c:pt idx="28">
                  <c:v>10</c:v>
                </c:pt>
                <c:pt idx="29">
                  <c:v>11</c:v>
                </c:pt>
              </c:numCache>
            </c:numRef>
          </c:xVal>
          <c:yVal>
            <c:numRef>
              <c:f>'2 Variable Scatter'!$C$58:$C$87</c:f>
              <c:numCache>
                <c:formatCode>General</c:formatCode>
                <c:ptCount val="30"/>
                <c:pt idx="0">
                  <c:v>49</c:v>
                </c:pt>
                <c:pt idx="1">
                  <c:v>87</c:v>
                </c:pt>
                <c:pt idx="2">
                  <c:v>50</c:v>
                </c:pt>
                <c:pt idx="3">
                  <c:v>89</c:v>
                </c:pt>
                <c:pt idx="4">
                  <c:v>84</c:v>
                </c:pt>
                <c:pt idx="5">
                  <c:v>79</c:v>
                </c:pt>
                <c:pt idx="6">
                  <c:v>100</c:v>
                </c:pt>
                <c:pt idx="7">
                  <c:v>57</c:v>
                </c:pt>
                <c:pt idx="8">
                  <c:v>64</c:v>
                </c:pt>
                <c:pt idx="9">
                  <c:v>98</c:v>
                </c:pt>
                <c:pt idx="10">
                  <c:v>81</c:v>
                </c:pt>
                <c:pt idx="11">
                  <c:v>68</c:v>
                </c:pt>
                <c:pt idx="12">
                  <c:v>88</c:v>
                </c:pt>
                <c:pt idx="13">
                  <c:v>45</c:v>
                </c:pt>
                <c:pt idx="14">
                  <c:v>52</c:v>
                </c:pt>
                <c:pt idx="15">
                  <c:v>15</c:v>
                </c:pt>
                <c:pt idx="16">
                  <c:v>72</c:v>
                </c:pt>
                <c:pt idx="17">
                  <c:v>97</c:v>
                </c:pt>
                <c:pt idx="18">
                  <c:v>89</c:v>
                </c:pt>
                <c:pt idx="19">
                  <c:v>87</c:v>
                </c:pt>
                <c:pt idx="20">
                  <c:v>48</c:v>
                </c:pt>
                <c:pt idx="21">
                  <c:v>92</c:v>
                </c:pt>
                <c:pt idx="22">
                  <c:v>89</c:v>
                </c:pt>
                <c:pt idx="23">
                  <c:v>52</c:v>
                </c:pt>
                <c:pt idx="24">
                  <c:v>84</c:v>
                </c:pt>
                <c:pt idx="25">
                  <c:v>94</c:v>
                </c:pt>
                <c:pt idx="26">
                  <c:v>79</c:v>
                </c:pt>
                <c:pt idx="27">
                  <c:v>59</c:v>
                </c:pt>
                <c:pt idx="28">
                  <c:v>66</c:v>
                </c:pt>
                <c:pt idx="29">
                  <c:v>97</c:v>
                </c:pt>
              </c:numCache>
            </c:numRef>
          </c:yVal>
          <c:smooth val="0"/>
          <c:extLst>
            <c:ext xmlns:c16="http://schemas.microsoft.com/office/drawing/2014/chart" uri="{C3380CC4-5D6E-409C-BE32-E72D297353CC}">
              <c16:uniqueId val="{00000001-77D7-4834-85B2-2437E7D117C9}"/>
            </c:ext>
          </c:extLst>
        </c:ser>
        <c:dLbls>
          <c:showLegendKey val="0"/>
          <c:showVal val="0"/>
          <c:showCatName val="0"/>
          <c:showSerName val="0"/>
          <c:showPercent val="0"/>
          <c:showBubbleSize val="0"/>
        </c:dLbls>
        <c:axId val="266971728"/>
        <c:axId val="266972288"/>
      </c:scatterChart>
      <c:valAx>
        <c:axId val="266971728"/>
        <c:scaling>
          <c:orientation val="minMax"/>
          <c:max val="17"/>
          <c:min val="0"/>
        </c:scaling>
        <c:delete val="0"/>
        <c:axPos val="b"/>
        <c:title>
          <c:tx>
            <c:strRef>
              <c:f>'2 Variable Scatter'!$B$57</c:f>
              <c:strCache>
                <c:ptCount val="1"/>
                <c:pt idx="0">
                  <c:v>Time Studying (hours)</c:v>
                </c:pt>
              </c:strCache>
            </c:strRef>
          </c:tx>
          <c:overlay val="0"/>
        </c:title>
        <c:numFmt formatCode="General" sourceLinked="1"/>
        <c:majorTickMark val="out"/>
        <c:minorTickMark val="none"/>
        <c:tickLblPos val="nextTo"/>
        <c:crossAx val="266972288"/>
        <c:crosses val="autoZero"/>
        <c:crossBetween val="midCat"/>
      </c:valAx>
      <c:valAx>
        <c:axId val="266972288"/>
        <c:scaling>
          <c:orientation val="minMax"/>
        </c:scaling>
        <c:delete val="0"/>
        <c:axPos val="l"/>
        <c:majorGridlines/>
        <c:title>
          <c:tx>
            <c:strRef>
              <c:f>'2 Variable Scatter'!$C$57</c:f>
              <c:strCache>
                <c:ptCount val="1"/>
                <c:pt idx="0">
                  <c:v>Score on Test</c:v>
                </c:pt>
              </c:strCache>
            </c:strRef>
          </c:tx>
          <c:overlay val="0"/>
          <c:txPr>
            <a:bodyPr rot="-5400000" vert="horz"/>
            <a:lstStyle/>
            <a:p>
              <a:pPr>
                <a:defRPr/>
              </a:pPr>
              <a:endParaRPr lang="en-US"/>
            </a:p>
          </c:txPr>
        </c:title>
        <c:numFmt formatCode="General" sourceLinked="1"/>
        <c:majorTickMark val="out"/>
        <c:minorTickMark val="none"/>
        <c:tickLblPos val="nextTo"/>
        <c:crossAx val="266971728"/>
        <c:crosses val="autoZero"/>
        <c:crossBetween val="midCat"/>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Scatter'!$C$34</c:f>
              <c:strCache>
                <c:ptCount val="1"/>
                <c:pt idx="0">
                  <c:v>Sales Chicken Soup</c:v>
                </c:pt>
              </c:strCache>
            </c:strRef>
          </c:tx>
          <c:spPr>
            <a:ln w="19050">
              <a:noFill/>
            </a:ln>
          </c:spPr>
          <c:trendline>
            <c:trendlineType val="linear"/>
            <c:dispRSqr val="0"/>
            <c:dispEq val="0"/>
          </c:trendline>
          <c:xVal>
            <c:numRef>
              <c:f>'2 Variable Scatter'!$B$35:$B$49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Scatter'!$C$35:$C$49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5209-42BC-A673-9F7BB9203F6F}"/>
            </c:ext>
          </c:extLst>
        </c:ser>
        <c:dLbls>
          <c:showLegendKey val="0"/>
          <c:showVal val="0"/>
          <c:showCatName val="0"/>
          <c:showSerName val="0"/>
          <c:showPercent val="0"/>
          <c:showBubbleSize val="0"/>
        </c:dLbls>
        <c:axId val="266975088"/>
        <c:axId val="266975648"/>
      </c:scatterChart>
      <c:valAx>
        <c:axId val="266975088"/>
        <c:scaling>
          <c:orientation val="minMax"/>
          <c:min val="30"/>
        </c:scaling>
        <c:delete val="0"/>
        <c:axPos val="b"/>
        <c:title>
          <c:tx>
            <c:strRef>
              <c:f>'2 Variable Scatter'!$B$34</c:f>
              <c:strCache>
                <c:ptCount val="1"/>
                <c:pt idx="0">
                  <c:v>Temperature (F)</c:v>
                </c:pt>
              </c:strCache>
            </c:strRef>
          </c:tx>
          <c:overlay val="0"/>
        </c:title>
        <c:numFmt formatCode="General" sourceLinked="1"/>
        <c:majorTickMark val="out"/>
        <c:minorTickMark val="none"/>
        <c:tickLblPos val="nextTo"/>
        <c:crossAx val="266975648"/>
        <c:crosses val="autoZero"/>
        <c:crossBetween val="midCat"/>
      </c:valAx>
      <c:valAx>
        <c:axId val="266975648"/>
        <c:scaling>
          <c:orientation val="minMax"/>
        </c:scaling>
        <c:delete val="0"/>
        <c:axPos val="l"/>
        <c:majorGridlines/>
        <c:title>
          <c:tx>
            <c:strRef>
              <c:f>'2 Variable Scatter'!$C$34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75088"/>
        <c:crosses val="autoZero"/>
        <c:crossBetween val="midCat"/>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c:f>
          <c:strCache>
            <c:ptCount val="1"/>
            <c:pt idx="0">
              <c:v>Relationship Between Temperature &amp; Ice Cream Sales?</c:v>
            </c:pt>
          </c:strCache>
        </c:strRef>
      </c:tx>
      <c:overlay val="0"/>
    </c:title>
    <c:autoTitleDeleted val="0"/>
    <c:plotArea>
      <c:layout/>
      <c:scatterChart>
        <c:scatterStyle val="lineMarker"/>
        <c:varyColors val="0"/>
        <c:ser>
          <c:idx val="0"/>
          <c:order val="0"/>
          <c:tx>
            <c:strRef>
              <c:f>'2 Variable Scatter'!$C$16</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Scatter'!$B$17:$B$27</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Scatter'!$C$17:$C$27</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CE7-4201-ABEF-47A54FED0470}"/>
            </c:ext>
          </c:extLst>
        </c:ser>
        <c:dLbls>
          <c:showLegendKey val="0"/>
          <c:showVal val="0"/>
          <c:showCatName val="0"/>
          <c:showSerName val="0"/>
          <c:showPercent val="0"/>
          <c:showBubbleSize val="0"/>
        </c:dLbls>
        <c:axId val="266978448"/>
        <c:axId val="266979008"/>
      </c:scatterChart>
      <c:valAx>
        <c:axId val="266978448"/>
        <c:scaling>
          <c:orientation val="minMax"/>
          <c:min val="30"/>
        </c:scaling>
        <c:delete val="0"/>
        <c:axPos val="b"/>
        <c:title>
          <c:tx>
            <c:strRef>
              <c:f>'2 Variable Scatter'!$B$16</c:f>
              <c:strCache>
                <c:ptCount val="1"/>
                <c:pt idx="0">
                  <c:v>Temperature (F)</c:v>
                </c:pt>
              </c:strCache>
            </c:strRef>
          </c:tx>
          <c:overlay val="0"/>
        </c:title>
        <c:numFmt formatCode="General" sourceLinked="1"/>
        <c:majorTickMark val="out"/>
        <c:minorTickMark val="none"/>
        <c:tickLblPos val="nextTo"/>
        <c:crossAx val="266979008"/>
        <c:crosses val="autoZero"/>
        <c:crossBetween val="midCat"/>
      </c:valAx>
      <c:valAx>
        <c:axId val="266979008"/>
        <c:scaling>
          <c:orientation val="minMax"/>
        </c:scaling>
        <c:delete val="0"/>
        <c:axPos val="l"/>
        <c:majorGridlines/>
        <c:title>
          <c:tx>
            <c:strRef>
              <c:f>'2 Variable Scatter'!$C$16</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78448"/>
        <c:crosses val="autoZero"/>
        <c:crossBetween val="midCat"/>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Scatter'!$B$90</c:f>
          <c:strCache>
            <c:ptCount val="1"/>
            <c:pt idx="0">
              <c:v>Relationship Between Number of Years Using Excel and Expert Rating</c:v>
            </c:pt>
          </c:strCache>
        </c:strRef>
      </c:tx>
      <c:overlay val="0"/>
    </c:title>
    <c:autoTitleDeleted val="0"/>
    <c:plotArea>
      <c:layout/>
      <c:scatterChart>
        <c:scatterStyle val="lineMarker"/>
        <c:varyColors val="0"/>
        <c:ser>
          <c:idx val="0"/>
          <c:order val="0"/>
          <c:tx>
            <c:strRef>
              <c:f>'2 Variable Scatter'!$C$95</c:f>
              <c:strCache>
                <c:ptCount val="1"/>
                <c:pt idx="0">
                  <c:v>Expert Level (Rating 1 - 10))</c:v>
                </c:pt>
              </c:strCache>
            </c:strRef>
          </c:tx>
          <c:spPr>
            <a:ln w="19050">
              <a:noFill/>
            </a:ln>
          </c:spPr>
          <c:xVal>
            <c:numRef>
              <c:f>'2 Variable Scatter'!$B$96:$B$108</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Scatter'!$C$96:$C$108</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668D-4CF7-BA5E-1FEC1CFA624C}"/>
            </c:ext>
          </c:extLst>
        </c:ser>
        <c:dLbls>
          <c:showLegendKey val="0"/>
          <c:showVal val="0"/>
          <c:showCatName val="0"/>
          <c:showSerName val="0"/>
          <c:showPercent val="0"/>
          <c:showBubbleSize val="0"/>
        </c:dLbls>
        <c:axId val="266981808"/>
        <c:axId val="266982368"/>
      </c:scatterChart>
      <c:valAx>
        <c:axId val="266981808"/>
        <c:scaling>
          <c:orientation val="minMax"/>
          <c:max val="20"/>
        </c:scaling>
        <c:delete val="0"/>
        <c:axPos val="b"/>
        <c:title>
          <c:tx>
            <c:strRef>
              <c:f>'2 Variable Scatter'!$B$95</c:f>
              <c:strCache>
                <c:ptCount val="1"/>
                <c:pt idx="0">
                  <c:v>Number Of Years Using Excel</c:v>
                </c:pt>
              </c:strCache>
            </c:strRef>
          </c:tx>
          <c:overlay val="0"/>
        </c:title>
        <c:numFmt formatCode="General" sourceLinked="1"/>
        <c:majorTickMark val="out"/>
        <c:minorTickMark val="none"/>
        <c:tickLblPos val="nextTo"/>
        <c:crossAx val="266982368"/>
        <c:crosses val="autoZero"/>
        <c:crossBetween val="midCat"/>
      </c:valAx>
      <c:valAx>
        <c:axId val="266982368"/>
        <c:scaling>
          <c:orientation val="minMax"/>
        </c:scaling>
        <c:delete val="0"/>
        <c:axPos val="l"/>
        <c:majorGridlines/>
        <c:title>
          <c:tx>
            <c:strRef>
              <c:f>'2 Variable Scatter'!$C$95</c:f>
              <c:strCache>
                <c:ptCount val="1"/>
                <c:pt idx="0">
                  <c:v>Expert Level (Rating 1 - 10))</c:v>
                </c:pt>
              </c:strCache>
            </c:strRef>
          </c:tx>
          <c:overlay val="0"/>
          <c:txPr>
            <a:bodyPr rot="-5400000" vert="horz"/>
            <a:lstStyle/>
            <a:p>
              <a:pPr>
                <a:defRPr/>
              </a:pPr>
              <a:endParaRPr lang="en-US"/>
            </a:p>
          </c:txPr>
        </c:title>
        <c:numFmt formatCode="General" sourceLinked="1"/>
        <c:majorTickMark val="out"/>
        <c:minorTickMark val="none"/>
        <c:tickLblPos val="nextTo"/>
        <c:crossAx val="266981808"/>
        <c:crosses val="autoZero"/>
        <c:crossBetween val="midCat"/>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C987-44B0-8071-51A06FAD6640}"/>
            </c:ext>
          </c:extLst>
        </c:ser>
        <c:dLbls>
          <c:showLegendKey val="0"/>
          <c:showVal val="0"/>
          <c:showCatName val="0"/>
          <c:showSerName val="0"/>
          <c:showPercent val="0"/>
          <c:showBubbleSize val="0"/>
        </c:dLbls>
        <c:axId val="266985168"/>
        <c:axId val="266985728"/>
      </c:scatterChart>
      <c:valAx>
        <c:axId val="266985168"/>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985728"/>
        <c:crosses val="autoZero"/>
        <c:crossBetween val="midCat"/>
      </c:valAx>
      <c:valAx>
        <c:axId val="266985728"/>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985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118D-495E-907D-5D22D411C30C}"/>
            </c:ext>
          </c:extLst>
        </c:ser>
        <c:dLbls>
          <c:showLegendKey val="0"/>
          <c:showVal val="0"/>
          <c:showCatName val="0"/>
          <c:showSerName val="0"/>
          <c:showPercent val="0"/>
          <c:showBubbleSize val="0"/>
        </c:dLbls>
        <c:axId val="266989648"/>
        <c:axId val="266990208"/>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118D-495E-907D-5D22D411C30C}"/>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118D-495E-907D-5D22D411C30C}"/>
            </c:ext>
          </c:extLst>
        </c:ser>
        <c:dLbls>
          <c:showLegendKey val="0"/>
          <c:showVal val="0"/>
          <c:showCatName val="0"/>
          <c:showSerName val="0"/>
          <c:showPercent val="0"/>
          <c:showBubbleSize val="0"/>
        </c:dLbls>
        <c:axId val="266989648"/>
        <c:axId val="266990208"/>
      </c:scatterChart>
      <c:valAx>
        <c:axId val="266989648"/>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266990208"/>
        <c:crosses val="autoZero"/>
        <c:crossBetween val="midCat"/>
      </c:valAx>
      <c:valAx>
        <c:axId val="266990208"/>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89648"/>
        <c:crosses val="autoZero"/>
        <c:crossBetween val="midCat"/>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79C1-45CF-9713-54C3DFB96BB4}"/>
            </c:ext>
          </c:extLst>
        </c:ser>
        <c:dLbls>
          <c:showLegendKey val="0"/>
          <c:showVal val="0"/>
          <c:showCatName val="0"/>
          <c:showSerName val="0"/>
          <c:showPercent val="0"/>
          <c:showBubbleSize val="0"/>
        </c:dLbls>
        <c:axId val="266993568"/>
        <c:axId val="266994128"/>
      </c:scatterChart>
      <c:scatterChart>
        <c:scatterStyle val="smoothMarker"/>
        <c:varyColors val="0"/>
        <c:ser>
          <c:idx val="2"/>
          <c:order val="1"/>
          <c:tx>
            <c:strRef>
              <c:f>'2 Variable Xbar Lines'!$I$8</c:f>
              <c:strCache>
                <c:ptCount val="1"/>
                <c:pt idx="0">
                  <c:v>Ybar (IC Sales)</c:v>
                </c:pt>
              </c:strCache>
            </c:strRef>
          </c:tx>
          <c:spPr>
            <a:ln w="19050">
              <a:noFill/>
            </a:ln>
          </c:spP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3-79C1-45CF-9713-54C3DFB96BB4}"/>
            </c:ext>
          </c:extLst>
        </c:ser>
        <c:dLbls>
          <c:showLegendKey val="0"/>
          <c:showVal val="0"/>
          <c:showCatName val="0"/>
          <c:showSerName val="0"/>
          <c:showPercent val="0"/>
          <c:showBubbleSize val="0"/>
        </c:dLbls>
        <c:axId val="266993568"/>
        <c:axId val="266994128"/>
      </c:scatterChart>
      <c:valAx>
        <c:axId val="266993568"/>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266994128"/>
        <c:crosses val="autoZero"/>
        <c:crossBetween val="midCat"/>
      </c:valAx>
      <c:valAx>
        <c:axId val="266994128"/>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6993568"/>
        <c:crosses val="autoZero"/>
        <c:crossBetween val="midCat"/>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FB6F-4E94-BA94-ECF0460A852A}"/>
            </c:ext>
          </c:extLst>
        </c:ser>
        <c:dLbls>
          <c:showLegendKey val="0"/>
          <c:showVal val="0"/>
          <c:showCatName val="0"/>
          <c:showSerName val="0"/>
          <c:showPercent val="0"/>
          <c:showBubbleSize val="0"/>
        </c:dLbls>
        <c:axId val="266998048"/>
        <c:axId val="266998608"/>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FB6F-4E94-BA94-ECF0460A852A}"/>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FB6F-4E94-BA94-ECF0460A852A}"/>
            </c:ext>
          </c:extLst>
        </c:ser>
        <c:dLbls>
          <c:showLegendKey val="0"/>
          <c:showVal val="0"/>
          <c:showCatName val="0"/>
          <c:showSerName val="0"/>
          <c:showPercent val="0"/>
          <c:showBubbleSize val="0"/>
        </c:dLbls>
        <c:axId val="266998048"/>
        <c:axId val="266998608"/>
      </c:scatterChart>
      <c:valAx>
        <c:axId val="266998048"/>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266998608"/>
        <c:crosses val="autoZero"/>
        <c:crossBetween val="midCat"/>
      </c:valAx>
      <c:valAx>
        <c:axId val="266998608"/>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266998048"/>
        <c:crosses val="autoZero"/>
        <c:crossBetween val="midCat"/>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C351-4DAF-938B-5734A56CE490}"/>
            </c:ext>
          </c:extLst>
        </c:ser>
        <c:dLbls>
          <c:showLegendKey val="0"/>
          <c:showVal val="0"/>
          <c:showCatName val="0"/>
          <c:showSerName val="0"/>
          <c:showPercent val="0"/>
          <c:showBubbleSize val="0"/>
        </c:dLbls>
        <c:axId val="267002528"/>
        <c:axId val="267003088"/>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C351-4DAF-938B-5734A56CE490}"/>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C351-4DAF-938B-5734A56CE490}"/>
            </c:ext>
          </c:extLst>
        </c:ser>
        <c:dLbls>
          <c:showLegendKey val="0"/>
          <c:showVal val="0"/>
          <c:showCatName val="0"/>
          <c:showSerName val="0"/>
          <c:showPercent val="0"/>
          <c:showBubbleSize val="0"/>
        </c:dLbls>
        <c:axId val="267002528"/>
        <c:axId val="267003088"/>
      </c:scatterChart>
      <c:valAx>
        <c:axId val="267002528"/>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03088"/>
        <c:crosses val="autoZero"/>
        <c:crossBetween val="midCat"/>
      </c:valAx>
      <c:valAx>
        <c:axId val="267003088"/>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70025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 (an)'!$C$34</c:f>
              <c:strCache>
                <c:ptCount val="1"/>
                <c:pt idx="0">
                  <c:v>Sales Chicken Soup</c:v>
                </c:pt>
              </c:strCache>
            </c:strRef>
          </c:tx>
          <c:spPr>
            <a:ln w="19050">
              <a:noFill/>
            </a:ln>
          </c:spPr>
          <c:trendline>
            <c:trendlineType val="linear"/>
            <c:dispRSqr val="0"/>
            <c:dispEq val="0"/>
          </c:trendline>
          <c:xVal>
            <c:numRef>
              <c:f>'2 Variable Xbar Lines (an)'!$B$35:$B$49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 (an)'!$C$35:$C$49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CD29-47E8-951C-2E45692B87C9}"/>
            </c:ext>
          </c:extLst>
        </c:ser>
        <c:dLbls>
          <c:showLegendKey val="0"/>
          <c:showVal val="0"/>
          <c:showCatName val="0"/>
          <c:showSerName val="0"/>
          <c:showPercent val="0"/>
          <c:showBubbleSize val="0"/>
        </c:dLbls>
        <c:axId val="267007568"/>
        <c:axId val="267008128"/>
      </c:scatterChart>
      <c:scatterChart>
        <c:scatterStyle val="smoothMarker"/>
        <c:varyColors val="0"/>
        <c:ser>
          <c:idx val="1"/>
          <c:order val="1"/>
          <c:tx>
            <c:strRef>
              <c:f>'2 Variable Xbar Lines (an)'!$E$30</c:f>
              <c:strCache>
                <c:ptCount val="1"/>
                <c:pt idx="0">
                  <c:v>Xbar (F)</c:v>
                </c:pt>
              </c:strCache>
            </c:strRef>
          </c:tx>
          <c:marker>
            <c:symbol val="none"/>
          </c:marker>
          <c:xVal>
            <c:numRef>
              <c:f>'2 Variable Xbar Lines (an)'!$E$31:$E$32</c:f>
              <c:numCache>
                <c:formatCode>0</c:formatCode>
                <c:ptCount val="2"/>
                <c:pt idx="0">
                  <c:v>61.142857142857146</c:v>
                </c:pt>
                <c:pt idx="1">
                  <c:v>61.142857142857146</c:v>
                </c:pt>
              </c:numCache>
            </c:numRef>
          </c:xVal>
          <c:yVal>
            <c:numRef>
              <c:f>'2 Variable Xbar Lines (an)'!$F$31:$F$32</c:f>
              <c:numCache>
                <c:formatCode>General</c:formatCode>
                <c:ptCount val="2"/>
                <c:pt idx="0">
                  <c:v>0</c:v>
                </c:pt>
                <c:pt idx="1">
                  <c:v>10000</c:v>
                </c:pt>
              </c:numCache>
            </c:numRef>
          </c:yVal>
          <c:smooth val="1"/>
          <c:extLst>
            <c:ext xmlns:c16="http://schemas.microsoft.com/office/drawing/2014/chart" uri="{C3380CC4-5D6E-409C-BE32-E72D297353CC}">
              <c16:uniqueId val="{00000002-CD29-47E8-951C-2E45692B87C9}"/>
            </c:ext>
          </c:extLst>
        </c:ser>
        <c:ser>
          <c:idx val="2"/>
          <c:order val="2"/>
          <c:tx>
            <c:strRef>
              <c:f>'2 Variable Xbar Lines (an)'!$I$30</c:f>
              <c:strCache>
                <c:ptCount val="1"/>
                <c:pt idx="0">
                  <c:v>Ybar (CS Sales)</c:v>
                </c:pt>
              </c:strCache>
            </c:strRef>
          </c:tx>
          <c:spPr>
            <a:ln>
              <a:solidFill>
                <a:srgbClr val="0000FF"/>
              </a:solidFill>
            </a:ln>
          </c:spPr>
          <c:marker>
            <c:symbol val="none"/>
          </c:marker>
          <c:xVal>
            <c:numRef>
              <c:f>'2 Variable Xbar Lines (an)'!$H$31:$H$32</c:f>
              <c:numCache>
                <c:formatCode>General</c:formatCode>
                <c:ptCount val="2"/>
                <c:pt idx="0">
                  <c:v>30</c:v>
                </c:pt>
                <c:pt idx="1">
                  <c:v>100</c:v>
                </c:pt>
              </c:numCache>
            </c:numRef>
          </c:xVal>
          <c:yVal>
            <c:numRef>
              <c:f>'2 Variable Xbar Lines (an)'!$I$31:$I$32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CD29-47E8-951C-2E45692B87C9}"/>
            </c:ext>
          </c:extLst>
        </c:ser>
        <c:dLbls>
          <c:showLegendKey val="0"/>
          <c:showVal val="0"/>
          <c:showCatName val="0"/>
          <c:showSerName val="0"/>
          <c:showPercent val="0"/>
          <c:showBubbleSize val="0"/>
        </c:dLbls>
        <c:axId val="267007568"/>
        <c:axId val="267008128"/>
      </c:scatterChart>
      <c:valAx>
        <c:axId val="267007568"/>
        <c:scaling>
          <c:orientation val="minMax"/>
          <c:max val="100"/>
          <c:min val="30"/>
        </c:scaling>
        <c:delete val="0"/>
        <c:axPos val="b"/>
        <c:title>
          <c:tx>
            <c:strRef>
              <c:f>'2 Variable Xbar Lines (an)'!$B$34</c:f>
              <c:strCache>
                <c:ptCount val="1"/>
                <c:pt idx="0">
                  <c:v>Temperature (F)</c:v>
                </c:pt>
              </c:strCache>
            </c:strRef>
          </c:tx>
          <c:overlay val="0"/>
        </c:title>
        <c:numFmt formatCode="General" sourceLinked="1"/>
        <c:majorTickMark val="out"/>
        <c:minorTickMark val="none"/>
        <c:tickLblPos val="nextTo"/>
        <c:crossAx val="267008128"/>
        <c:crosses val="autoZero"/>
        <c:crossBetween val="midCat"/>
      </c:valAx>
      <c:valAx>
        <c:axId val="267008128"/>
        <c:scaling>
          <c:orientation val="minMax"/>
        </c:scaling>
        <c:delete val="0"/>
        <c:axPos val="l"/>
        <c:title>
          <c:tx>
            <c:strRef>
              <c:f>'2 Variable Xbar Lines (an)'!$C$34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7007568"/>
        <c:crosses val="autoZero"/>
        <c:crossBetween val="midCat"/>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 (an)'!$C$12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 (an)'!$B$13:$B$23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 (an)'!$C$13:$C$23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8D3-40D2-B99A-B141A5C797E6}"/>
            </c:ext>
          </c:extLst>
        </c:ser>
        <c:dLbls>
          <c:showLegendKey val="0"/>
          <c:showVal val="0"/>
          <c:showCatName val="0"/>
          <c:showSerName val="0"/>
          <c:showPercent val="0"/>
          <c:showBubbleSize val="0"/>
        </c:dLbls>
        <c:axId val="267012048"/>
        <c:axId val="267012608"/>
      </c:scatterChart>
      <c:scatterChart>
        <c:scatterStyle val="smoothMarker"/>
        <c:varyColors val="0"/>
        <c:ser>
          <c:idx val="1"/>
          <c:order val="1"/>
          <c:tx>
            <c:strRef>
              <c:f>'2 Variable Xbar Lines (an)'!$E$8</c:f>
              <c:strCache>
                <c:ptCount val="1"/>
                <c:pt idx="0">
                  <c:v>Xbar (F)</c:v>
                </c:pt>
              </c:strCache>
            </c:strRef>
          </c:tx>
          <c:marker>
            <c:symbol val="none"/>
          </c:marker>
          <c:xVal>
            <c:numRef>
              <c:f>'2 Variable Xbar Lines (an)'!$E$9:$E$10</c:f>
              <c:numCache>
                <c:formatCode>0</c:formatCode>
                <c:ptCount val="2"/>
                <c:pt idx="0">
                  <c:v>66.272727272727266</c:v>
                </c:pt>
                <c:pt idx="1">
                  <c:v>66.272727272727266</c:v>
                </c:pt>
              </c:numCache>
            </c:numRef>
          </c:xVal>
          <c:yVal>
            <c:numRef>
              <c:f>'2 Variable Xbar Lines (an)'!$F$9:$F$10</c:f>
              <c:numCache>
                <c:formatCode>General</c:formatCode>
                <c:ptCount val="2"/>
                <c:pt idx="0">
                  <c:v>0</c:v>
                </c:pt>
                <c:pt idx="1">
                  <c:v>10000</c:v>
                </c:pt>
              </c:numCache>
            </c:numRef>
          </c:yVal>
          <c:smooth val="1"/>
          <c:extLst>
            <c:ext xmlns:c16="http://schemas.microsoft.com/office/drawing/2014/chart" uri="{C3380CC4-5D6E-409C-BE32-E72D297353CC}">
              <c16:uniqueId val="{00000003-B8D3-40D2-B99A-B141A5C797E6}"/>
            </c:ext>
          </c:extLst>
        </c:ser>
        <c:ser>
          <c:idx val="2"/>
          <c:order val="2"/>
          <c:tx>
            <c:strRef>
              <c:f>'2 Variable Xbar Lines (an)'!$I$8</c:f>
              <c:strCache>
                <c:ptCount val="1"/>
                <c:pt idx="0">
                  <c:v>Ybar (IC Sales)</c:v>
                </c:pt>
              </c:strCache>
            </c:strRef>
          </c:tx>
          <c:spPr>
            <a:ln>
              <a:solidFill>
                <a:srgbClr val="0000FF"/>
              </a:solidFill>
            </a:ln>
          </c:spPr>
          <c:marker>
            <c:symbol val="none"/>
          </c:marker>
          <c:xVal>
            <c:numRef>
              <c:f>'2 Variable Xbar Lines (an)'!$H$9:$H$10</c:f>
              <c:numCache>
                <c:formatCode>General</c:formatCode>
                <c:ptCount val="2"/>
                <c:pt idx="0">
                  <c:v>30</c:v>
                </c:pt>
                <c:pt idx="1">
                  <c:v>100</c:v>
                </c:pt>
              </c:numCache>
            </c:numRef>
          </c:xVal>
          <c:yVal>
            <c:numRef>
              <c:f>'2 Variable Xbar Lines (an)'!$I$9:$I$10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B8D3-40D2-B99A-B141A5C797E6}"/>
            </c:ext>
          </c:extLst>
        </c:ser>
        <c:dLbls>
          <c:showLegendKey val="0"/>
          <c:showVal val="0"/>
          <c:showCatName val="0"/>
          <c:showSerName val="0"/>
          <c:showPercent val="0"/>
          <c:showBubbleSize val="0"/>
        </c:dLbls>
        <c:axId val="267012048"/>
        <c:axId val="267012608"/>
      </c:scatterChart>
      <c:valAx>
        <c:axId val="267012048"/>
        <c:scaling>
          <c:orientation val="minMax"/>
          <c:max val="100"/>
          <c:min val="30"/>
        </c:scaling>
        <c:delete val="0"/>
        <c:axPos val="b"/>
        <c:title>
          <c:tx>
            <c:strRef>
              <c:f>'2 Variable Xbar Lines (an)'!$B$12</c:f>
              <c:strCache>
                <c:ptCount val="1"/>
                <c:pt idx="0">
                  <c:v>Temperature (F)</c:v>
                </c:pt>
              </c:strCache>
            </c:strRef>
          </c:tx>
          <c:overlay val="0"/>
        </c:title>
        <c:numFmt formatCode="General" sourceLinked="1"/>
        <c:majorTickMark val="out"/>
        <c:minorTickMark val="none"/>
        <c:tickLblPos val="nextTo"/>
        <c:crossAx val="267012608"/>
        <c:crosses val="autoZero"/>
        <c:crossBetween val="midCat"/>
      </c:valAx>
      <c:valAx>
        <c:axId val="267012608"/>
        <c:scaling>
          <c:orientation val="minMax"/>
        </c:scaling>
        <c:delete val="0"/>
        <c:axPos val="l"/>
        <c:title>
          <c:tx>
            <c:strRef>
              <c:f>'2 Variable Xbar Lines (an)'!$C$12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267012048"/>
        <c:crosses val="autoZero"/>
        <c:crossBetween val="midCat"/>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 (an)'!$B$52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 (an)'!$C$57</c:f>
              <c:strCache>
                <c:ptCount val="1"/>
                <c:pt idx="0">
                  <c:v>Excel Expert Rating</c:v>
                </c:pt>
              </c:strCache>
            </c:strRef>
          </c:tx>
          <c:spPr>
            <a:ln w="19050">
              <a:noFill/>
            </a:ln>
          </c:spPr>
          <c:xVal>
            <c:numRef>
              <c:f>'2 Variable Xbar Lines (an)'!$B$58:$B$70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 (an)'!$C$58:$C$70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05F0-4911-BE1B-7A6FE069335E}"/>
            </c:ext>
          </c:extLst>
        </c:ser>
        <c:dLbls>
          <c:showLegendKey val="0"/>
          <c:showVal val="0"/>
          <c:showCatName val="0"/>
          <c:showSerName val="0"/>
          <c:showPercent val="0"/>
          <c:showBubbleSize val="0"/>
        </c:dLbls>
        <c:axId val="1012552864"/>
        <c:axId val="1012553424"/>
      </c:scatterChart>
      <c:scatterChart>
        <c:scatterStyle val="smoothMarker"/>
        <c:varyColors val="0"/>
        <c:ser>
          <c:idx val="1"/>
          <c:order val="1"/>
          <c:tx>
            <c:strRef>
              <c:f>'2 Variable Xbar Lines (an)'!$E$53</c:f>
              <c:strCache>
                <c:ptCount val="1"/>
                <c:pt idx="0">
                  <c:v>Xbar (Years)</c:v>
                </c:pt>
              </c:strCache>
            </c:strRef>
          </c:tx>
          <c:marker>
            <c:symbol val="none"/>
          </c:marker>
          <c:xVal>
            <c:numRef>
              <c:f>'2 Variable Xbar Lines (an)'!$E$54:$E$55</c:f>
              <c:numCache>
                <c:formatCode>0</c:formatCode>
                <c:ptCount val="2"/>
                <c:pt idx="0">
                  <c:v>9</c:v>
                </c:pt>
                <c:pt idx="1">
                  <c:v>9</c:v>
                </c:pt>
              </c:numCache>
            </c:numRef>
          </c:xVal>
          <c:yVal>
            <c:numRef>
              <c:f>'2 Variable Xbar Lines (an)'!$F$54:$F$55</c:f>
              <c:numCache>
                <c:formatCode>General</c:formatCode>
                <c:ptCount val="2"/>
                <c:pt idx="0">
                  <c:v>0</c:v>
                </c:pt>
                <c:pt idx="1">
                  <c:v>12</c:v>
                </c:pt>
              </c:numCache>
            </c:numRef>
          </c:yVal>
          <c:smooth val="1"/>
          <c:extLst>
            <c:ext xmlns:c16="http://schemas.microsoft.com/office/drawing/2014/chart" uri="{C3380CC4-5D6E-409C-BE32-E72D297353CC}">
              <c16:uniqueId val="{00000001-05F0-4911-BE1B-7A6FE069335E}"/>
            </c:ext>
          </c:extLst>
        </c:ser>
        <c:ser>
          <c:idx val="2"/>
          <c:order val="2"/>
          <c:tx>
            <c:strRef>
              <c:f>'2 Variable Xbar Lines (an)'!$I$53</c:f>
              <c:strCache>
                <c:ptCount val="1"/>
                <c:pt idx="0">
                  <c:v>Ybar (Rating)</c:v>
                </c:pt>
              </c:strCache>
            </c:strRef>
          </c:tx>
          <c:spPr>
            <a:ln w="19050">
              <a:solidFill>
                <a:srgbClr val="0000FF"/>
              </a:solidFill>
            </a:ln>
          </c:spPr>
          <c:marker>
            <c:symbol val="none"/>
          </c:marker>
          <c:xVal>
            <c:numRef>
              <c:f>'2 Variable Xbar Lines (an)'!$H$54:$H$55</c:f>
              <c:numCache>
                <c:formatCode>General</c:formatCode>
                <c:ptCount val="2"/>
                <c:pt idx="0">
                  <c:v>0</c:v>
                </c:pt>
                <c:pt idx="1">
                  <c:v>22</c:v>
                </c:pt>
              </c:numCache>
            </c:numRef>
          </c:xVal>
          <c:yVal>
            <c:numRef>
              <c:f>'2 Variable Xbar Lines (an)'!$I$54:$I$55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05F0-4911-BE1B-7A6FE069335E}"/>
            </c:ext>
          </c:extLst>
        </c:ser>
        <c:dLbls>
          <c:showLegendKey val="0"/>
          <c:showVal val="0"/>
          <c:showCatName val="0"/>
          <c:showSerName val="0"/>
          <c:showPercent val="0"/>
          <c:showBubbleSize val="0"/>
        </c:dLbls>
        <c:axId val="1012552864"/>
        <c:axId val="1012553424"/>
      </c:scatterChart>
      <c:valAx>
        <c:axId val="1012552864"/>
        <c:scaling>
          <c:orientation val="minMax"/>
        </c:scaling>
        <c:delete val="0"/>
        <c:axPos val="b"/>
        <c:title>
          <c:tx>
            <c:strRef>
              <c:f>'2 Variable Xbar Lines (an)'!$B$57</c:f>
              <c:strCache>
                <c:ptCount val="1"/>
                <c:pt idx="0">
                  <c:v># Of Years Using Excel</c:v>
                </c:pt>
              </c:strCache>
            </c:strRef>
          </c:tx>
          <c:overlay val="0"/>
        </c:title>
        <c:numFmt formatCode="General" sourceLinked="1"/>
        <c:majorTickMark val="out"/>
        <c:minorTickMark val="none"/>
        <c:tickLblPos val="nextTo"/>
        <c:crossAx val="1012553424"/>
        <c:crosses val="autoZero"/>
        <c:crossBetween val="midCat"/>
      </c:valAx>
      <c:valAx>
        <c:axId val="1012553424"/>
        <c:scaling>
          <c:orientation val="minMax"/>
          <c:max val="12"/>
        </c:scaling>
        <c:delete val="0"/>
        <c:axPos val="l"/>
        <c:majorGridlines/>
        <c:title>
          <c:tx>
            <c:strRef>
              <c:f>'2 Variable Xbar Lines (an)'!$C$57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52864"/>
        <c:crosses val="autoZero"/>
        <c:crossBetween val="midCat"/>
      </c:valAx>
    </c:plotArea>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0DCB-44F4-A6E1-41167C389F59}"/>
            </c:ext>
          </c:extLst>
        </c:ser>
        <c:dLbls>
          <c:showLegendKey val="0"/>
          <c:showVal val="0"/>
          <c:showCatName val="0"/>
          <c:showSerName val="0"/>
          <c:showPercent val="0"/>
          <c:showBubbleSize val="0"/>
        </c:dLbls>
        <c:axId val="1012557344"/>
        <c:axId val="1012557904"/>
      </c:scatterChart>
      <c:scatterChart>
        <c:scatterStyle val="smoothMarker"/>
        <c:varyColors val="0"/>
        <c:ser>
          <c:idx val="1"/>
          <c:order val="1"/>
          <c:tx>
            <c:strRef>
              <c:f>'2 Variable Xbar Lines (an)'!$E$75</c:f>
              <c:strCache>
                <c:ptCount val="1"/>
                <c:pt idx="0">
                  <c:v>Xbar (Temp)</c:v>
                </c:pt>
              </c:strCache>
            </c:strRef>
          </c:tx>
          <c:spPr>
            <a:ln w="19050" cap="rnd">
              <a:solidFill>
                <a:schemeClr val="accent2"/>
              </a:solidFill>
              <a:round/>
            </a:ln>
            <a:effectLst/>
          </c:spPr>
          <c:marker>
            <c:symbol val="none"/>
          </c:marker>
          <c:xVal>
            <c:numRef>
              <c:f>'2 Variable Xbar Lines (an)'!$E$76:$E$77</c:f>
              <c:numCache>
                <c:formatCode>0</c:formatCode>
                <c:ptCount val="2"/>
                <c:pt idx="0">
                  <c:v>62.389830508474574</c:v>
                </c:pt>
                <c:pt idx="1">
                  <c:v>62.389830508474574</c:v>
                </c:pt>
              </c:numCache>
            </c:numRef>
          </c:xVal>
          <c:yVal>
            <c:numRef>
              <c:f>'2 Variable Xbar Lines (an)'!$F$76:$F$77</c:f>
              <c:numCache>
                <c:formatCode>General</c:formatCode>
                <c:ptCount val="2"/>
                <c:pt idx="0">
                  <c:v>0</c:v>
                </c:pt>
                <c:pt idx="1">
                  <c:v>800</c:v>
                </c:pt>
              </c:numCache>
            </c:numRef>
          </c:yVal>
          <c:smooth val="1"/>
          <c:extLst>
            <c:ext xmlns:c16="http://schemas.microsoft.com/office/drawing/2014/chart" uri="{C3380CC4-5D6E-409C-BE32-E72D297353CC}">
              <c16:uniqueId val="{00000001-0DCB-44F4-A6E1-41167C389F59}"/>
            </c:ext>
          </c:extLst>
        </c:ser>
        <c:ser>
          <c:idx val="2"/>
          <c:order val="2"/>
          <c:tx>
            <c:strRef>
              <c:f>'2 Variable Xbar Lines (an)'!$I$75</c:f>
              <c:strCache>
                <c:ptCount val="1"/>
                <c:pt idx="0">
                  <c:v>Ybar (Energy)</c:v>
                </c:pt>
              </c:strCache>
            </c:strRef>
          </c:tx>
          <c:spPr>
            <a:ln w="19050" cap="rnd">
              <a:solidFill>
                <a:srgbClr val="0000FF"/>
              </a:solidFill>
              <a:round/>
            </a:ln>
            <a:effectLst/>
          </c:spPr>
          <c:marker>
            <c:symbol val="none"/>
          </c:marker>
          <c:xVal>
            <c:numRef>
              <c:f>'2 Variable Xbar Lines (an)'!$H$76:$H$77</c:f>
              <c:numCache>
                <c:formatCode>General</c:formatCode>
                <c:ptCount val="2"/>
                <c:pt idx="0">
                  <c:v>0</c:v>
                </c:pt>
                <c:pt idx="1">
                  <c:v>120</c:v>
                </c:pt>
              </c:numCache>
            </c:numRef>
          </c:xVal>
          <c:yVal>
            <c:numRef>
              <c:f>'2 Variable Xbar Lines (an)'!$I$76:$I$77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0DCB-44F4-A6E1-41167C389F59}"/>
            </c:ext>
          </c:extLst>
        </c:ser>
        <c:dLbls>
          <c:showLegendKey val="0"/>
          <c:showVal val="0"/>
          <c:showCatName val="0"/>
          <c:showSerName val="0"/>
          <c:showPercent val="0"/>
          <c:showBubbleSize val="0"/>
        </c:dLbls>
        <c:axId val="1012557344"/>
        <c:axId val="1012557904"/>
      </c:scatterChart>
      <c:valAx>
        <c:axId val="10125573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57904"/>
        <c:crosses val="autoZero"/>
        <c:crossBetween val="midCat"/>
      </c:valAx>
      <c:valAx>
        <c:axId val="10125579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573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5033-4EE9-9AD0-7D26372C6CE4}"/>
            </c:ext>
          </c:extLst>
        </c:ser>
        <c:dLbls>
          <c:showLegendKey val="0"/>
          <c:showVal val="0"/>
          <c:showCatName val="0"/>
          <c:showSerName val="0"/>
          <c:showPercent val="0"/>
          <c:showBubbleSize val="0"/>
        </c:dLbls>
        <c:axId val="1012562384"/>
        <c:axId val="1012562944"/>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5033-4EE9-9AD0-7D26372C6CE4}"/>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5033-4EE9-9AD0-7D26372C6CE4}"/>
            </c:ext>
          </c:extLst>
        </c:ser>
        <c:dLbls>
          <c:showLegendKey val="0"/>
          <c:showVal val="0"/>
          <c:showCatName val="0"/>
          <c:showSerName val="0"/>
          <c:showPercent val="0"/>
          <c:showBubbleSize val="0"/>
        </c:dLbls>
        <c:axId val="1012562384"/>
        <c:axId val="1012562944"/>
      </c:scatterChart>
      <c:valAx>
        <c:axId val="1012562384"/>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1012562944"/>
        <c:crosses val="autoZero"/>
        <c:crossBetween val="midCat"/>
      </c:valAx>
      <c:valAx>
        <c:axId val="1012562944"/>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62384"/>
        <c:crosses val="autoZero"/>
        <c:crossBetween val="midCat"/>
      </c:valAx>
    </c:plotArea>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BF79-4C4E-A03F-21CEB74322B7}"/>
            </c:ext>
          </c:extLst>
        </c:ser>
        <c:dLbls>
          <c:showLegendKey val="0"/>
          <c:showVal val="0"/>
          <c:showCatName val="0"/>
          <c:showSerName val="0"/>
          <c:showPercent val="0"/>
          <c:showBubbleSize val="0"/>
        </c:dLbls>
        <c:axId val="1012566864"/>
        <c:axId val="1012567424"/>
      </c:scatterChart>
      <c:scatterChart>
        <c:scatterStyle val="smoothMarker"/>
        <c:varyColors val="0"/>
        <c:ser>
          <c:idx val="1"/>
          <c:order val="1"/>
          <c:tx>
            <c:strRef>
              <c:f>'2 Variable Xbar Lines'!$E$8</c:f>
              <c:strCache>
                <c:ptCount val="1"/>
                <c:pt idx="0">
                  <c:v>Xbar (F)</c:v>
                </c:pt>
              </c:strCache>
            </c:strRef>
          </c:tx>
          <c:marker>
            <c:symbol val="none"/>
          </c:marker>
          <c:xVal>
            <c:numRef>
              <c:f>'2 Variable Xbar Lines'!$E$9:$E$10</c:f>
              <c:numCache>
                <c:formatCode>0</c:formatCode>
                <c:ptCount val="2"/>
                <c:pt idx="0">
                  <c:v>66.272727272727266</c:v>
                </c:pt>
                <c:pt idx="1">
                  <c:v>66.272727272727266</c:v>
                </c:pt>
              </c:numCache>
            </c:numRef>
          </c:xVal>
          <c:yVal>
            <c:numRef>
              <c:f>'2 Variable Xbar Lines'!$F$9:$F$10</c:f>
              <c:numCache>
                <c:formatCode>General</c:formatCode>
                <c:ptCount val="2"/>
                <c:pt idx="0">
                  <c:v>0</c:v>
                </c:pt>
                <c:pt idx="1">
                  <c:v>10000</c:v>
                </c:pt>
              </c:numCache>
            </c:numRef>
          </c:yVal>
          <c:smooth val="1"/>
          <c:extLst>
            <c:ext xmlns:c16="http://schemas.microsoft.com/office/drawing/2014/chart" uri="{C3380CC4-5D6E-409C-BE32-E72D297353CC}">
              <c16:uniqueId val="{00000003-BF79-4C4E-A03F-21CEB74322B7}"/>
            </c:ext>
          </c:extLst>
        </c:ser>
        <c:ser>
          <c:idx val="2"/>
          <c:order val="2"/>
          <c:tx>
            <c:strRef>
              <c:f>'2 Variable Xbar Lines'!$I$8</c:f>
              <c:strCache>
                <c:ptCount val="1"/>
                <c:pt idx="0">
                  <c:v>Ybar (IC Sales)</c:v>
                </c:pt>
              </c:strCache>
            </c:strRef>
          </c:tx>
          <c:spPr>
            <a:ln>
              <a:solidFill>
                <a:srgbClr val="0000FF"/>
              </a:solidFill>
            </a:ln>
          </c:spPr>
          <c:marker>
            <c:symbol val="none"/>
          </c:marke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BF79-4C4E-A03F-21CEB74322B7}"/>
            </c:ext>
          </c:extLst>
        </c:ser>
        <c:dLbls>
          <c:showLegendKey val="0"/>
          <c:showVal val="0"/>
          <c:showCatName val="0"/>
          <c:showSerName val="0"/>
          <c:showPercent val="0"/>
          <c:showBubbleSize val="0"/>
        </c:dLbls>
        <c:axId val="1012566864"/>
        <c:axId val="1012567424"/>
      </c:scatterChart>
      <c:valAx>
        <c:axId val="1012566864"/>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1012567424"/>
        <c:crosses val="autoZero"/>
        <c:crossBetween val="midCat"/>
      </c:valAx>
      <c:valAx>
        <c:axId val="1012567424"/>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66864"/>
        <c:crosses val="autoZero"/>
        <c:crossBetween val="midCat"/>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B4BF-4274-A37B-BE7B9767C8EA}"/>
            </c:ext>
          </c:extLst>
        </c:ser>
        <c:dLbls>
          <c:showLegendKey val="0"/>
          <c:showVal val="0"/>
          <c:showCatName val="0"/>
          <c:showSerName val="0"/>
          <c:showPercent val="0"/>
          <c:showBubbleSize val="0"/>
        </c:dLbls>
        <c:axId val="1012571344"/>
        <c:axId val="1012571904"/>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B4BF-4274-A37B-BE7B9767C8EA}"/>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B4BF-4274-A37B-BE7B9767C8EA}"/>
            </c:ext>
          </c:extLst>
        </c:ser>
        <c:dLbls>
          <c:showLegendKey val="0"/>
          <c:showVal val="0"/>
          <c:showCatName val="0"/>
          <c:showSerName val="0"/>
          <c:showPercent val="0"/>
          <c:showBubbleSize val="0"/>
        </c:dLbls>
        <c:axId val="1012571344"/>
        <c:axId val="1012571904"/>
      </c:scatterChart>
      <c:valAx>
        <c:axId val="1012571344"/>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1012571904"/>
        <c:crosses val="autoZero"/>
        <c:crossBetween val="midCat"/>
      </c:valAx>
      <c:valAx>
        <c:axId val="1012571904"/>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71344"/>
        <c:crosses val="autoZero"/>
        <c:crossBetween val="midCat"/>
      </c:valAx>
    </c:plotArea>
    <c:plotVisOnly val="1"/>
    <c:dispBlanksAs val="gap"/>
    <c:showDLblsOverMax val="0"/>
  </c:chart>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7024-4630-8DB0-3D01DFBD246A}"/>
            </c:ext>
          </c:extLst>
        </c:ser>
        <c:dLbls>
          <c:showLegendKey val="0"/>
          <c:showVal val="0"/>
          <c:showCatName val="0"/>
          <c:showSerName val="0"/>
          <c:showPercent val="0"/>
          <c:showBubbleSize val="0"/>
        </c:dLbls>
        <c:axId val="1012575824"/>
        <c:axId val="1012576384"/>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7024-4630-8DB0-3D01DFBD246A}"/>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7024-4630-8DB0-3D01DFBD246A}"/>
            </c:ext>
          </c:extLst>
        </c:ser>
        <c:dLbls>
          <c:showLegendKey val="0"/>
          <c:showVal val="0"/>
          <c:showCatName val="0"/>
          <c:showSerName val="0"/>
          <c:showPercent val="0"/>
          <c:showBubbleSize val="0"/>
        </c:dLbls>
        <c:axId val="1012575824"/>
        <c:axId val="1012576384"/>
      </c:scatterChart>
      <c:valAx>
        <c:axId val="101257582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6384"/>
        <c:crosses val="autoZero"/>
        <c:crossBetween val="midCat"/>
      </c:valAx>
      <c:valAx>
        <c:axId val="101257638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58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Corr'!$A$451</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Corr'!$B$455</c:f>
              <c:strCache>
                <c:ptCount val="1"/>
                <c:pt idx="0">
                  <c:v>Costs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Corr'!$A$456:$A$462</c:f>
              <c:numCache>
                <c:formatCode>General</c:formatCode>
                <c:ptCount val="7"/>
                <c:pt idx="0">
                  <c:v>5</c:v>
                </c:pt>
                <c:pt idx="1">
                  <c:v>10</c:v>
                </c:pt>
                <c:pt idx="2">
                  <c:v>6</c:v>
                </c:pt>
                <c:pt idx="3">
                  <c:v>19</c:v>
                </c:pt>
                <c:pt idx="4">
                  <c:v>20</c:v>
                </c:pt>
                <c:pt idx="5">
                  <c:v>15</c:v>
                </c:pt>
                <c:pt idx="6">
                  <c:v>16</c:v>
                </c:pt>
              </c:numCache>
            </c:numRef>
          </c:xVal>
          <c:yVal>
            <c:numRef>
              <c:f>'2 Variables Cov and Corr'!$B$456:$B$462</c:f>
              <c:numCache>
                <c:formatCode>General</c:formatCode>
                <c:ptCount val="7"/>
                <c:pt idx="0">
                  <c:v>75</c:v>
                </c:pt>
                <c:pt idx="1">
                  <c:v>150</c:v>
                </c:pt>
                <c:pt idx="2">
                  <c:v>90</c:v>
                </c:pt>
                <c:pt idx="3">
                  <c:v>285</c:v>
                </c:pt>
                <c:pt idx="4">
                  <c:v>300</c:v>
                </c:pt>
                <c:pt idx="5">
                  <c:v>225</c:v>
                </c:pt>
                <c:pt idx="6">
                  <c:v>240</c:v>
                </c:pt>
              </c:numCache>
            </c:numRef>
          </c:yVal>
          <c:smooth val="0"/>
          <c:extLst>
            <c:ext xmlns:c16="http://schemas.microsoft.com/office/drawing/2014/chart" uri="{C3380CC4-5D6E-409C-BE32-E72D297353CC}">
              <c16:uniqueId val="{00000001-0E16-424F-9E60-425DB95AF72C}"/>
            </c:ext>
          </c:extLst>
        </c:ser>
        <c:dLbls>
          <c:showLegendKey val="0"/>
          <c:showVal val="0"/>
          <c:showCatName val="0"/>
          <c:showSerName val="0"/>
          <c:showPercent val="0"/>
          <c:showBubbleSize val="0"/>
        </c:dLbls>
        <c:axId val="1012579744"/>
        <c:axId val="1012580304"/>
      </c:scatterChart>
      <c:valAx>
        <c:axId val="10125797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Corr'!$A$455</c:f>
              <c:strCache>
                <c:ptCount val="1"/>
                <c:pt idx="0">
                  <c:v>Units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0304"/>
        <c:crosses val="autoZero"/>
        <c:crossBetween val="midCat"/>
      </c:valAx>
      <c:valAx>
        <c:axId val="10125803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Corr'!$B$455</c:f>
              <c:strCache>
                <c:ptCount val="1"/>
                <c:pt idx="0">
                  <c:v>Costs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79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Corr'!$A$465</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Corr'!$B$469</c:f>
              <c:strCache>
                <c:ptCount val="1"/>
                <c:pt idx="0">
                  <c:v>Defects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Corr'!$A$470:$A$474</c:f>
              <c:numCache>
                <c:formatCode>General</c:formatCode>
                <c:ptCount val="5"/>
                <c:pt idx="0">
                  <c:v>25</c:v>
                </c:pt>
                <c:pt idx="1">
                  <c:v>20</c:v>
                </c:pt>
                <c:pt idx="2">
                  <c:v>15</c:v>
                </c:pt>
                <c:pt idx="3">
                  <c:v>10</c:v>
                </c:pt>
                <c:pt idx="4">
                  <c:v>5</c:v>
                </c:pt>
              </c:numCache>
            </c:numRef>
          </c:xVal>
          <c:yVal>
            <c:numRef>
              <c:f>'2 Variables Cov and Corr'!$B$470:$B$474</c:f>
              <c:numCache>
                <c:formatCode>General</c:formatCode>
                <c:ptCount val="5"/>
                <c:pt idx="0">
                  <c:v>5</c:v>
                </c:pt>
                <c:pt idx="1">
                  <c:v>10</c:v>
                </c:pt>
                <c:pt idx="2">
                  <c:v>15</c:v>
                </c:pt>
                <c:pt idx="3">
                  <c:v>20</c:v>
                </c:pt>
                <c:pt idx="4">
                  <c:v>25</c:v>
                </c:pt>
              </c:numCache>
            </c:numRef>
          </c:yVal>
          <c:smooth val="0"/>
          <c:extLst>
            <c:ext xmlns:c16="http://schemas.microsoft.com/office/drawing/2014/chart" uri="{C3380CC4-5D6E-409C-BE32-E72D297353CC}">
              <c16:uniqueId val="{00000001-EF2B-4D7B-A55D-400AE5D3C602}"/>
            </c:ext>
          </c:extLst>
        </c:ser>
        <c:dLbls>
          <c:showLegendKey val="0"/>
          <c:showVal val="0"/>
          <c:showCatName val="0"/>
          <c:showSerName val="0"/>
          <c:showPercent val="0"/>
          <c:showBubbleSize val="0"/>
        </c:dLbls>
        <c:axId val="1012583104"/>
        <c:axId val="1012583664"/>
      </c:scatterChart>
      <c:valAx>
        <c:axId val="101258310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Corr'!$A$469</c:f>
              <c:strCache>
                <c:ptCount val="1"/>
                <c:pt idx="0">
                  <c:v>Inspections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3664"/>
        <c:crosses val="autoZero"/>
        <c:crossBetween val="midCat"/>
      </c:valAx>
      <c:valAx>
        <c:axId val="101258366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Corr'!$B$469</c:f>
              <c:strCache>
                <c:ptCount val="1"/>
                <c:pt idx="0">
                  <c:v>Defects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5831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Lines'!$B$29</c:f>
          <c:strCache>
            <c:ptCount val="1"/>
            <c:pt idx="0">
              <c:v>Relationship Between Temperature &amp; Chicken Soup Sales?</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Lines'!$C$34</c:f>
              <c:strCache>
                <c:ptCount val="1"/>
                <c:pt idx="0">
                  <c:v>Sales Chicken Soup</c:v>
                </c:pt>
              </c:strCache>
            </c:strRef>
          </c:tx>
          <c:spPr>
            <a:ln w="19050">
              <a:noFill/>
            </a:ln>
          </c:spPr>
          <c:trendline>
            <c:trendlineType val="linear"/>
            <c:dispRSqr val="0"/>
            <c:dispEq val="0"/>
          </c:trendline>
          <c:xVal>
            <c:numRef>
              <c:f>'2 Variable Xbar Lines'!$B$35:$B$49</c:f>
              <c:numCache>
                <c:formatCode>General</c:formatCode>
                <c:ptCount val="15"/>
                <c:pt idx="0">
                  <c:v>86</c:v>
                </c:pt>
                <c:pt idx="1">
                  <c:v>40</c:v>
                </c:pt>
                <c:pt idx="2">
                  <c:v>41</c:v>
                </c:pt>
                <c:pt idx="3">
                  <c:v>78</c:v>
                </c:pt>
                <c:pt idx="4">
                  <c:v>71</c:v>
                </c:pt>
                <c:pt idx="5">
                  <c:v>91</c:v>
                </c:pt>
                <c:pt idx="6">
                  <c:v>70</c:v>
                </c:pt>
                <c:pt idx="7">
                  <c:v>37</c:v>
                </c:pt>
                <c:pt idx="8">
                  <c:v>65</c:v>
                </c:pt>
                <c:pt idx="9">
                  <c:v>42</c:v>
                </c:pt>
                <c:pt idx="10">
                  <c:v>53</c:v>
                </c:pt>
                <c:pt idx="11">
                  <c:v>83</c:v>
                </c:pt>
                <c:pt idx="12">
                  <c:v>63</c:v>
                </c:pt>
                <c:pt idx="13">
                  <c:v>36</c:v>
                </c:pt>
                <c:pt idx="14">
                  <c:v>43</c:v>
                </c:pt>
              </c:numCache>
            </c:numRef>
          </c:xVal>
          <c:yVal>
            <c:numRef>
              <c:f>'2 Variable Xbar Lines'!$C$35:$C$49</c:f>
              <c:numCache>
                <c:formatCode>"$"#,##0_);[Red]\("$"#,##0\)</c:formatCode>
                <c:ptCount val="15"/>
                <c:pt idx="0">
                  <c:v>3300</c:v>
                </c:pt>
                <c:pt idx="1">
                  <c:v>8200</c:v>
                </c:pt>
                <c:pt idx="2">
                  <c:v>8900</c:v>
                </c:pt>
                <c:pt idx="3">
                  <c:v>3100</c:v>
                </c:pt>
                <c:pt idx="4">
                  <c:v>4020</c:v>
                </c:pt>
                <c:pt idx="5">
                  <c:v>1950</c:v>
                </c:pt>
                <c:pt idx="6">
                  <c:v>2500</c:v>
                </c:pt>
                <c:pt idx="7">
                  <c:v>6500</c:v>
                </c:pt>
                <c:pt idx="8">
                  <c:v>6210</c:v>
                </c:pt>
                <c:pt idx="9">
                  <c:v>5250</c:v>
                </c:pt>
                <c:pt idx="10">
                  <c:v>7200</c:v>
                </c:pt>
                <c:pt idx="11">
                  <c:v>2750</c:v>
                </c:pt>
                <c:pt idx="12">
                  <c:v>7150</c:v>
                </c:pt>
                <c:pt idx="13">
                  <c:v>7900</c:v>
                </c:pt>
                <c:pt idx="14">
                  <c:v>6210</c:v>
                </c:pt>
              </c:numCache>
            </c:numRef>
          </c:yVal>
          <c:smooth val="0"/>
          <c:extLst>
            <c:ext xmlns:c16="http://schemas.microsoft.com/office/drawing/2014/chart" uri="{C3380CC4-5D6E-409C-BE32-E72D297353CC}">
              <c16:uniqueId val="{00000001-D7EC-48FA-BB6C-EEEAFE122CEF}"/>
            </c:ext>
          </c:extLst>
        </c:ser>
        <c:dLbls>
          <c:showLegendKey val="0"/>
          <c:showVal val="0"/>
          <c:showCatName val="0"/>
          <c:showSerName val="0"/>
          <c:showPercent val="0"/>
          <c:showBubbleSize val="0"/>
        </c:dLbls>
        <c:axId val="1012587584"/>
        <c:axId val="1012588144"/>
      </c:scatterChart>
      <c:scatterChart>
        <c:scatterStyle val="smoothMarker"/>
        <c:varyColors val="0"/>
        <c:ser>
          <c:idx val="1"/>
          <c:order val="1"/>
          <c:tx>
            <c:strRef>
              <c:f>'2 Variable Xbar Lines'!$E$30</c:f>
              <c:strCache>
                <c:ptCount val="1"/>
                <c:pt idx="0">
                  <c:v>Xbar (F)</c:v>
                </c:pt>
              </c:strCache>
            </c:strRef>
          </c:tx>
          <c:marker>
            <c:symbol val="none"/>
          </c:marker>
          <c:xVal>
            <c:numRef>
              <c:f>'2 Variable Xbar Lines'!$E$31:$E$32</c:f>
              <c:numCache>
                <c:formatCode>0</c:formatCode>
                <c:ptCount val="2"/>
                <c:pt idx="0">
                  <c:v>61.142857142857146</c:v>
                </c:pt>
                <c:pt idx="1">
                  <c:v>61.142857142857146</c:v>
                </c:pt>
              </c:numCache>
            </c:numRef>
          </c:xVal>
          <c:yVal>
            <c:numRef>
              <c:f>'2 Variable Xbar Lines'!$F$31:$F$32</c:f>
              <c:numCache>
                <c:formatCode>General</c:formatCode>
                <c:ptCount val="2"/>
                <c:pt idx="0">
                  <c:v>0</c:v>
                </c:pt>
                <c:pt idx="1">
                  <c:v>10000</c:v>
                </c:pt>
              </c:numCache>
            </c:numRef>
          </c:yVal>
          <c:smooth val="1"/>
          <c:extLst>
            <c:ext xmlns:c16="http://schemas.microsoft.com/office/drawing/2014/chart" uri="{C3380CC4-5D6E-409C-BE32-E72D297353CC}">
              <c16:uniqueId val="{00000002-D7EC-48FA-BB6C-EEEAFE122CEF}"/>
            </c:ext>
          </c:extLst>
        </c:ser>
        <c:ser>
          <c:idx val="2"/>
          <c:order val="2"/>
          <c:tx>
            <c:strRef>
              <c:f>'2 Variable Xbar Lines'!$I$30</c:f>
              <c:strCache>
                <c:ptCount val="1"/>
                <c:pt idx="0">
                  <c:v>Ybar (CS Sales)</c:v>
                </c:pt>
              </c:strCache>
            </c:strRef>
          </c:tx>
          <c:spPr>
            <a:ln>
              <a:solidFill>
                <a:srgbClr val="0000FF"/>
              </a:solidFill>
            </a:ln>
          </c:spPr>
          <c:marker>
            <c:symbol val="none"/>
          </c:marker>
          <c:xVal>
            <c:numRef>
              <c:f>'2 Variable Xbar Lines'!$H$31:$H$32</c:f>
              <c:numCache>
                <c:formatCode>General</c:formatCode>
                <c:ptCount val="2"/>
                <c:pt idx="0">
                  <c:v>30</c:v>
                </c:pt>
                <c:pt idx="1">
                  <c:v>100</c:v>
                </c:pt>
              </c:numCache>
            </c:numRef>
          </c:xVal>
          <c:yVal>
            <c:numRef>
              <c:f>'2 Variable Xbar Lines'!$I$31:$I$32</c:f>
              <c:numCache>
                <c:formatCode>"$"#,##0_);[Red]\("$"#,##0\)</c:formatCode>
                <c:ptCount val="2"/>
                <c:pt idx="0">
                  <c:v>5352.1428571428569</c:v>
                </c:pt>
                <c:pt idx="1">
                  <c:v>5352.1428571428569</c:v>
                </c:pt>
              </c:numCache>
            </c:numRef>
          </c:yVal>
          <c:smooth val="1"/>
          <c:extLst>
            <c:ext xmlns:c16="http://schemas.microsoft.com/office/drawing/2014/chart" uri="{C3380CC4-5D6E-409C-BE32-E72D297353CC}">
              <c16:uniqueId val="{00000003-D7EC-48FA-BB6C-EEEAFE122CEF}"/>
            </c:ext>
          </c:extLst>
        </c:ser>
        <c:dLbls>
          <c:showLegendKey val="0"/>
          <c:showVal val="0"/>
          <c:showCatName val="0"/>
          <c:showSerName val="0"/>
          <c:showPercent val="0"/>
          <c:showBubbleSize val="0"/>
        </c:dLbls>
        <c:axId val="1012587584"/>
        <c:axId val="1012588144"/>
      </c:scatterChart>
      <c:valAx>
        <c:axId val="1012587584"/>
        <c:scaling>
          <c:orientation val="minMax"/>
          <c:max val="100"/>
          <c:min val="30"/>
        </c:scaling>
        <c:delete val="0"/>
        <c:axPos val="b"/>
        <c:title>
          <c:tx>
            <c:strRef>
              <c:f>'2 Variable Xbar Lines'!$B$34</c:f>
              <c:strCache>
                <c:ptCount val="1"/>
                <c:pt idx="0">
                  <c:v>Temperature (F)</c:v>
                </c:pt>
              </c:strCache>
            </c:strRef>
          </c:tx>
          <c:overlay val="0"/>
        </c:title>
        <c:numFmt formatCode="General" sourceLinked="1"/>
        <c:majorTickMark val="out"/>
        <c:minorTickMark val="none"/>
        <c:tickLblPos val="nextTo"/>
        <c:crossAx val="1012588144"/>
        <c:crosses val="autoZero"/>
        <c:crossBetween val="midCat"/>
      </c:valAx>
      <c:valAx>
        <c:axId val="1012588144"/>
        <c:scaling>
          <c:orientation val="minMax"/>
        </c:scaling>
        <c:delete val="0"/>
        <c:axPos val="l"/>
        <c:title>
          <c:tx>
            <c:strRef>
              <c:f>'2 Variable Xbar Lines'!$C$34</c:f>
              <c:strCache>
                <c:ptCount val="1"/>
                <c:pt idx="0">
                  <c:v>Sales Chicken Soup</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87584"/>
        <c:crosses val="autoZero"/>
        <c:crossBetween val="midCat"/>
      </c:valAx>
    </c:plotArea>
    <c:plotVisOnly val="1"/>
    <c:dispBlanksAs val="gap"/>
    <c:showDLblsOverMax val="0"/>
  </c:chart>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Lines'!$B$7</c:f>
          <c:strCache>
            <c:ptCount val="1"/>
            <c:pt idx="0">
              <c:v>Relationship Between Temperature &amp; Ice Cream Sales?</c:v>
            </c:pt>
          </c:strCache>
        </c:strRef>
      </c:tx>
      <c:overlay val="0"/>
      <c:txPr>
        <a:bodyPr/>
        <a:lstStyle/>
        <a:p>
          <a:pPr>
            <a:defRPr sz="1000"/>
          </a:pPr>
          <a:endParaRPr lang="en-US"/>
        </a:p>
      </c:txPr>
    </c:title>
    <c:autoTitleDeleted val="0"/>
    <c:plotArea>
      <c:layout>
        <c:manualLayout>
          <c:layoutTarget val="inner"/>
          <c:xMode val="edge"/>
          <c:yMode val="edge"/>
          <c:x val="0.19564218449171422"/>
          <c:y val="0.14957203266258387"/>
          <c:w val="0.76054969599824507"/>
          <c:h val="0.63627661125692625"/>
        </c:manualLayout>
      </c:layout>
      <c:scatterChart>
        <c:scatterStyle val="lineMarker"/>
        <c:varyColors val="0"/>
        <c:ser>
          <c:idx val="0"/>
          <c:order val="0"/>
          <c:tx>
            <c:strRef>
              <c:f>'2 Variable Xbar Lines'!$C$12</c:f>
              <c:strCache>
                <c:ptCount val="1"/>
                <c:pt idx="0">
                  <c:v>Sales Ice Cream</c:v>
                </c:pt>
              </c:strCache>
            </c:strRef>
          </c:tx>
          <c:spPr>
            <a:ln w="19050">
              <a:noFill/>
            </a:ln>
          </c:spPr>
          <c:trendline>
            <c:trendlineType val="linear"/>
            <c:dispRSqr val="0"/>
            <c:dispEq val="0"/>
          </c:trendline>
          <c:trendline>
            <c:trendlineType val="linear"/>
            <c:dispRSqr val="0"/>
            <c:dispEq val="0"/>
          </c:trendline>
          <c:xVal>
            <c:numRef>
              <c:f>'2 Variable Xbar Lines'!$B$13:$B$23</c:f>
              <c:numCache>
                <c:formatCode>General</c:formatCode>
                <c:ptCount val="11"/>
                <c:pt idx="0">
                  <c:v>91</c:v>
                </c:pt>
                <c:pt idx="1">
                  <c:v>45</c:v>
                </c:pt>
                <c:pt idx="2">
                  <c:v>46</c:v>
                </c:pt>
                <c:pt idx="3">
                  <c:v>83</c:v>
                </c:pt>
                <c:pt idx="4">
                  <c:v>76</c:v>
                </c:pt>
                <c:pt idx="5">
                  <c:v>96</c:v>
                </c:pt>
                <c:pt idx="6">
                  <c:v>75</c:v>
                </c:pt>
                <c:pt idx="7">
                  <c:v>42</c:v>
                </c:pt>
                <c:pt idx="8">
                  <c:v>70</c:v>
                </c:pt>
                <c:pt idx="9">
                  <c:v>47</c:v>
                </c:pt>
                <c:pt idx="10">
                  <c:v>58</c:v>
                </c:pt>
              </c:numCache>
            </c:numRef>
          </c:xVal>
          <c:yVal>
            <c:numRef>
              <c:f>'2 Variable Xbar Lines'!$C$13:$C$23</c:f>
              <c:numCache>
                <c:formatCode>"$"#,##0_);[Red]\("$"#,##0\)</c:formatCode>
                <c:ptCount val="11"/>
                <c:pt idx="0">
                  <c:v>7113</c:v>
                </c:pt>
                <c:pt idx="1">
                  <c:v>2044</c:v>
                </c:pt>
                <c:pt idx="2">
                  <c:v>1108</c:v>
                </c:pt>
                <c:pt idx="3">
                  <c:v>7093</c:v>
                </c:pt>
                <c:pt idx="4">
                  <c:v>3902</c:v>
                </c:pt>
                <c:pt idx="5">
                  <c:v>6676</c:v>
                </c:pt>
                <c:pt idx="6">
                  <c:v>5403</c:v>
                </c:pt>
                <c:pt idx="7">
                  <c:v>886</c:v>
                </c:pt>
                <c:pt idx="8">
                  <c:v>4740</c:v>
                </c:pt>
                <c:pt idx="9">
                  <c:v>2637</c:v>
                </c:pt>
                <c:pt idx="10">
                  <c:v>3150</c:v>
                </c:pt>
              </c:numCache>
            </c:numRef>
          </c:yVal>
          <c:smooth val="0"/>
          <c:extLst>
            <c:ext xmlns:c16="http://schemas.microsoft.com/office/drawing/2014/chart" uri="{C3380CC4-5D6E-409C-BE32-E72D297353CC}">
              <c16:uniqueId val="{00000002-F097-4A73-8F36-FDD282E8C91F}"/>
            </c:ext>
          </c:extLst>
        </c:ser>
        <c:dLbls>
          <c:showLegendKey val="0"/>
          <c:showVal val="0"/>
          <c:showCatName val="0"/>
          <c:showSerName val="0"/>
          <c:showPercent val="0"/>
          <c:showBubbleSize val="0"/>
        </c:dLbls>
        <c:axId val="1012592064"/>
        <c:axId val="1012592624"/>
      </c:scatterChart>
      <c:scatterChart>
        <c:scatterStyle val="smoothMarker"/>
        <c:varyColors val="0"/>
        <c:ser>
          <c:idx val="1"/>
          <c:order val="1"/>
          <c:tx>
            <c:strRef>
              <c:f>'2 Variable Xbar Lines'!$E$8</c:f>
              <c:strCache>
                <c:ptCount val="1"/>
                <c:pt idx="0">
                  <c:v>Xbar (F)</c:v>
                </c:pt>
              </c:strCache>
            </c:strRef>
          </c:tx>
          <c:marker>
            <c:symbol val="none"/>
          </c:marker>
          <c:xVal>
            <c:numRef>
              <c:f>'2 Variable Xbar Lines'!$E$9:$E$10</c:f>
              <c:numCache>
                <c:formatCode>0</c:formatCode>
                <c:ptCount val="2"/>
                <c:pt idx="0">
                  <c:v>66.272727272727266</c:v>
                </c:pt>
                <c:pt idx="1">
                  <c:v>66.272727272727266</c:v>
                </c:pt>
              </c:numCache>
            </c:numRef>
          </c:xVal>
          <c:yVal>
            <c:numRef>
              <c:f>'2 Variable Xbar Lines'!$F$9:$F$10</c:f>
              <c:numCache>
                <c:formatCode>General</c:formatCode>
                <c:ptCount val="2"/>
                <c:pt idx="0">
                  <c:v>0</c:v>
                </c:pt>
                <c:pt idx="1">
                  <c:v>10000</c:v>
                </c:pt>
              </c:numCache>
            </c:numRef>
          </c:yVal>
          <c:smooth val="1"/>
          <c:extLst>
            <c:ext xmlns:c16="http://schemas.microsoft.com/office/drawing/2014/chart" uri="{C3380CC4-5D6E-409C-BE32-E72D297353CC}">
              <c16:uniqueId val="{00000003-F097-4A73-8F36-FDD282E8C91F}"/>
            </c:ext>
          </c:extLst>
        </c:ser>
        <c:ser>
          <c:idx val="2"/>
          <c:order val="2"/>
          <c:tx>
            <c:strRef>
              <c:f>'2 Variable Xbar Lines'!$I$8</c:f>
              <c:strCache>
                <c:ptCount val="1"/>
                <c:pt idx="0">
                  <c:v>Ybar (IC Sales)</c:v>
                </c:pt>
              </c:strCache>
            </c:strRef>
          </c:tx>
          <c:spPr>
            <a:ln>
              <a:solidFill>
                <a:srgbClr val="0000FF"/>
              </a:solidFill>
            </a:ln>
          </c:spPr>
          <c:marker>
            <c:symbol val="none"/>
          </c:marker>
          <c:xVal>
            <c:numRef>
              <c:f>'2 Variable Xbar Lines'!$H$9:$H$10</c:f>
              <c:numCache>
                <c:formatCode>General</c:formatCode>
                <c:ptCount val="2"/>
                <c:pt idx="0">
                  <c:v>30</c:v>
                </c:pt>
                <c:pt idx="1">
                  <c:v>100</c:v>
                </c:pt>
              </c:numCache>
            </c:numRef>
          </c:xVal>
          <c:yVal>
            <c:numRef>
              <c:f>'2 Variable Xbar Lines'!$I$9:$I$10</c:f>
              <c:numCache>
                <c:formatCode>"$"#,##0_);[Red]\("$"#,##0\)</c:formatCode>
                <c:ptCount val="2"/>
                <c:pt idx="0">
                  <c:v>4068.3636363636365</c:v>
                </c:pt>
                <c:pt idx="1">
                  <c:v>4068.3636363636365</c:v>
                </c:pt>
              </c:numCache>
            </c:numRef>
          </c:yVal>
          <c:smooth val="1"/>
          <c:extLst>
            <c:ext xmlns:c16="http://schemas.microsoft.com/office/drawing/2014/chart" uri="{C3380CC4-5D6E-409C-BE32-E72D297353CC}">
              <c16:uniqueId val="{00000004-F097-4A73-8F36-FDD282E8C91F}"/>
            </c:ext>
          </c:extLst>
        </c:ser>
        <c:dLbls>
          <c:showLegendKey val="0"/>
          <c:showVal val="0"/>
          <c:showCatName val="0"/>
          <c:showSerName val="0"/>
          <c:showPercent val="0"/>
          <c:showBubbleSize val="0"/>
        </c:dLbls>
        <c:axId val="1012592064"/>
        <c:axId val="1012592624"/>
      </c:scatterChart>
      <c:valAx>
        <c:axId val="1012592064"/>
        <c:scaling>
          <c:orientation val="minMax"/>
          <c:max val="100"/>
          <c:min val="30"/>
        </c:scaling>
        <c:delete val="0"/>
        <c:axPos val="b"/>
        <c:title>
          <c:tx>
            <c:strRef>
              <c:f>'2 Variable Xbar Lines'!$B$12</c:f>
              <c:strCache>
                <c:ptCount val="1"/>
                <c:pt idx="0">
                  <c:v>Temperature (F)</c:v>
                </c:pt>
              </c:strCache>
            </c:strRef>
          </c:tx>
          <c:overlay val="0"/>
        </c:title>
        <c:numFmt formatCode="General" sourceLinked="1"/>
        <c:majorTickMark val="out"/>
        <c:minorTickMark val="none"/>
        <c:tickLblPos val="nextTo"/>
        <c:crossAx val="1012592624"/>
        <c:crosses val="autoZero"/>
        <c:crossBetween val="midCat"/>
      </c:valAx>
      <c:valAx>
        <c:axId val="1012592624"/>
        <c:scaling>
          <c:orientation val="minMax"/>
        </c:scaling>
        <c:delete val="0"/>
        <c:axPos val="l"/>
        <c:title>
          <c:tx>
            <c:strRef>
              <c:f>'2 Variable Xbar Lines'!$C$12</c:f>
              <c:strCache>
                <c:ptCount val="1"/>
                <c:pt idx="0">
                  <c:v>Sales Ice Cream</c:v>
                </c:pt>
              </c:strCache>
            </c:strRef>
          </c:tx>
          <c:overlay val="0"/>
          <c:txPr>
            <a:bodyPr rot="-5400000" vert="horz"/>
            <a:lstStyle/>
            <a:p>
              <a:pPr>
                <a:defRPr/>
              </a:pPr>
              <a:endParaRPr lang="en-US"/>
            </a:p>
          </c:txPr>
        </c:title>
        <c:numFmt formatCode="&quot;$&quot;#,##0_);[Red]\(&quot;$&quot;#,##0\)" sourceLinked="1"/>
        <c:majorTickMark val="out"/>
        <c:minorTickMark val="none"/>
        <c:tickLblPos val="nextTo"/>
        <c:crossAx val="1012592064"/>
        <c:crosses val="autoZero"/>
        <c:crossBetween val="midCat"/>
      </c:valAx>
    </c:plotArea>
    <c:plotVisOnly val="1"/>
    <c:dispBlanksAs val="gap"/>
    <c:showDLblsOverMax val="0"/>
  </c:chart>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Xbar Lines'!$B$52</c:f>
          <c:strCache>
            <c:ptCount val="1"/>
            <c:pt idx="0">
              <c:v>Relationship Between # of Years Using Excel &amp; Expert Rating</c:v>
            </c:pt>
          </c:strCache>
        </c:strRef>
      </c:tx>
      <c:overlay val="0"/>
      <c:txPr>
        <a:bodyPr/>
        <a:lstStyle/>
        <a:p>
          <a:pPr>
            <a:defRPr sz="1000"/>
          </a:pPr>
          <a:endParaRPr lang="en-US"/>
        </a:p>
      </c:txPr>
    </c:title>
    <c:autoTitleDeleted val="0"/>
    <c:plotArea>
      <c:layout/>
      <c:scatterChart>
        <c:scatterStyle val="lineMarker"/>
        <c:varyColors val="0"/>
        <c:ser>
          <c:idx val="0"/>
          <c:order val="0"/>
          <c:tx>
            <c:strRef>
              <c:f>'2 Variable Xbar Lines'!$C$57</c:f>
              <c:strCache>
                <c:ptCount val="1"/>
                <c:pt idx="0">
                  <c:v>Excel Expert Rating</c:v>
                </c:pt>
              </c:strCache>
            </c:strRef>
          </c:tx>
          <c:spPr>
            <a:ln w="19050">
              <a:noFill/>
            </a:ln>
          </c:spPr>
          <c:xVal>
            <c:numRef>
              <c:f>'2 Variable Xbar Lines'!$B$58:$B$70</c:f>
              <c:numCache>
                <c:formatCode>General</c:formatCode>
                <c:ptCount val="13"/>
                <c:pt idx="0">
                  <c:v>3</c:v>
                </c:pt>
                <c:pt idx="1">
                  <c:v>8</c:v>
                </c:pt>
                <c:pt idx="2">
                  <c:v>6</c:v>
                </c:pt>
                <c:pt idx="3">
                  <c:v>11</c:v>
                </c:pt>
                <c:pt idx="4">
                  <c:v>20</c:v>
                </c:pt>
                <c:pt idx="5">
                  <c:v>7</c:v>
                </c:pt>
                <c:pt idx="6">
                  <c:v>9</c:v>
                </c:pt>
                <c:pt idx="7">
                  <c:v>3</c:v>
                </c:pt>
                <c:pt idx="8">
                  <c:v>19</c:v>
                </c:pt>
                <c:pt idx="9">
                  <c:v>2</c:v>
                </c:pt>
                <c:pt idx="10">
                  <c:v>16</c:v>
                </c:pt>
                <c:pt idx="11">
                  <c:v>12</c:v>
                </c:pt>
                <c:pt idx="12">
                  <c:v>1</c:v>
                </c:pt>
              </c:numCache>
            </c:numRef>
          </c:xVal>
          <c:yVal>
            <c:numRef>
              <c:f>'2 Variable Xbar Lines'!$C$58:$C$70</c:f>
              <c:numCache>
                <c:formatCode>General</c:formatCode>
                <c:ptCount val="13"/>
                <c:pt idx="0">
                  <c:v>5</c:v>
                </c:pt>
                <c:pt idx="1">
                  <c:v>1</c:v>
                </c:pt>
                <c:pt idx="2">
                  <c:v>9</c:v>
                </c:pt>
                <c:pt idx="3">
                  <c:v>5</c:v>
                </c:pt>
                <c:pt idx="4">
                  <c:v>3</c:v>
                </c:pt>
                <c:pt idx="5">
                  <c:v>4</c:v>
                </c:pt>
                <c:pt idx="6">
                  <c:v>10</c:v>
                </c:pt>
                <c:pt idx="7">
                  <c:v>6</c:v>
                </c:pt>
                <c:pt idx="8">
                  <c:v>10</c:v>
                </c:pt>
                <c:pt idx="9">
                  <c:v>1</c:v>
                </c:pt>
                <c:pt idx="10">
                  <c:v>2</c:v>
                </c:pt>
                <c:pt idx="11">
                  <c:v>7</c:v>
                </c:pt>
                <c:pt idx="12">
                  <c:v>6</c:v>
                </c:pt>
              </c:numCache>
            </c:numRef>
          </c:yVal>
          <c:smooth val="0"/>
          <c:extLst>
            <c:ext xmlns:c16="http://schemas.microsoft.com/office/drawing/2014/chart" uri="{C3380CC4-5D6E-409C-BE32-E72D297353CC}">
              <c16:uniqueId val="{00000000-8C05-4E24-B188-173B976652D7}"/>
            </c:ext>
          </c:extLst>
        </c:ser>
        <c:dLbls>
          <c:showLegendKey val="0"/>
          <c:showVal val="0"/>
          <c:showCatName val="0"/>
          <c:showSerName val="0"/>
          <c:showPercent val="0"/>
          <c:showBubbleSize val="0"/>
        </c:dLbls>
        <c:axId val="1012596544"/>
        <c:axId val="1012597104"/>
      </c:scatterChart>
      <c:scatterChart>
        <c:scatterStyle val="smoothMarker"/>
        <c:varyColors val="0"/>
        <c:ser>
          <c:idx val="1"/>
          <c:order val="1"/>
          <c:tx>
            <c:strRef>
              <c:f>'2 Variable Xbar Lines'!$E$53</c:f>
              <c:strCache>
                <c:ptCount val="1"/>
                <c:pt idx="0">
                  <c:v>Xbar (Years)</c:v>
                </c:pt>
              </c:strCache>
            </c:strRef>
          </c:tx>
          <c:marker>
            <c:symbol val="none"/>
          </c:marker>
          <c:xVal>
            <c:numRef>
              <c:f>'2 Variable Xbar Lines'!$E$54:$E$55</c:f>
              <c:numCache>
                <c:formatCode>0</c:formatCode>
                <c:ptCount val="2"/>
                <c:pt idx="0">
                  <c:v>9</c:v>
                </c:pt>
                <c:pt idx="1">
                  <c:v>9</c:v>
                </c:pt>
              </c:numCache>
            </c:numRef>
          </c:xVal>
          <c:yVal>
            <c:numRef>
              <c:f>'2 Variable Xbar Lines'!$F$54:$F$55</c:f>
              <c:numCache>
                <c:formatCode>General</c:formatCode>
                <c:ptCount val="2"/>
                <c:pt idx="0">
                  <c:v>0</c:v>
                </c:pt>
                <c:pt idx="1">
                  <c:v>12</c:v>
                </c:pt>
              </c:numCache>
            </c:numRef>
          </c:yVal>
          <c:smooth val="1"/>
          <c:extLst>
            <c:ext xmlns:c16="http://schemas.microsoft.com/office/drawing/2014/chart" uri="{C3380CC4-5D6E-409C-BE32-E72D297353CC}">
              <c16:uniqueId val="{00000001-8C05-4E24-B188-173B976652D7}"/>
            </c:ext>
          </c:extLst>
        </c:ser>
        <c:ser>
          <c:idx val="2"/>
          <c:order val="2"/>
          <c:tx>
            <c:strRef>
              <c:f>'2 Variable Xbar Lines'!$I$53</c:f>
              <c:strCache>
                <c:ptCount val="1"/>
                <c:pt idx="0">
                  <c:v>Ybar (Rating)</c:v>
                </c:pt>
              </c:strCache>
            </c:strRef>
          </c:tx>
          <c:spPr>
            <a:ln w="19050">
              <a:solidFill>
                <a:srgbClr val="0000FF"/>
              </a:solidFill>
            </a:ln>
          </c:spPr>
          <c:marker>
            <c:symbol val="none"/>
          </c:marker>
          <c:xVal>
            <c:numRef>
              <c:f>'2 Variable Xbar Lines'!$H$54:$H$55</c:f>
              <c:numCache>
                <c:formatCode>General</c:formatCode>
                <c:ptCount val="2"/>
                <c:pt idx="0">
                  <c:v>0</c:v>
                </c:pt>
                <c:pt idx="1">
                  <c:v>22</c:v>
                </c:pt>
              </c:numCache>
            </c:numRef>
          </c:xVal>
          <c:yVal>
            <c:numRef>
              <c:f>'2 Variable Xbar Lines'!$I$54:$I$55</c:f>
              <c:numCache>
                <c:formatCode>0</c:formatCode>
                <c:ptCount val="2"/>
                <c:pt idx="0">
                  <c:v>5.3076923076923075</c:v>
                </c:pt>
                <c:pt idx="1">
                  <c:v>5.3076923076923075</c:v>
                </c:pt>
              </c:numCache>
            </c:numRef>
          </c:yVal>
          <c:smooth val="1"/>
          <c:extLst>
            <c:ext xmlns:c16="http://schemas.microsoft.com/office/drawing/2014/chart" uri="{C3380CC4-5D6E-409C-BE32-E72D297353CC}">
              <c16:uniqueId val="{00000002-8C05-4E24-B188-173B976652D7}"/>
            </c:ext>
          </c:extLst>
        </c:ser>
        <c:dLbls>
          <c:showLegendKey val="0"/>
          <c:showVal val="0"/>
          <c:showCatName val="0"/>
          <c:showSerName val="0"/>
          <c:showPercent val="0"/>
          <c:showBubbleSize val="0"/>
        </c:dLbls>
        <c:axId val="1012596544"/>
        <c:axId val="1012597104"/>
      </c:scatterChart>
      <c:valAx>
        <c:axId val="1012596544"/>
        <c:scaling>
          <c:orientation val="minMax"/>
        </c:scaling>
        <c:delete val="0"/>
        <c:axPos val="b"/>
        <c:title>
          <c:tx>
            <c:strRef>
              <c:f>'2 Variable Xbar Lines'!$B$57</c:f>
              <c:strCache>
                <c:ptCount val="1"/>
                <c:pt idx="0">
                  <c:v># Of Years Using Excel</c:v>
                </c:pt>
              </c:strCache>
            </c:strRef>
          </c:tx>
          <c:overlay val="0"/>
        </c:title>
        <c:numFmt formatCode="General" sourceLinked="1"/>
        <c:majorTickMark val="out"/>
        <c:minorTickMark val="none"/>
        <c:tickLblPos val="nextTo"/>
        <c:crossAx val="1012597104"/>
        <c:crosses val="autoZero"/>
        <c:crossBetween val="midCat"/>
      </c:valAx>
      <c:valAx>
        <c:axId val="1012597104"/>
        <c:scaling>
          <c:orientation val="minMax"/>
          <c:max val="12"/>
        </c:scaling>
        <c:delete val="0"/>
        <c:axPos val="l"/>
        <c:majorGridlines/>
        <c:title>
          <c:tx>
            <c:strRef>
              <c:f>'2 Variable Xbar Lines'!$C$57</c:f>
              <c:strCache>
                <c:ptCount val="1"/>
                <c:pt idx="0">
                  <c:v>Excel Expert Rating</c:v>
                </c:pt>
              </c:strCache>
            </c:strRef>
          </c:tx>
          <c:overlay val="0"/>
          <c:txPr>
            <a:bodyPr rot="-5400000" vert="horz"/>
            <a:lstStyle/>
            <a:p>
              <a:pPr>
                <a:defRPr/>
              </a:pPr>
              <a:endParaRPr lang="en-US"/>
            </a:p>
          </c:txPr>
        </c:title>
        <c:numFmt formatCode="General" sourceLinked="1"/>
        <c:majorTickMark val="out"/>
        <c:minorTickMark val="none"/>
        <c:tickLblPos val="nextTo"/>
        <c:crossAx val="1012596544"/>
        <c:crosses val="autoZero"/>
        <c:crossBetween val="midCat"/>
      </c:valAx>
    </c:plotArea>
    <c:plotVisOnly val="1"/>
    <c:dispBlanksAs val="gap"/>
    <c:showDLblsOverMax val="0"/>
  </c:chart>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 Scatter'!$B$112</c:f>
          <c:strCache>
            <c:ptCount val="1"/>
            <c:pt idx="0">
              <c:v>Relationship Between Temperature and Energy Expense, relationship looks nonlinear: as x increases, y decreases for a while and then increases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 Scatter'!$C$117</c:f>
              <c:strCache>
                <c:ptCount val="1"/>
                <c:pt idx="0">
                  <c:v>Energy Expense Y</c:v>
                </c:pt>
              </c:strCache>
            </c:strRef>
          </c:tx>
          <c:spPr>
            <a:ln w="19050" cap="rnd">
              <a:noFill/>
              <a:round/>
            </a:ln>
            <a:effectLst/>
          </c:spPr>
          <c:marker>
            <c:symbol val="circle"/>
            <c:size val="5"/>
            <c:spPr>
              <a:solidFill>
                <a:schemeClr val="accent1"/>
              </a:solidFill>
              <a:ln w="9525">
                <a:solidFill>
                  <a:schemeClr val="accent1"/>
                </a:solidFill>
              </a:ln>
              <a:effectLst/>
            </c:spPr>
          </c:marker>
          <c:xVal>
            <c:numRef>
              <c:f>'2 Variable Scatter'!$B$118:$B$471</c:f>
              <c:numCache>
                <c:formatCode>General</c:formatCode>
                <c:ptCount val="354"/>
                <c:pt idx="0">
                  <c:v>46</c:v>
                </c:pt>
                <c:pt idx="1">
                  <c:v>52</c:v>
                </c:pt>
                <c:pt idx="2">
                  <c:v>55</c:v>
                </c:pt>
                <c:pt idx="3">
                  <c:v>46</c:v>
                </c:pt>
                <c:pt idx="4">
                  <c:v>47</c:v>
                </c:pt>
                <c:pt idx="5">
                  <c:v>50</c:v>
                </c:pt>
                <c:pt idx="6">
                  <c:v>36</c:v>
                </c:pt>
                <c:pt idx="7">
                  <c:v>47</c:v>
                </c:pt>
                <c:pt idx="8">
                  <c:v>40</c:v>
                </c:pt>
                <c:pt idx="9">
                  <c:v>46</c:v>
                </c:pt>
                <c:pt idx="10">
                  <c:v>55</c:v>
                </c:pt>
                <c:pt idx="11">
                  <c:v>40</c:v>
                </c:pt>
                <c:pt idx="12">
                  <c:v>53</c:v>
                </c:pt>
                <c:pt idx="13">
                  <c:v>44</c:v>
                </c:pt>
                <c:pt idx="14">
                  <c:v>48</c:v>
                </c:pt>
                <c:pt idx="15">
                  <c:v>46</c:v>
                </c:pt>
                <c:pt idx="16">
                  <c:v>56</c:v>
                </c:pt>
                <c:pt idx="17">
                  <c:v>36</c:v>
                </c:pt>
                <c:pt idx="18">
                  <c:v>38</c:v>
                </c:pt>
                <c:pt idx="19">
                  <c:v>37</c:v>
                </c:pt>
                <c:pt idx="20">
                  <c:v>44</c:v>
                </c:pt>
                <c:pt idx="21">
                  <c:v>30</c:v>
                </c:pt>
                <c:pt idx="22">
                  <c:v>48</c:v>
                </c:pt>
                <c:pt idx="23">
                  <c:v>37</c:v>
                </c:pt>
                <c:pt idx="24">
                  <c:v>43</c:v>
                </c:pt>
                <c:pt idx="25">
                  <c:v>39</c:v>
                </c:pt>
                <c:pt idx="26">
                  <c:v>34</c:v>
                </c:pt>
                <c:pt idx="27">
                  <c:v>33</c:v>
                </c:pt>
                <c:pt idx="28">
                  <c:v>38</c:v>
                </c:pt>
                <c:pt idx="29">
                  <c:v>38</c:v>
                </c:pt>
                <c:pt idx="30">
                  <c:v>37</c:v>
                </c:pt>
                <c:pt idx="31">
                  <c:v>35</c:v>
                </c:pt>
                <c:pt idx="32">
                  <c:v>53</c:v>
                </c:pt>
                <c:pt idx="33">
                  <c:v>55</c:v>
                </c:pt>
                <c:pt idx="34">
                  <c:v>58</c:v>
                </c:pt>
                <c:pt idx="35">
                  <c:v>41</c:v>
                </c:pt>
                <c:pt idx="36">
                  <c:v>43</c:v>
                </c:pt>
                <c:pt idx="37">
                  <c:v>43</c:v>
                </c:pt>
                <c:pt idx="38">
                  <c:v>32</c:v>
                </c:pt>
                <c:pt idx="39">
                  <c:v>53</c:v>
                </c:pt>
                <c:pt idx="40">
                  <c:v>54</c:v>
                </c:pt>
                <c:pt idx="41">
                  <c:v>56</c:v>
                </c:pt>
                <c:pt idx="42">
                  <c:v>52</c:v>
                </c:pt>
                <c:pt idx="43">
                  <c:v>57</c:v>
                </c:pt>
                <c:pt idx="44">
                  <c:v>51</c:v>
                </c:pt>
                <c:pt idx="45">
                  <c:v>40</c:v>
                </c:pt>
                <c:pt idx="46">
                  <c:v>32</c:v>
                </c:pt>
                <c:pt idx="47">
                  <c:v>34</c:v>
                </c:pt>
                <c:pt idx="48">
                  <c:v>37</c:v>
                </c:pt>
                <c:pt idx="49">
                  <c:v>39</c:v>
                </c:pt>
                <c:pt idx="50">
                  <c:v>22</c:v>
                </c:pt>
                <c:pt idx="51">
                  <c:v>38</c:v>
                </c:pt>
                <c:pt idx="52">
                  <c:v>40</c:v>
                </c:pt>
                <c:pt idx="53">
                  <c:v>51</c:v>
                </c:pt>
                <c:pt idx="54">
                  <c:v>32</c:v>
                </c:pt>
                <c:pt idx="55">
                  <c:v>45</c:v>
                </c:pt>
                <c:pt idx="56">
                  <c:v>40</c:v>
                </c:pt>
                <c:pt idx="57">
                  <c:v>52</c:v>
                </c:pt>
                <c:pt idx="58">
                  <c:v>25</c:v>
                </c:pt>
                <c:pt idx="59">
                  <c:v>42</c:v>
                </c:pt>
                <c:pt idx="60">
                  <c:v>45</c:v>
                </c:pt>
                <c:pt idx="61">
                  <c:v>31</c:v>
                </c:pt>
                <c:pt idx="62">
                  <c:v>51</c:v>
                </c:pt>
                <c:pt idx="63">
                  <c:v>34</c:v>
                </c:pt>
                <c:pt idx="64">
                  <c:v>21</c:v>
                </c:pt>
                <c:pt idx="65">
                  <c:v>55</c:v>
                </c:pt>
                <c:pt idx="66">
                  <c:v>24</c:v>
                </c:pt>
                <c:pt idx="67">
                  <c:v>42</c:v>
                </c:pt>
                <c:pt idx="68">
                  <c:v>38</c:v>
                </c:pt>
                <c:pt idx="69">
                  <c:v>48</c:v>
                </c:pt>
                <c:pt idx="70">
                  <c:v>40</c:v>
                </c:pt>
                <c:pt idx="71">
                  <c:v>45</c:v>
                </c:pt>
                <c:pt idx="72">
                  <c:v>45</c:v>
                </c:pt>
                <c:pt idx="73">
                  <c:v>46</c:v>
                </c:pt>
                <c:pt idx="74">
                  <c:v>33</c:v>
                </c:pt>
                <c:pt idx="75">
                  <c:v>37</c:v>
                </c:pt>
                <c:pt idx="76">
                  <c:v>24</c:v>
                </c:pt>
                <c:pt idx="77">
                  <c:v>36</c:v>
                </c:pt>
                <c:pt idx="78">
                  <c:v>37</c:v>
                </c:pt>
                <c:pt idx="79">
                  <c:v>47</c:v>
                </c:pt>
                <c:pt idx="80">
                  <c:v>64</c:v>
                </c:pt>
                <c:pt idx="81">
                  <c:v>60</c:v>
                </c:pt>
                <c:pt idx="82">
                  <c:v>50</c:v>
                </c:pt>
                <c:pt idx="83">
                  <c:v>62</c:v>
                </c:pt>
                <c:pt idx="84">
                  <c:v>50</c:v>
                </c:pt>
                <c:pt idx="85">
                  <c:v>62</c:v>
                </c:pt>
                <c:pt idx="86">
                  <c:v>68</c:v>
                </c:pt>
                <c:pt idx="87">
                  <c:v>65</c:v>
                </c:pt>
                <c:pt idx="88">
                  <c:v>57</c:v>
                </c:pt>
                <c:pt idx="89">
                  <c:v>53</c:v>
                </c:pt>
                <c:pt idx="90">
                  <c:v>43</c:v>
                </c:pt>
                <c:pt idx="91">
                  <c:v>39</c:v>
                </c:pt>
                <c:pt idx="92">
                  <c:v>61</c:v>
                </c:pt>
                <c:pt idx="93">
                  <c:v>42</c:v>
                </c:pt>
                <c:pt idx="94">
                  <c:v>42</c:v>
                </c:pt>
                <c:pt idx="95">
                  <c:v>52</c:v>
                </c:pt>
                <c:pt idx="96">
                  <c:v>68</c:v>
                </c:pt>
                <c:pt idx="97">
                  <c:v>50</c:v>
                </c:pt>
                <c:pt idx="98">
                  <c:v>46</c:v>
                </c:pt>
                <c:pt idx="99">
                  <c:v>58</c:v>
                </c:pt>
                <c:pt idx="100">
                  <c:v>56</c:v>
                </c:pt>
                <c:pt idx="101">
                  <c:v>61</c:v>
                </c:pt>
                <c:pt idx="102">
                  <c:v>56</c:v>
                </c:pt>
                <c:pt idx="103">
                  <c:v>61</c:v>
                </c:pt>
                <c:pt idx="104">
                  <c:v>67</c:v>
                </c:pt>
                <c:pt idx="105">
                  <c:v>68</c:v>
                </c:pt>
                <c:pt idx="106">
                  <c:v>61</c:v>
                </c:pt>
                <c:pt idx="107">
                  <c:v>52</c:v>
                </c:pt>
                <c:pt idx="108">
                  <c:v>63</c:v>
                </c:pt>
                <c:pt idx="109">
                  <c:v>80</c:v>
                </c:pt>
                <c:pt idx="110">
                  <c:v>75</c:v>
                </c:pt>
                <c:pt idx="111">
                  <c:v>51</c:v>
                </c:pt>
                <c:pt idx="112">
                  <c:v>44</c:v>
                </c:pt>
                <c:pt idx="113">
                  <c:v>79</c:v>
                </c:pt>
                <c:pt idx="114">
                  <c:v>61</c:v>
                </c:pt>
                <c:pt idx="115">
                  <c:v>49</c:v>
                </c:pt>
                <c:pt idx="116">
                  <c:v>80</c:v>
                </c:pt>
                <c:pt idx="117">
                  <c:v>47</c:v>
                </c:pt>
                <c:pt idx="118">
                  <c:v>77</c:v>
                </c:pt>
                <c:pt idx="119">
                  <c:v>60</c:v>
                </c:pt>
                <c:pt idx="120">
                  <c:v>54</c:v>
                </c:pt>
                <c:pt idx="121">
                  <c:v>44</c:v>
                </c:pt>
                <c:pt idx="122">
                  <c:v>50</c:v>
                </c:pt>
                <c:pt idx="123">
                  <c:v>69</c:v>
                </c:pt>
                <c:pt idx="124">
                  <c:v>59</c:v>
                </c:pt>
                <c:pt idx="125">
                  <c:v>81</c:v>
                </c:pt>
                <c:pt idx="126">
                  <c:v>82</c:v>
                </c:pt>
                <c:pt idx="127">
                  <c:v>59</c:v>
                </c:pt>
                <c:pt idx="128">
                  <c:v>47</c:v>
                </c:pt>
                <c:pt idx="129">
                  <c:v>71</c:v>
                </c:pt>
                <c:pt idx="130">
                  <c:v>45</c:v>
                </c:pt>
                <c:pt idx="131">
                  <c:v>65</c:v>
                </c:pt>
                <c:pt idx="132">
                  <c:v>78</c:v>
                </c:pt>
                <c:pt idx="133">
                  <c:v>54</c:v>
                </c:pt>
                <c:pt idx="134">
                  <c:v>46</c:v>
                </c:pt>
                <c:pt idx="135">
                  <c:v>81</c:v>
                </c:pt>
                <c:pt idx="136">
                  <c:v>52</c:v>
                </c:pt>
                <c:pt idx="137">
                  <c:v>79</c:v>
                </c:pt>
                <c:pt idx="138">
                  <c:v>77</c:v>
                </c:pt>
                <c:pt idx="139">
                  <c:v>66</c:v>
                </c:pt>
                <c:pt idx="140">
                  <c:v>60</c:v>
                </c:pt>
                <c:pt idx="141">
                  <c:v>66</c:v>
                </c:pt>
                <c:pt idx="142">
                  <c:v>63</c:v>
                </c:pt>
                <c:pt idx="143">
                  <c:v>76</c:v>
                </c:pt>
                <c:pt idx="144">
                  <c:v>64</c:v>
                </c:pt>
                <c:pt idx="145">
                  <c:v>54</c:v>
                </c:pt>
                <c:pt idx="146">
                  <c:v>62</c:v>
                </c:pt>
                <c:pt idx="147">
                  <c:v>75</c:v>
                </c:pt>
                <c:pt idx="148">
                  <c:v>60</c:v>
                </c:pt>
                <c:pt idx="149">
                  <c:v>61</c:v>
                </c:pt>
                <c:pt idx="150">
                  <c:v>74</c:v>
                </c:pt>
                <c:pt idx="151">
                  <c:v>72</c:v>
                </c:pt>
                <c:pt idx="152">
                  <c:v>77</c:v>
                </c:pt>
                <c:pt idx="153">
                  <c:v>56</c:v>
                </c:pt>
                <c:pt idx="154">
                  <c:v>73</c:v>
                </c:pt>
                <c:pt idx="155">
                  <c:v>60</c:v>
                </c:pt>
                <c:pt idx="156">
                  <c:v>72</c:v>
                </c:pt>
                <c:pt idx="157">
                  <c:v>66</c:v>
                </c:pt>
                <c:pt idx="158">
                  <c:v>57</c:v>
                </c:pt>
                <c:pt idx="159">
                  <c:v>57</c:v>
                </c:pt>
                <c:pt idx="160">
                  <c:v>78</c:v>
                </c:pt>
                <c:pt idx="161">
                  <c:v>56</c:v>
                </c:pt>
                <c:pt idx="162">
                  <c:v>59</c:v>
                </c:pt>
                <c:pt idx="163">
                  <c:v>71</c:v>
                </c:pt>
                <c:pt idx="164">
                  <c:v>66</c:v>
                </c:pt>
                <c:pt idx="165">
                  <c:v>58</c:v>
                </c:pt>
                <c:pt idx="166">
                  <c:v>67</c:v>
                </c:pt>
                <c:pt idx="167">
                  <c:v>66</c:v>
                </c:pt>
                <c:pt idx="168">
                  <c:v>76</c:v>
                </c:pt>
                <c:pt idx="169">
                  <c:v>57</c:v>
                </c:pt>
                <c:pt idx="170">
                  <c:v>72</c:v>
                </c:pt>
                <c:pt idx="171">
                  <c:v>62</c:v>
                </c:pt>
                <c:pt idx="172">
                  <c:v>79</c:v>
                </c:pt>
                <c:pt idx="173">
                  <c:v>83</c:v>
                </c:pt>
                <c:pt idx="174">
                  <c:v>71</c:v>
                </c:pt>
                <c:pt idx="175">
                  <c:v>78</c:v>
                </c:pt>
                <c:pt idx="176">
                  <c:v>70</c:v>
                </c:pt>
                <c:pt idx="177">
                  <c:v>81</c:v>
                </c:pt>
                <c:pt idx="178">
                  <c:v>74</c:v>
                </c:pt>
                <c:pt idx="179">
                  <c:v>92</c:v>
                </c:pt>
                <c:pt idx="180">
                  <c:v>78</c:v>
                </c:pt>
                <c:pt idx="181">
                  <c:v>87</c:v>
                </c:pt>
                <c:pt idx="182">
                  <c:v>62</c:v>
                </c:pt>
                <c:pt idx="183">
                  <c:v>85</c:v>
                </c:pt>
                <c:pt idx="184">
                  <c:v>92</c:v>
                </c:pt>
                <c:pt idx="185">
                  <c:v>84</c:v>
                </c:pt>
                <c:pt idx="186">
                  <c:v>90</c:v>
                </c:pt>
                <c:pt idx="187">
                  <c:v>66</c:v>
                </c:pt>
                <c:pt idx="188">
                  <c:v>67</c:v>
                </c:pt>
                <c:pt idx="189">
                  <c:v>79</c:v>
                </c:pt>
                <c:pt idx="190">
                  <c:v>74</c:v>
                </c:pt>
                <c:pt idx="191">
                  <c:v>84</c:v>
                </c:pt>
                <c:pt idx="192">
                  <c:v>73</c:v>
                </c:pt>
                <c:pt idx="193">
                  <c:v>72</c:v>
                </c:pt>
                <c:pt idx="194">
                  <c:v>89</c:v>
                </c:pt>
                <c:pt idx="195">
                  <c:v>75</c:v>
                </c:pt>
                <c:pt idx="196">
                  <c:v>80</c:v>
                </c:pt>
                <c:pt idx="197">
                  <c:v>65</c:v>
                </c:pt>
                <c:pt idx="198">
                  <c:v>71</c:v>
                </c:pt>
                <c:pt idx="199">
                  <c:v>91</c:v>
                </c:pt>
                <c:pt idx="200">
                  <c:v>89</c:v>
                </c:pt>
                <c:pt idx="201">
                  <c:v>98</c:v>
                </c:pt>
                <c:pt idx="202">
                  <c:v>91</c:v>
                </c:pt>
                <c:pt idx="203">
                  <c:v>82</c:v>
                </c:pt>
                <c:pt idx="204">
                  <c:v>93</c:v>
                </c:pt>
                <c:pt idx="205">
                  <c:v>73</c:v>
                </c:pt>
                <c:pt idx="206">
                  <c:v>99</c:v>
                </c:pt>
                <c:pt idx="207">
                  <c:v>85</c:v>
                </c:pt>
                <c:pt idx="208">
                  <c:v>71</c:v>
                </c:pt>
                <c:pt idx="209">
                  <c:v>90</c:v>
                </c:pt>
                <c:pt idx="210">
                  <c:v>71</c:v>
                </c:pt>
                <c:pt idx="211">
                  <c:v>97</c:v>
                </c:pt>
                <c:pt idx="212">
                  <c:v>100</c:v>
                </c:pt>
                <c:pt idx="213">
                  <c:v>96</c:v>
                </c:pt>
                <c:pt idx="214">
                  <c:v>75</c:v>
                </c:pt>
                <c:pt idx="215">
                  <c:v>80</c:v>
                </c:pt>
                <c:pt idx="216">
                  <c:v>74</c:v>
                </c:pt>
                <c:pt idx="217">
                  <c:v>84</c:v>
                </c:pt>
                <c:pt idx="218">
                  <c:v>94</c:v>
                </c:pt>
                <c:pt idx="219">
                  <c:v>99</c:v>
                </c:pt>
                <c:pt idx="220">
                  <c:v>94</c:v>
                </c:pt>
                <c:pt idx="221">
                  <c:v>95</c:v>
                </c:pt>
                <c:pt idx="222">
                  <c:v>88</c:v>
                </c:pt>
                <c:pt idx="223">
                  <c:v>83</c:v>
                </c:pt>
                <c:pt idx="224">
                  <c:v>89</c:v>
                </c:pt>
                <c:pt idx="225">
                  <c:v>79</c:v>
                </c:pt>
                <c:pt idx="226">
                  <c:v>92</c:v>
                </c:pt>
                <c:pt idx="227">
                  <c:v>100</c:v>
                </c:pt>
                <c:pt idx="228">
                  <c:v>80</c:v>
                </c:pt>
                <c:pt idx="229">
                  <c:v>97</c:v>
                </c:pt>
                <c:pt idx="230">
                  <c:v>70</c:v>
                </c:pt>
                <c:pt idx="231">
                  <c:v>90</c:v>
                </c:pt>
                <c:pt idx="232">
                  <c:v>75</c:v>
                </c:pt>
                <c:pt idx="233">
                  <c:v>86</c:v>
                </c:pt>
                <c:pt idx="234">
                  <c:v>91</c:v>
                </c:pt>
                <c:pt idx="235">
                  <c:v>80</c:v>
                </c:pt>
                <c:pt idx="236">
                  <c:v>73</c:v>
                </c:pt>
                <c:pt idx="237">
                  <c:v>85</c:v>
                </c:pt>
                <c:pt idx="238">
                  <c:v>95</c:v>
                </c:pt>
                <c:pt idx="239">
                  <c:v>75</c:v>
                </c:pt>
                <c:pt idx="240">
                  <c:v>87</c:v>
                </c:pt>
                <c:pt idx="241">
                  <c:v>80</c:v>
                </c:pt>
                <c:pt idx="242">
                  <c:v>88</c:v>
                </c:pt>
                <c:pt idx="243">
                  <c:v>75</c:v>
                </c:pt>
                <c:pt idx="244">
                  <c:v>68</c:v>
                </c:pt>
                <c:pt idx="245">
                  <c:v>70</c:v>
                </c:pt>
                <c:pt idx="246">
                  <c:v>76</c:v>
                </c:pt>
                <c:pt idx="247">
                  <c:v>87</c:v>
                </c:pt>
                <c:pt idx="248">
                  <c:v>90</c:v>
                </c:pt>
                <c:pt idx="249">
                  <c:v>67</c:v>
                </c:pt>
                <c:pt idx="250">
                  <c:v>70</c:v>
                </c:pt>
                <c:pt idx="251">
                  <c:v>97</c:v>
                </c:pt>
                <c:pt idx="252">
                  <c:v>90</c:v>
                </c:pt>
                <c:pt idx="253">
                  <c:v>86</c:v>
                </c:pt>
                <c:pt idx="254">
                  <c:v>83</c:v>
                </c:pt>
                <c:pt idx="255">
                  <c:v>69</c:v>
                </c:pt>
                <c:pt idx="256">
                  <c:v>68</c:v>
                </c:pt>
                <c:pt idx="257">
                  <c:v>95</c:v>
                </c:pt>
                <c:pt idx="258">
                  <c:v>93</c:v>
                </c:pt>
                <c:pt idx="259">
                  <c:v>79</c:v>
                </c:pt>
                <c:pt idx="260">
                  <c:v>87</c:v>
                </c:pt>
                <c:pt idx="261">
                  <c:v>79</c:v>
                </c:pt>
                <c:pt idx="262">
                  <c:v>85</c:v>
                </c:pt>
                <c:pt idx="263">
                  <c:v>89</c:v>
                </c:pt>
                <c:pt idx="264">
                  <c:v>71</c:v>
                </c:pt>
                <c:pt idx="265">
                  <c:v>58</c:v>
                </c:pt>
                <c:pt idx="266">
                  <c:v>66</c:v>
                </c:pt>
                <c:pt idx="267">
                  <c:v>82</c:v>
                </c:pt>
                <c:pt idx="268">
                  <c:v>56</c:v>
                </c:pt>
                <c:pt idx="269">
                  <c:v>81</c:v>
                </c:pt>
                <c:pt idx="270">
                  <c:v>57</c:v>
                </c:pt>
                <c:pt idx="271">
                  <c:v>59</c:v>
                </c:pt>
                <c:pt idx="272">
                  <c:v>54</c:v>
                </c:pt>
                <c:pt idx="273">
                  <c:v>88</c:v>
                </c:pt>
                <c:pt idx="274">
                  <c:v>83</c:v>
                </c:pt>
                <c:pt idx="275">
                  <c:v>85</c:v>
                </c:pt>
                <c:pt idx="276">
                  <c:v>85</c:v>
                </c:pt>
                <c:pt idx="277">
                  <c:v>81</c:v>
                </c:pt>
                <c:pt idx="278">
                  <c:v>73</c:v>
                </c:pt>
                <c:pt idx="279">
                  <c:v>71</c:v>
                </c:pt>
                <c:pt idx="280">
                  <c:v>87</c:v>
                </c:pt>
                <c:pt idx="281">
                  <c:v>86</c:v>
                </c:pt>
                <c:pt idx="282">
                  <c:v>79</c:v>
                </c:pt>
                <c:pt idx="283">
                  <c:v>61</c:v>
                </c:pt>
                <c:pt idx="284">
                  <c:v>60</c:v>
                </c:pt>
                <c:pt idx="285">
                  <c:v>78</c:v>
                </c:pt>
                <c:pt idx="286">
                  <c:v>81</c:v>
                </c:pt>
                <c:pt idx="287">
                  <c:v>79</c:v>
                </c:pt>
                <c:pt idx="288">
                  <c:v>68</c:v>
                </c:pt>
                <c:pt idx="289">
                  <c:v>68</c:v>
                </c:pt>
                <c:pt idx="290">
                  <c:v>60</c:v>
                </c:pt>
                <c:pt idx="291">
                  <c:v>73</c:v>
                </c:pt>
                <c:pt idx="292">
                  <c:v>74</c:v>
                </c:pt>
                <c:pt idx="293">
                  <c:v>46</c:v>
                </c:pt>
                <c:pt idx="294">
                  <c:v>66</c:v>
                </c:pt>
                <c:pt idx="295">
                  <c:v>50</c:v>
                </c:pt>
                <c:pt idx="296">
                  <c:v>49</c:v>
                </c:pt>
                <c:pt idx="297">
                  <c:v>68</c:v>
                </c:pt>
                <c:pt idx="298">
                  <c:v>63</c:v>
                </c:pt>
                <c:pt idx="299">
                  <c:v>57</c:v>
                </c:pt>
                <c:pt idx="300">
                  <c:v>62</c:v>
                </c:pt>
                <c:pt idx="301">
                  <c:v>66</c:v>
                </c:pt>
                <c:pt idx="302">
                  <c:v>62</c:v>
                </c:pt>
                <c:pt idx="303">
                  <c:v>53</c:v>
                </c:pt>
                <c:pt idx="304">
                  <c:v>63</c:v>
                </c:pt>
                <c:pt idx="305">
                  <c:v>61</c:v>
                </c:pt>
                <c:pt idx="306">
                  <c:v>64</c:v>
                </c:pt>
                <c:pt idx="307">
                  <c:v>51</c:v>
                </c:pt>
                <c:pt idx="308">
                  <c:v>56</c:v>
                </c:pt>
                <c:pt idx="309">
                  <c:v>54</c:v>
                </c:pt>
                <c:pt idx="310">
                  <c:v>53</c:v>
                </c:pt>
                <c:pt idx="311">
                  <c:v>50</c:v>
                </c:pt>
                <c:pt idx="312">
                  <c:v>68</c:v>
                </c:pt>
                <c:pt idx="313">
                  <c:v>58</c:v>
                </c:pt>
                <c:pt idx="314">
                  <c:v>49</c:v>
                </c:pt>
                <c:pt idx="315">
                  <c:v>67</c:v>
                </c:pt>
                <c:pt idx="316">
                  <c:v>49</c:v>
                </c:pt>
                <c:pt idx="317">
                  <c:v>47</c:v>
                </c:pt>
                <c:pt idx="318">
                  <c:v>49</c:v>
                </c:pt>
                <c:pt idx="319">
                  <c:v>47</c:v>
                </c:pt>
                <c:pt idx="320">
                  <c:v>62</c:v>
                </c:pt>
                <c:pt idx="321">
                  <c:v>47</c:v>
                </c:pt>
                <c:pt idx="322">
                  <c:v>49</c:v>
                </c:pt>
                <c:pt idx="323">
                  <c:v>64</c:v>
                </c:pt>
                <c:pt idx="324">
                  <c:v>62</c:v>
                </c:pt>
                <c:pt idx="325">
                  <c:v>60</c:v>
                </c:pt>
                <c:pt idx="326">
                  <c:v>66</c:v>
                </c:pt>
                <c:pt idx="327">
                  <c:v>62</c:v>
                </c:pt>
                <c:pt idx="328">
                  <c:v>66</c:v>
                </c:pt>
                <c:pt idx="329">
                  <c:v>49</c:v>
                </c:pt>
                <c:pt idx="330">
                  <c:v>62</c:v>
                </c:pt>
                <c:pt idx="331">
                  <c:v>65</c:v>
                </c:pt>
                <c:pt idx="332">
                  <c:v>62</c:v>
                </c:pt>
                <c:pt idx="333">
                  <c:v>61</c:v>
                </c:pt>
                <c:pt idx="334">
                  <c:v>31</c:v>
                </c:pt>
                <c:pt idx="335">
                  <c:v>53</c:v>
                </c:pt>
                <c:pt idx="336">
                  <c:v>52</c:v>
                </c:pt>
                <c:pt idx="337">
                  <c:v>55</c:v>
                </c:pt>
                <c:pt idx="338">
                  <c:v>61</c:v>
                </c:pt>
                <c:pt idx="339">
                  <c:v>50</c:v>
                </c:pt>
                <c:pt idx="340">
                  <c:v>55</c:v>
                </c:pt>
                <c:pt idx="341">
                  <c:v>60</c:v>
                </c:pt>
                <c:pt idx="342">
                  <c:v>43</c:v>
                </c:pt>
                <c:pt idx="343">
                  <c:v>63</c:v>
                </c:pt>
                <c:pt idx="344">
                  <c:v>49</c:v>
                </c:pt>
                <c:pt idx="345">
                  <c:v>40</c:v>
                </c:pt>
                <c:pt idx="346">
                  <c:v>33</c:v>
                </c:pt>
                <c:pt idx="347">
                  <c:v>62</c:v>
                </c:pt>
                <c:pt idx="348">
                  <c:v>32</c:v>
                </c:pt>
                <c:pt idx="349">
                  <c:v>33</c:v>
                </c:pt>
                <c:pt idx="350">
                  <c:v>52</c:v>
                </c:pt>
                <c:pt idx="351">
                  <c:v>32</c:v>
                </c:pt>
                <c:pt idx="352">
                  <c:v>59</c:v>
                </c:pt>
                <c:pt idx="353">
                  <c:v>32</c:v>
                </c:pt>
              </c:numCache>
            </c:numRef>
          </c:xVal>
          <c:yVal>
            <c:numRef>
              <c:f>'2 Variable Scatter'!$C$118:$C$471</c:f>
              <c:numCache>
                <c:formatCode>"$"#,##0_);[Red]\("$"#,##0\)</c:formatCode>
                <c:ptCount val="354"/>
                <c:pt idx="0">
                  <c:v>236</c:v>
                </c:pt>
                <c:pt idx="1">
                  <c:v>304</c:v>
                </c:pt>
                <c:pt idx="2">
                  <c:v>163.5</c:v>
                </c:pt>
                <c:pt idx="3">
                  <c:v>214</c:v>
                </c:pt>
                <c:pt idx="4">
                  <c:v>210</c:v>
                </c:pt>
                <c:pt idx="5">
                  <c:v>508</c:v>
                </c:pt>
                <c:pt idx="6">
                  <c:v>294.55</c:v>
                </c:pt>
                <c:pt idx="7">
                  <c:v>250</c:v>
                </c:pt>
                <c:pt idx="8">
                  <c:v>371.95</c:v>
                </c:pt>
                <c:pt idx="9">
                  <c:v>478</c:v>
                </c:pt>
                <c:pt idx="10">
                  <c:v>258</c:v>
                </c:pt>
                <c:pt idx="11">
                  <c:v>559</c:v>
                </c:pt>
                <c:pt idx="12">
                  <c:v>536</c:v>
                </c:pt>
                <c:pt idx="13">
                  <c:v>576</c:v>
                </c:pt>
                <c:pt idx="14">
                  <c:v>446</c:v>
                </c:pt>
                <c:pt idx="15">
                  <c:v>300</c:v>
                </c:pt>
                <c:pt idx="16">
                  <c:v>250.5</c:v>
                </c:pt>
                <c:pt idx="17">
                  <c:v>412.79999999999995</c:v>
                </c:pt>
                <c:pt idx="18">
                  <c:v>511.7</c:v>
                </c:pt>
                <c:pt idx="19">
                  <c:v>311.75</c:v>
                </c:pt>
                <c:pt idx="20">
                  <c:v>478</c:v>
                </c:pt>
                <c:pt idx="21">
                  <c:v>282.5</c:v>
                </c:pt>
                <c:pt idx="22">
                  <c:v>476</c:v>
                </c:pt>
                <c:pt idx="23">
                  <c:v>565.44999999999993</c:v>
                </c:pt>
                <c:pt idx="24">
                  <c:v>567.6</c:v>
                </c:pt>
                <c:pt idx="25">
                  <c:v>634.25</c:v>
                </c:pt>
                <c:pt idx="26">
                  <c:v>266.59999999999997</c:v>
                </c:pt>
                <c:pt idx="27">
                  <c:v>345</c:v>
                </c:pt>
                <c:pt idx="28">
                  <c:v>393.45</c:v>
                </c:pt>
                <c:pt idx="29">
                  <c:v>567.6</c:v>
                </c:pt>
                <c:pt idx="30">
                  <c:v>266.59999999999997</c:v>
                </c:pt>
                <c:pt idx="31">
                  <c:v>503.09999999999997</c:v>
                </c:pt>
                <c:pt idx="32">
                  <c:v>242</c:v>
                </c:pt>
                <c:pt idx="33">
                  <c:v>216</c:v>
                </c:pt>
                <c:pt idx="34">
                  <c:v>354</c:v>
                </c:pt>
                <c:pt idx="35">
                  <c:v>432.15</c:v>
                </c:pt>
                <c:pt idx="36">
                  <c:v>406.34999999999997</c:v>
                </c:pt>
                <c:pt idx="37">
                  <c:v>627.79999999999995</c:v>
                </c:pt>
                <c:pt idx="38">
                  <c:v>705</c:v>
                </c:pt>
                <c:pt idx="39">
                  <c:v>534</c:v>
                </c:pt>
                <c:pt idx="40">
                  <c:v>282</c:v>
                </c:pt>
                <c:pt idx="41">
                  <c:v>435</c:v>
                </c:pt>
                <c:pt idx="42">
                  <c:v>380</c:v>
                </c:pt>
                <c:pt idx="43">
                  <c:v>372</c:v>
                </c:pt>
                <c:pt idx="44">
                  <c:v>240</c:v>
                </c:pt>
                <c:pt idx="45">
                  <c:v>346.15</c:v>
                </c:pt>
                <c:pt idx="46">
                  <c:v>577.5</c:v>
                </c:pt>
                <c:pt idx="47">
                  <c:v>406.34999999999997</c:v>
                </c:pt>
                <c:pt idx="48">
                  <c:v>468.7</c:v>
                </c:pt>
                <c:pt idx="49">
                  <c:v>483.75</c:v>
                </c:pt>
                <c:pt idx="50">
                  <c:v>462.5</c:v>
                </c:pt>
                <c:pt idx="51">
                  <c:v>408.5</c:v>
                </c:pt>
                <c:pt idx="52">
                  <c:v>311.75</c:v>
                </c:pt>
                <c:pt idx="53">
                  <c:v>420</c:v>
                </c:pt>
                <c:pt idx="54">
                  <c:v>410</c:v>
                </c:pt>
                <c:pt idx="55">
                  <c:v>400</c:v>
                </c:pt>
                <c:pt idx="56">
                  <c:v>460.09999999999997</c:v>
                </c:pt>
                <c:pt idx="57">
                  <c:v>538</c:v>
                </c:pt>
                <c:pt idx="58">
                  <c:v>597.5</c:v>
                </c:pt>
                <c:pt idx="59">
                  <c:v>389.15</c:v>
                </c:pt>
                <c:pt idx="60">
                  <c:v>228</c:v>
                </c:pt>
                <c:pt idx="61">
                  <c:v>627.5</c:v>
                </c:pt>
                <c:pt idx="62">
                  <c:v>408</c:v>
                </c:pt>
                <c:pt idx="63">
                  <c:v>339.7</c:v>
                </c:pt>
                <c:pt idx="64">
                  <c:v>527.5</c:v>
                </c:pt>
                <c:pt idx="65">
                  <c:v>364.5</c:v>
                </c:pt>
                <c:pt idx="66">
                  <c:v>695</c:v>
                </c:pt>
                <c:pt idx="67">
                  <c:v>462.25</c:v>
                </c:pt>
                <c:pt idx="68">
                  <c:v>277.34999999999997</c:v>
                </c:pt>
                <c:pt idx="69">
                  <c:v>334</c:v>
                </c:pt>
                <c:pt idx="70">
                  <c:v>445.04999999999995</c:v>
                </c:pt>
                <c:pt idx="71">
                  <c:v>496</c:v>
                </c:pt>
                <c:pt idx="72">
                  <c:v>514</c:v>
                </c:pt>
                <c:pt idx="73">
                  <c:v>350</c:v>
                </c:pt>
                <c:pt idx="74">
                  <c:v>697.5</c:v>
                </c:pt>
                <c:pt idx="75">
                  <c:v>258</c:v>
                </c:pt>
                <c:pt idx="76">
                  <c:v>257.5</c:v>
                </c:pt>
                <c:pt idx="77">
                  <c:v>313.89999999999998</c:v>
                </c:pt>
                <c:pt idx="78">
                  <c:v>481.59999999999997</c:v>
                </c:pt>
                <c:pt idx="79">
                  <c:v>594</c:v>
                </c:pt>
                <c:pt idx="80">
                  <c:v>442.5</c:v>
                </c:pt>
                <c:pt idx="81">
                  <c:v>397.5</c:v>
                </c:pt>
                <c:pt idx="82">
                  <c:v>272</c:v>
                </c:pt>
                <c:pt idx="83">
                  <c:v>208.5</c:v>
                </c:pt>
                <c:pt idx="84">
                  <c:v>200</c:v>
                </c:pt>
                <c:pt idx="85">
                  <c:v>301.5</c:v>
                </c:pt>
                <c:pt idx="86">
                  <c:v>187</c:v>
                </c:pt>
                <c:pt idx="87">
                  <c:v>150</c:v>
                </c:pt>
                <c:pt idx="88">
                  <c:v>445.5</c:v>
                </c:pt>
                <c:pt idx="89">
                  <c:v>498</c:v>
                </c:pt>
                <c:pt idx="90">
                  <c:v>599.85</c:v>
                </c:pt>
                <c:pt idx="91">
                  <c:v>393.45</c:v>
                </c:pt>
                <c:pt idx="92">
                  <c:v>196.5</c:v>
                </c:pt>
                <c:pt idx="93">
                  <c:v>457.95</c:v>
                </c:pt>
                <c:pt idx="94">
                  <c:v>225.75</c:v>
                </c:pt>
                <c:pt idx="95">
                  <c:v>598</c:v>
                </c:pt>
                <c:pt idx="96">
                  <c:v>268</c:v>
                </c:pt>
                <c:pt idx="97">
                  <c:v>468</c:v>
                </c:pt>
                <c:pt idx="98">
                  <c:v>236</c:v>
                </c:pt>
                <c:pt idx="99">
                  <c:v>415.5</c:v>
                </c:pt>
                <c:pt idx="100">
                  <c:v>418.5</c:v>
                </c:pt>
                <c:pt idx="101">
                  <c:v>279</c:v>
                </c:pt>
                <c:pt idx="102">
                  <c:v>195</c:v>
                </c:pt>
                <c:pt idx="103">
                  <c:v>325.5</c:v>
                </c:pt>
                <c:pt idx="104">
                  <c:v>283</c:v>
                </c:pt>
                <c:pt idx="105">
                  <c:v>281</c:v>
                </c:pt>
                <c:pt idx="106">
                  <c:v>313.5</c:v>
                </c:pt>
                <c:pt idx="107">
                  <c:v>466</c:v>
                </c:pt>
                <c:pt idx="108">
                  <c:v>351</c:v>
                </c:pt>
                <c:pt idx="109">
                  <c:v>226</c:v>
                </c:pt>
                <c:pt idx="110">
                  <c:v>165</c:v>
                </c:pt>
                <c:pt idx="111">
                  <c:v>532</c:v>
                </c:pt>
                <c:pt idx="112">
                  <c:v>410</c:v>
                </c:pt>
                <c:pt idx="113">
                  <c:v>121</c:v>
                </c:pt>
                <c:pt idx="114">
                  <c:v>340.5</c:v>
                </c:pt>
                <c:pt idx="115">
                  <c:v>264</c:v>
                </c:pt>
                <c:pt idx="116">
                  <c:v>212</c:v>
                </c:pt>
                <c:pt idx="117">
                  <c:v>590</c:v>
                </c:pt>
                <c:pt idx="118">
                  <c:v>153</c:v>
                </c:pt>
                <c:pt idx="119">
                  <c:v>202.5</c:v>
                </c:pt>
                <c:pt idx="120">
                  <c:v>564</c:v>
                </c:pt>
                <c:pt idx="121">
                  <c:v>326</c:v>
                </c:pt>
                <c:pt idx="122">
                  <c:v>308</c:v>
                </c:pt>
                <c:pt idx="123">
                  <c:v>220</c:v>
                </c:pt>
                <c:pt idx="124">
                  <c:v>448.5</c:v>
                </c:pt>
                <c:pt idx="125">
                  <c:v>239</c:v>
                </c:pt>
                <c:pt idx="126">
                  <c:v>227</c:v>
                </c:pt>
                <c:pt idx="127">
                  <c:v>222</c:v>
                </c:pt>
                <c:pt idx="128">
                  <c:v>282</c:v>
                </c:pt>
                <c:pt idx="129">
                  <c:v>225</c:v>
                </c:pt>
                <c:pt idx="130">
                  <c:v>332</c:v>
                </c:pt>
                <c:pt idx="131">
                  <c:v>178</c:v>
                </c:pt>
                <c:pt idx="132">
                  <c:v>290</c:v>
                </c:pt>
                <c:pt idx="133">
                  <c:v>246</c:v>
                </c:pt>
                <c:pt idx="134">
                  <c:v>598</c:v>
                </c:pt>
                <c:pt idx="135">
                  <c:v>186</c:v>
                </c:pt>
                <c:pt idx="136">
                  <c:v>584</c:v>
                </c:pt>
                <c:pt idx="137">
                  <c:v>259</c:v>
                </c:pt>
                <c:pt idx="138">
                  <c:v>162</c:v>
                </c:pt>
                <c:pt idx="139">
                  <c:v>162</c:v>
                </c:pt>
                <c:pt idx="140">
                  <c:v>300</c:v>
                </c:pt>
                <c:pt idx="141">
                  <c:v>228</c:v>
                </c:pt>
                <c:pt idx="142">
                  <c:v>336</c:v>
                </c:pt>
                <c:pt idx="143">
                  <c:v>164</c:v>
                </c:pt>
                <c:pt idx="144">
                  <c:v>238.5</c:v>
                </c:pt>
                <c:pt idx="145">
                  <c:v>548</c:v>
                </c:pt>
                <c:pt idx="146">
                  <c:v>187.5</c:v>
                </c:pt>
                <c:pt idx="147">
                  <c:v>208</c:v>
                </c:pt>
                <c:pt idx="148">
                  <c:v>153</c:v>
                </c:pt>
                <c:pt idx="149">
                  <c:v>343.5</c:v>
                </c:pt>
                <c:pt idx="150">
                  <c:v>275</c:v>
                </c:pt>
                <c:pt idx="151">
                  <c:v>138</c:v>
                </c:pt>
                <c:pt idx="152">
                  <c:v>168</c:v>
                </c:pt>
                <c:pt idx="153">
                  <c:v>289.5</c:v>
                </c:pt>
                <c:pt idx="154">
                  <c:v>156</c:v>
                </c:pt>
                <c:pt idx="155">
                  <c:v>345</c:v>
                </c:pt>
                <c:pt idx="156">
                  <c:v>292</c:v>
                </c:pt>
                <c:pt idx="157">
                  <c:v>100</c:v>
                </c:pt>
                <c:pt idx="158">
                  <c:v>355.5</c:v>
                </c:pt>
                <c:pt idx="159">
                  <c:v>171</c:v>
                </c:pt>
                <c:pt idx="160">
                  <c:v>253</c:v>
                </c:pt>
                <c:pt idx="161">
                  <c:v>303</c:v>
                </c:pt>
                <c:pt idx="162">
                  <c:v>319.5</c:v>
                </c:pt>
                <c:pt idx="163">
                  <c:v>115</c:v>
                </c:pt>
                <c:pt idx="164">
                  <c:v>133</c:v>
                </c:pt>
                <c:pt idx="165">
                  <c:v>318</c:v>
                </c:pt>
                <c:pt idx="166">
                  <c:v>137</c:v>
                </c:pt>
                <c:pt idx="167">
                  <c:v>275</c:v>
                </c:pt>
                <c:pt idx="168">
                  <c:v>132</c:v>
                </c:pt>
                <c:pt idx="169">
                  <c:v>244.5</c:v>
                </c:pt>
                <c:pt idx="170">
                  <c:v>135</c:v>
                </c:pt>
                <c:pt idx="171">
                  <c:v>246</c:v>
                </c:pt>
                <c:pt idx="172">
                  <c:v>222</c:v>
                </c:pt>
                <c:pt idx="173">
                  <c:v>297</c:v>
                </c:pt>
                <c:pt idx="174">
                  <c:v>173</c:v>
                </c:pt>
                <c:pt idx="175">
                  <c:v>154</c:v>
                </c:pt>
                <c:pt idx="176">
                  <c:v>160</c:v>
                </c:pt>
                <c:pt idx="177">
                  <c:v>139</c:v>
                </c:pt>
                <c:pt idx="178">
                  <c:v>103</c:v>
                </c:pt>
                <c:pt idx="179">
                  <c:v>508</c:v>
                </c:pt>
                <c:pt idx="180">
                  <c:v>172</c:v>
                </c:pt>
                <c:pt idx="181">
                  <c:v>429</c:v>
                </c:pt>
                <c:pt idx="182">
                  <c:v>406.5</c:v>
                </c:pt>
                <c:pt idx="183">
                  <c:v>340.5</c:v>
                </c:pt>
                <c:pt idx="184">
                  <c:v>268</c:v>
                </c:pt>
                <c:pt idx="185">
                  <c:v>235</c:v>
                </c:pt>
                <c:pt idx="186">
                  <c:v>396</c:v>
                </c:pt>
                <c:pt idx="187">
                  <c:v>254</c:v>
                </c:pt>
                <c:pt idx="188">
                  <c:v>189</c:v>
                </c:pt>
                <c:pt idx="189">
                  <c:v>293</c:v>
                </c:pt>
                <c:pt idx="190">
                  <c:v>115</c:v>
                </c:pt>
                <c:pt idx="191">
                  <c:v>181</c:v>
                </c:pt>
                <c:pt idx="192">
                  <c:v>200</c:v>
                </c:pt>
                <c:pt idx="193">
                  <c:v>234</c:v>
                </c:pt>
                <c:pt idx="194">
                  <c:v>423</c:v>
                </c:pt>
                <c:pt idx="195">
                  <c:v>102</c:v>
                </c:pt>
                <c:pt idx="196">
                  <c:v>272</c:v>
                </c:pt>
                <c:pt idx="197">
                  <c:v>159</c:v>
                </c:pt>
                <c:pt idx="198">
                  <c:v>281</c:v>
                </c:pt>
                <c:pt idx="199">
                  <c:v>210</c:v>
                </c:pt>
                <c:pt idx="200">
                  <c:v>273</c:v>
                </c:pt>
                <c:pt idx="201">
                  <c:v>310</c:v>
                </c:pt>
                <c:pt idx="202">
                  <c:v>578</c:v>
                </c:pt>
                <c:pt idx="203">
                  <c:v>300</c:v>
                </c:pt>
                <c:pt idx="204">
                  <c:v>584</c:v>
                </c:pt>
                <c:pt idx="205">
                  <c:v>159</c:v>
                </c:pt>
                <c:pt idx="206">
                  <c:v>715</c:v>
                </c:pt>
                <c:pt idx="207">
                  <c:v>426</c:v>
                </c:pt>
                <c:pt idx="208">
                  <c:v>251</c:v>
                </c:pt>
                <c:pt idx="209">
                  <c:v>294</c:v>
                </c:pt>
                <c:pt idx="210">
                  <c:v>288</c:v>
                </c:pt>
                <c:pt idx="211">
                  <c:v>740</c:v>
                </c:pt>
                <c:pt idx="212">
                  <c:v>646.25</c:v>
                </c:pt>
                <c:pt idx="213">
                  <c:v>337.5</c:v>
                </c:pt>
                <c:pt idx="214">
                  <c:v>154</c:v>
                </c:pt>
                <c:pt idx="215">
                  <c:v>153</c:v>
                </c:pt>
                <c:pt idx="216">
                  <c:v>207</c:v>
                </c:pt>
                <c:pt idx="217">
                  <c:v>151</c:v>
                </c:pt>
                <c:pt idx="218">
                  <c:v>308</c:v>
                </c:pt>
                <c:pt idx="219">
                  <c:v>285</c:v>
                </c:pt>
                <c:pt idx="220">
                  <c:v>422</c:v>
                </c:pt>
                <c:pt idx="221">
                  <c:v>400</c:v>
                </c:pt>
                <c:pt idx="222">
                  <c:v>426</c:v>
                </c:pt>
                <c:pt idx="223">
                  <c:v>182</c:v>
                </c:pt>
                <c:pt idx="224">
                  <c:v>201</c:v>
                </c:pt>
                <c:pt idx="225">
                  <c:v>294</c:v>
                </c:pt>
                <c:pt idx="226">
                  <c:v>244</c:v>
                </c:pt>
                <c:pt idx="227">
                  <c:v>379.5</c:v>
                </c:pt>
                <c:pt idx="228">
                  <c:v>257</c:v>
                </c:pt>
                <c:pt idx="229">
                  <c:v>590</c:v>
                </c:pt>
                <c:pt idx="230">
                  <c:v>199</c:v>
                </c:pt>
                <c:pt idx="231">
                  <c:v>248</c:v>
                </c:pt>
                <c:pt idx="232">
                  <c:v>106</c:v>
                </c:pt>
                <c:pt idx="233">
                  <c:v>217.5</c:v>
                </c:pt>
                <c:pt idx="234">
                  <c:v>328</c:v>
                </c:pt>
                <c:pt idx="235">
                  <c:v>133</c:v>
                </c:pt>
                <c:pt idx="236">
                  <c:v>118</c:v>
                </c:pt>
                <c:pt idx="237">
                  <c:v>442.5</c:v>
                </c:pt>
                <c:pt idx="238">
                  <c:v>455</c:v>
                </c:pt>
                <c:pt idx="239">
                  <c:v>188</c:v>
                </c:pt>
                <c:pt idx="240">
                  <c:v>255</c:v>
                </c:pt>
                <c:pt idx="241">
                  <c:v>294</c:v>
                </c:pt>
                <c:pt idx="242">
                  <c:v>304.5</c:v>
                </c:pt>
                <c:pt idx="243">
                  <c:v>138</c:v>
                </c:pt>
                <c:pt idx="244">
                  <c:v>253</c:v>
                </c:pt>
                <c:pt idx="245">
                  <c:v>180</c:v>
                </c:pt>
                <c:pt idx="246">
                  <c:v>210</c:v>
                </c:pt>
                <c:pt idx="247">
                  <c:v>436.5</c:v>
                </c:pt>
                <c:pt idx="248">
                  <c:v>456</c:v>
                </c:pt>
                <c:pt idx="249">
                  <c:v>273</c:v>
                </c:pt>
                <c:pt idx="250">
                  <c:v>283</c:v>
                </c:pt>
                <c:pt idx="251">
                  <c:v>345</c:v>
                </c:pt>
                <c:pt idx="252">
                  <c:v>232</c:v>
                </c:pt>
                <c:pt idx="253">
                  <c:v>301.5</c:v>
                </c:pt>
                <c:pt idx="254">
                  <c:v>298</c:v>
                </c:pt>
                <c:pt idx="255">
                  <c:v>283</c:v>
                </c:pt>
                <c:pt idx="256">
                  <c:v>193</c:v>
                </c:pt>
                <c:pt idx="257">
                  <c:v>742.5</c:v>
                </c:pt>
                <c:pt idx="258">
                  <c:v>528</c:v>
                </c:pt>
                <c:pt idx="259">
                  <c:v>204</c:v>
                </c:pt>
                <c:pt idx="260">
                  <c:v>180</c:v>
                </c:pt>
                <c:pt idx="261">
                  <c:v>230</c:v>
                </c:pt>
                <c:pt idx="262">
                  <c:v>393</c:v>
                </c:pt>
                <c:pt idx="263">
                  <c:v>310.5</c:v>
                </c:pt>
                <c:pt idx="264">
                  <c:v>298</c:v>
                </c:pt>
                <c:pt idx="265">
                  <c:v>424.5</c:v>
                </c:pt>
                <c:pt idx="266">
                  <c:v>116</c:v>
                </c:pt>
                <c:pt idx="267">
                  <c:v>288</c:v>
                </c:pt>
                <c:pt idx="268">
                  <c:v>318</c:v>
                </c:pt>
                <c:pt idx="269">
                  <c:v>291</c:v>
                </c:pt>
                <c:pt idx="270">
                  <c:v>418.5</c:v>
                </c:pt>
                <c:pt idx="271">
                  <c:v>159</c:v>
                </c:pt>
                <c:pt idx="272">
                  <c:v>504</c:v>
                </c:pt>
                <c:pt idx="273">
                  <c:v>231</c:v>
                </c:pt>
                <c:pt idx="274">
                  <c:v>290</c:v>
                </c:pt>
                <c:pt idx="275">
                  <c:v>303</c:v>
                </c:pt>
                <c:pt idx="276">
                  <c:v>223.5</c:v>
                </c:pt>
                <c:pt idx="277">
                  <c:v>300</c:v>
                </c:pt>
                <c:pt idx="278">
                  <c:v>276</c:v>
                </c:pt>
                <c:pt idx="279">
                  <c:v>142</c:v>
                </c:pt>
                <c:pt idx="280">
                  <c:v>285</c:v>
                </c:pt>
                <c:pt idx="281">
                  <c:v>396</c:v>
                </c:pt>
                <c:pt idx="282">
                  <c:v>265</c:v>
                </c:pt>
                <c:pt idx="283">
                  <c:v>151.5</c:v>
                </c:pt>
                <c:pt idx="284">
                  <c:v>361.5</c:v>
                </c:pt>
                <c:pt idx="285">
                  <c:v>210</c:v>
                </c:pt>
                <c:pt idx="286">
                  <c:v>288</c:v>
                </c:pt>
                <c:pt idx="287">
                  <c:v>174</c:v>
                </c:pt>
                <c:pt idx="288">
                  <c:v>260</c:v>
                </c:pt>
                <c:pt idx="289">
                  <c:v>197</c:v>
                </c:pt>
                <c:pt idx="290">
                  <c:v>276</c:v>
                </c:pt>
                <c:pt idx="291">
                  <c:v>137</c:v>
                </c:pt>
                <c:pt idx="292">
                  <c:v>132</c:v>
                </c:pt>
                <c:pt idx="293">
                  <c:v>224</c:v>
                </c:pt>
                <c:pt idx="294">
                  <c:v>131</c:v>
                </c:pt>
                <c:pt idx="295">
                  <c:v>210</c:v>
                </c:pt>
                <c:pt idx="296">
                  <c:v>498</c:v>
                </c:pt>
                <c:pt idx="297">
                  <c:v>284</c:v>
                </c:pt>
                <c:pt idx="298">
                  <c:v>150</c:v>
                </c:pt>
                <c:pt idx="299">
                  <c:v>289.5</c:v>
                </c:pt>
                <c:pt idx="300">
                  <c:v>237</c:v>
                </c:pt>
                <c:pt idx="301">
                  <c:v>136</c:v>
                </c:pt>
                <c:pt idx="302">
                  <c:v>424.5</c:v>
                </c:pt>
                <c:pt idx="303">
                  <c:v>574</c:v>
                </c:pt>
                <c:pt idx="304">
                  <c:v>391.5</c:v>
                </c:pt>
                <c:pt idx="305">
                  <c:v>382.5</c:v>
                </c:pt>
                <c:pt idx="306">
                  <c:v>436.5</c:v>
                </c:pt>
                <c:pt idx="307">
                  <c:v>578</c:v>
                </c:pt>
                <c:pt idx="308">
                  <c:v>328.5</c:v>
                </c:pt>
                <c:pt idx="309">
                  <c:v>590</c:v>
                </c:pt>
                <c:pt idx="310">
                  <c:v>446</c:v>
                </c:pt>
                <c:pt idx="311">
                  <c:v>226</c:v>
                </c:pt>
                <c:pt idx="312">
                  <c:v>231</c:v>
                </c:pt>
                <c:pt idx="313">
                  <c:v>315</c:v>
                </c:pt>
                <c:pt idx="314">
                  <c:v>220</c:v>
                </c:pt>
                <c:pt idx="315">
                  <c:v>264</c:v>
                </c:pt>
                <c:pt idx="316">
                  <c:v>358</c:v>
                </c:pt>
                <c:pt idx="317">
                  <c:v>498</c:v>
                </c:pt>
                <c:pt idx="318">
                  <c:v>448</c:v>
                </c:pt>
                <c:pt idx="319">
                  <c:v>578</c:v>
                </c:pt>
                <c:pt idx="320">
                  <c:v>402</c:v>
                </c:pt>
                <c:pt idx="321">
                  <c:v>466</c:v>
                </c:pt>
                <c:pt idx="322">
                  <c:v>330</c:v>
                </c:pt>
                <c:pt idx="323">
                  <c:v>214.5</c:v>
                </c:pt>
                <c:pt idx="324">
                  <c:v>190.5</c:v>
                </c:pt>
                <c:pt idx="325">
                  <c:v>270</c:v>
                </c:pt>
                <c:pt idx="326">
                  <c:v>109</c:v>
                </c:pt>
                <c:pt idx="327">
                  <c:v>384</c:v>
                </c:pt>
                <c:pt idx="328">
                  <c:v>286</c:v>
                </c:pt>
                <c:pt idx="329">
                  <c:v>278</c:v>
                </c:pt>
                <c:pt idx="330">
                  <c:v>264</c:v>
                </c:pt>
                <c:pt idx="331">
                  <c:v>179</c:v>
                </c:pt>
                <c:pt idx="332">
                  <c:v>265.5</c:v>
                </c:pt>
                <c:pt idx="333">
                  <c:v>357</c:v>
                </c:pt>
                <c:pt idx="334">
                  <c:v>737.5</c:v>
                </c:pt>
                <c:pt idx="335">
                  <c:v>272</c:v>
                </c:pt>
                <c:pt idx="336">
                  <c:v>236</c:v>
                </c:pt>
                <c:pt idx="337">
                  <c:v>267</c:v>
                </c:pt>
                <c:pt idx="338">
                  <c:v>450</c:v>
                </c:pt>
                <c:pt idx="339">
                  <c:v>486</c:v>
                </c:pt>
                <c:pt idx="340">
                  <c:v>217.5</c:v>
                </c:pt>
                <c:pt idx="341">
                  <c:v>274.5</c:v>
                </c:pt>
                <c:pt idx="342">
                  <c:v>221.45</c:v>
                </c:pt>
                <c:pt idx="343">
                  <c:v>174</c:v>
                </c:pt>
                <c:pt idx="344">
                  <c:v>206</c:v>
                </c:pt>
                <c:pt idx="345">
                  <c:v>539.65</c:v>
                </c:pt>
                <c:pt idx="346">
                  <c:v>677.5</c:v>
                </c:pt>
                <c:pt idx="347">
                  <c:v>157.5</c:v>
                </c:pt>
                <c:pt idx="348">
                  <c:v>680</c:v>
                </c:pt>
                <c:pt idx="349">
                  <c:v>580</c:v>
                </c:pt>
                <c:pt idx="350">
                  <c:v>538</c:v>
                </c:pt>
                <c:pt idx="351">
                  <c:v>252.5</c:v>
                </c:pt>
                <c:pt idx="352">
                  <c:v>348</c:v>
                </c:pt>
                <c:pt idx="353">
                  <c:v>387.5</c:v>
                </c:pt>
              </c:numCache>
            </c:numRef>
          </c:yVal>
          <c:smooth val="0"/>
          <c:extLst>
            <c:ext xmlns:c16="http://schemas.microsoft.com/office/drawing/2014/chart" uri="{C3380CC4-5D6E-409C-BE32-E72D297353CC}">
              <c16:uniqueId val="{00000000-E78B-4E20-BE6D-B1AC8E669594}"/>
            </c:ext>
          </c:extLst>
        </c:ser>
        <c:dLbls>
          <c:showLegendKey val="0"/>
          <c:showVal val="0"/>
          <c:showCatName val="0"/>
          <c:showSerName val="0"/>
          <c:showPercent val="0"/>
          <c:showBubbleSize val="0"/>
        </c:dLbls>
        <c:axId val="1012601024"/>
        <c:axId val="1012601584"/>
      </c:scatterChart>
      <c:scatterChart>
        <c:scatterStyle val="smoothMarker"/>
        <c:varyColors val="0"/>
        <c:ser>
          <c:idx val="1"/>
          <c:order val="1"/>
          <c:tx>
            <c:strRef>
              <c:f>'2 Variable Xbar Lines'!$E$75</c:f>
              <c:strCache>
                <c:ptCount val="1"/>
                <c:pt idx="0">
                  <c:v>Xbar (Temp)</c:v>
                </c:pt>
              </c:strCache>
            </c:strRef>
          </c:tx>
          <c:spPr>
            <a:ln w="19050" cap="rnd">
              <a:solidFill>
                <a:schemeClr val="accent2"/>
              </a:solidFill>
              <a:round/>
            </a:ln>
            <a:effectLst/>
          </c:spPr>
          <c:marker>
            <c:symbol val="none"/>
          </c:marker>
          <c:xVal>
            <c:numRef>
              <c:f>'2 Variable Xbar Lines'!$E$76:$E$77</c:f>
              <c:numCache>
                <c:formatCode>0</c:formatCode>
                <c:ptCount val="2"/>
                <c:pt idx="0">
                  <c:v>62.389830508474574</c:v>
                </c:pt>
                <c:pt idx="1">
                  <c:v>62.389830508474574</c:v>
                </c:pt>
              </c:numCache>
            </c:numRef>
          </c:xVal>
          <c:yVal>
            <c:numRef>
              <c:f>'2 Variable Xbar Lines'!$F$76:$F$77</c:f>
              <c:numCache>
                <c:formatCode>General</c:formatCode>
                <c:ptCount val="2"/>
                <c:pt idx="0">
                  <c:v>0</c:v>
                </c:pt>
                <c:pt idx="1">
                  <c:v>800</c:v>
                </c:pt>
              </c:numCache>
            </c:numRef>
          </c:yVal>
          <c:smooth val="1"/>
          <c:extLst>
            <c:ext xmlns:c16="http://schemas.microsoft.com/office/drawing/2014/chart" uri="{C3380CC4-5D6E-409C-BE32-E72D297353CC}">
              <c16:uniqueId val="{00000001-E78B-4E20-BE6D-B1AC8E669594}"/>
            </c:ext>
          </c:extLst>
        </c:ser>
        <c:ser>
          <c:idx val="2"/>
          <c:order val="2"/>
          <c:tx>
            <c:strRef>
              <c:f>'2 Variable Xbar Lines'!$I$75</c:f>
              <c:strCache>
                <c:ptCount val="1"/>
                <c:pt idx="0">
                  <c:v>Ybar (Energy)</c:v>
                </c:pt>
              </c:strCache>
            </c:strRef>
          </c:tx>
          <c:spPr>
            <a:ln w="19050" cap="rnd">
              <a:solidFill>
                <a:srgbClr val="0000FF"/>
              </a:solidFill>
              <a:round/>
            </a:ln>
            <a:effectLst/>
          </c:spPr>
          <c:marker>
            <c:symbol val="none"/>
          </c:marker>
          <c:xVal>
            <c:numRef>
              <c:f>'2 Variable Xbar Lines'!$H$76:$H$77</c:f>
              <c:numCache>
                <c:formatCode>General</c:formatCode>
                <c:ptCount val="2"/>
                <c:pt idx="0">
                  <c:v>0</c:v>
                </c:pt>
                <c:pt idx="1">
                  <c:v>120</c:v>
                </c:pt>
              </c:numCache>
            </c:numRef>
          </c:xVal>
          <c:yVal>
            <c:numRef>
              <c:f>'2 Variable Xbar Lines'!$I$76:$I$77</c:f>
              <c:numCache>
                <c:formatCode>0</c:formatCode>
                <c:ptCount val="2"/>
                <c:pt idx="0">
                  <c:v>327.58149717514124</c:v>
                </c:pt>
                <c:pt idx="1">
                  <c:v>327.58149717514124</c:v>
                </c:pt>
              </c:numCache>
            </c:numRef>
          </c:yVal>
          <c:smooth val="1"/>
          <c:extLst>
            <c:ext xmlns:c16="http://schemas.microsoft.com/office/drawing/2014/chart" uri="{C3380CC4-5D6E-409C-BE32-E72D297353CC}">
              <c16:uniqueId val="{00000002-E78B-4E20-BE6D-B1AC8E669594}"/>
            </c:ext>
          </c:extLst>
        </c:ser>
        <c:dLbls>
          <c:showLegendKey val="0"/>
          <c:showVal val="0"/>
          <c:showCatName val="0"/>
          <c:showSerName val="0"/>
          <c:showPercent val="0"/>
          <c:showBubbleSize val="0"/>
        </c:dLbls>
        <c:axId val="1012601024"/>
        <c:axId val="1012601584"/>
      </c:scatterChart>
      <c:valAx>
        <c:axId val="101260102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 Scatter'!$B$117</c:f>
              <c:strCache>
                <c:ptCount val="1"/>
                <c:pt idx="0">
                  <c:v>Temperature X</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1584"/>
        <c:crosses val="autoZero"/>
        <c:crossBetween val="midCat"/>
      </c:valAx>
      <c:valAx>
        <c:axId val="101260158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 Scatter'!$C$117</c:f>
              <c:strCache>
                <c:ptCount val="1"/>
                <c:pt idx="0">
                  <c:v>Energy Expense Y</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10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 (an)'!$A$451</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 (an)'!$B$455</c:f>
              <c:strCache>
                <c:ptCount val="1"/>
                <c:pt idx="0">
                  <c:v>Costs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 (an)'!$A$456:$A$462</c:f>
              <c:numCache>
                <c:formatCode>General</c:formatCode>
                <c:ptCount val="7"/>
                <c:pt idx="0">
                  <c:v>5</c:v>
                </c:pt>
                <c:pt idx="1">
                  <c:v>10</c:v>
                </c:pt>
                <c:pt idx="2">
                  <c:v>6</c:v>
                </c:pt>
                <c:pt idx="3">
                  <c:v>19</c:v>
                </c:pt>
                <c:pt idx="4">
                  <c:v>20</c:v>
                </c:pt>
                <c:pt idx="5">
                  <c:v>15</c:v>
                </c:pt>
                <c:pt idx="6">
                  <c:v>16</c:v>
                </c:pt>
              </c:numCache>
            </c:numRef>
          </c:xVal>
          <c:yVal>
            <c:numRef>
              <c:f>'2 Variables Cov and Corr (an)'!$B$456:$B$462</c:f>
              <c:numCache>
                <c:formatCode>General</c:formatCode>
                <c:ptCount val="7"/>
                <c:pt idx="0">
                  <c:v>75</c:v>
                </c:pt>
                <c:pt idx="1">
                  <c:v>150</c:v>
                </c:pt>
                <c:pt idx="2">
                  <c:v>90</c:v>
                </c:pt>
                <c:pt idx="3">
                  <c:v>285</c:v>
                </c:pt>
                <c:pt idx="4">
                  <c:v>300</c:v>
                </c:pt>
                <c:pt idx="5">
                  <c:v>225</c:v>
                </c:pt>
                <c:pt idx="6">
                  <c:v>240</c:v>
                </c:pt>
              </c:numCache>
            </c:numRef>
          </c:yVal>
          <c:smooth val="0"/>
          <c:extLst>
            <c:ext xmlns:c16="http://schemas.microsoft.com/office/drawing/2014/chart" uri="{C3380CC4-5D6E-409C-BE32-E72D297353CC}">
              <c16:uniqueId val="{00000001-5E8D-4217-814E-A1ADB5B94FD0}"/>
            </c:ext>
          </c:extLst>
        </c:ser>
        <c:dLbls>
          <c:showLegendKey val="0"/>
          <c:showVal val="0"/>
          <c:showCatName val="0"/>
          <c:showSerName val="0"/>
          <c:showPercent val="0"/>
          <c:showBubbleSize val="0"/>
        </c:dLbls>
        <c:axId val="1012604944"/>
        <c:axId val="1012605504"/>
      </c:scatterChart>
      <c:valAx>
        <c:axId val="101260494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 (an)'!$A$455</c:f>
              <c:strCache>
                <c:ptCount val="1"/>
                <c:pt idx="0">
                  <c:v>Units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5504"/>
        <c:crosses val="autoZero"/>
        <c:crossBetween val="midCat"/>
      </c:valAx>
      <c:valAx>
        <c:axId val="101260550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 (an)'!$B$455</c:f>
              <c:strCache>
                <c:ptCount val="1"/>
                <c:pt idx="0">
                  <c:v>Costs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49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'2 Variables Cov and Corr (an)'!$A$465</c:f>
          <c:strCache>
            <c:ptCount val="1"/>
            <c:pt idx="0">
              <c:v>Perfect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'2 Variables Cov and Corr (an)'!$B$469</c:f>
              <c:strCache>
                <c:ptCount val="1"/>
                <c:pt idx="0">
                  <c:v>Defects</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'2 Variables Cov and Corr (an)'!$A$470:$A$474</c:f>
              <c:numCache>
                <c:formatCode>General</c:formatCode>
                <c:ptCount val="5"/>
                <c:pt idx="0">
                  <c:v>25</c:v>
                </c:pt>
                <c:pt idx="1">
                  <c:v>20</c:v>
                </c:pt>
                <c:pt idx="2">
                  <c:v>15</c:v>
                </c:pt>
                <c:pt idx="3">
                  <c:v>10</c:v>
                </c:pt>
                <c:pt idx="4">
                  <c:v>5</c:v>
                </c:pt>
              </c:numCache>
            </c:numRef>
          </c:xVal>
          <c:yVal>
            <c:numRef>
              <c:f>'2 Variables Cov and Corr (an)'!$B$470:$B$474</c:f>
              <c:numCache>
                <c:formatCode>General</c:formatCode>
                <c:ptCount val="5"/>
                <c:pt idx="0">
                  <c:v>5</c:v>
                </c:pt>
                <c:pt idx="1">
                  <c:v>10</c:v>
                </c:pt>
                <c:pt idx="2">
                  <c:v>15</c:v>
                </c:pt>
                <c:pt idx="3">
                  <c:v>20</c:v>
                </c:pt>
                <c:pt idx="4">
                  <c:v>25</c:v>
                </c:pt>
              </c:numCache>
            </c:numRef>
          </c:yVal>
          <c:smooth val="0"/>
          <c:extLst>
            <c:ext xmlns:c16="http://schemas.microsoft.com/office/drawing/2014/chart" uri="{C3380CC4-5D6E-409C-BE32-E72D297353CC}">
              <c16:uniqueId val="{00000001-4C96-4A9C-9293-6CD663520934}"/>
            </c:ext>
          </c:extLst>
        </c:ser>
        <c:dLbls>
          <c:showLegendKey val="0"/>
          <c:showVal val="0"/>
          <c:showCatName val="0"/>
          <c:showSerName val="0"/>
          <c:showPercent val="0"/>
          <c:showBubbleSize val="0"/>
        </c:dLbls>
        <c:axId val="1012608304"/>
        <c:axId val="1012608864"/>
      </c:scatterChart>
      <c:valAx>
        <c:axId val="1012608304"/>
        <c:scaling>
          <c:orientation val="minMax"/>
        </c:scaling>
        <c:delete val="0"/>
        <c:axPos val="b"/>
        <c:majorGridlines>
          <c:spPr>
            <a:ln w="9525" cap="flat" cmpd="sng" algn="ctr">
              <a:solidFill>
                <a:schemeClr val="tx1">
                  <a:lumMod val="15000"/>
                  <a:lumOff val="85000"/>
                </a:schemeClr>
              </a:solidFill>
              <a:round/>
            </a:ln>
            <a:effectLst/>
          </c:spPr>
        </c:majorGridlines>
        <c:title>
          <c:tx>
            <c:strRef>
              <c:f>'2 Variables Cov and Corr (an)'!$A$469</c:f>
              <c:strCache>
                <c:ptCount val="1"/>
                <c:pt idx="0">
                  <c:v>Inspections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8864"/>
        <c:crosses val="autoZero"/>
        <c:crossBetween val="midCat"/>
      </c:valAx>
      <c:valAx>
        <c:axId val="1012608864"/>
        <c:scaling>
          <c:orientation val="minMax"/>
        </c:scaling>
        <c:delete val="0"/>
        <c:axPos val="l"/>
        <c:majorGridlines>
          <c:spPr>
            <a:ln w="9525" cap="flat" cmpd="sng" algn="ctr">
              <a:solidFill>
                <a:schemeClr val="tx1">
                  <a:lumMod val="15000"/>
                  <a:lumOff val="85000"/>
                </a:schemeClr>
              </a:solidFill>
              <a:round/>
            </a:ln>
            <a:effectLst/>
          </c:spPr>
        </c:majorGridlines>
        <c:title>
          <c:tx>
            <c:strRef>
              <c:f>'2 Variables Cov and Corr (an)'!$B$469</c:f>
              <c:strCache>
                <c:ptCount val="1"/>
                <c:pt idx="0">
                  <c:v>Defects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2608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6.xml.rels><?xml version="1.0" encoding="UTF-8" standalone="yes"?>
<Relationships xmlns="http://schemas.openxmlformats.org/package/2006/relationships"><Relationship Id="rId1" Type="http://schemas.openxmlformats.org/officeDocument/2006/relationships/image" Target="../media/image3.emf"/></Relationships>
</file>

<file path=xl/drawings/_rels/drawing7.xml.rels><?xml version="1.0" encoding="UTF-8" standalone="yes"?>
<Relationships xmlns="http://schemas.openxmlformats.org/package/2006/relationships"><Relationship Id="rId1" Type="http://schemas.openxmlformats.org/officeDocument/2006/relationships/image" Target="../media/image3.emf"/></Relationships>
</file>

<file path=xl/drawings/_rels/drawing8.xml.rels><?xml version="1.0" encoding="UTF-8" standalone="yes"?>
<Relationships xmlns="http://schemas.openxmlformats.org/package/2006/relationships"><Relationship Id="rId1" Type="http://schemas.openxmlformats.org/officeDocument/2006/relationships/image" Target="../media/image4.emf"/></Relationships>
</file>

<file path=xl/drawings/_rels/drawing9.xml.rels><?xml version="1.0" encoding="UTF-8" standalone="yes"?>
<Relationships xmlns="http://schemas.openxmlformats.org/package/2006/relationships"><Relationship Id="rId1" Type="http://schemas.openxmlformats.org/officeDocument/2006/relationships/image" Target="../media/image4.emf"/></Relationships>
</file>

<file path=xl/drawings/_rels/drawing10.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5.emf"/></Relationships>
</file>

<file path=xl/drawings/_rels/drawing13.xml.rels><?xml version="1.0" encoding="UTF-8" standalone="yes"?>
<Relationships xmlns="http://schemas.openxmlformats.org/package/2006/relationships"><Relationship Id="rId1" Type="http://schemas.openxmlformats.org/officeDocument/2006/relationships/image" Target="../media/image5.emf"/></Relationships>
</file>

<file path=xl/drawings/_rels/drawing14.xml.rels><?xml version="1.0" encoding="UTF-8" standalone="yes"?>
<Relationships xmlns="http://schemas.openxmlformats.org/package/2006/relationships"><Relationship Id="rId1" Type="http://schemas.openxmlformats.org/officeDocument/2006/relationships/image" Target="../media/image6.emf"/></Relationships>
</file>

<file path=xl/drawings/_rels/drawing15.xml.rels><?xml version="1.0" encoding="UTF-8" standalone="yes"?>
<Relationships xmlns="http://schemas.openxmlformats.org/package/2006/relationships"><Relationship Id="rId1" Type="http://schemas.openxmlformats.org/officeDocument/2006/relationships/image" Target="../media/image6.emf"/></Relationships>
</file>

<file path=xl/drawings/_rels/drawing16.xml.rels><?xml version="1.0" encoding="UTF-8" standalone="yes"?>
<Relationships xmlns="http://schemas.openxmlformats.org/package/2006/relationships"><Relationship Id="rId1" Type="http://schemas.openxmlformats.org/officeDocument/2006/relationships/image" Target="../media/image7.emf"/></Relationships>
</file>

<file path=xl/drawings/_rels/drawing17.xml.rels><?xml version="1.0" encoding="UTF-8" standalone="yes"?>
<Relationships xmlns="http://schemas.openxmlformats.org/package/2006/relationships"><Relationship Id="rId1" Type="http://schemas.openxmlformats.org/officeDocument/2006/relationships/image" Target="../media/image7.emf"/></Relationships>
</file>

<file path=xl/drawings/_rels/drawing1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3.xml.rels><?xml version="1.0" encoding="UTF-8" standalone="yes"?>
<Relationships xmlns="http://schemas.openxmlformats.org/package/2006/relationships"><Relationship Id="rId1" Type="http://schemas.openxmlformats.org/officeDocument/2006/relationships/image" Target="../media/image8.emf"/></Relationships>
</file>

<file path=xl/drawings/_rels/drawing24.xml.rels><?xml version="1.0" encoding="UTF-8" standalone="yes"?>
<Relationships xmlns="http://schemas.openxmlformats.org/package/2006/relationships"><Relationship Id="rId1" Type="http://schemas.openxmlformats.org/officeDocument/2006/relationships/image" Target="../media/image8.emf"/></Relationships>
</file>

<file path=xl/drawings/_rels/drawing2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5" Type="http://schemas.openxmlformats.org/officeDocument/2006/relationships/chart" Target="../charts/chart24.xml"/><Relationship Id="rId4"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_rels/drawing28.xml.rels><?xml version="1.0" encoding="UTF-8" standalone="yes"?>
<Relationships xmlns="http://schemas.openxmlformats.org/package/2006/relationships"><Relationship Id="rId1" Type="http://schemas.openxmlformats.org/officeDocument/2006/relationships/image" Target="../media/image13.emf"/></Relationships>
</file>

<file path=xl/drawings/_rels/drawing29.xml.rels><?xml version="1.0" encoding="UTF-8" standalone="yes"?>
<Relationships xmlns="http://schemas.openxmlformats.org/package/2006/relationships"><Relationship Id="rId1" Type="http://schemas.openxmlformats.org/officeDocument/2006/relationships/image" Target="../media/image13.emf"/></Relationships>
</file>

<file path=xl/drawings/_rels/drawing3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1.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image" Target="../media/image14.emf"/></Relationships>
</file>

<file path=xl/drawings/_rels/drawing32.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 Id="rId4" Type="http://schemas.openxmlformats.org/officeDocument/2006/relationships/image" Target="../media/image14.emf"/></Relationships>
</file>

<file path=xl/drawings/_rels/drawing33.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5" Type="http://schemas.openxmlformats.org/officeDocument/2006/relationships/chart" Target="../charts/chart41.xml"/><Relationship Id="rId4" Type="http://schemas.openxmlformats.org/officeDocument/2006/relationships/chart" Target="../charts/chart40.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15.emf"/></Relationships>
</file>

<file path=xl/drawings/_rels/drawing39.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15.emf"/></Relationships>
</file>

<file path=xl/drawings/_rels/drawing40.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4.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5.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6.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image" Target="../media/image17.emf"/></Relationships>
</file>

<file path=xl/drawings/_rels/drawing48.xml.rels><?xml version="1.0" encoding="UTF-8" standalone="yes"?>
<Relationships xmlns="http://schemas.openxmlformats.org/package/2006/relationships"><Relationship Id="rId3" Type="http://schemas.openxmlformats.org/officeDocument/2006/relationships/chart" Target="../charts/chart60.xml"/><Relationship Id="rId2" Type="http://schemas.openxmlformats.org/officeDocument/2006/relationships/chart" Target="../charts/chart59.xml"/><Relationship Id="rId1" Type="http://schemas.openxmlformats.org/officeDocument/2006/relationships/chart" Target="../charts/chart58.xml"/><Relationship Id="rId4" Type="http://schemas.openxmlformats.org/officeDocument/2006/relationships/image" Target="../media/image17.emf"/></Relationships>
</file>

<file path=xl/drawings/_rels/drawing50.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image" Target="../media/image19.emf"/><Relationship Id="rId1" Type="http://schemas.openxmlformats.org/officeDocument/2006/relationships/image" Target="../media/image18.tiff"/><Relationship Id="rId4" Type="http://schemas.openxmlformats.org/officeDocument/2006/relationships/image" Target="../media/image20.emf"/></Relationships>
</file>

<file path=xl/drawings/_rels/drawing51.xml.rels><?xml version="1.0" encoding="UTF-8" standalone="yes"?>
<Relationships xmlns="http://schemas.openxmlformats.org/package/2006/relationships"><Relationship Id="rId3" Type="http://schemas.openxmlformats.org/officeDocument/2006/relationships/image" Target="../media/image18.tiff"/><Relationship Id="rId2" Type="http://schemas.openxmlformats.org/officeDocument/2006/relationships/image" Target="../media/image20.emf"/><Relationship Id="rId1" Type="http://schemas.openxmlformats.org/officeDocument/2006/relationships/chart" Target="../charts/chart62.xml"/><Relationship Id="rId4" Type="http://schemas.openxmlformats.org/officeDocument/2006/relationships/image" Target="../media/image19.emf"/></Relationships>
</file>

<file path=xl/drawings/_rels/drawing52.xml.rels><?xml version="1.0" encoding="UTF-8" standalone="yes"?>
<Relationships xmlns="http://schemas.openxmlformats.org/package/2006/relationships"><Relationship Id="rId1" Type="http://schemas.openxmlformats.org/officeDocument/2006/relationships/image" Target="../media/image21.emf"/></Relationships>
</file>

<file path=xl/drawings/_rels/drawing53.xml.rels><?xml version="1.0" encoding="UTF-8" standalone="yes"?>
<Relationships xmlns="http://schemas.openxmlformats.org/package/2006/relationships"><Relationship Id="rId1" Type="http://schemas.openxmlformats.org/officeDocument/2006/relationships/image" Target="../media/image21.emf"/></Relationships>
</file>

<file path=xl/drawings/_rels/drawing54.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64.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7.xml.rels><?xml version="1.0" encoding="UTF-8" standalone="yes"?>
<Relationships xmlns="http://schemas.openxmlformats.org/package/2006/relationships"><Relationship Id="rId3" Type="http://schemas.openxmlformats.org/officeDocument/2006/relationships/chart" Target="../charts/chart68.xml"/><Relationship Id="rId2" Type="http://schemas.openxmlformats.org/officeDocument/2006/relationships/chart" Target="../charts/chart67.xml"/><Relationship Id="rId1" Type="http://schemas.openxmlformats.org/officeDocument/2006/relationships/chart" Target="../charts/chart66.xml"/><Relationship Id="rId5" Type="http://schemas.openxmlformats.org/officeDocument/2006/relationships/chart" Target="../charts/chart70.xml"/><Relationship Id="rId4" Type="http://schemas.openxmlformats.org/officeDocument/2006/relationships/chart" Target="../charts/chart69.xml"/></Relationships>
</file>

<file path=xl/drawings/_rels/drawing58.xml.rels><?xml version="1.0" encoding="UTF-8" standalone="yes"?>
<Relationships xmlns="http://schemas.openxmlformats.org/package/2006/relationships"><Relationship Id="rId3" Type="http://schemas.openxmlformats.org/officeDocument/2006/relationships/chart" Target="../charts/chart73.xml"/><Relationship Id="rId2" Type="http://schemas.openxmlformats.org/officeDocument/2006/relationships/chart" Target="../charts/chart72.xml"/><Relationship Id="rId1" Type="http://schemas.openxmlformats.org/officeDocument/2006/relationships/chart" Target="../charts/chart71.xml"/><Relationship Id="rId4" Type="http://schemas.openxmlformats.org/officeDocument/2006/relationships/chart" Target="../charts/chart74.xml"/></Relationships>
</file>

<file path=xl/drawings/_rels/drawing59.xml.rels><?xml version="1.0" encoding="UTF-8" standalone="yes"?>
<Relationships xmlns="http://schemas.openxmlformats.org/package/2006/relationships"><Relationship Id="rId3" Type="http://schemas.openxmlformats.org/officeDocument/2006/relationships/chart" Target="../charts/chart77.xml"/><Relationship Id="rId2" Type="http://schemas.openxmlformats.org/officeDocument/2006/relationships/chart" Target="../charts/chart76.xml"/><Relationship Id="rId1" Type="http://schemas.openxmlformats.org/officeDocument/2006/relationships/chart" Target="../charts/chart75.xml"/><Relationship Id="rId4" Type="http://schemas.openxmlformats.org/officeDocument/2006/relationships/chart" Target="../charts/chart78.xml"/></Relationships>
</file>

<file path=xl/drawings/_rels/drawing60.xml.rels><?xml version="1.0" encoding="UTF-8" standalone="yes"?>
<Relationships xmlns="http://schemas.openxmlformats.org/package/2006/relationships"><Relationship Id="rId3" Type="http://schemas.openxmlformats.org/officeDocument/2006/relationships/chart" Target="../charts/chart81.xml"/><Relationship Id="rId2" Type="http://schemas.openxmlformats.org/officeDocument/2006/relationships/chart" Target="../charts/chart80.xml"/><Relationship Id="rId1" Type="http://schemas.openxmlformats.org/officeDocument/2006/relationships/chart" Target="../charts/chart79.xml"/><Relationship Id="rId6" Type="http://schemas.openxmlformats.org/officeDocument/2006/relationships/chart" Target="../charts/chart84.xml"/><Relationship Id="rId5" Type="http://schemas.openxmlformats.org/officeDocument/2006/relationships/chart" Target="../charts/chart83.xml"/><Relationship Id="rId4" Type="http://schemas.openxmlformats.org/officeDocument/2006/relationships/chart" Target="../charts/chart82.xml"/></Relationships>
</file>

<file path=xl/drawings/_rels/drawing61.xml.rels><?xml version="1.0" encoding="UTF-8" standalone="yes"?>
<Relationships xmlns="http://schemas.openxmlformats.org/package/2006/relationships"><Relationship Id="rId3" Type="http://schemas.openxmlformats.org/officeDocument/2006/relationships/chart" Target="../charts/chart87.xml"/><Relationship Id="rId2" Type="http://schemas.openxmlformats.org/officeDocument/2006/relationships/chart" Target="../charts/chart86.xml"/><Relationship Id="rId1" Type="http://schemas.openxmlformats.org/officeDocument/2006/relationships/chart" Target="../charts/chart85.xml"/><Relationship Id="rId6" Type="http://schemas.openxmlformats.org/officeDocument/2006/relationships/chart" Target="../charts/chart90.xml"/><Relationship Id="rId5" Type="http://schemas.openxmlformats.org/officeDocument/2006/relationships/chart" Target="../charts/chart89.xml"/><Relationship Id="rId4" Type="http://schemas.openxmlformats.org/officeDocument/2006/relationships/chart" Target="../charts/chart8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4"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0</xdr:col>
      <xdr:colOff>453039</xdr:colOff>
      <xdr:row>164</xdr:row>
      <xdr:rowOff>104856</xdr:rowOff>
    </xdr:from>
    <xdr:to>
      <xdr:col>0</xdr:col>
      <xdr:colOff>5849472</xdr:colOff>
      <xdr:row>164</xdr:row>
      <xdr:rowOff>2820861</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3039" y="38585856"/>
          <a:ext cx="5396433" cy="27160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7</xdr:col>
      <xdr:colOff>414337</xdr:colOff>
      <xdr:row>6</xdr:row>
      <xdr:rowOff>152400</xdr:rowOff>
    </xdr:from>
    <xdr:ext cx="65" cy="172227"/>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5557837" y="1714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590550</xdr:colOff>
      <xdr:row>0</xdr:row>
      <xdr:rowOff>80681</xdr:rowOff>
    </xdr:from>
    <xdr:ext cx="3809999" cy="1129554"/>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4501403"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bar>
                      <m:barPr>
                        <m:pos m:val="top"/>
                        <m:ctrlPr>
                          <a:rPr lang="en-US" sz="3600" b="0" i="1">
                            <a:latin typeface="Cambria Math" panose="02040503050406030204" pitchFamily="18" charset="0"/>
                          </a:rPr>
                        </m:ctrlPr>
                      </m:barPr>
                      <m:e>
                        <m:r>
                          <a:rPr lang="en-US" sz="3600" b="0" i="1">
                            <a:latin typeface="Cambria Math" panose="02040503050406030204" pitchFamily="18" charset="0"/>
                          </a:rPr>
                          <m:t>𝑥</m:t>
                        </m:r>
                      </m:e>
                    </m:bar>
                    <m:r>
                      <a:rPr lang="en-US" sz="3600" b="0" i="1">
                        <a:latin typeface="Cambria Math" panose="02040503050406030204" pitchFamily="18" charset="0"/>
                      </a:rPr>
                      <m:t>=</m:t>
                    </m:r>
                    <m:r>
                      <m:rPr>
                        <m:nor/>
                      </m:rPr>
                      <a:rPr lang="en-US" sz="3600" b="0" i="0">
                        <a:latin typeface="Cambria Math" panose="02040503050406030204" pitchFamily="18" charset="0"/>
                      </a:rPr>
                      <m:t>Xbar</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𝑛</m:t>
                        </m:r>
                      </m:den>
                    </m:f>
                    <m:r>
                      <a:rPr lang="en-US" sz="3600" b="0" i="1">
                        <a:latin typeface="Cambria Math" panose="02040503050406030204" pitchFamily="18" charset="0"/>
                      </a:rPr>
                      <m:t> </m:t>
                    </m:r>
                  </m:oMath>
                </m:oMathPara>
              </a14:m>
              <a:endParaRPr lang="en-US" sz="3600"/>
            </a:p>
          </xdr:txBody>
        </xdr:sp>
      </mc:Choice>
      <mc:Fallback xmlns="">
        <xdr:sp macro="" textlink="">
          <xdr:nvSpPr>
            <xdr:cNvPr id="8" name="TextBox 7"/>
            <xdr:cNvSpPr txBox="1"/>
          </xdr:nvSpPr>
          <xdr:spPr>
            <a:xfrm>
              <a:off x="4501403"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3600" b="0" i="0">
                  <a:latin typeface="Cambria Math" panose="02040503050406030204" pitchFamily="18" charset="0"/>
                </a:rPr>
                <a:t>¯𝑥="Xbar"= </a:t>
              </a:r>
              <a:r>
                <a:rPr lang="en-US" sz="3600" b="0" i="0">
                  <a:solidFill>
                    <a:schemeClr val="tx1"/>
                  </a:solidFill>
                  <a:effectLst/>
                  <a:latin typeface="+mn-lt"/>
                  <a:ea typeface="+mn-ea"/>
                  <a:cs typeface="+mn-cs"/>
                </a:rPr>
                <a:t> </a:t>
              </a:r>
              <a:r>
                <a:rPr lang="en-US" sz="3600" b="0" i="0">
                  <a:solidFill>
                    <a:schemeClr val="tx1"/>
                  </a:solidFill>
                  <a:effectLst/>
                  <a:latin typeface="Cambria Math" panose="02040503050406030204" pitchFamily="18" charset="0"/>
                  <a:ea typeface="+mn-ea"/>
                  <a:cs typeface="+mn-cs"/>
                </a:rPr>
                <a:t>(</a:t>
              </a:r>
              <a:r>
                <a:rPr lang="en-US" sz="3600" b="0" i="0">
                  <a:solidFill>
                    <a:schemeClr val="tx1"/>
                  </a:solidFill>
                  <a:effectLst/>
                  <a:latin typeface="+mn-lt"/>
                  <a:ea typeface="+mn-ea"/>
                  <a:cs typeface="+mn-cs"/>
                </a:rPr>
                <a:t>∑▒𝑥_𝑖 </a:t>
              </a:r>
              <a:r>
                <a:rPr lang="en-US" sz="3600" b="0" i="0">
                  <a:solidFill>
                    <a:schemeClr val="tx1"/>
                  </a:solidFill>
                  <a:effectLst/>
                  <a:latin typeface="Cambria Math" panose="02040503050406030204" pitchFamily="18" charset="0"/>
                  <a:ea typeface="+mn-ea"/>
                  <a:cs typeface="+mn-cs"/>
                </a:rPr>
                <a:t>)/</a:t>
              </a:r>
              <a:r>
                <a:rPr lang="en-US" sz="3600" b="0" i="0">
                  <a:latin typeface="Cambria Math" panose="02040503050406030204" pitchFamily="18" charset="0"/>
                </a:rPr>
                <a:t>𝑛  </a:t>
              </a:r>
              <a:endParaRPr lang="en-US" sz="3600"/>
            </a:p>
          </xdr:txBody>
        </xdr:sp>
      </mc:Fallback>
    </mc:AlternateContent>
    <xdr:clientData/>
  </xdr:oneCellAnchor>
  <xdr:oneCellAnchor>
    <xdr:from>
      <xdr:col>6</xdr:col>
      <xdr:colOff>0</xdr:colOff>
      <xdr:row>10</xdr:row>
      <xdr:rowOff>212912</xdr:rowOff>
    </xdr:from>
    <xdr:ext cx="3809999" cy="1143001"/>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4515971" y="2420471"/>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3600" b="0" i="1">
                        <a:latin typeface="Cambria Math" panose="02040503050406030204" pitchFamily="18" charset="0"/>
                        <a:ea typeface="Cambria Math" panose="02040503050406030204" pitchFamily="18" charset="0"/>
                      </a:rPr>
                      <m:t>𝜇</m:t>
                    </m:r>
                    <m:r>
                      <a:rPr lang="en-US" sz="3600" b="0" i="1">
                        <a:latin typeface="Cambria Math" panose="02040503050406030204" pitchFamily="18" charset="0"/>
                      </a:rPr>
                      <m:t>=</m:t>
                    </m:r>
                    <m:r>
                      <m:rPr>
                        <m:nor/>
                      </m:rPr>
                      <a:rPr lang="en-US" sz="3600" b="0" i="0">
                        <a:latin typeface="Cambria Math" panose="02040503050406030204" pitchFamily="18" charset="0"/>
                      </a:rPr>
                      <m:t>Mew</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𝑁</m:t>
                        </m:r>
                      </m:den>
                    </m:f>
                    <m:r>
                      <a:rPr lang="en-US" sz="3600" b="0" i="1">
                        <a:latin typeface="Cambria Math" panose="02040503050406030204" pitchFamily="18" charset="0"/>
                      </a:rPr>
                      <m:t> </m:t>
                    </m:r>
                  </m:oMath>
                </m:oMathPara>
              </a14:m>
              <a:endParaRPr lang="en-US" sz="3600"/>
            </a:p>
          </xdr:txBody>
        </xdr:sp>
      </mc:Choice>
      <mc:Fallback xmlns="">
        <xdr:sp macro="" textlink="">
          <xdr:nvSpPr>
            <xdr:cNvPr id="11" name="TextBox 10"/>
            <xdr:cNvSpPr txBox="1"/>
          </xdr:nvSpPr>
          <xdr:spPr>
            <a:xfrm>
              <a:off x="4515971" y="2420471"/>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en-US" sz="3600" b="0" i="0">
                  <a:latin typeface="Cambria Math" panose="02040503050406030204" pitchFamily="18" charset="0"/>
                  <a:ea typeface="Cambria Math" panose="02040503050406030204" pitchFamily="18" charset="0"/>
                </a:rPr>
                <a:t>𝜇</a:t>
              </a:r>
              <a:r>
                <a:rPr lang="en-US" sz="3600" b="0" i="0">
                  <a:latin typeface="Cambria Math" panose="02040503050406030204" pitchFamily="18" charset="0"/>
                </a:rPr>
                <a:t>="Mew"= </a:t>
              </a:r>
              <a:r>
                <a:rPr lang="en-US" sz="3600" b="0" i="0">
                  <a:solidFill>
                    <a:schemeClr val="tx1"/>
                  </a:solidFill>
                  <a:effectLst/>
                  <a:latin typeface="+mn-lt"/>
                  <a:ea typeface="+mn-ea"/>
                  <a:cs typeface="+mn-cs"/>
                </a:rPr>
                <a:t> </a:t>
              </a:r>
              <a:r>
                <a:rPr lang="en-US" sz="3600" b="0" i="0">
                  <a:solidFill>
                    <a:schemeClr val="tx1"/>
                  </a:solidFill>
                  <a:effectLst/>
                  <a:latin typeface="Cambria Math" panose="02040503050406030204" pitchFamily="18" charset="0"/>
                  <a:ea typeface="+mn-ea"/>
                  <a:cs typeface="+mn-cs"/>
                </a:rPr>
                <a:t>(</a:t>
              </a:r>
              <a:r>
                <a:rPr lang="en-US" sz="3600" b="0" i="0">
                  <a:solidFill>
                    <a:schemeClr val="tx1"/>
                  </a:solidFill>
                  <a:effectLst/>
                  <a:latin typeface="+mn-lt"/>
                  <a:ea typeface="+mn-ea"/>
                  <a:cs typeface="+mn-cs"/>
                </a:rPr>
                <a:t>∑▒𝑥_𝑖 </a:t>
              </a:r>
              <a:r>
                <a:rPr lang="en-US" sz="3600" b="0" i="0">
                  <a:solidFill>
                    <a:schemeClr val="tx1"/>
                  </a:solidFill>
                  <a:effectLst/>
                  <a:latin typeface="Cambria Math" panose="02040503050406030204" pitchFamily="18" charset="0"/>
                  <a:ea typeface="+mn-ea"/>
                  <a:cs typeface="+mn-cs"/>
                </a:rPr>
                <a:t>)/</a:t>
              </a:r>
              <a:r>
                <a:rPr lang="en-US" sz="3600" b="0" i="0">
                  <a:latin typeface="Cambria Math" panose="02040503050406030204" pitchFamily="18" charset="0"/>
                </a:rPr>
                <a:t>𝑁  </a:t>
              </a:r>
              <a:endParaRPr lang="en-US" sz="3600"/>
            </a:p>
          </xdr:txBody>
        </xdr:sp>
      </mc:Fallback>
    </mc:AlternateContent>
    <xdr:clientData/>
  </xdr:oneCellAnchor>
  <xdr:oneCellAnchor>
    <xdr:from>
      <xdr:col>7</xdr:col>
      <xdr:colOff>414337</xdr:colOff>
      <xdr:row>17</xdr:row>
      <xdr:rowOff>152400</xdr:rowOff>
    </xdr:from>
    <xdr:ext cx="65" cy="172227"/>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55578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7</xdr:col>
      <xdr:colOff>414337</xdr:colOff>
      <xdr:row>6</xdr:row>
      <xdr:rowOff>152400</xdr:rowOff>
    </xdr:from>
    <xdr:ext cx="65" cy="172227"/>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590550</xdr:colOff>
      <xdr:row>0</xdr:row>
      <xdr:rowOff>80681</xdr:rowOff>
    </xdr:from>
    <xdr:ext cx="3809999" cy="1129554"/>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5162550"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bar>
                      <m:barPr>
                        <m:pos m:val="top"/>
                        <m:ctrlPr>
                          <a:rPr lang="en-US" sz="3600" b="0" i="1">
                            <a:latin typeface="Cambria Math" panose="02040503050406030204" pitchFamily="18" charset="0"/>
                          </a:rPr>
                        </m:ctrlPr>
                      </m:barPr>
                      <m:e>
                        <m:r>
                          <a:rPr lang="en-US" sz="3600" b="0" i="1">
                            <a:latin typeface="Cambria Math" panose="02040503050406030204" pitchFamily="18" charset="0"/>
                          </a:rPr>
                          <m:t>𝑥</m:t>
                        </m:r>
                      </m:e>
                    </m:bar>
                    <m:r>
                      <a:rPr lang="en-US" sz="3600" b="0" i="1">
                        <a:latin typeface="Cambria Math" panose="02040503050406030204" pitchFamily="18" charset="0"/>
                      </a:rPr>
                      <m:t>=</m:t>
                    </m:r>
                    <m:r>
                      <m:rPr>
                        <m:nor/>
                      </m:rPr>
                      <a:rPr lang="en-US" sz="3600" b="0" i="0">
                        <a:latin typeface="Cambria Math" panose="02040503050406030204" pitchFamily="18" charset="0"/>
                      </a:rPr>
                      <m:t>Xbar</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𝑛</m:t>
                        </m:r>
                      </m:den>
                    </m:f>
                    <m:r>
                      <a:rPr lang="en-US" sz="3600" b="0" i="1">
                        <a:latin typeface="Cambria Math" panose="02040503050406030204" pitchFamily="18" charset="0"/>
                      </a:rPr>
                      <m:t> </m:t>
                    </m:r>
                  </m:oMath>
                </m:oMathPara>
              </a14:m>
              <a:endParaRPr lang="en-US" sz="3600"/>
            </a:p>
          </xdr:txBody>
        </xdr:sp>
      </mc:Choice>
      <mc:Fallback xmlns="">
        <xdr:sp macro="" textlink="">
          <xdr:nvSpPr>
            <xdr:cNvPr id="3" name="TextBox 2"/>
            <xdr:cNvSpPr txBox="1"/>
          </xdr:nvSpPr>
          <xdr:spPr>
            <a:xfrm>
              <a:off x="5162550" y="80681"/>
              <a:ext cx="3809999" cy="1129554"/>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3600" b="0" i="0">
                  <a:latin typeface="Cambria Math" panose="02040503050406030204" pitchFamily="18" charset="0"/>
                </a:rPr>
                <a:t>¯𝑥="Xbar"= </a:t>
              </a:r>
              <a:r>
                <a:rPr lang="en-US" sz="3600" b="0" i="0">
                  <a:solidFill>
                    <a:schemeClr val="tx1"/>
                  </a:solidFill>
                  <a:effectLst/>
                  <a:latin typeface="Cambria Math" panose="02040503050406030204" pitchFamily="18" charset="0"/>
                  <a:ea typeface="+mn-ea"/>
                  <a:cs typeface="+mn-cs"/>
                </a:rPr>
                <a:t> (∑▒𝑥_𝑖 )/</a:t>
              </a:r>
              <a:r>
                <a:rPr lang="en-US" sz="3600" b="0" i="0">
                  <a:latin typeface="Cambria Math" panose="02040503050406030204" pitchFamily="18" charset="0"/>
                </a:rPr>
                <a:t>𝑛  </a:t>
              </a:r>
              <a:endParaRPr lang="en-US" sz="3600"/>
            </a:p>
          </xdr:txBody>
        </xdr:sp>
      </mc:Fallback>
    </mc:AlternateContent>
    <xdr:clientData/>
  </xdr:oneCellAnchor>
  <xdr:oneCellAnchor>
    <xdr:from>
      <xdr:col>6</xdr:col>
      <xdr:colOff>0</xdr:colOff>
      <xdr:row>10</xdr:row>
      <xdr:rowOff>212912</xdr:rowOff>
    </xdr:from>
    <xdr:ext cx="3809999" cy="114300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5181600" y="2460812"/>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en-US" sz="3600" b="0" i="1">
                        <a:latin typeface="Cambria Math" panose="02040503050406030204" pitchFamily="18" charset="0"/>
                        <a:ea typeface="Cambria Math" panose="02040503050406030204" pitchFamily="18" charset="0"/>
                      </a:rPr>
                      <m:t>𝜇</m:t>
                    </m:r>
                    <m:r>
                      <a:rPr lang="en-US" sz="3600" b="0" i="1">
                        <a:latin typeface="Cambria Math" panose="02040503050406030204" pitchFamily="18" charset="0"/>
                      </a:rPr>
                      <m:t>=</m:t>
                    </m:r>
                    <m:r>
                      <m:rPr>
                        <m:nor/>
                      </m:rPr>
                      <a:rPr lang="en-US" sz="3600" b="0" i="0">
                        <a:latin typeface="Cambria Math" panose="02040503050406030204" pitchFamily="18" charset="0"/>
                      </a:rPr>
                      <m:t>Mew</m:t>
                    </m:r>
                    <m:r>
                      <a:rPr lang="en-US" sz="3600" b="0" i="1">
                        <a:latin typeface="Cambria Math" panose="02040503050406030204" pitchFamily="18" charset="0"/>
                      </a:rPr>
                      <m:t>= </m:t>
                    </m:r>
                    <m:f>
                      <m:fPr>
                        <m:ctrlPr>
                          <a:rPr lang="en-US" sz="3600" b="0" i="1">
                            <a:latin typeface="Cambria Math" panose="02040503050406030204" pitchFamily="18" charset="0"/>
                          </a:rPr>
                        </m:ctrlPr>
                      </m:fPr>
                      <m:num>
                        <m:nary>
                          <m:naryPr>
                            <m:chr m:val="∑"/>
                            <m:subHide m:val="on"/>
                            <m:supHide m:val="on"/>
                            <m:ctrlPr>
                              <a:rPr lang="en-US" sz="3600" b="0" i="1">
                                <a:solidFill>
                                  <a:schemeClr val="tx1"/>
                                </a:solidFill>
                                <a:effectLst/>
                                <a:latin typeface="Cambria Math" panose="02040503050406030204" pitchFamily="18" charset="0"/>
                                <a:ea typeface="+mn-ea"/>
                                <a:cs typeface="+mn-cs"/>
                              </a:rPr>
                            </m:ctrlPr>
                          </m:naryPr>
                          <m:sub/>
                          <m:sup/>
                          <m:e>
                            <m:sSub>
                              <m:sSubPr>
                                <m:ctrlPr>
                                  <a:rPr lang="en-US" sz="3600" b="0" i="1">
                                    <a:solidFill>
                                      <a:schemeClr val="tx1"/>
                                    </a:solidFill>
                                    <a:effectLst/>
                                    <a:latin typeface="Cambria Math" panose="02040503050406030204" pitchFamily="18" charset="0"/>
                                    <a:ea typeface="+mn-ea"/>
                                    <a:cs typeface="+mn-cs"/>
                                  </a:rPr>
                                </m:ctrlPr>
                              </m:sSubPr>
                              <m:e>
                                <m:r>
                                  <a:rPr lang="en-US" sz="3600" b="0" i="1">
                                    <a:solidFill>
                                      <a:schemeClr val="tx1"/>
                                    </a:solidFill>
                                    <a:effectLst/>
                                    <a:latin typeface="Cambria Math" panose="02040503050406030204" pitchFamily="18" charset="0"/>
                                    <a:ea typeface="+mn-ea"/>
                                    <a:cs typeface="+mn-cs"/>
                                  </a:rPr>
                                  <m:t>𝑥</m:t>
                                </m:r>
                              </m:e>
                              <m:sub>
                                <m:r>
                                  <a:rPr lang="en-US" sz="3600" b="0" i="1">
                                    <a:solidFill>
                                      <a:schemeClr val="tx1"/>
                                    </a:solidFill>
                                    <a:effectLst/>
                                    <a:latin typeface="Cambria Math" panose="02040503050406030204" pitchFamily="18" charset="0"/>
                                    <a:ea typeface="+mn-ea"/>
                                    <a:cs typeface="+mn-cs"/>
                                  </a:rPr>
                                  <m:t>𝑖</m:t>
                                </m:r>
                              </m:sub>
                            </m:sSub>
                          </m:e>
                        </m:nary>
                      </m:num>
                      <m:den>
                        <m:r>
                          <a:rPr lang="en-US" sz="3600" b="0" i="1">
                            <a:latin typeface="Cambria Math" panose="02040503050406030204" pitchFamily="18" charset="0"/>
                          </a:rPr>
                          <m:t>𝑁</m:t>
                        </m:r>
                      </m:den>
                    </m:f>
                    <m:r>
                      <a:rPr lang="en-US" sz="3600" b="0" i="1">
                        <a:latin typeface="Cambria Math" panose="02040503050406030204" pitchFamily="18" charset="0"/>
                      </a:rPr>
                      <m:t> </m:t>
                    </m:r>
                  </m:oMath>
                </m:oMathPara>
              </a14:m>
              <a:endParaRPr lang="en-US" sz="3600"/>
            </a:p>
          </xdr:txBody>
        </xdr:sp>
      </mc:Choice>
      <mc:Fallback xmlns="">
        <xdr:sp macro="" textlink="">
          <xdr:nvSpPr>
            <xdr:cNvPr id="4" name="TextBox 3"/>
            <xdr:cNvSpPr txBox="1"/>
          </xdr:nvSpPr>
          <xdr:spPr>
            <a:xfrm>
              <a:off x="5181600" y="2460812"/>
              <a:ext cx="3809999" cy="1143001"/>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en-US" sz="3600" b="0" i="0">
                  <a:latin typeface="Cambria Math" panose="02040503050406030204" pitchFamily="18" charset="0"/>
                  <a:ea typeface="Cambria Math" panose="02040503050406030204" pitchFamily="18" charset="0"/>
                </a:rPr>
                <a:t>𝜇</a:t>
              </a:r>
              <a:r>
                <a:rPr lang="en-US" sz="3600" b="0" i="0">
                  <a:latin typeface="Cambria Math" panose="02040503050406030204" pitchFamily="18" charset="0"/>
                </a:rPr>
                <a:t>="Mew"= </a:t>
              </a:r>
              <a:r>
                <a:rPr lang="en-US" sz="3600" b="0" i="0">
                  <a:solidFill>
                    <a:schemeClr val="tx1"/>
                  </a:solidFill>
                  <a:effectLst/>
                  <a:latin typeface="Cambria Math" panose="02040503050406030204" pitchFamily="18" charset="0"/>
                  <a:ea typeface="+mn-ea"/>
                  <a:cs typeface="+mn-cs"/>
                </a:rPr>
                <a:t> (∑▒𝑥_𝑖 )/</a:t>
              </a:r>
              <a:r>
                <a:rPr lang="en-US" sz="3600" b="0" i="0">
                  <a:latin typeface="Cambria Math" panose="02040503050406030204" pitchFamily="18" charset="0"/>
                </a:rPr>
                <a:t>𝑁  </a:t>
              </a:r>
              <a:endParaRPr lang="en-US" sz="3600"/>
            </a:p>
          </xdr:txBody>
        </xdr:sp>
      </mc:Fallback>
    </mc:AlternateContent>
    <xdr:clientData/>
  </xdr:oneCellAnchor>
  <xdr:oneCellAnchor>
    <xdr:from>
      <xdr:col>7</xdr:col>
      <xdr:colOff>414337</xdr:colOff>
      <xdr:row>17</xdr:row>
      <xdr:rowOff>152400</xdr:rowOff>
    </xdr:from>
    <xdr:ext cx="65" cy="17222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6205537" y="39719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104775</xdr:colOff>
      <xdr:row>8</xdr:row>
      <xdr:rowOff>9525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533525"/>
        </a:xfrm>
        <a:prstGeom prst="rect">
          <a:avLst/>
        </a:prstGeom>
        <a:solidFill>
          <a:schemeClr val="bg1"/>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104775</xdr:colOff>
      <xdr:row>8</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533525"/>
        </a:xfrm>
        <a:prstGeom prst="rect">
          <a:avLst/>
        </a:prstGeom>
        <a:solidFill>
          <a:schemeClr val="bg1"/>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409575</xdr:colOff>
      <xdr:row>9</xdr:row>
      <xdr:rowOff>9525</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724025"/>
        </a:xfrm>
        <a:prstGeom prst="rect">
          <a:avLst/>
        </a:prstGeom>
        <a:solidFill>
          <a:schemeClr val="bg1"/>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409575</xdr:colOff>
      <xdr:row>9</xdr:row>
      <xdr:rowOff>9525</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496050" cy="1724025"/>
        </a:xfrm>
        <a:prstGeom prst="rect">
          <a:avLst/>
        </a:prstGeom>
        <a:solidFill>
          <a:schemeClr val="bg1"/>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952500</xdr:colOff>
      <xdr:row>9</xdr:row>
      <xdr:rowOff>85725</xdr:rowOff>
    </xdr:to>
    <xdr:pic>
      <xdr:nvPicPr>
        <xdr:cNvPr id="3" name="Picture 2">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800225"/>
        </a:xfrm>
        <a:prstGeom prst="rect">
          <a:avLst/>
        </a:prstGeom>
        <a:solidFill>
          <a:schemeClr val="bg1"/>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1514475</xdr:colOff>
      <xdr:row>9</xdr:row>
      <xdr:rowOff>85725</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800225"/>
        </a:xfrm>
        <a:prstGeom prst="rect">
          <a:avLst/>
        </a:prstGeom>
        <a:solidFill>
          <a:schemeClr val="bg1"/>
        </a:solidFill>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266699</xdr:colOff>
      <xdr:row>0</xdr:row>
      <xdr:rowOff>390525</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𝑆𝑘𝑒𝑤𝑛𝑒𝑠𝑠= </a:t>
              </a:r>
              <a:r>
                <a:rPr lang="en-US" sz="1800" b="0" i="0">
                  <a:solidFill>
                    <a:schemeClr val="tx1"/>
                  </a:solidFill>
                  <a:effectLst/>
                  <a:latin typeface="+mn-lt"/>
                  <a:ea typeface="+mn-ea"/>
                  <a:cs typeface="+mn-cs"/>
                </a:rPr>
                <a:t> 𝑛/((𝑛−1)(𝑛−2))</a:t>
              </a:r>
              <a:r>
                <a:rPr lang="en-US" sz="1800" b="0" i="0">
                  <a:solidFill>
                    <a:schemeClr val="tx1"/>
                  </a:solidFill>
                  <a:effectLst/>
                  <a:latin typeface="Cambria Math" panose="02040503050406030204" pitchFamily="18" charset="0"/>
                  <a:ea typeface="+mn-ea"/>
                  <a:cs typeface="+mn-cs"/>
                </a:rPr>
                <a:t>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6</xdr:col>
      <xdr:colOff>266699</xdr:colOff>
      <xdr:row>0</xdr:row>
      <xdr:rowOff>390525</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8210549" y="390525"/>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10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12.xml><?xml version="1.0" encoding="utf-8"?>
<xdr:wsDr xmlns:xdr="http://schemas.openxmlformats.org/drawingml/2006/spreadsheetDrawing" xmlns:a="http://schemas.openxmlformats.org/drawingml/2006/main">
  <xdr:twoCellAnchor>
    <xdr:from>
      <xdr:col>6</xdr:col>
      <xdr:colOff>371475</xdr:colOff>
      <xdr:row>13</xdr:row>
      <xdr:rowOff>152400</xdr:rowOff>
    </xdr:from>
    <xdr:to>
      <xdr:col>6</xdr:col>
      <xdr:colOff>371540</xdr:colOff>
      <xdr:row>15</xdr:row>
      <xdr:rowOff>134127</xdr:rowOff>
    </xdr:to>
    <xdr:sp macro="" textlink="">
      <xdr:nvSpPr>
        <xdr:cNvPr id="2" name="TextBox 5">
          <a:extLst>
            <a:ext uri="{FF2B5EF4-FFF2-40B4-BE49-F238E27FC236}">
              <a16:creationId xmlns:a16="http://schemas.microsoft.com/office/drawing/2014/main" id="{00000000-0008-0000-1100-000002000000}"/>
            </a:ext>
          </a:extLst>
        </xdr:cNvPr>
        <xdr:cNvSpPr txBox="1"/>
      </xdr:nvSpPr>
      <xdr:spPr>
        <a:xfrm>
          <a:off x="620553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sz="1100"/>
        </a:p>
      </xdr:txBody>
    </xdr:sp>
    <xdr:clientData/>
  </xdr:twoCellAnchor>
  <xdr:twoCellAnchor editAs="oneCell">
    <xdr:from>
      <xdr:col>6</xdr:col>
      <xdr:colOff>95251</xdr:colOff>
      <xdr:row>7</xdr:row>
      <xdr:rowOff>171451</xdr:rowOff>
    </xdr:from>
    <xdr:to>
      <xdr:col>9</xdr:col>
      <xdr:colOff>552450</xdr:colOff>
      <xdr:row>10</xdr:row>
      <xdr:rowOff>76201</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00000000-0008-0000-1100-000003000000}"/>
                </a:ext>
              </a:extLst>
            </xdr:cNvPr>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bar>
                      <m:barPr>
                        <m:pos m:val="top"/>
                        <m:ctrlPr>
                          <a:rPr lang="en-US" sz="2100" b="0" i="1">
                            <a:latin typeface="Cambria Math" panose="02040503050406030204" pitchFamily="18" charset="0"/>
                          </a:rPr>
                        </m:ctrlPr>
                      </m:barPr>
                      <m:e>
                        <m:r>
                          <a:rPr lang="en-US" sz="2100" b="0" i="1">
                            <a:latin typeface="Cambria Math" panose="02040503050406030204" pitchFamily="18" charset="0"/>
                          </a:rPr>
                          <m:t>𝑥</m:t>
                        </m:r>
                      </m:e>
                    </m:bar>
                    <m:r>
                      <a:rPr lang="en-US" sz="2100" b="0" i="1">
                        <a:latin typeface="Cambria Math" panose="02040503050406030204" pitchFamily="18" charset="0"/>
                      </a:rPr>
                      <m:t>=</m:t>
                    </m:r>
                    <m:r>
                      <m:rPr>
                        <m:nor/>
                      </m:rPr>
                      <a:rPr lang="en-US" sz="2100" b="0" i="0">
                        <a:latin typeface="Cambria Math" panose="02040503050406030204" pitchFamily="18" charset="0"/>
                      </a:rPr>
                      <m:t>Weighted</m:t>
                    </m:r>
                    <m:r>
                      <m:rPr>
                        <m:nor/>
                      </m:rPr>
                      <a:rPr lang="en-US" sz="2100" b="0" i="0">
                        <a:latin typeface="Cambria Math" panose="02040503050406030204" pitchFamily="18" charset="0"/>
                      </a:rPr>
                      <m:t> </m:t>
                    </m:r>
                    <m:r>
                      <m:rPr>
                        <m:nor/>
                      </m:rPr>
                      <a:rPr lang="en-US" sz="2100" b="0" i="0">
                        <a:latin typeface="Cambria Math" panose="02040503050406030204" pitchFamily="18" charset="0"/>
                      </a:rPr>
                      <m:t>Mean</m:t>
                    </m:r>
                    <m:r>
                      <a:rPr lang="en-US" sz="2100" b="0" i="1">
                        <a:latin typeface="Cambria Math" panose="02040503050406030204" pitchFamily="18" charset="0"/>
                      </a:rPr>
                      <m:t>= </m:t>
                    </m:r>
                    <m:f>
                      <m:fPr>
                        <m:ctrlPr>
                          <a:rPr lang="en-US" sz="2100" b="0" i="1">
                            <a:latin typeface="Cambria Math" panose="02040503050406030204" pitchFamily="18" charset="0"/>
                          </a:rPr>
                        </m:ctrlPr>
                      </m:fPr>
                      <m:num>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r>
                                  <a:rPr lang="en-US" sz="2100" b="0" i="1">
                                    <a:solidFill>
                                      <a:schemeClr val="tx1"/>
                                    </a:solidFill>
                                    <a:effectLst/>
                                    <a:latin typeface="Cambria Math" panose="02040503050406030204" pitchFamily="18" charset="0"/>
                                    <a:ea typeface="+mn-ea"/>
                                    <a:cs typeface="+mn-cs"/>
                                  </a:rPr>
                                  <m:t>𝑥</m:t>
                                </m:r>
                              </m:e>
                              <m:sub>
                                <m:r>
                                  <a:rPr lang="en-US" sz="2100" b="0" i="1">
                                    <a:solidFill>
                                      <a:schemeClr val="tx1"/>
                                    </a:solidFill>
                                    <a:effectLst/>
                                    <a:latin typeface="Cambria Math" panose="02040503050406030204" pitchFamily="18" charset="0"/>
                                    <a:ea typeface="+mn-ea"/>
                                    <a:cs typeface="+mn-cs"/>
                                  </a:rPr>
                                  <m:t>𝑖</m:t>
                                </m:r>
                              </m:sub>
                            </m:sSub>
                          </m:e>
                        </m:nary>
                      </m:num>
                      <m:den>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e>
                        </m:nary>
                      </m:den>
                    </m:f>
                  </m:oMath>
                </m:oMathPara>
              </a14:m>
              <a:endParaRPr lang="en-US" sz="2100"/>
            </a:p>
          </xdr:txBody>
        </xdr:sp>
      </mc:Choice>
      <mc:Fallback xmlns="">
        <xdr:sp macro="" textlink="">
          <xdr:nvSpPr>
            <xdr:cNvPr id="3" name="TextBox 7"/>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r>
                <a:rPr lang="en-US" sz="2100" b="0" i="0">
                  <a:latin typeface="Cambria Math" panose="02040503050406030204" pitchFamily="18" charset="0"/>
                </a:rPr>
                <a:t>¯𝑥="Weighted Mean"= </a:t>
              </a:r>
              <a:r>
                <a:rPr lang="en-US" sz="2100" b="0" i="0">
                  <a:solidFill>
                    <a:schemeClr val="tx1"/>
                  </a:solidFill>
                  <a:effectLst/>
                  <a:latin typeface="Cambria Math" panose="02040503050406030204" pitchFamily="18" charset="0"/>
                  <a:ea typeface="+mn-ea"/>
                  <a:cs typeface="+mn-cs"/>
                </a:rPr>
                <a:t> (∑▒〖𝑤_𝑖 𝑥〗_𝑖 )/(∑▒𝑤_𝑖 )</a:t>
              </a:r>
              <a:endParaRPr lang="en-US" sz="2100"/>
            </a:p>
          </xdr:txBody>
        </xdr:sp>
      </mc:Fallback>
    </mc:AlternateContent>
    <xdr:clientData/>
  </xdr:twoCellAnchor>
  <xdr:twoCellAnchor editAs="oneCell">
    <xdr:from>
      <xdr:col>0</xdr:col>
      <xdr:colOff>0</xdr:colOff>
      <xdr:row>0</xdr:row>
      <xdr:rowOff>0</xdr:rowOff>
    </xdr:from>
    <xdr:to>
      <xdr:col>8</xdr:col>
      <xdr:colOff>466725</xdr:colOff>
      <xdr:row>6</xdr:row>
      <xdr:rowOff>85725</xdr:rowOff>
    </xdr:to>
    <xdr:pic>
      <xdr:nvPicPr>
        <xdr:cNvPr id="5" name="Picture 4">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228725"/>
        </a:xfrm>
        <a:prstGeom prst="rect">
          <a:avLst/>
        </a:prstGeom>
        <a:solidFill>
          <a:schemeClr val="bg1"/>
        </a:solidFill>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371475</xdr:colOff>
      <xdr:row>13</xdr:row>
      <xdr:rowOff>152400</xdr:rowOff>
    </xdr:from>
    <xdr:to>
      <xdr:col>6</xdr:col>
      <xdr:colOff>371540</xdr:colOff>
      <xdr:row>15</xdr:row>
      <xdr:rowOff>134127</xdr:rowOff>
    </xdr:to>
    <xdr:sp macro="" textlink="">
      <xdr:nvSpPr>
        <xdr:cNvPr id="2" name="TextBox 5">
          <a:extLst>
            <a:ext uri="{FF2B5EF4-FFF2-40B4-BE49-F238E27FC236}">
              <a16:creationId xmlns:a16="http://schemas.microsoft.com/office/drawing/2014/main" id="{00000000-0008-0000-1200-000002000000}"/>
            </a:ext>
          </a:extLst>
        </xdr:cNvPr>
        <xdr:cNvSpPr txBox="1"/>
      </xdr:nvSpPr>
      <xdr:spPr>
        <a:xfrm>
          <a:off x="5343525" y="2857500"/>
          <a:ext cx="65" cy="419877"/>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n-US" sz="1100"/>
        </a:p>
      </xdr:txBody>
    </xdr:sp>
    <xdr:clientData/>
  </xdr:twoCellAnchor>
  <xdr:twoCellAnchor editAs="oneCell">
    <xdr:from>
      <xdr:col>6</xdr:col>
      <xdr:colOff>95251</xdr:colOff>
      <xdr:row>7</xdr:row>
      <xdr:rowOff>171451</xdr:rowOff>
    </xdr:from>
    <xdr:to>
      <xdr:col>9</xdr:col>
      <xdr:colOff>552450</xdr:colOff>
      <xdr:row>10</xdr:row>
      <xdr:rowOff>76201</xdr:rowOff>
    </xdr:to>
    <mc:AlternateContent xmlns:mc="http://schemas.openxmlformats.org/markup-compatibility/2006" xmlns:a14="http://schemas.microsoft.com/office/drawing/2010/main">
      <mc:Choice Requires="a14">
        <xdr:sp macro="" textlink="">
          <xdr:nvSpPr>
            <xdr:cNvPr id="3" name="TextBox 7">
              <a:extLst>
                <a:ext uri="{FF2B5EF4-FFF2-40B4-BE49-F238E27FC236}">
                  <a16:creationId xmlns:a16="http://schemas.microsoft.com/office/drawing/2014/main" id="{00000000-0008-0000-1200-000003000000}"/>
                </a:ext>
              </a:extLst>
            </xdr:cNvPr>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bar>
                      <m:barPr>
                        <m:pos m:val="top"/>
                        <m:ctrlPr>
                          <a:rPr lang="en-US" sz="2100" b="0" i="1">
                            <a:latin typeface="Cambria Math" panose="02040503050406030204" pitchFamily="18" charset="0"/>
                          </a:rPr>
                        </m:ctrlPr>
                      </m:barPr>
                      <m:e>
                        <m:r>
                          <a:rPr lang="en-US" sz="2100" b="0" i="1">
                            <a:latin typeface="Cambria Math" panose="02040503050406030204" pitchFamily="18" charset="0"/>
                          </a:rPr>
                          <m:t>𝑥</m:t>
                        </m:r>
                      </m:e>
                    </m:bar>
                    <m:r>
                      <a:rPr lang="en-US" sz="2100" b="0" i="1">
                        <a:latin typeface="Cambria Math" panose="02040503050406030204" pitchFamily="18" charset="0"/>
                      </a:rPr>
                      <m:t>=</m:t>
                    </m:r>
                    <m:r>
                      <m:rPr>
                        <m:nor/>
                      </m:rPr>
                      <a:rPr lang="en-US" sz="2100" b="0" i="0">
                        <a:latin typeface="Cambria Math" panose="02040503050406030204" pitchFamily="18" charset="0"/>
                      </a:rPr>
                      <m:t>Weighted</m:t>
                    </m:r>
                    <m:r>
                      <m:rPr>
                        <m:nor/>
                      </m:rPr>
                      <a:rPr lang="en-US" sz="2100" b="0" i="0">
                        <a:latin typeface="Cambria Math" panose="02040503050406030204" pitchFamily="18" charset="0"/>
                      </a:rPr>
                      <m:t> </m:t>
                    </m:r>
                    <m:r>
                      <m:rPr>
                        <m:nor/>
                      </m:rPr>
                      <a:rPr lang="en-US" sz="2100" b="0" i="0">
                        <a:latin typeface="Cambria Math" panose="02040503050406030204" pitchFamily="18" charset="0"/>
                      </a:rPr>
                      <m:t>Mean</m:t>
                    </m:r>
                    <m:r>
                      <a:rPr lang="en-US" sz="2100" b="0" i="1">
                        <a:latin typeface="Cambria Math" panose="02040503050406030204" pitchFamily="18" charset="0"/>
                      </a:rPr>
                      <m:t>= </m:t>
                    </m:r>
                    <m:f>
                      <m:fPr>
                        <m:ctrlPr>
                          <a:rPr lang="en-US" sz="2100" b="0" i="1">
                            <a:latin typeface="Cambria Math" panose="02040503050406030204" pitchFamily="18" charset="0"/>
                          </a:rPr>
                        </m:ctrlPr>
                      </m:fPr>
                      <m:num>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r>
                                  <a:rPr lang="en-US" sz="2100" b="0" i="1">
                                    <a:solidFill>
                                      <a:schemeClr val="tx1"/>
                                    </a:solidFill>
                                    <a:effectLst/>
                                    <a:latin typeface="Cambria Math" panose="02040503050406030204" pitchFamily="18" charset="0"/>
                                    <a:ea typeface="+mn-ea"/>
                                    <a:cs typeface="+mn-cs"/>
                                  </a:rPr>
                                  <m:t>𝑥</m:t>
                                </m:r>
                              </m:e>
                              <m:sub>
                                <m:r>
                                  <a:rPr lang="en-US" sz="2100" b="0" i="1">
                                    <a:solidFill>
                                      <a:schemeClr val="tx1"/>
                                    </a:solidFill>
                                    <a:effectLst/>
                                    <a:latin typeface="Cambria Math" panose="02040503050406030204" pitchFamily="18" charset="0"/>
                                    <a:ea typeface="+mn-ea"/>
                                    <a:cs typeface="+mn-cs"/>
                                  </a:rPr>
                                  <m:t>𝑖</m:t>
                                </m:r>
                              </m:sub>
                            </m:sSub>
                          </m:e>
                        </m:nary>
                      </m:num>
                      <m:den>
                        <m:nary>
                          <m:naryPr>
                            <m:chr m:val="∑"/>
                            <m:subHide m:val="on"/>
                            <m:supHide m:val="on"/>
                            <m:ctrlPr>
                              <a:rPr lang="en-US" sz="2100" b="0" i="1">
                                <a:solidFill>
                                  <a:schemeClr val="tx1"/>
                                </a:solidFill>
                                <a:effectLst/>
                                <a:latin typeface="Cambria Math" panose="02040503050406030204" pitchFamily="18" charset="0"/>
                                <a:ea typeface="+mn-ea"/>
                                <a:cs typeface="+mn-cs"/>
                              </a:rPr>
                            </m:ctrlPr>
                          </m:naryPr>
                          <m:sub/>
                          <m:sup/>
                          <m:e>
                            <m:sSub>
                              <m:sSubPr>
                                <m:ctrlPr>
                                  <a:rPr lang="en-US" sz="2100" b="0" i="1">
                                    <a:solidFill>
                                      <a:schemeClr val="tx1"/>
                                    </a:solidFill>
                                    <a:effectLst/>
                                    <a:latin typeface="Cambria Math" panose="02040503050406030204" pitchFamily="18" charset="0"/>
                                    <a:ea typeface="+mn-ea"/>
                                    <a:cs typeface="+mn-cs"/>
                                  </a:rPr>
                                </m:ctrlPr>
                              </m:sSubPr>
                              <m:e>
                                <m:r>
                                  <a:rPr lang="en-US" sz="2100" b="0" i="1">
                                    <a:solidFill>
                                      <a:schemeClr val="tx1"/>
                                    </a:solidFill>
                                    <a:effectLst/>
                                    <a:latin typeface="Cambria Math" panose="02040503050406030204" pitchFamily="18" charset="0"/>
                                    <a:ea typeface="+mn-ea"/>
                                    <a:cs typeface="+mn-cs"/>
                                  </a:rPr>
                                  <m:t>𝑤</m:t>
                                </m:r>
                              </m:e>
                              <m:sub>
                                <m:r>
                                  <a:rPr lang="en-US" sz="2100" b="0" i="1">
                                    <a:solidFill>
                                      <a:schemeClr val="tx1"/>
                                    </a:solidFill>
                                    <a:effectLst/>
                                    <a:latin typeface="Cambria Math" panose="02040503050406030204" pitchFamily="18" charset="0"/>
                                    <a:ea typeface="+mn-ea"/>
                                    <a:cs typeface="+mn-cs"/>
                                  </a:rPr>
                                  <m:t>𝑖</m:t>
                                </m:r>
                              </m:sub>
                            </m:sSub>
                          </m:e>
                        </m:nary>
                      </m:den>
                    </m:f>
                  </m:oMath>
                </m:oMathPara>
              </a14:m>
              <a:endParaRPr lang="en-US" sz="2100"/>
            </a:p>
          </xdr:txBody>
        </xdr:sp>
      </mc:Choice>
      <mc:Fallback xmlns="">
        <xdr:sp macro="" textlink="">
          <xdr:nvSpPr>
            <xdr:cNvPr id="3" name="TextBox 7"/>
            <xdr:cNvSpPr txBox="1"/>
          </xdr:nvSpPr>
          <xdr:spPr>
            <a:xfrm>
              <a:off x="5067301" y="1504951"/>
              <a:ext cx="3771899" cy="704850"/>
            </a:xfrm>
            <a:prstGeom prst="rect">
              <a:avLst/>
            </a:prstGeom>
            <a:solidFill>
              <a:srgbClr val="FFFFCC"/>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r>
                <a:rPr lang="en-US" sz="2100" b="0" i="0">
                  <a:latin typeface="Cambria Math" panose="02040503050406030204" pitchFamily="18" charset="0"/>
                </a:rPr>
                <a:t>¯𝑥="Weighted Mean"= </a:t>
              </a:r>
              <a:r>
                <a:rPr lang="en-US" sz="2100" b="0" i="0">
                  <a:solidFill>
                    <a:schemeClr val="tx1"/>
                  </a:solidFill>
                  <a:effectLst/>
                  <a:latin typeface="Cambria Math" panose="02040503050406030204" pitchFamily="18" charset="0"/>
                  <a:ea typeface="+mn-ea"/>
                  <a:cs typeface="+mn-cs"/>
                </a:rPr>
                <a:t> (∑▒〖𝑤_𝑖 𝑥〗_𝑖 )/(∑▒𝑤_𝑖 )</a:t>
              </a:r>
              <a:endParaRPr lang="en-US" sz="2100"/>
            </a:p>
          </xdr:txBody>
        </xdr:sp>
      </mc:Fallback>
    </mc:AlternateContent>
    <xdr:clientData/>
  </xdr:twoCellAnchor>
  <xdr:twoCellAnchor editAs="oneCell">
    <xdr:from>
      <xdr:col>0</xdr:col>
      <xdr:colOff>0</xdr:colOff>
      <xdr:row>0</xdr:row>
      <xdr:rowOff>0</xdr:rowOff>
    </xdr:from>
    <xdr:to>
      <xdr:col>8</xdr:col>
      <xdr:colOff>466725</xdr:colOff>
      <xdr:row>6</xdr:row>
      <xdr:rowOff>85725</xdr:rowOff>
    </xdr:to>
    <xdr:pic>
      <xdr:nvPicPr>
        <xdr:cNvPr id="4" name="Picture 3">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1228725"/>
        </a:xfrm>
        <a:prstGeom prst="rect">
          <a:avLst/>
        </a:prstGeom>
        <a:solidFill>
          <a:schemeClr val="bg1"/>
        </a:solidFill>
      </xdr:spPr>
    </xdr:pic>
    <xdr:clientData/>
  </xdr:twoCellAnchor>
</xdr:wsDr>
</file>

<file path=xl/drawings/drawing14.xml><?xml version="1.0" encoding="utf-8"?>
<xdr:wsDr xmlns:xdr="http://schemas.openxmlformats.org/drawingml/2006/spreadsheetDrawing" xmlns:a="http://schemas.openxmlformats.org/drawingml/2006/main">
  <xdr:oneCellAnchor>
    <xdr:from>
      <xdr:col>6</xdr:col>
      <xdr:colOff>574732</xdr:colOff>
      <xdr:row>3</xdr:row>
      <xdr:rowOff>42183</xdr:rowOff>
    </xdr:from>
    <xdr:ext cx="7226754" cy="76181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6941987" y="601259"/>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400" b="0" i="1">
                      <a:latin typeface="Cambria Math" panose="02040503050406030204" pitchFamily="18" charset="0"/>
                    </a:rPr>
                    <m:t>𝐺𝑒𝑜𝑚𝑒𝑡𝑟𝑖𝑐</m:t>
                  </m:r>
                  <m:r>
                    <a:rPr lang="en-US" sz="1400" b="0" i="1">
                      <a:latin typeface="Cambria Math" panose="02040503050406030204" pitchFamily="18" charset="0"/>
                    </a:rPr>
                    <m:t> </m:t>
                  </m:r>
                  <m:r>
                    <a:rPr lang="en-US" sz="1400" b="0" i="1">
                      <a:latin typeface="Cambria Math" panose="02040503050406030204" pitchFamily="18" charset="0"/>
                    </a:rPr>
                    <m:t>𝑀𝑒𝑎𝑛</m:t>
                  </m:r>
                  <m:r>
                    <a:rPr lang="en-US" sz="1400" b="0" i="1">
                      <a:latin typeface="Cambria Math" panose="02040503050406030204" pitchFamily="18" charset="0"/>
                    </a:rPr>
                    <m:t> 1= </m:t>
                  </m:r>
                  <m:rad>
                    <m:radPr>
                      <m:ctrlPr>
                        <a:rPr lang="en-US" sz="1400" b="0" i="1">
                          <a:latin typeface="Cambria Math" panose="02040503050406030204" pitchFamily="18" charset="0"/>
                        </a:rPr>
                      </m:ctrlPr>
                    </m:radPr>
                    <m:deg>
                      <m:r>
                        <m:rPr>
                          <m:brk m:alnAt="7"/>
                        </m:rPr>
                        <a:rPr lang="en-US" sz="1400" b="0" i="1">
                          <a:latin typeface="Cambria Math" panose="02040503050406030204" pitchFamily="18" charset="0"/>
                        </a:rPr>
                        <m:t>𝑛</m:t>
                      </m:r>
                    </m:deg>
                    <m:e>
                      <m:d>
                        <m:dPr>
                          <m:ctrlPr>
                            <a:rPr lang="en-US" sz="1400" b="0" i="1">
                              <a:latin typeface="Cambria Math" panose="02040503050406030204" pitchFamily="18" charset="0"/>
                            </a:rPr>
                          </m:ctrlPr>
                        </m:dPr>
                        <m:e>
                          <m:r>
                            <a:rPr lang="en-US" sz="1400" b="0" i="1">
                              <a:latin typeface="Cambria Math" panose="02040503050406030204" pitchFamily="18" charset="0"/>
                            </a:rPr>
                            <m:t>1+</m:t>
                          </m:r>
                          <m:r>
                            <a:rPr lang="en-US" sz="1400" b="0" i="1">
                              <a:latin typeface="Cambria Math" panose="02040503050406030204" pitchFamily="18" charset="0"/>
                            </a:rPr>
                            <m:t>𝐺𝑅</m:t>
                          </m:r>
                          <m:r>
                            <a:rPr lang="en-US" sz="1400" b="0" i="1" baseline="-25000">
                              <a:latin typeface="Cambria Math" panose="02040503050406030204" pitchFamily="18" charset="0"/>
                            </a:rPr>
                            <m:t>1</m:t>
                          </m:r>
                        </m:e>
                      </m:d>
                    </m:e>
                  </m:rad>
                  <m:r>
                    <a:rPr lang="en-US" sz="1400" b="0" i="1">
                      <a:latin typeface="Cambria Math" panose="02040503050406030204" pitchFamily="18" charset="0"/>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r>
                    <a:rPr lang="en-US" sz="1400" b="0" i="1">
                      <a:solidFill>
                        <a:schemeClr val="tx1"/>
                      </a:solidFill>
                      <a:effectLst/>
                      <a:latin typeface="Cambria Math" panose="02040503050406030204" pitchFamily="18" charset="0"/>
                      <a:ea typeface="+mn-ea"/>
                      <a:cs typeface="+mn-cs"/>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 then subtract 1</a:t>
              </a:r>
            </a:p>
            <a:p>
              <a:endParaRPr lang="en-US" sz="1600"/>
            </a:p>
            <a:p>
              <a:r>
                <a:rPr lang="en-US" sz="1600"/>
                <a:t>		= </a:t>
              </a:r>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1</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a:t>
              </a:r>
              <a:r>
                <a:rPr lang="en-US" sz="1600"/>
                <a:t>^(1/n)-1</a:t>
              </a:r>
            </a:p>
          </xdr:txBody>
        </xdr:sp>
      </mc:Choice>
      <mc:Fallback xmlns="">
        <xdr:sp macro="" textlink="">
          <xdr:nvSpPr>
            <xdr:cNvPr id="2" name="TextBox 1"/>
            <xdr:cNvSpPr txBox="1"/>
          </xdr:nvSpPr>
          <xdr:spPr>
            <a:xfrm>
              <a:off x="6941987" y="601259"/>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𝐺𝑒𝑜𝑚𝑒𝑡𝑟𝑖𝑐 𝑀𝑒𝑎𝑛 1= √(𝑛&amp;(1+𝐺𝑅</a:t>
              </a:r>
              <a:r>
                <a:rPr lang="en-US" sz="1400" b="0" i="0" baseline="-25000">
                  <a:latin typeface="Cambria Math" panose="02040503050406030204" pitchFamily="18" charset="0"/>
                </a:rPr>
                <a:t>1) )</a:t>
              </a:r>
              <a:r>
                <a:rPr lang="en-US" sz="1400" b="0" i="0">
                  <a:latin typeface="Cambria Math" panose="02040503050406030204" pitchFamily="18" charset="0"/>
                </a:rPr>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b="0" i="0">
                  <a:solidFill>
                    <a:schemeClr val="tx1"/>
                  </a:solidFill>
                  <a:effectLst/>
                  <a:latin typeface="Cambria Math" panose="02040503050406030204" pitchFamily="18" charset="0"/>
                  <a:ea typeface="+mn-ea"/>
                  <a:cs typeface="+mn-cs"/>
                </a:rPr>
                <a:t>∗…(1+𝐺𝑅𝑛)</a:t>
              </a:r>
              <a:r>
                <a:rPr lang="en-US" sz="1400"/>
                <a:t>, then subtract 1</a:t>
              </a:r>
            </a:p>
            <a:p>
              <a:endParaRPr lang="en-US" sz="1600"/>
            </a:p>
            <a:p>
              <a:r>
                <a:rPr lang="en-US" sz="1600"/>
                <a:t>		= </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1)</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a:t>*...</a:t>
              </a:r>
              <a:r>
                <a:rPr lang="en-US" sz="1400" b="0" i="0">
                  <a:solidFill>
                    <a:schemeClr val="tx1"/>
                  </a:solidFill>
                  <a:effectLst/>
                  <a:latin typeface="Cambria Math" panose="02040503050406030204" pitchFamily="18" charset="0"/>
                  <a:ea typeface="+mn-ea"/>
                  <a:cs typeface="+mn-cs"/>
                </a:rPr>
                <a:t>(1+𝐺𝑅𝑛)</a:t>
              </a:r>
              <a:r>
                <a:rPr lang="en-US" sz="1400"/>
                <a:t>]</a:t>
              </a:r>
              <a:r>
                <a:rPr lang="en-US" sz="1600"/>
                <a:t>^(1/n)-1</a:t>
              </a:r>
            </a:p>
          </xdr:txBody>
        </xdr:sp>
      </mc:Fallback>
    </mc:AlternateContent>
    <xdr:clientData/>
  </xdr:oneCellAnchor>
  <xdr:oneCellAnchor>
    <xdr:from>
      <xdr:col>6</xdr:col>
      <xdr:colOff>584256</xdr:colOff>
      <xdr:row>8</xdr:row>
      <xdr:rowOff>27894</xdr:rowOff>
    </xdr:from>
    <xdr:ext cx="4835979" cy="43928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1700-000004000000}"/>
                </a:ext>
              </a:extLst>
            </xdr:cNvPr>
            <xdr:cNvSpPr txBox="1"/>
          </xdr:nvSpPr>
          <xdr:spPr>
            <a:xfrm>
              <a:off x="6953383" y="1588617"/>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800" b="0" i="1">
                      <a:latin typeface="Cambria Math" panose="02040503050406030204" pitchFamily="18" charset="0"/>
                    </a:rPr>
                    <m:t>𝐺𝑒𝑜𝑚𝑒𝑡𝑟𝑖𝑐</m:t>
                  </m:r>
                  <m:r>
                    <a:rPr lang="en-US" sz="1800" b="0" i="1">
                      <a:latin typeface="Cambria Math" panose="02040503050406030204" pitchFamily="18" charset="0"/>
                    </a:rPr>
                    <m:t> </m:t>
                  </m:r>
                  <m:r>
                    <a:rPr lang="en-US" sz="1800" b="0" i="1">
                      <a:latin typeface="Cambria Math" panose="02040503050406030204" pitchFamily="18" charset="0"/>
                    </a:rPr>
                    <m:t>𝑀𝑒𝑎𝑛</m:t>
                  </m:r>
                  <m:r>
                    <a:rPr lang="en-US" sz="1800" b="0" i="1">
                      <a:latin typeface="Cambria Math" panose="02040503050406030204" pitchFamily="18" charset="0"/>
                    </a:rPr>
                    <m:t> 2=</m:t>
                  </m:r>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r>
                            <a:rPr lang="en-US" sz="1800" b="0" i="1">
                              <a:latin typeface="Cambria Math" panose="02040503050406030204" pitchFamily="18" charset="0"/>
                            </a:rPr>
                            <m:t>𝐸𝑛𝑑𝑉𝑎𝑙𝑢𝑒</m:t>
                          </m:r>
                        </m:num>
                        <m:den>
                          <m:r>
                            <a:rPr lang="en-US" sz="1800" b="0" i="1">
                              <a:latin typeface="Cambria Math" panose="02040503050406030204" pitchFamily="18" charset="0"/>
                            </a:rPr>
                            <m:t>𝐵𝑒𝑔𝑉𝑎𝑙𝑢𝑒</m:t>
                          </m:r>
                        </m:den>
                      </m:f>
                    </m:e>
                  </m:d>
                  <m:r>
                    <a:rPr lang="en-US" sz="1800" b="0" i="1">
                      <a:latin typeface="Cambria Math" panose="02040503050406030204" pitchFamily="18" charset="0"/>
                    </a:rPr>
                    <m:t> </m:t>
                  </m:r>
                </m:oMath>
              </a14:m>
              <a:r>
                <a:rPr lang="en-US" sz="1800"/>
                <a:t>^(1/n)-1</a:t>
              </a:r>
            </a:p>
          </xdr:txBody>
        </xdr:sp>
      </mc:Choice>
      <mc:Fallback xmlns="">
        <xdr:sp macro="" textlink="">
          <xdr:nvSpPr>
            <xdr:cNvPr id="4" name="TextBox 3"/>
            <xdr:cNvSpPr txBox="1"/>
          </xdr:nvSpPr>
          <xdr:spPr>
            <a:xfrm>
              <a:off x="6953383" y="1588617"/>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𝐺𝑒𝑜𝑚𝑒𝑡𝑟𝑖𝑐 𝑀𝑒𝑎𝑛 2=(𝐸𝑛𝑑𝑉𝑎𝑙𝑢𝑒/𝐵𝑒𝑔𝑉𝑎𝑙𝑢𝑒)  </a:t>
              </a:r>
              <a:r>
                <a:rPr lang="en-US" sz="1800"/>
                <a:t>^(1/n)-1</a:t>
              </a:r>
            </a:p>
          </xdr:txBody>
        </xdr:sp>
      </mc:Fallback>
    </mc:AlternateContent>
    <xdr:clientData/>
  </xdr:oneCellAnchor>
  <xdr:oneCellAnchor>
    <xdr:from>
      <xdr:col>9</xdr:col>
      <xdr:colOff>414337</xdr:colOff>
      <xdr:row>12</xdr:row>
      <xdr:rowOff>152400</xdr:rowOff>
    </xdr:from>
    <xdr:ext cx="65" cy="172227"/>
    <xdr:sp macro="" textlink="">
      <xdr:nvSpPr>
        <xdr:cNvPr id="6" name="TextBox 5">
          <a:extLst>
            <a:ext uri="{FF2B5EF4-FFF2-40B4-BE49-F238E27FC236}">
              <a16:creationId xmlns:a16="http://schemas.microsoft.com/office/drawing/2014/main" id="{00000000-0008-0000-17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7</xdr:col>
      <xdr:colOff>323786</xdr:colOff>
      <xdr:row>31</xdr:row>
      <xdr:rowOff>144037</xdr:rowOff>
    </xdr:from>
    <xdr:ext cx="4995855" cy="281808"/>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700-000003000000}"/>
                </a:ext>
              </a:extLst>
            </xdr:cNvPr>
            <xdr:cNvSpPr txBox="1"/>
          </xdr:nvSpPr>
          <xdr:spPr>
            <a:xfrm>
              <a:off x="7602128" y="6117869"/>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𝐹𝑉</m:t>
                    </m:r>
                    <m:r>
                      <a:rPr lang="en-US" sz="1800" b="0" i="1">
                        <a:latin typeface="Cambria Math" panose="02040503050406030204" pitchFamily="18" charset="0"/>
                      </a:rPr>
                      <m:t>=</m:t>
                    </m:r>
                    <m:r>
                      <a:rPr lang="en-US" sz="1800" b="0" i="1">
                        <a:latin typeface="Cambria Math" panose="02040503050406030204" pitchFamily="18" charset="0"/>
                      </a:rPr>
                      <m:t>𝑃𝑉</m:t>
                    </m:r>
                    <m:r>
                      <a:rPr lang="en-US" sz="1800" b="0" i="1">
                        <a:latin typeface="Cambria Math" panose="02040503050406030204" pitchFamily="18" charset="0"/>
                      </a:rPr>
                      <m:t>∗(1+</m:t>
                    </m:r>
                    <m:r>
                      <a:rPr lang="en-US" sz="1800" b="0" i="1">
                        <a:latin typeface="Cambria Math" panose="02040503050406030204" pitchFamily="18" charset="0"/>
                      </a:rPr>
                      <m:t>𝑃𝑒𝑟𝑖𝑜𝑑𝑅𝑎𝑡𝑒</m:t>
                    </m:r>
                    <m:r>
                      <a:rPr lang="en-US" sz="1800" b="0" i="1">
                        <a:latin typeface="Cambria Math" panose="02040503050406030204" pitchFamily="18" charset="0"/>
                      </a:rPr>
                      <m:t>)^</m:t>
                    </m:r>
                    <m:r>
                      <a:rPr lang="en-US" sz="1800" b="0" i="1">
                        <a:latin typeface="Cambria Math" panose="02040503050406030204" pitchFamily="18" charset="0"/>
                      </a:rPr>
                      <m:t>𝑁𝑢𝑚𝑏𝑒𝑟𝑂𝑓𝑃𝑒𝑟𝑖𝑜𝑑𝑠</m:t>
                    </m:r>
                  </m:oMath>
                </m:oMathPara>
              </a14:m>
              <a:endParaRPr lang="en-US" sz="1800"/>
            </a:p>
          </xdr:txBody>
        </xdr:sp>
      </mc:Choice>
      <mc:Fallback xmlns="">
        <xdr:sp macro="" textlink="">
          <xdr:nvSpPr>
            <xdr:cNvPr id="3" name="TextBox 2"/>
            <xdr:cNvSpPr txBox="1"/>
          </xdr:nvSpPr>
          <xdr:spPr>
            <a:xfrm>
              <a:off x="7602128" y="6117869"/>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𝐹𝑉=𝑃𝑉∗(1+𝑃𝑒𝑟𝑖𝑜𝑑𝑅𝑎𝑡𝑒)^𝑁𝑢𝑚𝑏𝑒𝑟𝑂𝑓𝑃𝑒𝑟𝑖𝑜𝑑𝑠</a:t>
              </a:r>
              <a:endParaRPr lang="en-US" sz="1800"/>
            </a:p>
          </xdr:txBody>
        </xdr:sp>
      </mc:Fallback>
    </mc:AlternateContent>
    <xdr:clientData/>
  </xdr:oneCellAnchor>
  <xdr:twoCellAnchor editAs="oneCell">
    <xdr:from>
      <xdr:col>0</xdr:col>
      <xdr:colOff>0</xdr:colOff>
      <xdr:row>0</xdr:row>
      <xdr:rowOff>0</xdr:rowOff>
    </xdr:from>
    <xdr:to>
      <xdr:col>6</xdr:col>
      <xdr:colOff>485775</xdr:colOff>
      <xdr:row>26</xdr:row>
      <xdr:rowOff>85725</xdr:rowOff>
    </xdr:to>
    <xdr:pic>
      <xdr:nvPicPr>
        <xdr:cNvPr id="8" name="Picture 7">
          <a:extLst>
            <a:ext uri="{FF2B5EF4-FFF2-40B4-BE49-F238E27FC236}">
              <a16:creationId xmlns:a16="http://schemas.microsoft.com/office/drawing/2014/main" id="{00000000-0008-0000-1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5038725"/>
        </a:xfrm>
        <a:prstGeom prst="rect">
          <a:avLst/>
        </a:prstGeom>
        <a:solidFill>
          <a:schemeClr val="bg1"/>
        </a:solidFill>
      </xdr:spPr>
    </xdr:pic>
    <xdr:clientData/>
  </xdr:twoCellAnchor>
</xdr:wsDr>
</file>

<file path=xl/drawings/drawing15.xml><?xml version="1.0" encoding="utf-8"?>
<xdr:wsDr xmlns:xdr="http://schemas.openxmlformats.org/drawingml/2006/spreadsheetDrawing" xmlns:a="http://schemas.openxmlformats.org/drawingml/2006/main">
  <xdr:oneCellAnchor>
    <xdr:from>
      <xdr:col>6</xdr:col>
      <xdr:colOff>574732</xdr:colOff>
      <xdr:row>3</xdr:row>
      <xdr:rowOff>42183</xdr:rowOff>
    </xdr:from>
    <xdr:ext cx="7226754" cy="76181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1800-000002000000}"/>
                </a:ext>
              </a:extLst>
            </xdr:cNvPr>
            <xdr:cNvSpPr txBox="1"/>
          </xdr:nvSpPr>
          <xdr:spPr>
            <a:xfrm>
              <a:off x="6946957" y="613683"/>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400" b="0" i="1">
                      <a:latin typeface="Cambria Math" panose="02040503050406030204" pitchFamily="18" charset="0"/>
                    </a:rPr>
                    <m:t>𝐺𝑒𝑜𝑚𝑒𝑡𝑟𝑖𝑐</m:t>
                  </m:r>
                  <m:r>
                    <a:rPr lang="en-US" sz="1400" b="0" i="1">
                      <a:latin typeface="Cambria Math" panose="02040503050406030204" pitchFamily="18" charset="0"/>
                    </a:rPr>
                    <m:t> </m:t>
                  </m:r>
                  <m:r>
                    <a:rPr lang="en-US" sz="1400" b="0" i="1">
                      <a:latin typeface="Cambria Math" panose="02040503050406030204" pitchFamily="18" charset="0"/>
                    </a:rPr>
                    <m:t>𝑀𝑒𝑎𝑛</m:t>
                  </m:r>
                  <m:r>
                    <a:rPr lang="en-US" sz="1400" b="0" i="1">
                      <a:latin typeface="Cambria Math" panose="02040503050406030204" pitchFamily="18" charset="0"/>
                    </a:rPr>
                    <m:t> 1= </m:t>
                  </m:r>
                  <m:rad>
                    <m:radPr>
                      <m:ctrlPr>
                        <a:rPr lang="en-US" sz="1400" b="0" i="1">
                          <a:latin typeface="Cambria Math" panose="02040503050406030204" pitchFamily="18" charset="0"/>
                        </a:rPr>
                      </m:ctrlPr>
                    </m:radPr>
                    <m:deg>
                      <m:r>
                        <m:rPr>
                          <m:brk m:alnAt="7"/>
                        </m:rPr>
                        <a:rPr lang="en-US" sz="1400" b="0" i="1">
                          <a:latin typeface="Cambria Math" panose="02040503050406030204" pitchFamily="18" charset="0"/>
                        </a:rPr>
                        <m:t>𝑛</m:t>
                      </m:r>
                    </m:deg>
                    <m:e>
                      <m:d>
                        <m:dPr>
                          <m:ctrlPr>
                            <a:rPr lang="en-US" sz="1400" b="0" i="1">
                              <a:latin typeface="Cambria Math" panose="02040503050406030204" pitchFamily="18" charset="0"/>
                            </a:rPr>
                          </m:ctrlPr>
                        </m:dPr>
                        <m:e>
                          <m:r>
                            <a:rPr lang="en-US" sz="1400" b="0" i="1">
                              <a:latin typeface="Cambria Math" panose="02040503050406030204" pitchFamily="18" charset="0"/>
                            </a:rPr>
                            <m:t>1+</m:t>
                          </m:r>
                          <m:r>
                            <a:rPr lang="en-US" sz="1400" b="0" i="1">
                              <a:latin typeface="Cambria Math" panose="02040503050406030204" pitchFamily="18" charset="0"/>
                            </a:rPr>
                            <m:t>𝐺𝑅</m:t>
                          </m:r>
                          <m:r>
                            <a:rPr lang="en-US" sz="1400" b="0" i="1" baseline="-25000">
                              <a:latin typeface="Cambria Math" panose="02040503050406030204" pitchFamily="18" charset="0"/>
                            </a:rPr>
                            <m:t>1</m:t>
                          </m:r>
                        </m:e>
                      </m:d>
                    </m:e>
                  </m:rad>
                  <m:r>
                    <a:rPr lang="en-US" sz="1400" b="0" i="1">
                      <a:latin typeface="Cambria Math" panose="02040503050406030204" pitchFamily="18" charset="0"/>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r>
                    <a:rPr lang="en-US" sz="1400" b="0" i="1">
                      <a:solidFill>
                        <a:schemeClr val="tx1"/>
                      </a:solidFill>
                      <a:effectLst/>
                      <a:latin typeface="Cambria Math" panose="02040503050406030204" pitchFamily="18" charset="0"/>
                      <a:ea typeface="+mn-ea"/>
                      <a:cs typeface="+mn-cs"/>
                    </a:rPr>
                    <m:t>∗…</m:t>
                  </m:r>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 then subtract 1</a:t>
              </a:r>
            </a:p>
            <a:p>
              <a:endParaRPr lang="en-US" sz="1600"/>
            </a:p>
            <a:p>
              <a:r>
                <a:rPr lang="en-US" sz="1600"/>
                <a:t>		= </a:t>
              </a:r>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1</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m:t>
                      </m:r>
                      <m:r>
                        <a:rPr lang="en-US" sz="1400" b="0" i="1" baseline="-25000">
                          <a:solidFill>
                            <a:schemeClr val="tx1"/>
                          </a:solidFill>
                          <a:effectLst/>
                          <a:latin typeface="Cambria Math" panose="02040503050406030204" pitchFamily="18" charset="0"/>
                          <a:ea typeface="+mn-ea"/>
                          <a:cs typeface="+mn-cs"/>
                        </a:rPr>
                        <m:t>2</m:t>
                      </m:r>
                    </m:e>
                  </m:d>
                </m:oMath>
              </a14:m>
              <a:r>
                <a:rPr lang="en-US" sz="1400"/>
                <a:t>*...</a:t>
              </a:r>
              <a14:m>
                <m:oMath xmlns:m="http://schemas.openxmlformats.org/officeDocument/2006/math">
                  <m:d>
                    <m:dPr>
                      <m:ctrlPr>
                        <a:rPr lang="en-US" sz="1400" b="0" i="1">
                          <a:solidFill>
                            <a:schemeClr val="tx1"/>
                          </a:solidFill>
                          <a:effectLst/>
                          <a:latin typeface="Cambria Math" panose="02040503050406030204" pitchFamily="18" charset="0"/>
                          <a:ea typeface="+mn-ea"/>
                          <a:cs typeface="+mn-cs"/>
                        </a:rPr>
                      </m:ctrlPr>
                    </m:dPr>
                    <m:e>
                      <m:r>
                        <a:rPr lang="en-US" sz="1400" b="0" i="1">
                          <a:solidFill>
                            <a:schemeClr val="tx1"/>
                          </a:solidFill>
                          <a:effectLst/>
                          <a:latin typeface="Cambria Math" panose="02040503050406030204" pitchFamily="18" charset="0"/>
                          <a:ea typeface="+mn-ea"/>
                          <a:cs typeface="+mn-cs"/>
                        </a:rPr>
                        <m:t>1+</m:t>
                      </m:r>
                      <m:r>
                        <a:rPr lang="en-US" sz="1400" b="0" i="1">
                          <a:solidFill>
                            <a:schemeClr val="tx1"/>
                          </a:solidFill>
                          <a:effectLst/>
                          <a:latin typeface="Cambria Math" panose="02040503050406030204" pitchFamily="18" charset="0"/>
                          <a:ea typeface="+mn-ea"/>
                          <a:cs typeface="+mn-cs"/>
                        </a:rPr>
                        <m:t>𝐺𝑅𝑛</m:t>
                      </m:r>
                    </m:e>
                  </m:d>
                </m:oMath>
              </a14:m>
              <a:r>
                <a:rPr lang="en-US" sz="1400"/>
                <a:t>]</a:t>
              </a:r>
              <a:r>
                <a:rPr lang="en-US" sz="1600"/>
                <a:t>^(1/n)-1</a:t>
              </a:r>
            </a:p>
          </xdr:txBody>
        </xdr:sp>
      </mc:Choice>
      <mc:Fallback xmlns="">
        <xdr:sp macro="" textlink="">
          <xdr:nvSpPr>
            <xdr:cNvPr id="2" name="TextBox 1"/>
            <xdr:cNvSpPr txBox="1"/>
          </xdr:nvSpPr>
          <xdr:spPr>
            <a:xfrm>
              <a:off x="6946957" y="613683"/>
              <a:ext cx="7226754" cy="76181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400" b="0" i="0">
                  <a:latin typeface="Cambria Math" panose="02040503050406030204" pitchFamily="18" charset="0"/>
                </a:rPr>
                <a:t>𝐺𝑒𝑜𝑚𝑒𝑡𝑟𝑖𝑐 𝑀𝑒𝑎𝑛 1= √(𝑛&amp;(1+𝐺𝑅</a:t>
              </a:r>
              <a:r>
                <a:rPr lang="en-US" sz="1400" b="0" i="0" baseline="-25000">
                  <a:latin typeface="Cambria Math" panose="02040503050406030204" pitchFamily="18" charset="0"/>
                </a:rPr>
                <a:t>1) )</a:t>
              </a:r>
              <a:r>
                <a:rPr lang="en-US" sz="1400" b="0" i="0">
                  <a:latin typeface="Cambria Math" panose="02040503050406030204" pitchFamily="18" charset="0"/>
                </a:rPr>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b="0" i="0">
                  <a:solidFill>
                    <a:schemeClr val="tx1"/>
                  </a:solidFill>
                  <a:effectLst/>
                  <a:latin typeface="Cambria Math" panose="02040503050406030204" pitchFamily="18" charset="0"/>
                  <a:ea typeface="+mn-ea"/>
                  <a:cs typeface="+mn-cs"/>
                </a:rPr>
                <a:t>∗…(1+𝐺𝑅𝑛)</a:t>
              </a:r>
              <a:r>
                <a:rPr lang="en-US" sz="1400"/>
                <a:t>, then subtract 1</a:t>
              </a:r>
            </a:p>
            <a:p>
              <a:endParaRPr lang="en-US" sz="1600"/>
            </a:p>
            <a:p>
              <a:r>
                <a:rPr lang="en-US" sz="1600"/>
                <a:t>		= </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1)</a:t>
              </a:r>
              <a:r>
                <a:rPr lang="en-US" sz="1400"/>
                <a:t>*</a:t>
              </a:r>
              <a:r>
                <a:rPr lang="en-US" sz="1400" b="0" i="0">
                  <a:solidFill>
                    <a:schemeClr val="tx1"/>
                  </a:solidFill>
                  <a:effectLst/>
                  <a:latin typeface="Cambria Math" panose="02040503050406030204" pitchFamily="18" charset="0"/>
                  <a:ea typeface="+mn-ea"/>
                  <a:cs typeface="+mn-cs"/>
                </a:rPr>
                <a:t>(1+𝐺𝑅</a:t>
              </a:r>
              <a:r>
                <a:rPr lang="en-US" sz="1400" b="0" i="0" baseline="-25000">
                  <a:solidFill>
                    <a:schemeClr val="tx1"/>
                  </a:solidFill>
                  <a:effectLst/>
                  <a:latin typeface="Cambria Math" panose="02040503050406030204" pitchFamily="18" charset="0"/>
                  <a:ea typeface="+mn-ea"/>
                  <a:cs typeface="+mn-cs"/>
                </a:rPr>
                <a:t>2)</a:t>
              </a:r>
              <a:r>
                <a:rPr lang="en-US" sz="1400"/>
                <a:t>*...</a:t>
              </a:r>
              <a:r>
                <a:rPr lang="en-US" sz="1400" b="0" i="0">
                  <a:solidFill>
                    <a:schemeClr val="tx1"/>
                  </a:solidFill>
                  <a:effectLst/>
                  <a:latin typeface="Cambria Math" panose="02040503050406030204" pitchFamily="18" charset="0"/>
                  <a:ea typeface="+mn-ea"/>
                  <a:cs typeface="+mn-cs"/>
                </a:rPr>
                <a:t>(1+𝐺𝑅𝑛)</a:t>
              </a:r>
              <a:r>
                <a:rPr lang="en-US" sz="1400"/>
                <a:t>]</a:t>
              </a:r>
              <a:r>
                <a:rPr lang="en-US" sz="1600"/>
                <a:t>^(1/n)-1</a:t>
              </a:r>
            </a:p>
          </xdr:txBody>
        </xdr:sp>
      </mc:Fallback>
    </mc:AlternateContent>
    <xdr:clientData/>
  </xdr:oneCellAnchor>
  <xdr:oneCellAnchor>
    <xdr:from>
      <xdr:col>6</xdr:col>
      <xdr:colOff>584256</xdr:colOff>
      <xdr:row>8</xdr:row>
      <xdr:rowOff>27894</xdr:rowOff>
    </xdr:from>
    <xdr:ext cx="4835979" cy="439287"/>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800-000003000000}"/>
                </a:ext>
              </a:extLst>
            </xdr:cNvPr>
            <xdr:cNvSpPr txBox="1"/>
          </xdr:nvSpPr>
          <xdr:spPr>
            <a:xfrm>
              <a:off x="6956481" y="1551894"/>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14:m>
                <m:oMath xmlns:m="http://schemas.openxmlformats.org/officeDocument/2006/math">
                  <m:r>
                    <a:rPr lang="en-US" sz="1800" b="0" i="1">
                      <a:latin typeface="Cambria Math" panose="02040503050406030204" pitchFamily="18" charset="0"/>
                    </a:rPr>
                    <m:t>𝐺𝑒𝑜𝑚𝑒𝑡𝑟𝑖𝑐</m:t>
                  </m:r>
                  <m:r>
                    <a:rPr lang="en-US" sz="1800" b="0" i="1">
                      <a:latin typeface="Cambria Math" panose="02040503050406030204" pitchFamily="18" charset="0"/>
                    </a:rPr>
                    <m:t> </m:t>
                  </m:r>
                  <m:r>
                    <a:rPr lang="en-US" sz="1800" b="0" i="1">
                      <a:latin typeface="Cambria Math" panose="02040503050406030204" pitchFamily="18" charset="0"/>
                    </a:rPr>
                    <m:t>𝑀𝑒𝑎𝑛</m:t>
                  </m:r>
                  <m:r>
                    <a:rPr lang="en-US" sz="1800" b="0" i="1">
                      <a:latin typeface="Cambria Math" panose="02040503050406030204" pitchFamily="18" charset="0"/>
                    </a:rPr>
                    <m:t> 2=</m:t>
                  </m:r>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r>
                            <a:rPr lang="en-US" sz="1800" b="0" i="1">
                              <a:latin typeface="Cambria Math" panose="02040503050406030204" pitchFamily="18" charset="0"/>
                            </a:rPr>
                            <m:t>𝐸𝑛𝑑𝑉𝑎𝑙𝑢𝑒</m:t>
                          </m:r>
                        </m:num>
                        <m:den>
                          <m:r>
                            <a:rPr lang="en-US" sz="1800" b="0" i="1">
                              <a:latin typeface="Cambria Math" panose="02040503050406030204" pitchFamily="18" charset="0"/>
                            </a:rPr>
                            <m:t>𝐵𝑒𝑔𝑉𝑎𝑙𝑢𝑒</m:t>
                          </m:r>
                        </m:den>
                      </m:f>
                    </m:e>
                  </m:d>
                  <m:r>
                    <a:rPr lang="en-US" sz="1800" b="0" i="1">
                      <a:latin typeface="Cambria Math" panose="02040503050406030204" pitchFamily="18" charset="0"/>
                    </a:rPr>
                    <m:t> </m:t>
                  </m:r>
                </m:oMath>
              </a14:m>
              <a:r>
                <a:rPr lang="en-US" sz="1800"/>
                <a:t>^(1/n)-1</a:t>
              </a:r>
            </a:p>
          </xdr:txBody>
        </xdr:sp>
      </mc:Choice>
      <mc:Fallback xmlns="">
        <xdr:sp macro="" textlink="">
          <xdr:nvSpPr>
            <xdr:cNvPr id="3" name="TextBox 2"/>
            <xdr:cNvSpPr txBox="1"/>
          </xdr:nvSpPr>
          <xdr:spPr>
            <a:xfrm>
              <a:off x="6956481" y="1551894"/>
              <a:ext cx="4835979" cy="43928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800" b="0" i="0">
                  <a:latin typeface="Cambria Math" panose="02040503050406030204" pitchFamily="18" charset="0"/>
                </a:rPr>
                <a:t>𝐺𝑒𝑜𝑚𝑒𝑡𝑟𝑖𝑐 𝑀𝑒𝑎𝑛 2=(𝐸𝑛𝑑𝑉𝑎𝑙𝑢𝑒/𝐵𝑒𝑔𝑉𝑎𝑙𝑢𝑒)  </a:t>
              </a:r>
              <a:r>
                <a:rPr lang="en-US" sz="1800"/>
                <a:t>^(1/n)-1</a:t>
              </a:r>
            </a:p>
          </xdr:txBody>
        </xdr:sp>
      </mc:Fallback>
    </mc:AlternateContent>
    <xdr:clientData/>
  </xdr:oneCellAnchor>
  <xdr:oneCellAnchor>
    <xdr:from>
      <xdr:col>9</xdr:col>
      <xdr:colOff>414337</xdr:colOff>
      <xdr:row>12</xdr:row>
      <xdr:rowOff>152400</xdr:rowOff>
    </xdr:from>
    <xdr:ext cx="65" cy="172227"/>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10139362" y="2438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7</xdr:col>
      <xdr:colOff>323786</xdr:colOff>
      <xdr:row>31</xdr:row>
      <xdr:rowOff>144037</xdr:rowOff>
    </xdr:from>
    <xdr:ext cx="4995855" cy="28180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800-000005000000}"/>
                </a:ext>
              </a:extLst>
            </xdr:cNvPr>
            <xdr:cNvSpPr txBox="1"/>
          </xdr:nvSpPr>
          <xdr:spPr>
            <a:xfrm>
              <a:off x="7743761" y="6240037"/>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𝐹𝑉</m:t>
                    </m:r>
                    <m:r>
                      <a:rPr lang="en-US" sz="1800" b="0" i="1">
                        <a:latin typeface="Cambria Math" panose="02040503050406030204" pitchFamily="18" charset="0"/>
                      </a:rPr>
                      <m:t>=</m:t>
                    </m:r>
                    <m:r>
                      <a:rPr lang="en-US" sz="1800" b="0" i="1">
                        <a:latin typeface="Cambria Math" panose="02040503050406030204" pitchFamily="18" charset="0"/>
                      </a:rPr>
                      <m:t>𝑃𝑉</m:t>
                    </m:r>
                    <m:r>
                      <a:rPr lang="en-US" sz="1800" b="0" i="1">
                        <a:latin typeface="Cambria Math" panose="02040503050406030204" pitchFamily="18" charset="0"/>
                      </a:rPr>
                      <m:t>∗(1+</m:t>
                    </m:r>
                    <m:r>
                      <a:rPr lang="en-US" sz="1800" b="0" i="1">
                        <a:latin typeface="Cambria Math" panose="02040503050406030204" pitchFamily="18" charset="0"/>
                      </a:rPr>
                      <m:t>𝑃𝑒𝑟𝑖𝑜𝑑𝑅𝑎𝑡𝑒</m:t>
                    </m:r>
                    <m:r>
                      <a:rPr lang="en-US" sz="1800" b="0" i="1">
                        <a:latin typeface="Cambria Math" panose="02040503050406030204" pitchFamily="18" charset="0"/>
                      </a:rPr>
                      <m:t>)^</m:t>
                    </m:r>
                    <m:r>
                      <a:rPr lang="en-US" sz="1800" b="0" i="1">
                        <a:latin typeface="Cambria Math" panose="02040503050406030204" pitchFamily="18" charset="0"/>
                      </a:rPr>
                      <m:t>𝑁𝑢𝑚𝑏𝑒𝑟𝑂𝑓𝑃𝑒𝑟𝑖𝑜𝑑𝑠</m:t>
                    </m:r>
                  </m:oMath>
                </m:oMathPara>
              </a14:m>
              <a:endParaRPr lang="en-US" sz="1800"/>
            </a:p>
          </xdr:txBody>
        </xdr:sp>
      </mc:Choice>
      <mc:Fallback xmlns="">
        <xdr:sp macro="" textlink="">
          <xdr:nvSpPr>
            <xdr:cNvPr id="5" name="TextBox 4"/>
            <xdr:cNvSpPr txBox="1"/>
          </xdr:nvSpPr>
          <xdr:spPr>
            <a:xfrm>
              <a:off x="7743761" y="6240037"/>
              <a:ext cx="4995855"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𝐹𝑉=𝑃𝑉∗(1+𝑃𝑒𝑟𝑖𝑜𝑑𝑅𝑎𝑡𝑒)^𝑁𝑢𝑚𝑏𝑒𝑟𝑂𝑓𝑃𝑒𝑟𝑖𝑜𝑑𝑠</a:t>
              </a:r>
              <a:endParaRPr lang="en-US" sz="1800"/>
            </a:p>
          </xdr:txBody>
        </xdr:sp>
      </mc:Fallback>
    </mc:AlternateContent>
    <xdr:clientData/>
  </xdr:oneCellAnchor>
  <xdr:twoCellAnchor editAs="oneCell">
    <xdr:from>
      <xdr:col>0</xdr:col>
      <xdr:colOff>0</xdr:colOff>
      <xdr:row>0</xdr:row>
      <xdr:rowOff>0</xdr:rowOff>
    </xdr:from>
    <xdr:to>
      <xdr:col>6</xdr:col>
      <xdr:colOff>485775</xdr:colOff>
      <xdr:row>26</xdr:row>
      <xdr:rowOff>85725</xdr:rowOff>
    </xdr:to>
    <xdr:pic>
      <xdr:nvPicPr>
        <xdr:cNvPr id="6" name="Picture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5038725"/>
        </a:xfrm>
        <a:prstGeom prst="rect">
          <a:avLst/>
        </a:prstGeom>
        <a:solidFill>
          <a:schemeClr val="bg1"/>
        </a:solidFill>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552450</xdr:colOff>
      <xdr:row>19</xdr:row>
      <xdr:rowOff>9525</xdr:rowOff>
    </xdr:to>
    <xdr:pic>
      <xdr:nvPicPr>
        <xdr:cNvPr id="5" name="Picture 4">
          <a:extLst>
            <a:ext uri="{FF2B5EF4-FFF2-40B4-BE49-F238E27FC236}">
              <a16:creationId xmlns:a16="http://schemas.microsoft.com/office/drawing/2014/main" id="{00000000-0008-0000-1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629025"/>
        </a:xfrm>
        <a:prstGeom prst="rect">
          <a:avLst/>
        </a:prstGeom>
        <a:solidFill>
          <a:schemeClr val="bg1"/>
        </a:solidFill>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552450</xdr:colOff>
      <xdr:row>19</xdr:row>
      <xdr:rowOff>9525</xdr:rowOff>
    </xdr:to>
    <xdr:pic>
      <xdr:nvPicPr>
        <xdr:cNvPr id="2" name="Picture 1">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629025"/>
        </a:xfrm>
        <a:prstGeom prst="rect">
          <a:avLst/>
        </a:prstGeom>
        <a:solidFill>
          <a:schemeClr val="bg1"/>
        </a:solidFill>
      </xdr:spPr>
    </xdr:pic>
    <xdr:clientData/>
  </xdr:twoCellAnchor>
</xdr:wsDr>
</file>

<file path=xl/drawings/drawing18.xml><?xml version="1.0" encoding="utf-8"?>
<xdr:wsDr xmlns:xdr="http://schemas.openxmlformats.org/drawingml/2006/spreadsheetDrawing" xmlns:a="http://schemas.openxmlformats.org/drawingml/2006/main">
  <xdr:twoCellAnchor>
    <xdr:from>
      <xdr:col>3</xdr:col>
      <xdr:colOff>114299</xdr:colOff>
      <xdr:row>2</xdr:row>
      <xdr:rowOff>42862</xdr:rowOff>
    </xdr:from>
    <xdr:to>
      <xdr:col>10</xdr:col>
      <xdr:colOff>248478</xdr:colOff>
      <xdr:row>18</xdr:row>
      <xdr:rowOff>195473</xdr:rowOff>
    </xdr:to>
    <xdr:graphicFrame macro="">
      <xdr:nvGraphicFramePr>
        <xdr:cNvPr id="3" name="Chart 2">
          <a:extLst>
            <a:ext uri="{FF2B5EF4-FFF2-40B4-BE49-F238E27FC236}">
              <a16:creationId xmlns:a16="http://schemas.microsoft.com/office/drawing/2014/main" id="{00000000-0008-0000-1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20</xdr:row>
      <xdr:rowOff>52387</xdr:rowOff>
    </xdr:from>
    <xdr:to>
      <xdr:col>5</xdr:col>
      <xdr:colOff>809625</xdr:colOff>
      <xdr:row>33</xdr:row>
      <xdr:rowOff>128587</xdr:rowOff>
    </xdr:to>
    <xdr:graphicFrame macro="">
      <xdr:nvGraphicFramePr>
        <xdr:cNvPr id="4" name="Chart 3">
          <a:extLst>
            <a:ext uri="{FF2B5EF4-FFF2-40B4-BE49-F238E27FC236}">
              <a16:creationId xmlns:a16="http://schemas.microsoft.com/office/drawing/2014/main" id="{00000000-0008-0000-1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20</xdr:row>
      <xdr:rowOff>38100</xdr:rowOff>
    </xdr:from>
    <xdr:to>
      <xdr:col>11</xdr:col>
      <xdr:colOff>361950</xdr:colOff>
      <xdr:row>33</xdr:row>
      <xdr:rowOff>173355</xdr:rowOff>
    </xdr:to>
    <xdr:graphicFrame macro="">
      <xdr:nvGraphicFramePr>
        <xdr:cNvPr id="5" name="Chart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171450</xdr:colOff>
      <xdr:row>2</xdr:row>
      <xdr:rowOff>61912</xdr:rowOff>
    </xdr:from>
    <xdr:to>
      <xdr:col>10</xdr:col>
      <xdr:colOff>371475</xdr:colOff>
      <xdr:row>18</xdr:row>
      <xdr:rowOff>63817</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66675</xdr:colOff>
      <xdr:row>24</xdr:row>
      <xdr:rowOff>33337</xdr:rowOff>
    </xdr:from>
    <xdr:to>
      <xdr:col>5</xdr:col>
      <xdr:colOff>257175</xdr:colOff>
      <xdr:row>38</xdr:row>
      <xdr:rowOff>109537</xdr:rowOff>
    </xdr:to>
    <xdr:graphicFrame macro="">
      <xdr:nvGraphicFramePr>
        <xdr:cNvPr id="3" name="Chart 2">
          <a:extLst>
            <a:ext uri="{FF2B5EF4-FFF2-40B4-BE49-F238E27FC236}">
              <a16:creationId xmlns:a16="http://schemas.microsoft.com/office/drawing/2014/main" id="{00000000-0008-0000-1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333375</xdr:colOff>
      <xdr:row>24</xdr:row>
      <xdr:rowOff>28575</xdr:rowOff>
    </xdr:from>
    <xdr:to>
      <xdr:col>11</xdr:col>
      <xdr:colOff>66675</xdr:colOff>
      <xdr:row>38</xdr:row>
      <xdr:rowOff>104775</xdr:rowOff>
    </xdr:to>
    <xdr:graphicFrame macro="">
      <xdr:nvGraphicFramePr>
        <xdr:cNvPr id="5" name="Chart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263386</xdr:colOff>
      <xdr:row>1</xdr:row>
      <xdr:rowOff>59426</xdr:rowOff>
    </xdr:from>
    <xdr:to>
      <xdr:col>10</xdr:col>
      <xdr:colOff>397565</xdr:colOff>
      <xdr:row>20</xdr:row>
      <xdr:rowOff>24848</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23</xdr:row>
      <xdr:rowOff>52387</xdr:rowOff>
    </xdr:from>
    <xdr:to>
      <xdr:col>5</xdr:col>
      <xdr:colOff>809625</xdr:colOff>
      <xdr:row>36</xdr:row>
      <xdr:rowOff>128587</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23</xdr:row>
      <xdr:rowOff>38100</xdr:rowOff>
    </xdr:from>
    <xdr:to>
      <xdr:col>11</xdr:col>
      <xdr:colOff>361950</xdr:colOff>
      <xdr:row>36</xdr:row>
      <xdr:rowOff>173355</xdr:rowOff>
    </xdr:to>
    <xdr:graphicFrame macro="">
      <xdr:nvGraphicFramePr>
        <xdr:cNvPr id="4" name="Chart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171450</xdr:colOff>
      <xdr:row>2</xdr:row>
      <xdr:rowOff>61912</xdr:rowOff>
    </xdr:from>
    <xdr:to>
      <xdr:col>10</xdr:col>
      <xdr:colOff>371475</xdr:colOff>
      <xdr:row>18</xdr:row>
      <xdr:rowOff>63817</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24</xdr:row>
      <xdr:rowOff>42862</xdr:rowOff>
    </xdr:from>
    <xdr:to>
      <xdr:col>5</xdr:col>
      <xdr:colOff>219075</xdr:colOff>
      <xdr:row>38</xdr:row>
      <xdr:rowOff>119062</xdr:rowOff>
    </xdr:to>
    <xdr:graphicFrame macro="">
      <xdr:nvGraphicFramePr>
        <xdr:cNvPr id="3" name="Chart 2">
          <a:extLst>
            <a:ext uri="{FF2B5EF4-FFF2-40B4-BE49-F238E27FC236}">
              <a16:creationId xmlns:a16="http://schemas.microsoft.com/office/drawing/2014/main" id="{00000000-0008-0000-2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266700</xdr:colOff>
      <xdr:row>24</xdr:row>
      <xdr:rowOff>47625</xdr:rowOff>
    </xdr:from>
    <xdr:to>
      <xdr:col>11</xdr:col>
      <xdr:colOff>0</xdr:colOff>
      <xdr:row>38</xdr:row>
      <xdr:rowOff>95250</xdr:rowOff>
    </xdr:to>
    <xdr:graphicFrame macro="">
      <xdr:nvGraphicFramePr>
        <xdr:cNvPr id="4" name="Chart 3">
          <a:extLst>
            <a:ext uri="{FF2B5EF4-FFF2-40B4-BE49-F238E27FC236}">
              <a16:creationId xmlns:a16="http://schemas.microsoft.com/office/drawing/2014/main" id="{00000000-0008-0000-2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7</xdr:col>
      <xdr:colOff>252412</xdr:colOff>
      <xdr:row>11</xdr:row>
      <xdr:rowOff>47625</xdr:rowOff>
    </xdr:from>
    <xdr:to>
      <xdr:col>14</xdr:col>
      <xdr:colOff>557212</xdr:colOff>
      <xdr:row>24</xdr:row>
      <xdr:rowOff>123825</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723900</xdr:colOff>
      <xdr:row>12</xdr:row>
      <xdr:rowOff>85725</xdr:rowOff>
    </xdr:to>
    <xdr:pic>
      <xdr:nvPicPr>
        <xdr:cNvPr id="3" name="Picture 2">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371725"/>
        </a:xfrm>
        <a:prstGeom prst="rect">
          <a:avLst/>
        </a:prstGeom>
        <a:solidFill>
          <a:schemeClr val="bg1"/>
        </a:solidFill>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723900</xdr:colOff>
      <xdr:row>12</xdr:row>
      <xdr:rowOff>85725</xdr:rowOff>
    </xdr:to>
    <xdr:pic>
      <xdr:nvPicPr>
        <xdr:cNvPr id="2" name="Picture 1">
          <a:extLst>
            <a:ext uri="{FF2B5EF4-FFF2-40B4-BE49-F238E27FC236}">
              <a16:creationId xmlns:a16="http://schemas.microsoft.com/office/drawing/2014/main" id="{00000000-0008-0000-2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37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381000</xdr:colOff>
          <xdr:row>12</xdr:row>
          <xdr:rowOff>19050</xdr:rowOff>
        </xdr:from>
        <xdr:to>
          <xdr:col>9</xdr:col>
          <xdr:colOff>342900</xdr:colOff>
          <xdr:row>17</xdr:row>
          <xdr:rowOff>104775</xdr:rowOff>
        </xdr:to>
        <xdr:sp macro="" textlink="">
          <xdr:nvSpPr>
            <xdr:cNvPr id="35841" name="Object 15" hidden="1">
              <a:extLst>
                <a:ext uri="{63B3BB69-23CF-44E3-9099-C40C66FF867C}">
                  <a14:compatExt spid="_x0000_s35841"/>
                </a:ext>
                <a:ext uri="{FF2B5EF4-FFF2-40B4-BE49-F238E27FC236}">
                  <a16:creationId xmlns:a16="http://schemas.microsoft.com/office/drawing/2014/main" id="{00000000-0008-0000-2500-000001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352425</xdr:colOff>
          <xdr:row>0</xdr:row>
          <xdr:rowOff>0</xdr:rowOff>
        </xdr:from>
        <xdr:to>
          <xdr:col>9</xdr:col>
          <xdr:colOff>85725</xdr:colOff>
          <xdr:row>6</xdr:row>
          <xdr:rowOff>76200</xdr:rowOff>
        </xdr:to>
        <xdr:sp macro="" textlink="">
          <xdr:nvSpPr>
            <xdr:cNvPr id="35842" name="Object 13" hidden="1">
              <a:extLst>
                <a:ext uri="{63B3BB69-23CF-44E3-9099-C40C66FF867C}">
                  <a14:compatExt spid="_x0000_s35842"/>
                </a:ext>
                <a:ext uri="{FF2B5EF4-FFF2-40B4-BE49-F238E27FC236}">
                  <a16:creationId xmlns:a16="http://schemas.microsoft.com/office/drawing/2014/main" id="{00000000-0008-0000-2500-000002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17</xdr:row>
          <xdr:rowOff>142875</xdr:rowOff>
        </xdr:from>
        <xdr:to>
          <xdr:col>9</xdr:col>
          <xdr:colOff>361950</xdr:colOff>
          <xdr:row>23</xdr:row>
          <xdr:rowOff>47625</xdr:rowOff>
        </xdr:to>
        <xdr:sp macro="" textlink="">
          <xdr:nvSpPr>
            <xdr:cNvPr id="35843" name="Object 3" hidden="1">
              <a:extLst>
                <a:ext uri="{63B3BB69-23CF-44E3-9099-C40C66FF867C}">
                  <a14:compatExt spid="_x0000_s35843"/>
                </a:ext>
                <a:ext uri="{FF2B5EF4-FFF2-40B4-BE49-F238E27FC236}">
                  <a16:creationId xmlns:a16="http://schemas.microsoft.com/office/drawing/2014/main" id="{00000000-0008-0000-2500-000003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381000</xdr:colOff>
          <xdr:row>6</xdr:row>
          <xdr:rowOff>114300</xdr:rowOff>
        </xdr:from>
        <xdr:to>
          <xdr:col>9</xdr:col>
          <xdr:colOff>133350</xdr:colOff>
          <xdr:row>12</xdr:row>
          <xdr:rowOff>19050</xdr:rowOff>
        </xdr:to>
        <xdr:sp macro="" textlink="">
          <xdr:nvSpPr>
            <xdr:cNvPr id="35844" name="Object 4" hidden="1">
              <a:extLst>
                <a:ext uri="{63B3BB69-23CF-44E3-9099-C40C66FF867C}">
                  <a14:compatExt spid="_x0000_s35844"/>
                </a:ext>
                <a:ext uri="{FF2B5EF4-FFF2-40B4-BE49-F238E27FC236}">
                  <a16:creationId xmlns:a16="http://schemas.microsoft.com/office/drawing/2014/main" id="{00000000-0008-0000-2500-0000048C0000}"/>
                </a:ext>
              </a:extLst>
            </xdr:cNvPr>
            <xdr:cNvSpPr/>
          </xdr:nvSpPr>
          <xdr:spPr bwMode="auto">
            <a:xfrm>
              <a:off x="0" y="0"/>
              <a:ext cx="0" cy="0"/>
            </a:xfrm>
            <a:prstGeom prst="rect">
              <a:avLst/>
            </a:prstGeom>
            <a:solidFill>
              <a:srgbClr val="FFFFFF" mc:Ignorable="a14" a14:legacySpreadsheetColorIndex="65"/>
            </a:solidFill>
            <a:ln w="12700">
              <a:solidFill>
                <a:srgbClr val="000000" mc:Ignorable="a14" a14:legacySpreadsheetColorIndex="64"/>
              </a:solidFill>
              <a:miter lim="800000"/>
              <a:headEnd/>
              <a:tailEnd/>
            </a:ln>
            <a:effectLst>
              <a:outerShdw dist="17961" dir="2700000" algn="ctr" rotWithShape="0">
                <a:srgbClr val="000000"/>
              </a:outerShdw>
            </a:effectLst>
          </xdr:spPr>
        </xdr:sp>
        <xdr:clientData/>
      </xdr:twoCellAnchor>
    </mc:Choice>
    <mc:Fallback/>
  </mc:AlternateContent>
  <xdr:oneCellAnchor>
    <xdr:from>
      <xdr:col>5</xdr:col>
      <xdr:colOff>414337</xdr:colOff>
      <xdr:row>24</xdr:row>
      <xdr:rowOff>152400</xdr:rowOff>
    </xdr:from>
    <xdr:ext cx="65" cy="172227"/>
    <xdr:sp macro="" textlink="">
      <xdr:nvSpPr>
        <xdr:cNvPr id="6" name="TextBox 5">
          <a:extLst>
            <a:ext uri="{FF2B5EF4-FFF2-40B4-BE49-F238E27FC236}">
              <a16:creationId xmlns:a16="http://schemas.microsoft.com/office/drawing/2014/main" id="{00000000-0008-0000-2500-000006000000}"/>
            </a:ext>
          </a:extLst>
        </xdr:cNvPr>
        <xdr:cNvSpPr txBox="1"/>
      </xdr:nvSpPr>
      <xdr:spPr>
        <a:xfrm>
          <a:off x="8863012" y="5105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414337</xdr:colOff>
      <xdr:row>25</xdr:row>
      <xdr:rowOff>152400</xdr:rowOff>
    </xdr:from>
    <xdr:ext cx="65" cy="172227"/>
    <xdr:sp macro="" textlink="">
      <xdr:nvSpPr>
        <xdr:cNvPr id="7" name="TextBox 6">
          <a:extLst>
            <a:ext uri="{FF2B5EF4-FFF2-40B4-BE49-F238E27FC236}">
              <a16:creationId xmlns:a16="http://schemas.microsoft.com/office/drawing/2014/main" id="{00000000-0008-0000-2500-000007000000}"/>
            </a:ext>
          </a:extLst>
        </xdr:cNvPr>
        <xdr:cNvSpPr txBox="1"/>
      </xdr:nvSpPr>
      <xdr:spPr>
        <a:xfrm>
          <a:off x="8863012" y="529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10</xdr:col>
      <xdr:colOff>95250</xdr:colOff>
      <xdr:row>20</xdr:row>
      <xdr:rowOff>119062</xdr:rowOff>
    </xdr:from>
    <xdr:ext cx="2839303" cy="818366"/>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2500-000009000000}"/>
                </a:ext>
              </a:extLst>
            </xdr:cNvPr>
            <xdr:cNvSpPr txBox="1"/>
          </xdr:nvSpPr>
          <xdr:spPr>
            <a:xfrm>
              <a:off x="13839825" y="392906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9" name="TextBox 8"/>
            <xdr:cNvSpPr txBox="1"/>
          </xdr:nvSpPr>
          <xdr:spPr>
            <a:xfrm>
              <a:off x="13839825" y="392906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10</xdr:col>
      <xdr:colOff>133350</xdr:colOff>
      <xdr:row>13</xdr:row>
      <xdr:rowOff>171450</xdr:rowOff>
    </xdr:from>
    <xdr:ext cx="1809021" cy="5336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2500-00000A000000}"/>
                </a:ext>
              </a:extLst>
            </xdr:cNvPr>
            <xdr:cNvSpPr txBox="1"/>
          </xdr:nvSpPr>
          <xdr:spPr>
            <a:xfrm>
              <a:off x="13877925" y="2647950"/>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10" name="TextBox 9"/>
            <xdr:cNvSpPr txBox="1"/>
          </xdr:nvSpPr>
          <xdr:spPr>
            <a:xfrm>
              <a:off x="13877925" y="2647950"/>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𝑀𝐴𝐸=  (∑▒|𝑥_𝑖−𝑥 ̅ | )/𝑛</a:t>
              </a:r>
              <a:endParaRPr lang="en-US" sz="1800"/>
            </a:p>
          </xdr:txBody>
        </xdr:sp>
      </mc:Fallback>
    </mc:AlternateContent>
    <xdr:clientData/>
  </xdr:oneCellAnchor>
</xdr:wsDr>
</file>

<file path=xl/drawings/drawing26.xml><?xml version="1.0" encoding="utf-8"?>
<xdr:wsDr xmlns:xdr="http://schemas.openxmlformats.org/drawingml/2006/spreadsheetDrawing" xmlns:a="http://schemas.openxmlformats.org/drawingml/2006/main">
  <xdr:oneCellAnchor>
    <xdr:from>
      <xdr:col>8</xdr:col>
      <xdr:colOff>305638</xdr:colOff>
      <xdr:row>13</xdr:row>
      <xdr:rowOff>23493</xdr:rowOff>
    </xdr:from>
    <xdr:ext cx="2019014" cy="90935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600-000003000000}"/>
                </a:ext>
              </a:extLst>
            </xdr:cNvPr>
            <xdr:cNvSpPr txBox="1"/>
          </xdr:nvSpPr>
          <xdr:spPr>
            <a:xfrm>
              <a:off x="8232190" y="3307976"/>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rPr>
                      <m:t>𝑠</m:t>
                    </m:r>
                    <m:r>
                      <a:rPr lang="en-US" sz="2000" b="0" i="1">
                        <a:latin typeface="Cambria Math" panose="02040503050406030204" pitchFamily="18" charset="0"/>
                      </a:rPr>
                      <m:t>= </m:t>
                    </m:r>
                    <m:rad>
                      <m:radPr>
                        <m:degHide m:val="on"/>
                        <m:ctrlPr>
                          <a:rPr lang="en-US" sz="2000" b="0" i="1">
                            <a:latin typeface="Cambria Math" panose="02040503050406030204" pitchFamily="18" charset="0"/>
                          </a:rPr>
                        </m:ctrlPr>
                      </m:radPr>
                      <m:deg/>
                      <m:e>
                        <m:f>
                          <m:fPr>
                            <m:ctrlPr>
                              <a:rPr lang="en-US" sz="2000" b="0" i="1">
                                <a:latin typeface="Cambria Math" panose="02040503050406030204" pitchFamily="18" charset="0"/>
                              </a:rPr>
                            </m:ctrlPr>
                          </m:fPr>
                          <m:num>
                            <m:nary>
                              <m:naryPr>
                                <m:chr m:val="∑"/>
                                <m:subHide m:val="on"/>
                                <m:supHide m:val="on"/>
                                <m:ctrlPr>
                                  <a:rPr lang="en-US" sz="2000" b="0" i="1">
                                    <a:latin typeface="Cambria Math" panose="02040503050406030204" pitchFamily="18" charset="0"/>
                                  </a:rPr>
                                </m:ctrlPr>
                              </m:naryPr>
                              <m:sub/>
                              <m:sup/>
                              <m:e>
                                <m:r>
                                  <a:rPr lang="en-US" sz="2000" b="0" i="1">
                                    <a:latin typeface="Cambria Math" panose="02040503050406030204" pitchFamily="18" charset="0"/>
                                  </a:rPr>
                                  <m:t>(</m:t>
                                </m:r>
                                <m:sSub>
                                  <m:sSubPr>
                                    <m:ctrlPr>
                                      <a:rPr lang="en-US" sz="2000" b="0" i="1">
                                        <a:latin typeface="Cambria Math" panose="02040503050406030204" pitchFamily="18" charset="0"/>
                                      </a:rPr>
                                    </m:ctrlPr>
                                  </m:sSubPr>
                                  <m:e>
                                    <m:r>
                                      <a:rPr lang="en-US" sz="2000" b="0" i="1">
                                        <a:latin typeface="Cambria Math" panose="02040503050406030204" pitchFamily="18" charset="0"/>
                                      </a:rPr>
                                      <m:t>𝑥</m:t>
                                    </m:r>
                                  </m:e>
                                  <m:sub>
                                    <m:r>
                                      <a:rPr lang="en-US" sz="2000" b="0" i="1">
                                        <a:latin typeface="Cambria Math" panose="02040503050406030204" pitchFamily="18" charset="0"/>
                                      </a:rPr>
                                      <m:t>𝑖</m:t>
                                    </m:r>
                                  </m:sub>
                                </m:sSub>
                                <m:r>
                                  <a:rPr lang="en-US" sz="2000" b="0" i="1">
                                    <a:latin typeface="Cambria Math" panose="02040503050406030204" pitchFamily="18" charset="0"/>
                                  </a:rPr>
                                  <m:t>−</m:t>
                                </m:r>
                                <m:acc>
                                  <m:accPr>
                                    <m:chr m:val="̅"/>
                                    <m:ctrlPr>
                                      <a:rPr lang="en-US" sz="2000" b="0" i="1">
                                        <a:latin typeface="Cambria Math" panose="02040503050406030204" pitchFamily="18" charset="0"/>
                                      </a:rPr>
                                    </m:ctrlPr>
                                  </m:accPr>
                                  <m:e>
                                    <m:r>
                                      <a:rPr lang="en-US" sz="2000" b="0" i="1">
                                        <a:latin typeface="Cambria Math" panose="02040503050406030204" pitchFamily="18" charset="0"/>
                                      </a:rPr>
                                      <m:t>𝑥</m:t>
                                    </m:r>
                                  </m:e>
                                </m:acc>
                                <m:r>
                                  <a:rPr lang="en-US" sz="2000" b="0" i="1">
                                    <a:latin typeface="Cambria Math" panose="02040503050406030204" pitchFamily="18" charset="0"/>
                                  </a:rPr>
                                  <m:t>)</m:t>
                                </m:r>
                                <m:r>
                                  <a:rPr lang="en-US" sz="2000" b="0" i="1" baseline="30000">
                                    <a:latin typeface="Cambria Math" panose="02040503050406030204" pitchFamily="18" charset="0"/>
                                  </a:rPr>
                                  <m:t>^2</m:t>
                                </m:r>
                              </m:e>
                            </m:nary>
                          </m:num>
                          <m:den>
                            <m:r>
                              <a:rPr lang="en-US" sz="2000" b="0" i="1">
                                <a:latin typeface="Cambria Math" panose="02040503050406030204" pitchFamily="18" charset="0"/>
                              </a:rPr>
                              <m:t>𝑛</m:t>
                            </m:r>
                            <m:r>
                              <a:rPr lang="en-US" sz="2000" b="0" i="1">
                                <a:latin typeface="Cambria Math" panose="02040503050406030204" pitchFamily="18" charset="0"/>
                              </a:rPr>
                              <m:t>−1</m:t>
                            </m:r>
                          </m:den>
                        </m:f>
                      </m:e>
                    </m:rad>
                  </m:oMath>
                </m:oMathPara>
              </a14:m>
              <a:endParaRPr lang="en-US" sz="2200"/>
            </a:p>
          </xdr:txBody>
        </xdr:sp>
      </mc:Choice>
      <mc:Fallback xmlns="">
        <xdr:sp macro="" textlink="">
          <xdr:nvSpPr>
            <xdr:cNvPr id="3" name="TextBox 2"/>
            <xdr:cNvSpPr txBox="1"/>
          </xdr:nvSpPr>
          <xdr:spPr>
            <a:xfrm>
              <a:off x="8232190" y="3307976"/>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2000" b="0" i="0">
                  <a:latin typeface="Cambria Math" panose="02040503050406030204" pitchFamily="18" charset="0"/>
                </a:rPr>
                <a:t>𝑠= √((∑▒〖(𝑥_𝑖−𝑥 ̅)</a:t>
              </a:r>
              <a:r>
                <a:rPr lang="en-US" sz="2000" b="0" i="0" baseline="30000">
                  <a:latin typeface="Cambria Math" panose="02040503050406030204" pitchFamily="18" charset="0"/>
                </a:rPr>
                <a:t>^2〗)/(</a:t>
              </a:r>
              <a:r>
                <a:rPr lang="en-US" sz="2000" b="0" i="0">
                  <a:latin typeface="Cambria Math" panose="02040503050406030204" pitchFamily="18" charset="0"/>
                </a:rPr>
                <a:t>𝑛−1))</a:t>
              </a:r>
              <a:endParaRPr lang="en-US" sz="2200"/>
            </a:p>
          </xdr:txBody>
        </xdr:sp>
      </mc:Fallback>
    </mc:AlternateContent>
    <xdr:clientData/>
  </xdr:oneCellAnchor>
  <xdr:oneCellAnchor>
    <xdr:from>
      <xdr:col>0</xdr:col>
      <xdr:colOff>65689</xdr:colOff>
      <xdr:row>62</xdr:row>
      <xdr:rowOff>21897</xdr:rowOff>
    </xdr:from>
    <xdr:ext cx="2839303" cy="818366"/>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2600-00000F000000}"/>
                </a:ext>
              </a:extLst>
            </xdr:cNvPr>
            <xdr:cNvSpPr txBox="1"/>
          </xdr:nvSpPr>
          <xdr:spPr>
            <a:xfrm>
              <a:off x="65689" y="8550604"/>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15" name="TextBox 14"/>
            <xdr:cNvSpPr txBox="1"/>
          </xdr:nvSpPr>
          <xdr:spPr>
            <a:xfrm>
              <a:off x="65689" y="8550604"/>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0</xdr:col>
      <xdr:colOff>0</xdr:colOff>
      <xdr:row>92</xdr:row>
      <xdr:rowOff>87584</xdr:rowOff>
    </xdr:from>
    <xdr:ext cx="1809021" cy="533672"/>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2600-000010000000}"/>
                </a:ext>
              </a:extLst>
            </xdr:cNvPr>
            <xdr:cNvSpPr txBox="1"/>
          </xdr:nvSpPr>
          <xdr:spPr>
            <a:xfrm>
              <a:off x="0" y="14648791"/>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16" name="TextBox 15"/>
            <xdr:cNvSpPr txBox="1"/>
          </xdr:nvSpPr>
          <xdr:spPr>
            <a:xfrm>
              <a:off x="0" y="14648791"/>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800" b="0" i="0">
                  <a:latin typeface="Cambria Math" panose="02040503050406030204" pitchFamily="18" charset="0"/>
                </a:rPr>
                <a:t>𝑀𝐴𝐸=  (∑▒|𝑥_𝑖−𝑥 ̅ | )/𝑛</a:t>
              </a:r>
              <a:endParaRPr lang="en-US" sz="1800"/>
            </a:p>
          </xdr:txBody>
        </xdr:sp>
      </mc:Fallback>
    </mc:AlternateContent>
    <xdr:clientData/>
  </xdr:oneCellAnchor>
  <xdr:twoCellAnchor>
    <xdr:from>
      <xdr:col>0</xdr:col>
      <xdr:colOff>0</xdr:colOff>
      <xdr:row>40</xdr:row>
      <xdr:rowOff>32844</xdr:rowOff>
    </xdr:from>
    <xdr:to>
      <xdr:col>5</xdr:col>
      <xdr:colOff>807326</xdr:colOff>
      <xdr:row>57</xdr:row>
      <xdr:rowOff>118723</xdr:rowOff>
    </xdr:to>
    <xdr:graphicFrame macro="">
      <xdr:nvGraphicFramePr>
        <xdr:cNvPr id="17" name="Chart 16">
          <a:extLst>
            <a:ext uri="{FF2B5EF4-FFF2-40B4-BE49-F238E27FC236}">
              <a16:creationId xmlns:a16="http://schemas.microsoft.com/office/drawing/2014/main" id="{00000000-0008-0000-2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941551</xdr:colOff>
      <xdr:row>40</xdr:row>
      <xdr:rowOff>153276</xdr:rowOff>
    </xdr:from>
    <xdr:to>
      <xdr:col>12</xdr:col>
      <xdr:colOff>926223</xdr:colOff>
      <xdr:row>55</xdr:row>
      <xdr:rowOff>104666</xdr:rowOff>
    </xdr:to>
    <xdr:graphicFrame macro="">
      <xdr:nvGraphicFramePr>
        <xdr:cNvPr id="18" name="Chart 17">
          <a:extLst>
            <a:ext uri="{FF2B5EF4-FFF2-40B4-BE49-F238E27FC236}">
              <a16:creationId xmlns:a16="http://schemas.microsoft.com/office/drawing/2014/main" id="{00000000-0008-0000-2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973848</xdr:colOff>
      <xdr:row>40</xdr:row>
      <xdr:rowOff>158039</xdr:rowOff>
    </xdr:from>
    <xdr:to>
      <xdr:col>20</xdr:col>
      <xdr:colOff>181193</xdr:colOff>
      <xdr:row>55</xdr:row>
      <xdr:rowOff>80854</xdr:rowOff>
    </xdr:to>
    <xdr:graphicFrame macro="">
      <xdr:nvGraphicFramePr>
        <xdr:cNvPr id="19" name="Chart 18">
          <a:extLst>
            <a:ext uri="{FF2B5EF4-FFF2-40B4-BE49-F238E27FC236}">
              <a16:creationId xmlns:a16="http://schemas.microsoft.com/office/drawing/2014/main" id="{00000000-0008-0000-2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171450</xdr:colOff>
      <xdr:row>124</xdr:row>
      <xdr:rowOff>61912</xdr:rowOff>
    </xdr:from>
    <xdr:to>
      <xdr:col>10</xdr:col>
      <xdr:colOff>371475</xdr:colOff>
      <xdr:row>140</xdr:row>
      <xdr:rowOff>63817</xdr:rowOff>
    </xdr:to>
    <xdr:graphicFrame macro="">
      <xdr:nvGraphicFramePr>
        <xdr:cNvPr id="8" name="Chart 7">
          <a:extLst>
            <a:ext uri="{FF2B5EF4-FFF2-40B4-BE49-F238E27FC236}">
              <a16:creationId xmlns:a16="http://schemas.microsoft.com/office/drawing/2014/main" id="{00000000-0008-0000-2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263386</xdr:colOff>
      <xdr:row>146</xdr:row>
      <xdr:rowOff>59426</xdr:rowOff>
    </xdr:from>
    <xdr:to>
      <xdr:col>10</xdr:col>
      <xdr:colOff>397565</xdr:colOff>
      <xdr:row>165</xdr:row>
      <xdr:rowOff>24848</xdr:rowOff>
    </xdr:to>
    <xdr:graphicFrame macro="">
      <xdr:nvGraphicFramePr>
        <xdr:cNvPr id="9" name="Chart 8">
          <a:extLst>
            <a:ext uri="{FF2B5EF4-FFF2-40B4-BE49-F238E27FC236}">
              <a16:creationId xmlns:a16="http://schemas.microsoft.com/office/drawing/2014/main" id="{00000000-0008-0000-2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7.xml><?xml version="1.0" encoding="utf-8"?>
<xdr:wsDr xmlns:xdr="http://schemas.openxmlformats.org/drawingml/2006/spreadsheetDrawing" xmlns:a="http://schemas.openxmlformats.org/drawingml/2006/main">
  <xdr:oneCellAnchor>
    <xdr:from>
      <xdr:col>8</xdr:col>
      <xdr:colOff>305638</xdr:colOff>
      <xdr:row>13</xdr:row>
      <xdr:rowOff>23493</xdr:rowOff>
    </xdr:from>
    <xdr:ext cx="2019014" cy="90935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2700-000002000000}"/>
                </a:ext>
              </a:extLst>
            </xdr:cNvPr>
            <xdr:cNvSpPr txBox="1"/>
          </xdr:nvSpPr>
          <xdr:spPr>
            <a:xfrm>
              <a:off x="7630363" y="3309618"/>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rPr>
                      <m:t>𝑠</m:t>
                    </m:r>
                    <m:r>
                      <a:rPr lang="en-US" sz="2000" b="0" i="1">
                        <a:latin typeface="Cambria Math" panose="02040503050406030204" pitchFamily="18" charset="0"/>
                      </a:rPr>
                      <m:t>= </m:t>
                    </m:r>
                    <m:rad>
                      <m:radPr>
                        <m:degHide m:val="on"/>
                        <m:ctrlPr>
                          <a:rPr lang="en-US" sz="2000" b="0" i="1">
                            <a:latin typeface="Cambria Math" panose="02040503050406030204" pitchFamily="18" charset="0"/>
                          </a:rPr>
                        </m:ctrlPr>
                      </m:radPr>
                      <m:deg/>
                      <m:e>
                        <m:f>
                          <m:fPr>
                            <m:ctrlPr>
                              <a:rPr lang="en-US" sz="2000" b="0" i="1">
                                <a:latin typeface="Cambria Math" panose="02040503050406030204" pitchFamily="18" charset="0"/>
                              </a:rPr>
                            </m:ctrlPr>
                          </m:fPr>
                          <m:num>
                            <m:nary>
                              <m:naryPr>
                                <m:chr m:val="∑"/>
                                <m:subHide m:val="on"/>
                                <m:supHide m:val="on"/>
                                <m:ctrlPr>
                                  <a:rPr lang="en-US" sz="2000" b="0" i="1">
                                    <a:latin typeface="Cambria Math" panose="02040503050406030204" pitchFamily="18" charset="0"/>
                                  </a:rPr>
                                </m:ctrlPr>
                              </m:naryPr>
                              <m:sub/>
                              <m:sup/>
                              <m:e>
                                <m:r>
                                  <a:rPr lang="en-US" sz="2000" b="0" i="1">
                                    <a:latin typeface="Cambria Math" panose="02040503050406030204" pitchFamily="18" charset="0"/>
                                  </a:rPr>
                                  <m:t>(</m:t>
                                </m:r>
                                <m:sSub>
                                  <m:sSubPr>
                                    <m:ctrlPr>
                                      <a:rPr lang="en-US" sz="2000" b="0" i="1">
                                        <a:latin typeface="Cambria Math" panose="02040503050406030204" pitchFamily="18" charset="0"/>
                                      </a:rPr>
                                    </m:ctrlPr>
                                  </m:sSubPr>
                                  <m:e>
                                    <m:r>
                                      <a:rPr lang="en-US" sz="2000" b="0" i="1">
                                        <a:latin typeface="Cambria Math" panose="02040503050406030204" pitchFamily="18" charset="0"/>
                                      </a:rPr>
                                      <m:t>𝑥</m:t>
                                    </m:r>
                                  </m:e>
                                  <m:sub>
                                    <m:r>
                                      <a:rPr lang="en-US" sz="2000" b="0" i="1">
                                        <a:latin typeface="Cambria Math" panose="02040503050406030204" pitchFamily="18" charset="0"/>
                                      </a:rPr>
                                      <m:t>𝑖</m:t>
                                    </m:r>
                                  </m:sub>
                                </m:sSub>
                                <m:r>
                                  <a:rPr lang="en-US" sz="2000" b="0" i="1">
                                    <a:latin typeface="Cambria Math" panose="02040503050406030204" pitchFamily="18" charset="0"/>
                                  </a:rPr>
                                  <m:t>−</m:t>
                                </m:r>
                                <m:acc>
                                  <m:accPr>
                                    <m:chr m:val="̅"/>
                                    <m:ctrlPr>
                                      <a:rPr lang="en-US" sz="2000" b="0" i="1">
                                        <a:latin typeface="Cambria Math" panose="02040503050406030204" pitchFamily="18" charset="0"/>
                                      </a:rPr>
                                    </m:ctrlPr>
                                  </m:accPr>
                                  <m:e>
                                    <m:r>
                                      <a:rPr lang="en-US" sz="2000" b="0" i="1">
                                        <a:latin typeface="Cambria Math" panose="02040503050406030204" pitchFamily="18" charset="0"/>
                                      </a:rPr>
                                      <m:t>𝑥</m:t>
                                    </m:r>
                                  </m:e>
                                </m:acc>
                                <m:r>
                                  <a:rPr lang="en-US" sz="2000" b="0" i="1">
                                    <a:latin typeface="Cambria Math" panose="02040503050406030204" pitchFamily="18" charset="0"/>
                                  </a:rPr>
                                  <m:t>)</m:t>
                                </m:r>
                                <m:r>
                                  <a:rPr lang="en-US" sz="2000" b="0" i="1" baseline="30000">
                                    <a:latin typeface="Cambria Math" panose="02040503050406030204" pitchFamily="18" charset="0"/>
                                  </a:rPr>
                                  <m:t>^2</m:t>
                                </m:r>
                              </m:e>
                            </m:nary>
                          </m:num>
                          <m:den>
                            <m:r>
                              <a:rPr lang="en-US" sz="2000" b="0" i="1">
                                <a:latin typeface="Cambria Math" panose="02040503050406030204" pitchFamily="18" charset="0"/>
                              </a:rPr>
                              <m:t>𝑛</m:t>
                            </m:r>
                            <m:r>
                              <a:rPr lang="en-US" sz="2000" b="0" i="1">
                                <a:latin typeface="Cambria Math" panose="02040503050406030204" pitchFamily="18" charset="0"/>
                              </a:rPr>
                              <m:t>−1</m:t>
                            </m:r>
                          </m:den>
                        </m:f>
                      </m:e>
                    </m:rad>
                  </m:oMath>
                </m:oMathPara>
              </a14:m>
              <a:endParaRPr lang="en-US" sz="2200"/>
            </a:p>
          </xdr:txBody>
        </xdr:sp>
      </mc:Choice>
      <mc:Fallback xmlns="">
        <xdr:sp macro="" textlink="">
          <xdr:nvSpPr>
            <xdr:cNvPr id="2" name="TextBox 1"/>
            <xdr:cNvSpPr txBox="1"/>
          </xdr:nvSpPr>
          <xdr:spPr>
            <a:xfrm>
              <a:off x="7630363" y="3309618"/>
              <a:ext cx="2019014" cy="90935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000" b="0" i="0">
                  <a:latin typeface="Cambria Math" panose="02040503050406030204" pitchFamily="18" charset="0"/>
                </a:rPr>
                <a:t>𝑠= √((∑</a:t>
              </a:r>
              <a:r>
                <a:rPr lang="en-US" sz="2000" b="0" i="0" baseline="30000">
                  <a:latin typeface="Cambria Math" panose="02040503050406030204" pitchFamily="18" charset="0"/>
                </a:rPr>
                <a:t>▒〖</a:t>
              </a:r>
              <a:r>
                <a:rPr lang="en-US" sz="2000" b="0" i="0">
                  <a:latin typeface="Cambria Math" panose="02040503050406030204" pitchFamily="18" charset="0"/>
                </a:rPr>
                <a:t>(𝑥_𝑖−𝑥 ̅)</a:t>
              </a:r>
              <a:r>
                <a:rPr lang="en-US" sz="2000" b="0" i="0" baseline="30000">
                  <a:latin typeface="Cambria Math" panose="02040503050406030204" pitchFamily="18" charset="0"/>
                </a:rPr>
                <a:t>^2〗)/(</a:t>
              </a:r>
              <a:r>
                <a:rPr lang="en-US" sz="2000" b="0" i="0">
                  <a:latin typeface="Cambria Math" panose="02040503050406030204" pitchFamily="18" charset="0"/>
                </a:rPr>
                <a:t>𝑛−1))</a:t>
              </a:r>
              <a:endParaRPr lang="en-US" sz="2200"/>
            </a:p>
          </xdr:txBody>
        </xdr:sp>
      </mc:Fallback>
    </mc:AlternateContent>
    <xdr:clientData/>
  </xdr:oneCellAnchor>
  <xdr:oneCellAnchor>
    <xdr:from>
      <xdr:col>0</xdr:col>
      <xdr:colOff>65689</xdr:colOff>
      <xdr:row>62</xdr:row>
      <xdr:rowOff>21897</xdr:rowOff>
    </xdr:from>
    <xdr:ext cx="2839303" cy="818366"/>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700-000003000000}"/>
                </a:ext>
              </a:extLst>
            </xdr:cNvPr>
            <xdr:cNvSpPr txBox="1"/>
          </xdr:nvSpPr>
          <xdr:spPr>
            <a:xfrm>
              <a:off x="65689" y="1269967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𝑆𝑎𝑚𝑝𝑙𝑒𝑆𝐷</m:t>
                    </m:r>
                    <m:r>
                      <a:rPr lang="en-US" sz="1800" b="0" i="1">
                        <a:latin typeface="Cambria Math" panose="02040503050406030204" pitchFamily="18" charset="0"/>
                      </a:rPr>
                      <m:t>=</m:t>
                    </m:r>
                    <m:r>
                      <a:rPr lang="en-US" sz="1800" b="0" i="1">
                        <a:latin typeface="Cambria Math" panose="02040503050406030204" pitchFamily="18" charset="0"/>
                      </a:rPr>
                      <m:t>𝑠</m:t>
                    </m:r>
                    <m:r>
                      <a:rPr lang="en-US" sz="1800" b="0" i="1">
                        <a:latin typeface="Cambria Math" panose="02040503050406030204" pitchFamily="18" charset="0"/>
                      </a:rPr>
                      <m:t> </m:t>
                    </m:r>
                    <m:rad>
                      <m:radPr>
                        <m:degHide m:val="on"/>
                        <m:ctrlPr>
                          <a:rPr lang="en-US" sz="1800" b="0" i="1">
                            <a:latin typeface="Cambria Math" panose="02040503050406030204" pitchFamily="18" charset="0"/>
                          </a:rPr>
                        </m:ctrlPr>
                      </m:radPr>
                      <m:deg/>
                      <m:e>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sSubSup>
                                  <m:sSubSupPr>
                                    <m:ctrlPr>
                                      <a:rPr lang="en-US" sz="1800" b="0" i="1">
                                        <a:latin typeface="Cambria Math" panose="02040503050406030204" pitchFamily="18" charset="0"/>
                                      </a:rPr>
                                    </m:ctrlPr>
                                  </m:sSubSupPr>
                                  <m:e>
                                    <m:r>
                                      <a:rPr lang="en-US" sz="1800" b="0" i="1">
                                        <a:latin typeface="Cambria Math" panose="02040503050406030204" pitchFamily="18" charset="0"/>
                                      </a:rPr>
                                      <m:t>𝑥</m:t>
                                    </m:r>
                                  </m:e>
                                  <m:sub>
                                    <m:r>
                                      <a:rPr lang="en-US" sz="1800" b="0" i="1">
                                        <a:latin typeface="Cambria Math" panose="02040503050406030204" pitchFamily="18" charset="0"/>
                                      </a:rPr>
                                      <m:t>𝑖</m:t>
                                    </m:r>
                                  </m:sub>
                                  <m:sup>
                                    <m:r>
                                      <a:rPr lang="en-US" sz="1800" b="0" i="1">
                                        <a:latin typeface="Cambria Math" panose="02040503050406030204" pitchFamily="18" charset="0"/>
                                      </a:rPr>
                                      <m:t>2</m:t>
                                    </m:r>
                                  </m:sup>
                                </m:sSubSup>
                                <m:r>
                                  <a:rPr lang="en-US" sz="1800" b="0" i="1">
                                    <a:latin typeface="Cambria Math" panose="02040503050406030204" pitchFamily="18" charset="0"/>
                                  </a:rPr>
                                  <m:t>−</m:t>
                                </m:r>
                                <m:r>
                                  <a:rPr lang="en-US" sz="1800" b="0" i="1">
                                    <a:latin typeface="Cambria Math" panose="02040503050406030204" pitchFamily="18" charset="0"/>
                                  </a:rPr>
                                  <m:t>𝑛</m:t>
                                </m:r>
                                <m:sSup>
                                  <m:sSupPr>
                                    <m:ctrlPr>
                                      <a:rPr lang="en-US" sz="1800" b="0" i="1">
                                        <a:latin typeface="Cambria Math" panose="02040503050406030204" pitchFamily="18" charset="0"/>
                                      </a:rPr>
                                    </m:ctrlPr>
                                  </m:sSupPr>
                                  <m:e>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sup>
                                    <m:r>
                                      <a:rPr lang="en-US" sz="1800" b="0" i="1">
                                        <a:latin typeface="Cambria Math" panose="02040503050406030204" pitchFamily="18" charset="0"/>
                                      </a:rPr>
                                      <m:t>2</m:t>
                                    </m:r>
                                  </m:sup>
                                </m:sSup>
                              </m:e>
                            </m:nary>
                          </m:num>
                          <m:den>
                            <m:r>
                              <a:rPr lang="en-US" sz="1800" b="0" i="1">
                                <a:latin typeface="Cambria Math" panose="02040503050406030204" pitchFamily="18" charset="0"/>
                              </a:rPr>
                              <m:t>𝑛</m:t>
                            </m:r>
                            <m:r>
                              <a:rPr lang="en-US" sz="1800" b="0" i="1">
                                <a:latin typeface="Cambria Math" panose="02040503050406030204" pitchFamily="18" charset="0"/>
                              </a:rPr>
                              <m:t>−1</m:t>
                            </m:r>
                          </m:den>
                        </m:f>
                      </m:e>
                    </m:rad>
                  </m:oMath>
                </m:oMathPara>
              </a14:m>
              <a:endParaRPr lang="en-US" sz="1800"/>
            </a:p>
          </xdr:txBody>
        </xdr:sp>
      </mc:Choice>
      <mc:Fallback xmlns="">
        <xdr:sp macro="" textlink="">
          <xdr:nvSpPr>
            <xdr:cNvPr id="3" name="TextBox 2"/>
            <xdr:cNvSpPr txBox="1"/>
          </xdr:nvSpPr>
          <xdr:spPr>
            <a:xfrm>
              <a:off x="65689" y="12699672"/>
              <a:ext cx="2839303" cy="81836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800" b="0" i="0">
                  <a:latin typeface="Cambria Math" panose="02040503050406030204" pitchFamily="18" charset="0"/>
                </a:rPr>
                <a:t>𝑆𝑎𝑚𝑝𝑙𝑒𝑆𝐷=𝑠 √((∑▒〖𝑥_𝑖^2−𝑛𝑥 ̅^2 〗)/(𝑛−1))</a:t>
              </a:r>
              <a:endParaRPr lang="en-US" sz="1800"/>
            </a:p>
          </xdr:txBody>
        </xdr:sp>
      </mc:Fallback>
    </mc:AlternateContent>
    <xdr:clientData/>
  </xdr:oneCellAnchor>
  <xdr:oneCellAnchor>
    <xdr:from>
      <xdr:col>0</xdr:col>
      <xdr:colOff>0</xdr:colOff>
      <xdr:row>92</xdr:row>
      <xdr:rowOff>87584</xdr:rowOff>
    </xdr:from>
    <xdr:ext cx="1809021" cy="5336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2700-000004000000}"/>
                </a:ext>
              </a:extLst>
            </xdr:cNvPr>
            <xdr:cNvSpPr txBox="1"/>
          </xdr:nvSpPr>
          <xdr:spPr>
            <a:xfrm>
              <a:off x="0" y="18689909"/>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𝑀𝐴𝐸</m:t>
                    </m:r>
                    <m:r>
                      <a:rPr lang="en-US" sz="1800" b="0" i="1">
                        <a:latin typeface="Cambria Math" panose="02040503050406030204" pitchFamily="18" charset="0"/>
                      </a:rPr>
                      <m:t>= </m:t>
                    </m:r>
                    <m:f>
                      <m:fPr>
                        <m:ctrlPr>
                          <a:rPr lang="en-US" sz="1800" b="0" i="1">
                            <a:latin typeface="Cambria Math" panose="02040503050406030204" pitchFamily="18" charset="0"/>
                          </a:rPr>
                        </m:ctrlPr>
                      </m:fPr>
                      <m:num>
                        <m:nary>
                          <m:naryPr>
                            <m:chr m:val="∑"/>
                            <m:subHide m:val="on"/>
                            <m:supHide m:val="on"/>
                            <m:ctrlPr>
                              <a:rPr lang="en-US" sz="1800" b="0" i="1">
                                <a:latin typeface="Cambria Math" panose="02040503050406030204" pitchFamily="18" charset="0"/>
                              </a:rPr>
                            </m:ctrlPr>
                          </m:naryPr>
                          <m:sub/>
                          <m:sup/>
                          <m:e>
                            <m:d>
                              <m:dPr>
                                <m:begChr m:val="|"/>
                                <m:endChr m:val="|"/>
                                <m:ctrlPr>
                                  <a:rPr lang="en-US" sz="1800" b="0" i="1">
                                    <a:latin typeface="Cambria Math" panose="02040503050406030204" pitchFamily="18" charset="0"/>
                                  </a:rPr>
                                </m:ctrlPr>
                              </m:dPr>
                              <m:e>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e>
                            </m:d>
                          </m:e>
                        </m:nary>
                      </m:num>
                      <m:den>
                        <m:r>
                          <a:rPr lang="en-US" sz="1800" b="0" i="1">
                            <a:latin typeface="Cambria Math" panose="02040503050406030204" pitchFamily="18" charset="0"/>
                          </a:rPr>
                          <m:t>𝑛</m:t>
                        </m:r>
                      </m:den>
                    </m:f>
                  </m:oMath>
                </m:oMathPara>
              </a14:m>
              <a:endParaRPr lang="en-US" sz="1800"/>
            </a:p>
          </xdr:txBody>
        </xdr:sp>
      </mc:Choice>
      <mc:Fallback xmlns="">
        <xdr:sp macro="" textlink="">
          <xdr:nvSpPr>
            <xdr:cNvPr id="4" name="TextBox 3"/>
            <xdr:cNvSpPr txBox="1"/>
          </xdr:nvSpPr>
          <xdr:spPr>
            <a:xfrm>
              <a:off x="0" y="18689909"/>
              <a:ext cx="1809021" cy="53367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800" b="0" i="0">
                  <a:latin typeface="Cambria Math" panose="02040503050406030204" pitchFamily="18" charset="0"/>
                </a:rPr>
                <a:t>𝑀𝐴𝐸=  (∑▒|𝑥_𝑖−𝑥 ̅ | )/𝑛</a:t>
              </a:r>
              <a:endParaRPr lang="en-US" sz="1800"/>
            </a:p>
          </xdr:txBody>
        </xdr:sp>
      </mc:Fallback>
    </mc:AlternateContent>
    <xdr:clientData/>
  </xdr:oneCellAnchor>
  <xdr:twoCellAnchor>
    <xdr:from>
      <xdr:col>0</xdr:col>
      <xdr:colOff>0</xdr:colOff>
      <xdr:row>40</xdr:row>
      <xdr:rowOff>32844</xdr:rowOff>
    </xdr:from>
    <xdr:to>
      <xdr:col>5</xdr:col>
      <xdr:colOff>807326</xdr:colOff>
      <xdr:row>57</xdr:row>
      <xdr:rowOff>118723</xdr:rowOff>
    </xdr:to>
    <xdr:graphicFrame macro="">
      <xdr:nvGraphicFramePr>
        <xdr:cNvPr id="5" name="Chart 4">
          <a:extLst>
            <a:ext uri="{FF2B5EF4-FFF2-40B4-BE49-F238E27FC236}">
              <a16:creationId xmlns:a16="http://schemas.microsoft.com/office/drawing/2014/main" id="{00000000-0008-0000-2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941551</xdr:colOff>
      <xdr:row>40</xdr:row>
      <xdr:rowOff>153276</xdr:rowOff>
    </xdr:from>
    <xdr:to>
      <xdr:col>12</xdr:col>
      <xdr:colOff>926223</xdr:colOff>
      <xdr:row>55</xdr:row>
      <xdr:rowOff>104666</xdr:rowOff>
    </xdr:to>
    <xdr:graphicFrame macro="">
      <xdr:nvGraphicFramePr>
        <xdr:cNvPr id="6" name="Chart 5">
          <a:extLst>
            <a:ext uri="{FF2B5EF4-FFF2-40B4-BE49-F238E27FC236}">
              <a16:creationId xmlns:a16="http://schemas.microsoft.com/office/drawing/2014/main" id="{00000000-0008-0000-2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973848</xdr:colOff>
      <xdr:row>40</xdr:row>
      <xdr:rowOff>158039</xdr:rowOff>
    </xdr:from>
    <xdr:to>
      <xdr:col>20</xdr:col>
      <xdr:colOff>181193</xdr:colOff>
      <xdr:row>55</xdr:row>
      <xdr:rowOff>80854</xdr:rowOff>
    </xdr:to>
    <xdr:graphicFrame macro="">
      <xdr:nvGraphicFramePr>
        <xdr:cNvPr id="7" name="Chart 6">
          <a:extLst>
            <a:ext uri="{FF2B5EF4-FFF2-40B4-BE49-F238E27FC236}">
              <a16:creationId xmlns:a16="http://schemas.microsoft.com/office/drawing/2014/main" id="{00000000-0008-0000-2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171450</xdr:colOff>
      <xdr:row>124</xdr:row>
      <xdr:rowOff>61912</xdr:rowOff>
    </xdr:from>
    <xdr:to>
      <xdr:col>10</xdr:col>
      <xdr:colOff>371475</xdr:colOff>
      <xdr:row>140</xdr:row>
      <xdr:rowOff>63817</xdr:rowOff>
    </xdr:to>
    <xdr:graphicFrame macro="">
      <xdr:nvGraphicFramePr>
        <xdr:cNvPr id="8" name="Chart 7">
          <a:extLst>
            <a:ext uri="{FF2B5EF4-FFF2-40B4-BE49-F238E27FC236}">
              <a16:creationId xmlns:a16="http://schemas.microsoft.com/office/drawing/2014/main" id="{00000000-0008-0000-2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263386</xdr:colOff>
      <xdr:row>146</xdr:row>
      <xdr:rowOff>59426</xdr:rowOff>
    </xdr:from>
    <xdr:to>
      <xdr:col>10</xdr:col>
      <xdr:colOff>397565</xdr:colOff>
      <xdr:row>165</xdr:row>
      <xdr:rowOff>24848</xdr:rowOff>
    </xdr:to>
    <xdr:graphicFrame macro="">
      <xdr:nvGraphicFramePr>
        <xdr:cNvPr id="9" name="Chart 8">
          <a:extLst>
            <a:ext uri="{FF2B5EF4-FFF2-40B4-BE49-F238E27FC236}">
              <a16:creationId xmlns:a16="http://schemas.microsoft.com/office/drawing/2014/main" id="{00000000-0008-0000-2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241438</xdr:colOff>
      <xdr:row>16</xdr:row>
      <xdr:rowOff>9525</xdr:rowOff>
    </xdr:to>
    <xdr:pic>
      <xdr:nvPicPr>
        <xdr:cNvPr id="3" name="Picture 2">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33907" cy="3057525"/>
        </a:xfrm>
        <a:prstGeom prst="rect">
          <a:avLst/>
        </a:prstGeom>
        <a:solidFill>
          <a:schemeClr val="bg1"/>
        </a:solidFill>
      </xdr:spPr>
    </xdr:pic>
    <xdr:clientData/>
  </xdr:twoCellAnchor>
  <xdr:oneCellAnchor>
    <xdr:from>
      <xdr:col>5</xdr:col>
      <xdr:colOff>168136</xdr:colOff>
      <xdr:row>19</xdr:row>
      <xdr:rowOff>74543</xdr:rowOff>
    </xdr:from>
    <xdr:ext cx="4610929" cy="488019"/>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2900-000004000000}"/>
                </a:ext>
              </a:extLst>
            </xdr:cNvPr>
            <xdr:cNvSpPr txBox="1"/>
          </xdr:nvSpPr>
          <xdr:spPr>
            <a:xfrm>
              <a:off x="4955484"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500" i="1">
                            <a:latin typeface="Cambria Math" panose="02040503050406030204" pitchFamily="18" charset="0"/>
                          </a:rPr>
                        </m:ctrlPr>
                      </m:fPr>
                      <m:num>
                        <m:r>
                          <a:rPr lang="en-US" sz="1500" b="0" i="1">
                            <a:latin typeface="Cambria Math" panose="02040503050406030204" pitchFamily="18" charset="0"/>
                          </a:rPr>
                          <m:t>$755 </m:t>
                        </m:r>
                        <m:r>
                          <a:rPr lang="en-US" sz="1500" b="0" i="1">
                            <a:latin typeface="Cambria Math" panose="02040503050406030204" pitchFamily="18" charset="0"/>
                          </a:rPr>
                          <m:t>𝑆𝐷</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num>
                      <m:den>
                        <m:r>
                          <a:rPr lang="en-US" sz="1500" b="0" i="1">
                            <a:latin typeface="Cambria Math" panose="02040503050406030204" pitchFamily="18" charset="0"/>
                          </a:rPr>
                          <m:t>$2,000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r>
                      <a:rPr lang="en-US" sz="1500" b="0" i="1">
                        <a:latin typeface="Cambria Math" panose="02040503050406030204" pitchFamily="18" charset="0"/>
                      </a:rPr>
                      <m:t>= </m:t>
                    </m:r>
                    <m:f>
                      <m:fPr>
                        <m:ctrlPr>
                          <a:rPr lang="en-US" sz="1500" b="0" i="1">
                            <a:latin typeface="Cambria Math" panose="02040503050406030204" pitchFamily="18" charset="0"/>
                          </a:rPr>
                        </m:ctrlPr>
                      </m:fPr>
                      <m:num>
                        <m:r>
                          <a:rPr lang="en-US" sz="1500" b="0" i="1">
                            <a:solidFill>
                              <a:schemeClr val="tx1"/>
                            </a:solidFill>
                            <a:effectLst/>
                            <a:latin typeface="Cambria Math" panose="02040503050406030204" pitchFamily="18" charset="0"/>
                            <a:ea typeface="+mn-ea"/>
                            <a:cs typeface="+mn-cs"/>
                          </a:rPr>
                          <m:t>$0.38 </m:t>
                        </m:r>
                        <m:r>
                          <a:rPr lang="en-US" sz="1500" b="0" i="1">
                            <a:solidFill>
                              <a:schemeClr val="tx1"/>
                            </a:solidFill>
                            <a:effectLst/>
                            <a:latin typeface="Cambria Math" panose="02040503050406030204" pitchFamily="18" charset="0"/>
                            <a:ea typeface="+mn-ea"/>
                            <a:cs typeface="+mn-cs"/>
                          </a:rPr>
                          <m:t>𝑆𝐷</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𝑓𝑜𝑟</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𝐵𝑜𝑛𝑢𝑠</m:t>
                        </m:r>
                      </m:num>
                      <m:den>
                        <m:r>
                          <a:rPr lang="en-US" sz="1500" b="0" i="1">
                            <a:latin typeface="Cambria Math" panose="02040503050406030204" pitchFamily="18" charset="0"/>
                          </a:rPr>
                          <m:t>$1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oMath>
                </m:oMathPara>
              </a14:m>
              <a:endParaRPr lang="en-US" sz="1500"/>
            </a:p>
          </xdr:txBody>
        </xdr:sp>
      </mc:Choice>
      <mc:Fallback xmlns="">
        <xdr:sp macro="" textlink="">
          <xdr:nvSpPr>
            <xdr:cNvPr id="4" name="TextBox 3"/>
            <xdr:cNvSpPr txBox="1"/>
          </xdr:nvSpPr>
          <xdr:spPr>
            <a:xfrm>
              <a:off x="4955484"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500" i="0">
                  <a:latin typeface="Cambria Math" panose="02040503050406030204" pitchFamily="18" charset="0"/>
                </a:rPr>
                <a:t>(</a:t>
              </a:r>
              <a:r>
                <a:rPr lang="en-US" sz="1500" b="0" i="0">
                  <a:latin typeface="Cambria Math" panose="02040503050406030204" pitchFamily="18" charset="0"/>
                </a:rPr>
                <a:t>$755 𝑆𝐷 𝑓𝑜𝑟 𝐵𝑜𝑛𝑢𝑠)/($2,000 𝑀𝑒𝑎𝑛 𝑓𝑜𝑟 𝐵𝑜𝑛𝑢𝑠)= </a:t>
              </a:r>
              <a:r>
                <a:rPr lang="en-US" sz="1500" b="0" i="0">
                  <a:solidFill>
                    <a:schemeClr val="tx1"/>
                  </a:solidFill>
                  <a:effectLst/>
                  <a:latin typeface="+mn-lt"/>
                  <a:ea typeface="+mn-ea"/>
                  <a:cs typeface="+mn-cs"/>
                </a:rPr>
                <a:t> </a:t>
              </a:r>
              <a:r>
                <a:rPr lang="en-US" sz="1500" b="0" i="0">
                  <a:solidFill>
                    <a:schemeClr val="tx1"/>
                  </a:solidFill>
                  <a:effectLst/>
                  <a:latin typeface="Cambria Math" panose="02040503050406030204" pitchFamily="18" charset="0"/>
                  <a:ea typeface="+mn-ea"/>
                  <a:cs typeface="+mn-cs"/>
                </a:rPr>
                <a:t>(</a:t>
              </a:r>
              <a:r>
                <a:rPr lang="en-US" sz="1500" b="0" i="0">
                  <a:solidFill>
                    <a:schemeClr val="tx1"/>
                  </a:solidFill>
                  <a:effectLst/>
                  <a:latin typeface="+mn-lt"/>
                  <a:ea typeface="+mn-ea"/>
                  <a:cs typeface="+mn-cs"/>
                </a:rPr>
                <a:t>$</a:t>
              </a:r>
              <a:r>
                <a:rPr lang="en-US" sz="1500" b="0" i="0">
                  <a:solidFill>
                    <a:schemeClr val="tx1"/>
                  </a:solidFill>
                  <a:effectLst/>
                  <a:latin typeface="Cambria Math" panose="02040503050406030204" pitchFamily="18" charset="0"/>
                  <a:ea typeface="+mn-ea"/>
                  <a:cs typeface="+mn-cs"/>
                </a:rPr>
                <a:t>0.38</a:t>
              </a:r>
              <a:r>
                <a:rPr lang="en-US" sz="1500" b="0" i="0">
                  <a:solidFill>
                    <a:schemeClr val="tx1"/>
                  </a:solidFill>
                  <a:effectLst/>
                  <a:latin typeface="+mn-lt"/>
                  <a:ea typeface="+mn-ea"/>
                  <a:cs typeface="+mn-cs"/>
                </a:rPr>
                <a:t> 𝑆𝐷 𝑓𝑜𝑟 𝐵𝑜𝑛𝑢𝑠</a:t>
              </a:r>
              <a:r>
                <a:rPr lang="en-US" sz="1500" b="0" i="0">
                  <a:solidFill>
                    <a:schemeClr val="tx1"/>
                  </a:solidFill>
                  <a:effectLst/>
                  <a:latin typeface="Cambria Math" panose="02040503050406030204" pitchFamily="18" charset="0"/>
                  <a:ea typeface="+mn-ea"/>
                  <a:cs typeface="+mn-cs"/>
                </a:rPr>
                <a:t>)/(</a:t>
              </a:r>
              <a:r>
                <a:rPr lang="en-US" sz="1500" b="0" i="0">
                  <a:latin typeface="Cambria Math" panose="02040503050406030204" pitchFamily="18" charset="0"/>
                </a:rPr>
                <a:t>$1 𝑀𝑒𝑎𝑛 𝑓𝑜𝑟 𝐵𝑜𝑛𝑢𝑠)</a:t>
              </a:r>
              <a:endParaRPr lang="en-US" sz="1500"/>
            </a:p>
          </xdr:txBody>
        </xdr:sp>
      </mc:Fallback>
    </mc:AlternateContent>
    <xdr:clientData/>
  </xdr:one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241438</xdr:colOff>
      <xdr:row>16</xdr:row>
      <xdr:rowOff>9525</xdr:rowOff>
    </xdr:to>
    <xdr:pic>
      <xdr:nvPicPr>
        <xdr:cNvPr id="2" name="Picture 1">
          <a:extLst>
            <a:ext uri="{FF2B5EF4-FFF2-40B4-BE49-F238E27FC236}">
              <a16:creationId xmlns:a16="http://schemas.microsoft.com/office/drawing/2014/main" id="{00000000-0008-0000-2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61313" cy="3057525"/>
        </a:xfrm>
        <a:prstGeom prst="rect">
          <a:avLst/>
        </a:prstGeom>
        <a:solidFill>
          <a:schemeClr val="bg1"/>
        </a:solidFill>
      </xdr:spPr>
    </xdr:pic>
    <xdr:clientData/>
  </xdr:twoCellAnchor>
  <xdr:oneCellAnchor>
    <xdr:from>
      <xdr:col>5</xdr:col>
      <xdr:colOff>168136</xdr:colOff>
      <xdr:row>19</xdr:row>
      <xdr:rowOff>74543</xdr:rowOff>
    </xdr:from>
    <xdr:ext cx="4610929" cy="488019"/>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2A00-000003000000}"/>
                </a:ext>
              </a:extLst>
            </xdr:cNvPr>
            <xdr:cNvSpPr txBox="1"/>
          </xdr:nvSpPr>
          <xdr:spPr>
            <a:xfrm>
              <a:off x="4959211"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1500" i="1">
                            <a:latin typeface="Cambria Math" panose="02040503050406030204" pitchFamily="18" charset="0"/>
                          </a:rPr>
                        </m:ctrlPr>
                      </m:fPr>
                      <m:num>
                        <m:r>
                          <a:rPr lang="en-US" sz="1500" b="0" i="1">
                            <a:latin typeface="Cambria Math" panose="02040503050406030204" pitchFamily="18" charset="0"/>
                          </a:rPr>
                          <m:t>$755 </m:t>
                        </m:r>
                        <m:r>
                          <a:rPr lang="en-US" sz="1500" b="0" i="1">
                            <a:latin typeface="Cambria Math" panose="02040503050406030204" pitchFamily="18" charset="0"/>
                          </a:rPr>
                          <m:t>𝑆𝐷</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num>
                      <m:den>
                        <m:r>
                          <a:rPr lang="en-US" sz="1500" b="0" i="1">
                            <a:latin typeface="Cambria Math" panose="02040503050406030204" pitchFamily="18" charset="0"/>
                          </a:rPr>
                          <m:t>$2,000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r>
                      <a:rPr lang="en-US" sz="1500" b="0" i="1">
                        <a:latin typeface="Cambria Math" panose="02040503050406030204" pitchFamily="18" charset="0"/>
                      </a:rPr>
                      <m:t>= </m:t>
                    </m:r>
                    <m:f>
                      <m:fPr>
                        <m:ctrlPr>
                          <a:rPr lang="en-US" sz="1500" b="0" i="1">
                            <a:latin typeface="Cambria Math" panose="02040503050406030204" pitchFamily="18" charset="0"/>
                          </a:rPr>
                        </m:ctrlPr>
                      </m:fPr>
                      <m:num>
                        <m:r>
                          <a:rPr lang="en-US" sz="1500" b="0" i="1">
                            <a:solidFill>
                              <a:schemeClr val="tx1"/>
                            </a:solidFill>
                            <a:effectLst/>
                            <a:latin typeface="Cambria Math" panose="02040503050406030204" pitchFamily="18" charset="0"/>
                            <a:ea typeface="+mn-ea"/>
                            <a:cs typeface="+mn-cs"/>
                          </a:rPr>
                          <m:t>$0.38 </m:t>
                        </m:r>
                        <m:r>
                          <a:rPr lang="en-US" sz="1500" b="0" i="1">
                            <a:solidFill>
                              <a:schemeClr val="tx1"/>
                            </a:solidFill>
                            <a:effectLst/>
                            <a:latin typeface="Cambria Math" panose="02040503050406030204" pitchFamily="18" charset="0"/>
                            <a:ea typeface="+mn-ea"/>
                            <a:cs typeface="+mn-cs"/>
                          </a:rPr>
                          <m:t>𝑆𝐷</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𝑓𝑜𝑟</m:t>
                        </m:r>
                        <m:r>
                          <a:rPr lang="en-US" sz="1500" b="0" i="1">
                            <a:solidFill>
                              <a:schemeClr val="tx1"/>
                            </a:solidFill>
                            <a:effectLst/>
                            <a:latin typeface="Cambria Math" panose="02040503050406030204" pitchFamily="18" charset="0"/>
                            <a:ea typeface="+mn-ea"/>
                            <a:cs typeface="+mn-cs"/>
                          </a:rPr>
                          <m:t> </m:t>
                        </m:r>
                        <m:r>
                          <a:rPr lang="en-US" sz="1500" b="0" i="1">
                            <a:solidFill>
                              <a:schemeClr val="tx1"/>
                            </a:solidFill>
                            <a:effectLst/>
                            <a:latin typeface="Cambria Math" panose="02040503050406030204" pitchFamily="18" charset="0"/>
                            <a:ea typeface="+mn-ea"/>
                            <a:cs typeface="+mn-cs"/>
                          </a:rPr>
                          <m:t>𝐵𝑜𝑛𝑢𝑠</m:t>
                        </m:r>
                      </m:num>
                      <m:den>
                        <m:r>
                          <a:rPr lang="en-US" sz="1500" b="0" i="1">
                            <a:latin typeface="Cambria Math" panose="02040503050406030204" pitchFamily="18" charset="0"/>
                          </a:rPr>
                          <m:t>$1 </m:t>
                        </m:r>
                        <m:r>
                          <a:rPr lang="en-US" sz="1500" b="0" i="1">
                            <a:latin typeface="Cambria Math" panose="02040503050406030204" pitchFamily="18" charset="0"/>
                          </a:rPr>
                          <m:t>𝑀𝑒𝑎𝑛</m:t>
                        </m:r>
                        <m:r>
                          <a:rPr lang="en-US" sz="1500" b="0" i="1">
                            <a:latin typeface="Cambria Math" panose="02040503050406030204" pitchFamily="18" charset="0"/>
                          </a:rPr>
                          <m:t> </m:t>
                        </m:r>
                        <m:r>
                          <a:rPr lang="en-US" sz="1500" b="0" i="1">
                            <a:latin typeface="Cambria Math" panose="02040503050406030204" pitchFamily="18" charset="0"/>
                          </a:rPr>
                          <m:t>𝑓𝑜𝑟</m:t>
                        </m:r>
                        <m:r>
                          <a:rPr lang="en-US" sz="1500" b="0" i="1">
                            <a:latin typeface="Cambria Math" panose="02040503050406030204" pitchFamily="18" charset="0"/>
                          </a:rPr>
                          <m:t> </m:t>
                        </m:r>
                        <m:r>
                          <a:rPr lang="en-US" sz="1500" b="0" i="1">
                            <a:latin typeface="Cambria Math" panose="02040503050406030204" pitchFamily="18" charset="0"/>
                          </a:rPr>
                          <m:t>𝐵𝑜𝑛𝑢𝑠</m:t>
                        </m:r>
                      </m:den>
                    </m:f>
                  </m:oMath>
                </m:oMathPara>
              </a14:m>
              <a:endParaRPr lang="en-US" sz="1500"/>
            </a:p>
          </xdr:txBody>
        </xdr:sp>
      </mc:Choice>
      <mc:Fallback xmlns="">
        <xdr:sp macro="" textlink="">
          <xdr:nvSpPr>
            <xdr:cNvPr id="3" name="TextBox 2"/>
            <xdr:cNvSpPr txBox="1"/>
          </xdr:nvSpPr>
          <xdr:spPr>
            <a:xfrm>
              <a:off x="4959211" y="3694043"/>
              <a:ext cx="4610929" cy="488019"/>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500" i="0">
                  <a:latin typeface="Cambria Math" panose="02040503050406030204" pitchFamily="18" charset="0"/>
                </a:rPr>
                <a:t>(</a:t>
              </a:r>
              <a:r>
                <a:rPr lang="en-US" sz="1500" b="0" i="0">
                  <a:latin typeface="Cambria Math" panose="02040503050406030204" pitchFamily="18" charset="0"/>
                </a:rPr>
                <a:t>$755 𝑆𝐷 𝑓𝑜𝑟 𝐵𝑜𝑛𝑢𝑠)/($2,000 𝑀𝑒𝑎𝑛 𝑓𝑜𝑟 𝐵𝑜𝑛𝑢𝑠)= </a:t>
              </a:r>
              <a:r>
                <a:rPr lang="en-US" sz="1500" b="0" i="0">
                  <a:solidFill>
                    <a:schemeClr val="tx1"/>
                  </a:solidFill>
                  <a:effectLst/>
                  <a:latin typeface="+mn-lt"/>
                  <a:ea typeface="+mn-ea"/>
                  <a:cs typeface="+mn-cs"/>
                </a:rPr>
                <a:t> </a:t>
              </a:r>
              <a:r>
                <a:rPr lang="en-US" sz="1500" b="0" i="0">
                  <a:solidFill>
                    <a:schemeClr val="tx1"/>
                  </a:solidFill>
                  <a:effectLst/>
                  <a:latin typeface="Cambria Math" panose="02040503050406030204" pitchFamily="18" charset="0"/>
                  <a:ea typeface="+mn-ea"/>
                  <a:cs typeface="+mn-cs"/>
                </a:rPr>
                <a:t>(</a:t>
              </a:r>
              <a:r>
                <a:rPr lang="en-US" sz="1500" b="0" i="0">
                  <a:solidFill>
                    <a:schemeClr val="tx1"/>
                  </a:solidFill>
                  <a:effectLst/>
                  <a:latin typeface="+mn-lt"/>
                  <a:ea typeface="+mn-ea"/>
                  <a:cs typeface="+mn-cs"/>
                </a:rPr>
                <a:t>$</a:t>
              </a:r>
              <a:r>
                <a:rPr lang="en-US" sz="1500" b="0" i="0">
                  <a:solidFill>
                    <a:schemeClr val="tx1"/>
                  </a:solidFill>
                  <a:effectLst/>
                  <a:latin typeface="Cambria Math" panose="02040503050406030204" pitchFamily="18" charset="0"/>
                  <a:ea typeface="+mn-ea"/>
                  <a:cs typeface="+mn-cs"/>
                </a:rPr>
                <a:t>0.38</a:t>
              </a:r>
              <a:r>
                <a:rPr lang="en-US" sz="1500" b="0" i="0">
                  <a:solidFill>
                    <a:schemeClr val="tx1"/>
                  </a:solidFill>
                  <a:effectLst/>
                  <a:latin typeface="+mn-lt"/>
                  <a:ea typeface="+mn-ea"/>
                  <a:cs typeface="+mn-cs"/>
                </a:rPr>
                <a:t> 𝑆𝐷 𝑓𝑜𝑟 𝐵𝑜𝑛𝑢𝑠</a:t>
              </a:r>
              <a:r>
                <a:rPr lang="en-US" sz="1500" b="0" i="0">
                  <a:solidFill>
                    <a:schemeClr val="tx1"/>
                  </a:solidFill>
                  <a:effectLst/>
                  <a:latin typeface="Cambria Math" panose="02040503050406030204" pitchFamily="18" charset="0"/>
                  <a:ea typeface="+mn-ea"/>
                  <a:cs typeface="+mn-cs"/>
                </a:rPr>
                <a:t>)/(</a:t>
              </a:r>
              <a:r>
                <a:rPr lang="en-US" sz="1500" b="0" i="0">
                  <a:latin typeface="Cambria Math" panose="02040503050406030204" pitchFamily="18" charset="0"/>
                </a:rPr>
                <a:t>$1 𝑀𝑒𝑎𝑛 𝑓𝑜𝑟 𝐵𝑜𝑛𝑢𝑠)</a:t>
              </a:r>
              <a:endParaRPr lang="en-US" sz="1500"/>
            </a:p>
          </xdr:txBody>
        </xdr:sp>
      </mc:Fallback>
    </mc:AlternateContent>
    <xdr:clientData/>
  </xdr:oneCellAnchor>
</xdr:wsDr>
</file>

<file path=xl/drawings/drawing30.xml><?xml version="1.0" encoding="utf-8"?>
<xdr:wsDr xmlns:xdr="http://schemas.openxmlformats.org/drawingml/2006/spreadsheetDrawing" xmlns:a="http://schemas.openxmlformats.org/drawingml/2006/main">
  <xdr:twoCellAnchor>
    <xdr:from>
      <xdr:col>5</xdr:col>
      <xdr:colOff>309561</xdr:colOff>
      <xdr:row>3</xdr:row>
      <xdr:rowOff>0</xdr:rowOff>
    </xdr:from>
    <xdr:to>
      <xdr:col>13</xdr:col>
      <xdr:colOff>428624</xdr:colOff>
      <xdr:row>19</xdr:row>
      <xdr:rowOff>28581</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2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2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2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xdr:col>
      <xdr:colOff>47624</xdr:colOff>
      <xdr:row>1</xdr:row>
      <xdr:rowOff>19050</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2E00-000005000000}"/>
                </a:ext>
              </a:extLst>
            </xdr:cNvPr>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2E00-000006000000}"/>
            </a:ext>
          </a:extLst>
        </xdr:cNvPr>
        <xdr:cNvSpPr txBox="1"/>
      </xdr:nvSpPr>
      <xdr:spPr>
        <a:xfrm>
          <a:off x="9577387" y="1485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4</xdr:col>
      <xdr:colOff>828675</xdr:colOff>
      <xdr:row>11</xdr:row>
      <xdr:rowOff>95250</xdr:rowOff>
    </xdr:from>
    <xdr:to>
      <xdr:col>11</xdr:col>
      <xdr:colOff>495300</xdr:colOff>
      <xdr:row>26</xdr:row>
      <xdr:rowOff>104775</xdr:rowOff>
    </xdr:to>
    <xdr:pic>
      <xdr:nvPicPr>
        <xdr:cNvPr id="7" name="Picture 6">
          <a:extLst>
            <a:ext uri="{FF2B5EF4-FFF2-40B4-BE49-F238E27FC236}">
              <a16:creationId xmlns:a16="http://schemas.microsoft.com/office/drawing/2014/main" id="{00000000-0008-0000-2E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67425" y="2381250"/>
          <a:ext cx="6858000" cy="3248025"/>
        </a:xfrm>
        <a:prstGeom prst="rect">
          <a:avLst/>
        </a:prstGeom>
        <a:solidFill>
          <a:schemeClr val="bg1"/>
        </a:solidFill>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541020</xdr:colOff>
      <xdr:row>3</xdr:row>
      <xdr:rowOff>60960</xdr:rowOff>
    </xdr:from>
    <xdr:to>
      <xdr:col>1</xdr:col>
      <xdr:colOff>1493520</xdr:colOff>
      <xdr:row>9</xdr:row>
      <xdr:rowOff>167640</xdr:rowOff>
    </xdr:to>
    <xdr:graphicFrame macro="">
      <xdr:nvGraphicFramePr>
        <xdr:cNvPr id="2" name="Chart 1">
          <a:extLst>
            <a:ext uri="{FF2B5EF4-FFF2-40B4-BE49-F238E27FC236}">
              <a16:creationId xmlns:a16="http://schemas.microsoft.com/office/drawing/2014/main" id="{00000000-0008-0000-2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1554480</xdr:colOff>
      <xdr:row>3</xdr:row>
      <xdr:rowOff>60960</xdr:rowOff>
    </xdr:from>
    <xdr:to>
      <xdr:col>2</xdr:col>
      <xdr:colOff>1516380</xdr:colOff>
      <xdr:row>9</xdr:row>
      <xdr:rowOff>167640</xdr:rowOff>
    </xdr:to>
    <xdr:graphicFrame macro="">
      <xdr:nvGraphicFramePr>
        <xdr:cNvPr id="3" name="Chart 2">
          <a:extLst>
            <a:ext uri="{FF2B5EF4-FFF2-40B4-BE49-F238E27FC236}">
              <a16:creationId xmlns:a16="http://schemas.microsoft.com/office/drawing/2014/main" id="{00000000-0008-0000-2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1577340</xdr:colOff>
      <xdr:row>3</xdr:row>
      <xdr:rowOff>60960</xdr:rowOff>
    </xdr:from>
    <xdr:to>
      <xdr:col>3</xdr:col>
      <xdr:colOff>1546860</xdr:colOff>
      <xdr:row>9</xdr:row>
      <xdr:rowOff>167640</xdr:rowOff>
    </xdr:to>
    <xdr:graphicFrame macro="">
      <xdr:nvGraphicFramePr>
        <xdr:cNvPr id="4" name="Chart 3">
          <a:extLst>
            <a:ext uri="{FF2B5EF4-FFF2-40B4-BE49-F238E27FC236}">
              <a16:creationId xmlns:a16="http://schemas.microsoft.com/office/drawing/2014/main" id="{00000000-0008-0000-2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5</xdr:col>
      <xdr:colOff>47624</xdr:colOff>
      <xdr:row>1</xdr:row>
      <xdr:rowOff>19050</xdr:rowOff>
    </xdr:from>
    <xdr:ext cx="4924425" cy="7043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2F00-000005000000}"/>
                </a:ext>
              </a:extLst>
            </xdr:cNvPr>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800" b="0" i="1">
                        <a:latin typeface="Cambria Math" panose="02040503050406030204" pitchFamily="18" charset="0"/>
                      </a:rPr>
                      <m:t>𝑆𝑘𝑒𝑤𝑛𝑒𝑠𝑠</m:t>
                    </m:r>
                    <m:r>
                      <a:rPr lang="en-US" sz="1800" b="0" i="1">
                        <a:latin typeface="Cambria Math" panose="02040503050406030204" pitchFamily="18" charset="0"/>
                      </a:rPr>
                      <m:t>= </m:t>
                    </m:r>
                    <m:f>
                      <m:fPr>
                        <m:ctrlPr>
                          <a:rPr lang="en-US" sz="1800" b="0" i="1">
                            <a:solidFill>
                              <a:schemeClr val="tx1"/>
                            </a:solidFill>
                            <a:effectLst/>
                            <a:latin typeface="Cambria Math" panose="02040503050406030204" pitchFamily="18" charset="0"/>
                            <a:ea typeface="+mn-ea"/>
                            <a:cs typeface="+mn-cs"/>
                          </a:rPr>
                        </m:ctrlPr>
                      </m:fPr>
                      <m:num>
                        <m:r>
                          <a:rPr lang="en-US" sz="1800" b="0" i="1">
                            <a:solidFill>
                              <a:schemeClr val="tx1"/>
                            </a:solidFill>
                            <a:effectLst/>
                            <a:latin typeface="Cambria Math" panose="02040503050406030204" pitchFamily="18" charset="0"/>
                            <a:ea typeface="+mn-ea"/>
                            <a:cs typeface="+mn-cs"/>
                          </a:rPr>
                          <m:t>𝑛</m:t>
                        </m:r>
                      </m:num>
                      <m:den>
                        <m:r>
                          <a:rPr lang="en-US" sz="1800" b="0" i="1">
                            <a:solidFill>
                              <a:schemeClr val="tx1"/>
                            </a:solidFill>
                            <a:effectLst/>
                            <a:latin typeface="Cambria Math" panose="02040503050406030204" pitchFamily="18" charset="0"/>
                            <a:ea typeface="+mn-ea"/>
                            <a:cs typeface="+mn-cs"/>
                          </a:rPr>
                          <m:t>(</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−1)(</m:t>
                        </m:r>
                        <m:r>
                          <a:rPr lang="en-US" sz="1800" b="0" i="1">
                            <a:solidFill>
                              <a:schemeClr val="tx1"/>
                            </a:solidFill>
                            <a:effectLst/>
                            <a:latin typeface="Cambria Math" panose="02040503050406030204" pitchFamily="18" charset="0"/>
                            <a:ea typeface="+mn-ea"/>
                            <a:cs typeface="+mn-cs"/>
                          </a:rPr>
                          <m:t>𝑛</m:t>
                        </m:r>
                        <m:r>
                          <a:rPr lang="en-US" sz="1800" b="0" i="1">
                            <a:solidFill>
                              <a:schemeClr val="tx1"/>
                            </a:solidFill>
                            <a:effectLst/>
                            <a:latin typeface="Cambria Math" panose="02040503050406030204" pitchFamily="18" charset="0"/>
                            <a:ea typeface="+mn-ea"/>
                            <a:cs typeface="+mn-cs"/>
                          </a:rPr>
                          <m:t>−2)</m:t>
                        </m:r>
                      </m:den>
                    </m:f>
                    <m:r>
                      <a:rPr lang="en-US" sz="1800" b="0" i="1">
                        <a:latin typeface="Cambria Math" panose="02040503050406030204" pitchFamily="18" charset="0"/>
                      </a:rPr>
                      <m:t> </m:t>
                    </m:r>
                    <m:nary>
                      <m:naryPr>
                        <m:chr m:val="∑"/>
                        <m:subHide m:val="on"/>
                        <m:supHide m:val="on"/>
                        <m:ctrlPr>
                          <a:rPr lang="en-US" sz="1800" b="0" i="1">
                            <a:latin typeface="Cambria Math" panose="02040503050406030204" pitchFamily="18" charset="0"/>
                          </a:rPr>
                        </m:ctrlPr>
                      </m:naryPr>
                      <m:sub/>
                      <m:sup/>
                      <m:e>
                        <m:sSup>
                          <m:sSupPr>
                            <m:ctrlPr>
                              <a:rPr lang="en-US" sz="1800" b="0" i="1">
                                <a:latin typeface="Cambria Math" panose="02040503050406030204" pitchFamily="18" charset="0"/>
                              </a:rPr>
                            </m:ctrlPr>
                          </m:sSupPr>
                          <m:e>
                            <m:d>
                              <m:dPr>
                                <m:ctrlPr>
                                  <a:rPr lang="en-US" sz="1800" b="0" i="1">
                                    <a:latin typeface="Cambria Math" panose="02040503050406030204" pitchFamily="18" charset="0"/>
                                  </a:rPr>
                                </m:ctrlPr>
                              </m:dPr>
                              <m:e>
                                <m:f>
                                  <m:fPr>
                                    <m:ctrlPr>
                                      <a:rPr lang="en-US" sz="1800" b="0" i="1">
                                        <a:latin typeface="Cambria Math" panose="02040503050406030204" pitchFamily="18" charset="0"/>
                                      </a:rPr>
                                    </m:ctrlPr>
                                  </m:fPr>
                                  <m:num>
                                    <m:sSub>
                                      <m:sSubPr>
                                        <m:ctrlPr>
                                          <a:rPr lang="en-US" sz="1800" b="0" i="1">
                                            <a:latin typeface="Cambria Math" panose="02040503050406030204" pitchFamily="18" charset="0"/>
                                          </a:rPr>
                                        </m:ctrlPr>
                                      </m:sSubPr>
                                      <m:e>
                                        <m:r>
                                          <a:rPr lang="en-US" sz="1800" b="0" i="1">
                                            <a:latin typeface="Cambria Math" panose="02040503050406030204" pitchFamily="18" charset="0"/>
                                          </a:rPr>
                                          <m:t>𝑥</m:t>
                                        </m:r>
                                      </m:e>
                                      <m:sub>
                                        <m:r>
                                          <a:rPr lang="en-US" sz="1800" b="0" i="1">
                                            <a:latin typeface="Cambria Math" panose="02040503050406030204" pitchFamily="18" charset="0"/>
                                          </a:rPr>
                                          <m:t>𝑖</m:t>
                                        </m:r>
                                      </m:sub>
                                    </m:sSub>
                                    <m:r>
                                      <a:rPr lang="en-US" sz="1800" b="0" i="1">
                                        <a:latin typeface="Cambria Math" panose="02040503050406030204" pitchFamily="18" charset="0"/>
                                      </a:rPr>
                                      <m:t>−</m:t>
                                    </m:r>
                                    <m:acc>
                                      <m:accPr>
                                        <m:chr m:val="̅"/>
                                        <m:ctrlPr>
                                          <a:rPr lang="en-US" sz="1800" b="0" i="1">
                                            <a:latin typeface="Cambria Math" panose="02040503050406030204" pitchFamily="18" charset="0"/>
                                          </a:rPr>
                                        </m:ctrlPr>
                                      </m:accPr>
                                      <m:e>
                                        <m:r>
                                          <a:rPr lang="en-US" sz="1800" b="0" i="1">
                                            <a:latin typeface="Cambria Math" panose="02040503050406030204" pitchFamily="18" charset="0"/>
                                          </a:rPr>
                                          <m:t>𝑥</m:t>
                                        </m:r>
                                      </m:e>
                                    </m:acc>
                                  </m:num>
                                  <m:den>
                                    <m:r>
                                      <a:rPr lang="en-US" sz="1800" b="0" i="1">
                                        <a:latin typeface="Cambria Math" panose="02040503050406030204" pitchFamily="18" charset="0"/>
                                      </a:rPr>
                                      <m:t>𝑠</m:t>
                                    </m:r>
                                  </m:den>
                                </m:f>
                              </m:e>
                            </m:d>
                          </m:e>
                          <m:sup>
                            <m:r>
                              <a:rPr lang="en-US" sz="1800" b="0" i="1">
                                <a:latin typeface="Cambria Math" panose="02040503050406030204" pitchFamily="18" charset="0"/>
                              </a:rPr>
                              <m:t>3</m:t>
                            </m:r>
                          </m:sup>
                        </m:sSup>
                      </m:e>
                    </m:nary>
                    <m:r>
                      <a:rPr lang="en-US" sz="1800" b="0" i="1">
                        <a:latin typeface="Cambria Math" panose="02040503050406030204" pitchFamily="18" charset="0"/>
                      </a:rPr>
                      <m:t>      </m:t>
                    </m:r>
                  </m:oMath>
                </m:oMathPara>
              </a14:m>
              <a:endParaRPr lang="en-US" sz="1800"/>
            </a:p>
          </xdr:txBody>
        </xdr:sp>
      </mc:Choice>
      <mc:Fallback xmlns="">
        <xdr:sp macro="" textlink="">
          <xdr:nvSpPr>
            <xdr:cNvPr id="5" name="TextBox 4"/>
            <xdr:cNvSpPr txBox="1"/>
          </xdr:nvSpPr>
          <xdr:spPr>
            <a:xfrm>
              <a:off x="6638924" y="400050"/>
              <a:ext cx="4924425" cy="70436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800" b="0" i="0">
                  <a:latin typeface="Cambria Math" panose="02040503050406030204" pitchFamily="18" charset="0"/>
                </a:rPr>
                <a:t>𝑆𝑘𝑒𝑤𝑛𝑒𝑠𝑠= </a:t>
              </a:r>
              <a:r>
                <a:rPr lang="en-US" sz="1800" b="0" i="0">
                  <a:solidFill>
                    <a:schemeClr val="tx1"/>
                  </a:solidFill>
                  <a:effectLst/>
                  <a:latin typeface="Cambria Math" panose="02040503050406030204" pitchFamily="18" charset="0"/>
                  <a:ea typeface="+mn-ea"/>
                  <a:cs typeface="+mn-cs"/>
                </a:rPr>
                <a:t> 𝑛/((𝑛−1)(𝑛−2)) </a:t>
              </a:r>
              <a:r>
                <a:rPr lang="en-US" sz="1800" b="0" i="0">
                  <a:latin typeface="Cambria Math" panose="02040503050406030204" pitchFamily="18" charset="0"/>
                </a:rPr>
                <a:t> ∑▒((𝑥_𝑖−𝑥 ̅)/𝑠)^3        </a:t>
              </a:r>
              <a:endParaRPr lang="en-US" sz="1800"/>
            </a:p>
          </xdr:txBody>
        </xdr:sp>
      </mc:Fallback>
    </mc:AlternateContent>
    <xdr:clientData/>
  </xdr:oneCellAnchor>
  <xdr:oneCellAnchor>
    <xdr:from>
      <xdr:col>8</xdr:col>
      <xdr:colOff>414337</xdr:colOff>
      <xdr:row>5</xdr:row>
      <xdr:rowOff>152400</xdr:rowOff>
    </xdr:from>
    <xdr:ext cx="65" cy="172227"/>
    <xdr:sp macro="" textlink="">
      <xdr:nvSpPr>
        <xdr:cNvPr id="6" name="TextBox 5">
          <a:extLst>
            <a:ext uri="{FF2B5EF4-FFF2-40B4-BE49-F238E27FC236}">
              <a16:creationId xmlns:a16="http://schemas.microsoft.com/office/drawing/2014/main" id="{00000000-0008-0000-2F00-000006000000}"/>
            </a:ext>
          </a:extLst>
        </xdr:cNvPr>
        <xdr:cNvSpPr txBox="1"/>
      </xdr:nvSpPr>
      <xdr:spPr>
        <a:xfrm>
          <a:off x="9577387" y="1295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4</xdr:col>
      <xdr:colOff>828675</xdr:colOff>
      <xdr:row>11</xdr:row>
      <xdr:rowOff>95250</xdr:rowOff>
    </xdr:from>
    <xdr:to>
      <xdr:col>11</xdr:col>
      <xdr:colOff>495300</xdr:colOff>
      <xdr:row>26</xdr:row>
      <xdr:rowOff>104775</xdr:rowOff>
    </xdr:to>
    <xdr:pic>
      <xdr:nvPicPr>
        <xdr:cNvPr id="7" name="Picture 6">
          <a:extLst>
            <a:ext uri="{FF2B5EF4-FFF2-40B4-BE49-F238E27FC236}">
              <a16:creationId xmlns:a16="http://schemas.microsoft.com/office/drawing/2014/main" id="{00000000-0008-0000-2F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67425" y="2381250"/>
          <a:ext cx="6858000" cy="3248025"/>
        </a:xfrm>
        <a:prstGeom prst="rect">
          <a:avLst/>
        </a:prstGeom>
        <a:solidFill>
          <a:schemeClr val="bg1"/>
        </a:solidFill>
      </xdr:spPr>
    </xdr:pic>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494403</xdr:colOff>
      <xdr:row>14</xdr:row>
      <xdr:rowOff>164791</xdr:rowOff>
    </xdr:to>
    <xdr:graphicFrame macro="">
      <xdr:nvGraphicFramePr>
        <xdr:cNvPr id="2" name="Chart 1">
          <a:extLst>
            <a:ext uri="{FF2B5EF4-FFF2-40B4-BE49-F238E27FC236}">
              <a16:creationId xmlns:a16="http://schemas.microsoft.com/office/drawing/2014/main" id="{00000000-0008-0000-3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27285</xdr:colOff>
      <xdr:row>31</xdr:row>
      <xdr:rowOff>127119</xdr:rowOff>
    </xdr:from>
    <xdr:to>
      <xdr:col>7</xdr:col>
      <xdr:colOff>419597</xdr:colOff>
      <xdr:row>47</xdr:row>
      <xdr:rowOff>8983</xdr:rowOff>
    </xdr:to>
    <xdr:graphicFrame macro="">
      <xdr:nvGraphicFramePr>
        <xdr:cNvPr id="3" name="Chart 2">
          <a:extLst>
            <a:ext uri="{FF2B5EF4-FFF2-40B4-BE49-F238E27FC236}">
              <a16:creationId xmlns:a16="http://schemas.microsoft.com/office/drawing/2014/main" id="{00000000-0008-0000-3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591671</xdr:colOff>
      <xdr:row>0</xdr:row>
      <xdr:rowOff>0</xdr:rowOff>
    </xdr:from>
    <xdr:to>
      <xdr:col>16</xdr:col>
      <xdr:colOff>238818</xdr:colOff>
      <xdr:row>14</xdr:row>
      <xdr:rowOff>168978</xdr:rowOff>
    </xdr:to>
    <xdr:graphicFrame macro="">
      <xdr:nvGraphicFramePr>
        <xdr:cNvPr id="4" name="Chart 3">
          <a:extLst>
            <a:ext uri="{FF2B5EF4-FFF2-40B4-BE49-F238E27FC236}">
              <a16:creationId xmlns:a16="http://schemas.microsoft.com/office/drawing/2014/main" id="{00000000-0008-0000-3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89664</xdr:colOff>
      <xdr:row>15</xdr:row>
      <xdr:rowOff>193180</xdr:rowOff>
    </xdr:from>
    <xdr:to>
      <xdr:col>16</xdr:col>
      <xdr:colOff>308793</xdr:colOff>
      <xdr:row>29</xdr:row>
      <xdr:rowOff>80567</xdr:rowOff>
    </xdr:to>
    <xdr:graphicFrame macro="">
      <xdr:nvGraphicFramePr>
        <xdr:cNvPr id="5" name="Chart 4">
          <a:extLst>
            <a:ext uri="{FF2B5EF4-FFF2-40B4-BE49-F238E27FC236}">
              <a16:creationId xmlns:a16="http://schemas.microsoft.com/office/drawing/2014/main" id="{00000000-0008-0000-3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98611</xdr:colOff>
      <xdr:row>15</xdr:row>
      <xdr:rowOff>206189</xdr:rowOff>
    </xdr:from>
    <xdr:to>
      <xdr:col>7</xdr:col>
      <xdr:colOff>457200</xdr:colOff>
      <xdr:row>28</xdr:row>
      <xdr:rowOff>16777</xdr:rowOff>
    </xdr:to>
    <xdr:graphicFrame macro="">
      <xdr:nvGraphicFramePr>
        <xdr:cNvPr id="6" name="Chart 5">
          <a:extLst>
            <a:ext uri="{FF2B5EF4-FFF2-40B4-BE49-F238E27FC236}">
              <a16:creationId xmlns:a16="http://schemas.microsoft.com/office/drawing/2014/main" id="{00000000-0008-0000-3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4</xdr:col>
      <xdr:colOff>68580</xdr:colOff>
      <xdr:row>0</xdr:row>
      <xdr:rowOff>32658</xdr:rowOff>
    </xdr:from>
    <xdr:to>
      <xdr:col>12</xdr:col>
      <xdr:colOff>546847</xdr:colOff>
      <xdr:row>11</xdr:row>
      <xdr:rowOff>50428</xdr:rowOff>
    </xdr:to>
    <xdr:graphicFrame macro="">
      <xdr:nvGraphicFramePr>
        <xdr:cNvPr id="2" name="Chart 1">
          <a:extLst>
            <a:ext uri="{FF2B5EF4-FFF2-40B4-BE49-F238E27FC236}">
              <a16:creationId xmlns:a16="http://schemas.microsoft.com/office/drawing/2014/main" id="{00000000-0008-0000-3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34838</xdr:colOff>
      <xdr:row>12</xdr:row>
      <xdr:rowOff>21854</xdr:rowOff>
    </xdr:from>
    <xdr:to>
      <xdr:col>12</xdr:col>
      <xdr:colOff>329456</xdr:colOff>
      <xdr:row>25</xdr:row>
      <xdr:rowOff>142215</xdr:rowOff>
    </xdr:to>
    <xdr:graphicFrame macro="">
      <xdr:nvGraphicFramePr>
        <xdr:cNvPr id="3" name="Chart 2">
          <a:extLst>
            <a:ext uri="{FF2B5EF4-FFF2-40B4-BE49-F238E27FC236}">
              <a16:creationId xmlns:a16="http://schemas.microsoft.com/office/drawing/2014/main" id="{00000000-0008-0000-3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xdr:from>
      <xdr:col>8</xdr:col>
      <xdr:colOff>68579</xdr:colOff>
      <xdr:row>0</xdr:row>
      <xdr:rowOff>68580</xdr:rowOff>
    </xdr:from>
    <xdr:to>
      <xdr:col>16</xdr:col>
      <xdr:colOff>564684</xdr:colOff>
      <xdr:row>13</xdr:row>
      <xdr:rowOff>312420</xdr:rowOff>
    </xdr:to>
    <xdr:graphicFrame macro="">
      <xdr:nvGraphicFramePr>
        <xdr:cNvPr id="2" name="Chart 1">
          <a:extLst>
            <a:ext uri="{FF2B5EF4-FFF2-40B4-BE49-F238E27FC236}">
              <a16:creationId xmlns:a16="http://schemas.microsoft.com/office/drawing/2014/main" id="{00000000-0008-0000-3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8</xdr:col>
      <xdr:colOff>412399</xdr:colOff>
      <xdr:row>0</xdr:row>
      <xdr:rowOff>53958</xdr:rowOff>
    </xdr:from>
    <xdr:to>
      <xdr:col>15</xdr:col>
      <xdr:colOff>1755912</xdr:colOff>
      <xdr:row>12</xdr:row>
      <xdr:rowOff>145776</xdr:rowOff>
    </xdr:to>
    <xdr:graphicFrame macro="">
      <xdr:nvGraphicFramePr>
        <xdr:cNvPr id="2" name="Chart 1">
          <a:extLst>
            <a:ext uri="{FF2B5EF4-FFF2-40B4-BE49-F238E27FC236}">
              <a16:creationId xmlns:a16="http://schemas.microsoft.com/office/drawing/2014/main" id="{00000000-0008-0000-3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0</xdr:col>
      <xdr:colOff>65314</xdr:colOff>
      <xdr:row>0</xdr:row>
      <xdr:rowOff>74023</xdr:rowOff>
    </xdr:from>
    <xdr:to>
      <xdr:col>11</xdr:col>
      <xdr:colOff>21771</xdr:colOff>
      <xdr:row>26</xdr:row>
      <xdr:rowOff>97971</xdr:rowOff>
    </xdr:to>
    <xdr:graphicFrame macro="">
      <xdr:nvGraphicFramePr>
        <xdr:cNvPr id="2" name="Chart 1">
          <a:extLst>
            <a:ext uri="{FF2B5EF4-FFF2-40B4-BE49-F238E27FC236}">
              <a16:creationId xmlns:a16="http://schemas.microsoft.com/office/drawing/2014/main" id="{00000000-0008-0000-3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oneCellAnchor>
    <xdr:from>
      <xdr:col>0</xdr:col>
      <xdr:colOff>141409</xdr:colOff>
      <xdr:row>14</xdr:row>
      <xdr:rowOff>38100</xdr:rowOff>
    </xdr:from>
    <xdr:ext cx="6362700" cy="771525"/>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3500-000004000000}"/>
                </a:ext>
              </a:extLst>
            </xdr:cNvPr>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14:m>
                <m:oMath xmlns:m="http://schemas.openxmlformats.org/officeDocument/2006/math">
                  <m:r>
                    <a:rPr lang="en-US" sz="1800" b="1" i="1">
                      <a:latin typeface="Cambria Math"/>
                    </a:rPr>
                    <m:t>𝒛</m:t>
                  </m:r>
                  <m:r>
                    <a:rPr lang="en-US" sz="1800" b="1" i="1">
                      <a:latin typeface="Cambria Math"/>
                    </a:rPr>
                    <m:t>= </m:t>
                  </m:r>
                  <m:f>
                    <m:fPr>
                      <m:ctrlPr>
                        <a:rPr lang="en-US" sz="1800" b="1" i="1">
                          <a:solidFill>
                            <a:schemeClr val="tx1"/>
                          </a:solidFill>
                          <a:effectLst/>
                          <a:latin typeface="Cambria Math" panose="02040503050406030204" pitchFamily="18" charset="0"/>
                          <a:ea typeface="+mn-ea"/>
                          <a:cs typeface="+mn-cs"/>
                        </a:rPr>
                      </m:ctrlPr>
                    </m:fPr>
                    <m:num>
                      <m:r>
                        <a:rPr lang="en-US" sz="1800" b="1" i="1">
                          <a:solidFill>
                            <a:schemeClr val="tx1"/>
                          </a:solidFill>
                          <a:effectLst/>
                          <a:latin typeface="Cambria Math"/>
                          <a:ea typeface="+mn-ea"/>
                          <a:cs typeface="+mn-cs"/>
                        </a:rPr>
                        <m:t>𝑿𝒊</m:t>
                      </m:r>
                      <m:r>
                        <a:rPr lang="en-US" sz="1800" b="1" i="1">
                          <a:solidFill>
                            <a:schemeClr val="tx1"/>
                          </a:solidFill>
                          <a:effectLst/>
                          <a:latin typeface="Cambria Math"/>
                          <a:ea typeface="+mn-ea"/>
                          <a:cs typeface="+mn-cs"/>
                        </a:rPr>
                        <m:t> −</m:t>
                      </m:r>
                      <m:r>
                        <a:rPr lang="en-US" sz="1800" b="1" i="1">
                          <a:solidFill>
                            <a:schemeClr val="tx1"/>
                          </a:solidFill>
                          <a:effectLst/>
                          <a:latin typeface="Cambria Math"/>
                          <a:ea typeface="+mn-ea"/>
                          <a:cs typeface="+mn-cs"/>
                        </a:rPr>
                        <m:t>𝑿𝒃𝒂𝒓</m:t>
                      </m:r>
                    </m:num>
                    <m:den>
                      <m:r>
                        <a:rPr lang="en-US" sz="1800" b="1" i="1">
                          <a:solidFill>
                            <a:schemeClr val="tx1"/>
                          </a:solidFill>
                          <a:effectLst/>
                          <a:latin typeface="Cambria Math"/>
                          <a:ea typeface="+mn-ea"/>
                          <a:cs typeface="+mn-cs"/>
                        </a:rPr>
                        <m:t>𝒔</m:t>
                      </m:r>
                    </m:den>
                  </m:f>
                  <m:r>
                    <a:rPr lang="en-US" sz="1800" b="1" i="1">
                      <a:latin typeface="Cambria Math"/>
                    </a:rPr>
                    <m:t> </m:t>
                  </m:r>
                </m:oMath>
              </a14:m>
              <a:r>
                <a:rPr lang="en-US" sz="1800">
                  <a:latin typeface="+mn-lt"/>
                </a:rPr>
                <a:t> = Number of Standard Deviations Away From Xbar</a:t>
              </a:r>
            </a:p>
          </xdr:txBody>
        </xdr:sp>
      </mc:Choice>
      <mc:Fallback xmlns="">
        <xdr:sp macro="" textlink="">
          <xdr:nvSpPr>
            <xdr:cNvPr id="4" name="TextBox 3"/>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r>
                <a:rPr lang="en-US" sz="1800" b="1" i="0">
                  <a:latin typeface="Cambria Math"/>
                </a:rPr>
                <a:t>𝒛= </a:t>
              </a:r>
              <a:r>
                <a:rPr lang="en-US" sz="1800" b="1" i="0">
                  <a:solidFill>
                    <a:schemeClr val="tx1"/>
                  </a:solidFill>
                  <a:effectLst/>
                  <a:latin typeface="Cambria Math"/>
                  <a:ea typeface="+mn-ea"/>
                  <a:cs typeface="+mn-cs"/>
                </a:rPr>
                <a:t> </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𝑿𝒊 −𝑿𝒃𝒂𝒓</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𝒔 </a:t>
              </a:r>
              <a:r>
                <a:rPr lang="en-US" sz="1800" b="1" i="0">
                  <a:latin typeface="Cambria Math"/>
                </a:rPr>
                <a:t> </a:t>
              </a:r>
              <a:r>
                <a:rPr lang="en-US" sz="1800">
                  <a:latin typeface="+mn-lt"/>
                </a:rPr>
                <a:t> = Number of Standard Deviations Away From Xbar</a:t>
              </a:r>
            </a:p>
          </xdr:txBody>
        </xdr:sp>
      </mc:Fallback>
    </mc:AlternateContent>
    <xdr:clientData/>
  </xdr:oneCellAnchor>
  <xdr:oneCellAnchor>
    <xdr:from>
      <xdr:col>9</xdr:col>
      <xdr:colOff>414337</xdr:colOff>
      <xdr:row>14</xdr:row>
      <xdr:rowOff>152400</xdr:rowOff>
    </xdr:from>
    <xdr:ext cx="65" cy="172227"/>
    <xdr:sp macro="" textlink="">
      <xdr:nvSpPr>
        <xdr:cNvPr id="5" name="TextBox 4">
          <a:extLst>
            <a:ext uri="{FF2B5EF4-FFF2-40B4-BE49-F238E27FC236}">
              <a16:creationId xmlns:a16="http://schemas.microsoft.com/office/drawing/2014/main" id="{00000000-0008-0000-3500-000005000000}"/>
            </a:ext>
          </a:extLst>
        </xdr:cNvPr>
        <xdr:cNvSpPr txBox="1"/>
      </xdr:nvSpPr>
      <xdr:spPr>
        <a:xfrm>
          <a:off x="1023937" y="23241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0</xdr:col>
      <xdr:colOff>0</xdr:colOff>
      <xdr:row>0</xdr:row>
      <xdr:rowOff>0</xdr:rowOff>
    </xdr:from>
    <xdr:to>
      <xdr:col>7</xdr:col>
      <xdr:colOff>742950</xdr:colOff>
      <xdr:row>13</xdr:row>
      <xdr:rowOff>161925</xdr:rowOff>
    </xdr:to>
    <xdr:pic>
      <xdr:nvPicPr>
        <xdr:cNvPr id="6" name="Picture 5">
          <a:extLst>
            <a:ext uri="{FF2B5EF4-FFF2-40B4-BE49-F238E27FC236}">
              <a16:creationId xmlns:a16="http://schemas.microsoft.com/office/drawing/2014/main" id="{00000000-0008-0000-3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46277" cy="2638425"/>
        </a:xfrm>
        <a:prstGeom prst="rect">
          <a:avLst/>
        </a:prstGeom>
        <a:solidFill>
          <a:schemeClr val="bg1"/>
        </a:solidFill>
      </xdr:spPr>
    </xdr:pic>
    <xdr:clientData/>
  </xdr:twoCellAnchor>
  <xdr:twoCellAnchor>
    <xdr:from>
      <xdr:col>0</xdr:col>
      <xdr:colOff>14767</xdr:colOff>
      <xdr:row>32</xdr:row>
      <xdr:rowOff>155059</xdr:rowOff>
    </xdr:from>
    <xdr:to>
      <xdr:col>3</xdr:col>
      <xdr:colOff>362858</xdr:colOff>
      <xdr:row>42</xdr:row>
      <xdr:rowOff>128733</xdr:rowOff>
    </xdr:to>
    <xdr:graphicFrame macro="">
      <xdr:nvGraphicFramePr>
        <xdr:cNvPr id="8" name="Chart 7">
          <a:extLst>
            <a:ext uri="{FF2B5EF4-FFF2-40B4-BE49-F238E27FC236}">
              <a16:creationId xmlns:a16="http://schemas.microsoft.com/office/drawing/2014/main" id="{00000000-0008-0000-3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388775</xdr:colOff>
      <xdr:row>32</xdr:row>
      <xdr:rowOff>143003</xdr:rowOff>
    </xdr:from>
    <xdr:to>
      <xdr:col>10</xdr:col>
      <xdr:colOff>354567</xdr:colOff>
      <xdr:row>42</xdr:row>
      <xdr:rowOff>116677</xdr:rowOff>
    </xdr:to>
    <xdr:graphicFrame macro="">
      <xdr:nvGraphicFramePr>
        <xdr:cNvPr id="9" name="Chart 8">
          <a:extLst>
            <a:ext uri="{FF2B5EF4-FFF2-40B4-BE49-F238E27FC236}">
              <a16:creationId xmlns:a16="http://schemas.microsoft.com/office/drawing/2014/main" id="{00000000-0008-0000-3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oneCellAnchor>
    <xdr:from>
      <xdr:col>0</xdr:col>
      <xdr:colOff>141409</xdr:colOff>
      <xdr:row>14</xdr:row>
      <xdr:rowOff>38100</xdr:rowOff>
    </xdr:from>
    <xdr:ext cx="6362700" cy="771525"/>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3600-000002000000}"/>
                </a:ext>
              </a:extLst>
            </xdr:cNvPr>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14:m>
                <m:oMath xmlns:m="http://schemas.openxmlformats.org/officeDocument/2006/math">
                  <m:r>
                    <a:rPr lang="en-US" sz="1800" b="1" i="1">
                      <a:latin typeface="Cambria Math"/>
                    </a:rPr>
                    <m:t>𝒛</m:t>
                  </m:r>
                  <m:r>
                    <a:rPr lang="en-US" sz="1800" b="1" i="1">
                      <a:latin typeface="Cambria Math"/>
                    </a:rPr>
                    <m:t>= </m:t>
                  </m:r>
                  <m:f>
                    <m:fPr>
                      <m:ctrlPr>
                        <a:rPr lang="en-US" sz="1800" b="1" i="1">
                          <a:solidFill>
                            <a:schemeClr val="tx1"/>
                          </a:solidFill>
                          <a:effectLst/>
                          <a:latin typeface="Cambria Math" panose="02040503050406030204" pitchFamily="18" charset="0"/>
                          <a:ea typeface="+mn-ea"/>
                          <a:cs typeface="+mn-cs"/>
                        </a:rPr>
                      </m:ctrlPr>
                    </m:fPr>
                    <m:num>
                      <m:r>
                        <a:rPr lang="en-US" sz="1800" b="1" i="1">
                          <a:solidFill>
                            <a:schemeClr val="tx1"/>
                          </a:solidFill>
                          <a:effectLst/>
                          <a:latin typeface="Cambria Math"/>
                          <a:ea typeface="+mn-ea"/>
                          <a:cs typeface="+mn-cs"/>
                        </a:rPr>
                        <m:t>𝑿𝒊</m:t>
                      </m:r>
                      <m:r>
                        <a:rPr lang="en-US" sz="1800" b="1" i="1">
                          <a:solidFill>
                            <a:schemeClr val="tx1"/>
                          </a:solidFill>
                          <a:effectLst/>
                          <a:latin typeface="Cambria Math"/>
                          <a:ea typeface="+mn-ea"/>
                          <a:cs typeface="+mn-cs"/>
                        </a:rPr>
                        <m:t> −</m:t>
                      </m:r>
                      <m:r>
                        <a:rPr lang="en-US" sz="1800" b="1" i="1">
                          <a:solidFill>
                            <a:schemeClr val="tx1"/>
                          </a:solidFill>
                          <a:effectLst/>
                          <a:latin typeface="Cambria Math"/>
                          <a:ea typeface="+mn-ea"/>
                          <a:cs typeface="+mn-cs"/>
                        </a:rPr>
                        <m:t>𝑿𝒃𝒂𝒓</m:t>
                      </m:r>
                    </m:num>
                    <m:den>
                      <m:r>
                        <a:rPr lang="en-US" sz="1800" b="1" i="1">
                          <a:solidFill>
                            <a:schemeClr val="tx1"/>
                          </a:solidFill>
                          <a:effectLst/>
                          <a:latin typeface="Cambria Math"/>
                          <a:ea typeface="+mn-ea"/>
                          <a:cs typeface="+mn-cs"/>
                        </a:rPr>
                        <m:t>𝒔</m:t>
                      </m:r>
                    </m:den>
                  </m:f>
                  <m:r>
                    <a:rPr lang="en-US" sz="1800" b="1" i="1">
                      <a:latin typeface="Cambria Math"/>
                    </a:rPr>
                    <m:t> </m:t>
                  </m:r>
                </m:oMath>
              </a14:m>
              <a:r>
                <a:rPr lang="en-US" sz="1800">
                  <a:latin typeface="+mn-lt"/>
                </a:rPr>
                <a:t> = Number of Standard Deviations Away From Xbar</a:t>
              </a:r>
            </a:p>
          </xdr:txBody>
        </xdr:sp>
      </mc:Choice>
      <mc:Fallback xmlns="">
        <xdr:sp macro="" textlink="">
          <xdr:nvSpPr>
            <xdr:cNvPr id="2" name="TextBox 1"/>
            <xdr:cNvSpPr txBox="1"/>
          </xdr:nvSpPr>
          <xdr:spPr>
            <a:xfrm>
              <a:off x="141409" y="2705100"/>
              <a:ext cx="6362700" cy="771525"/>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endParaRPr lang="en-US" sz="1800" b="1" i="1">
                <a:latin typeface="Cambria Math"/>
              </a:endParaRPr>
            </a:p>
            <a:p>
              <a:pPr algn="ctr"/>
              <a:r>
                <a:rPr lang="en-US" sz="1800" b="1" i="0">
                  <a:latin typeface="Cambria Math"/>
                </a:rPr>
                <a:t>𝒛= </a:t>
              </a:r>
              <a:r>
                <a:rPr lang="en-US" sz="1800" b="1" i="0">
                  <a:solidFill>
                    <a:schemeClr val="tx1"/>
                  </a:solidFill>
                  <a:effectLst/>
                  <a:latin typeface="Cambria Math"/>
                  <a:ea typeface="+mn-ea"/>
                  <a:cs typeface="+mn-cs"/>
                </a:rPr>
                <a:t> </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𝑿𝒊 −𝑿𝒃𝒂𝒓</a:t>
              </a:r>
              <a:r>
                <a:rPr lang="en-US" sz="1800" b="1" i="0">
                  <a:solidFill>
                    <a:schemeClr val="tx1"/>
                  </a:solidFill>
                  <a:effectLst/>
                  <a:latin typeface="Cambria Math" panose="02040503050406030204" pitchFamily="18" charset="0"/>
                  <a:ea typeface="+mn-ea"/>
                  <a:cs typeface="+mn-cs"/>
                </a:rPr>
                <a:t>)/</a:t>
              </a:r>
              <a:r>
                <a:rPr lang="en-US" sz="1800" b="1" i="0">
                  <a:solidFill>
                    <a:schemeClr val="tx1"/>
                  </a:solidFill>
                  <a:effectLst/>
                  <a:latin typeface="Cambria Math"/>
                  <a:ea typeface="+mn-ea"/>
                  <a:cs typeface="+mn-cs"/>
                </a:rPr>
                <a:t>𝒔 </a:t>
              </a:r>
              <a:r>
                <a:rPr lang="en-US" sz="1800" b="1" i="0">
                  <a:latin typeface="Cambria Math"/>
                </a:rPr>
                <a:t> </a:t>
              </a:r>
              <a:r>
                <a:rPr lang="en-US" sz="1800">
                  <a:latin typeface="+mn-lt"/>
                </a:rPr>
                <a:t> = Number of Standard Deviations Away From Xbar</a:t>
              </a:r>
            </a:p>
          </xdr:txBody>
        </xdr:sp>
      </mc:Fallback>
    </mc:AlternateContent>
    <xdr:clientData/>
  </xdr:oneCellAnchor>
  <xdr:oneCellAnchor>
    <xdr:from>
      <xdr:col>9</xdr:col>
      <xdr:colOff>414337</xdr:colOff>
      <xdr:row>14</xdr:row>
      <xdr:rowOff>152400</xdr:rowOff>
    </xdr:from>
    <xdr:ext cx="65" cy="172227"/>
    <xdr:sp macro="" textlink="">
      <xdr:nvSpPr>
        <xdr:cNvPr id="3" name="TextBox 2">
          <a:extLst>
            <a:ext uri="{FF2B5EF4-FFF2-40B4-BE49-F238E27FC236}">
              <a16:creationId xmlns:a16="http://schemas.microsoft.com/office/drawing/2014/main" id="{00000000-0008-0000-3600-000003000000}"/>
            </a:ext>
          </a:extLst>
        </xdr:cNvPr>
        <xdr:cNvSpPr txBox="1"/>
      </xdr:nvSpPr>
      <xdr:spPr>
        <a:xfrm>
          <a:off x="7453312" y="28194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0</xdr:col>
      <xdr:colOff>0</xdr:colOff>
      <xdr:row>0</xdr:row>
      <xdr:rowOff>0</xdr:rowOff>
    </xdr:from>
    <xdr:to>
      <xdr:col>7</xdr:col>
      <xdr:colOff>742950</xdr:colOff>
      <xdr:row>13</xdr:row>
      <xdr:rowOff>161925</xdr:rowOff>
    </xdr:to>
    <xdr:pic>
      <xdr:nvPicPr>
        <xdr:cNvPr id="4" name="Picture 3">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2638425"/>
        </a:xfrm>
        <a:prstGeom prst="rect">
          <a:avLst/>
        </a:prstGeom>
        <a:solidFill>
          <a:schemeClr val="bg1"/>
        </a:solidFill>
      </xdr:spPr>
    </xdr:pic>
    <xdr:clientData/>
  </xdr:twoCellAnchor>
  <xdr:twoCellAnchor>
    <xdr:from>
      <xdr:col>0</xdr:col>
      <xdr:colOff>14767</xdr:colOff>
      <xdr:row>32</xdr:row>
      <xdr:rowOff>155059</xdr:rowOff>
    </xdr:from>
    <xdr:to>
      <xdr:col>3</xdr:col>
      <xdr:colOff>362858</xdr:colOff>
      <xdr:row>42</xdr:row>
      <xdr:rowOff>128733</xdr:rowOff>
    </xdr:to>
    <xdr:graphicFrame macro="">
      <xdr:nvGraphicFramePr>
        <xdr:cNvPr id="5" name="Chart 4">
          <a:extLst>
            <a:ext uri="{FF2B5EF4-FFF2-40B4-BE49-F238E27FC236}">
              <a16:creationId xmlns:a16="http://schemas.microsoft.com/office/drawing/2014/main" id="{00000000-0008-0000-3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388775</xdr:colOff>
      <xdr:row>32</xdr:row>
      <xdr:rowOff>143003</xdr:rowOff>
    </xdr:from>
    <xdr:to>
      <xdr:col>10</xdr:col>
      <xdr:colOff>354567</xdr:colOff>
      <xdr:row>42</xdr:row>
      <xdr:rowOff>116677</xdr:rowOff>
    </xdr:to>
    <xdr:graphicFrame macro="">
      <xdr:nvGraphicFramePr>
        <xdr:cNvPr id="6" name="Chart 5">
          <a:extLst>
            <a:ext uri="{FF2B5EF4-FFF2-40B4-BE49-F238E27FC236}">
              <a16:creationId xmlns:a16="http://schemas.microsoft.com/office/drawing/2014/main" id="{00000000-0008-0000-3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2</xdr:col>
      <xdr:colOff>258417</xdr:colOff>
      <xdr:row>1</xdr:row>
      <xdr:rowOff>66260</xdr:rowOff>
    </xdr:from>
    <xdr:to>
      <xdr:col>9</xdr:col>
      <xdr:colOff>83240</xdr:colOff>
      <xdr:row>18</xdr:row>
      <xdr:rowOff>25675</xdr:rowOff>
    </xdr:to>
    <xdr:graphicFrame macro="">
      <xdr:nvGraphicFramePr>
        <xdr:cNvPr id="3" name="Chart 2">
          <a:extLst>
            <a:ext uri="{FF2B5EF4-FFF2-40B4-BE49-F238E27FC236}">
              <a16:creationId xmlns:a16="http://schemas.microsoft.com/office/drawing/2014/main" id="{00000000-0008-0000-3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2</xdr:col>
      <xdr:colOff>258417</xdr:colOff>
      <xdr:row>1</xdr:row>
      <xdr:rowOff>66260</xdr:rowOff>
    </xdr:from>
    <xdr:to>
      <xdr:col>9</xdr:col>
      <xdr:colOff>83240</xdr:colOff>
      <xdr:row>18</xdr:row>
      <xdr:rowOff>25675</xdr:rowOff>
    </xdr:to>
    <xdr:graphicFrame macro="">
      <xdr:nvGraphicFramePr>
        <xdr:cNvPr id="2" name="Chart 1">
          <a:extLst>
            <a:ext uri="{FF2B5EF4-FFF2-40B4-BE49-F238E27FC236}">
              <a16:creationId xmlns:a16="http://schemas.microsoft.com/office/drawing/2014/main" id="{00000000-0008-0000-3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3</xdr:col>
      <xdr:colOff>100378</xdr:colOff>
      <xdr:row>0</xdr:row>
      <xdr:rowOff>0</xdr:rowOff>
    </xdr:from>
    <xdr:to>
      <xdr:col>9</xdr:col>
      <xdr:colOff>683558</xdr:colOff>
      <xdr:row>14</xdr:row>
      <xdr:rowOff>141876</xdr:rowOff>
    </xdr:to>
    <xdr:graphicFrame macro="">
      <xdr:nvGraphicFramePr>
        <xdr:cNvPr id="3" name="Chart 2">
          <a:extLst>
            <a:ext uri="{FF2B5EF4-FFF2-40B4-BE49-F238E27FC236}">
              <a16:creationId xmlns:a16="http://schemas.microsoft.com/office/drawing/2014/main" id="{00000000-0008-0000-3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3</xdr:col>
      <xdr:colOff>100378</xdr:colOff>
      <xdr:row>0</xdr:row>
      <xdr:rowOff>0</xdr:rowOff>
    </xdr:from>
    <xdr:to>
      <xdr:col>9</xdr:col>
      <xdr:colOff>683558</xdr:colOff>
      <xdr:row>14</xdr:row>
      <xdr:rowOff>141876</xdr:rowOff>
    </xdr:to>
    <xdr:graphicFrame macro="">
      <xdr:nvGraphicFramePr>
        <xdr:cNvPr id="2" name="Chart 1">
          <a:extLst>
            <a:ext uri="{FF2B5EF4-FFF2-40B4-BE49-F238E27FC236}">
              <a16:creationId xmlns:a16="http://schemas.microsoft.com/office/drawing/2014/main" id="{00000000-0008-0000-3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1303451</xdr:colOff>
      <xdr:row>18</xdr:row>
      <xdr:rowOff>9525</xdr:rowOff>
    </xdr:to>
    <xdr:pic>
      <xdr:nvPicPr>
        <xdr:cNvPr id="3" name="Picture 2">
          <a:extLst>
            <a:ext uri="{FF2B5EF4-FFF2-40B4-BE49-F238E27FC236}">
              <a16:creationId xmlns:a16="http://schemas.microsoft.com/office/drawing/2014/main" id="{00000000-0008-0000-3B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8000" cy="3438525"/>
        </a:xfrm>
        <a:prstGeom prst="rect">
          <a:avLst/>
        </a:prstGeom>
        <a:solidFill>
          <a:schemeClr val="bg1"/>
        </a:solidFill>
      </xdr:spPr>
    </xdr:pic>
    <xdr:clientData/>
  </xdr:twoCellAnchor>
  <xdr:oneCellAnchor>
    <xdr:from>
      <xdr:col>0</xdr:col>
      <xdr:colOff>0</xdr:colOff>
      <xdr:row>19</xdr:row>
      <xdr:rowOff>0</xdr:rowOff>
    </xdr:from>
    <xdr:ext cx="3587055" cy="103822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3B00-000004000000}"/>
                </a:ext>
              </a:extLst>
            </xdr:cNvPr>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14:m>
                <m:oMathPara xmlns:m="http://schemas.openxmlformats.org/officeDocument/2006/math">
                  <m:oMathParaPr>
                    <m:jc m:val="centerGroup"/>
                  </m:oMathParaPr>
                  <m:oMath xmlns:m="http://schemas.openxmlformats.org/officeDocument/2006/math">
                    <m:r>
                      <a:rPr lang="en-US" sz="2500" b="0" i="1">
                        <a:latin typeface="Cambria Math"/>
                      </a:rPr>
                      <m:t>𝑃𝑟𝑜𝑝𝑜𝑟𝑡𝑖𝑜𝑛</m:t>
                    </m:r>
                    <m:r>
                      <a:rPr lang="en-US" sz="2500" b="0" i="1">
                        <a:latin typeface="Cambria Math"/>
                      </a:rPr>
                      <m:t>=1−</m:t>
                    </m:r>
                    <m:f>
                      <m:fPr>
                        <m:ctrlPr>
                          <a:rPr lang="en-US" sz="2500" b="0" i="1">
                            <a:latin typeface="Cambria Math" panose="02040503050406030204" pitchFamily="18" charset="0"/>
                          </a:rPr>
                        </m:ctrlPr>
                      </m:fPr>
                      <m:num>
                        <m:r>
                          <a:rPr lang="en-US" sz="2500" b="0" i="1">
                            <a:latin typeface="Cambria Math"/>
                          </a:rPr>
                          <m:t>1</m:t>
                        </m:r>
                      </m:num>
                      <m:den>
                        <m:sSup>
                          <m:sSupPr>
                            <m:ctrlPr>
                              <a:rPr lang="en-US" sz="2500" b="0" i="1">
                                <a:latin typeface="Cambria Math" panose="02040503050406030204" pitchFamily="18" charset="0"/>
                              </a:rPr>
                            </m:ctrlPr>
                          </m:sSupPr>
                          <m:e>
                            <m:r>
                              <a:rPr lang="en-US" sz="2500" b="0" i="1">
                                <a:latin typeface="Cambria Math"/>
                              </a:rPr>
                              <m:t>𝑧</m:t>
                            </m:r>
                          </m:e>
                          <m:sup>
                            <m:r>
                              <a:rPr lang="en-US" sz="2500" b="0" i="1">
                                <a:latin typeface="Cambria Math"/>
                              </a:rPr>
                              <m:t>2</m:t>
                            </m:r>
                          </m:sup>
                        </m:sSup>
                      </m:den>
                    </m:f>
                  </m:oMath>
                </m:oMathPara>
              </a14:m>
              <a:endParaRPr lang="en-US" sz="2500" b="0"/>
            </a:p>
            <a:p>
              <a:pPr algn="ctr"/>
              <a:r>
                <a:rPr lang="en-US" sz="1400"/>
                <a:t>where,</a:t>
              </a:r>
              <a:r>
                <a:rPr lang="en-US" sz="1400" baseline="0"/>
                <a:t> z = Number of SD away from the Mean</a:t>
              </a:r>
              <a:endParaRPr lang="en-US" sz="1400"/>
            </a:p>
          </xdr:txBody>
        </xdr:sp>
      </mc:Choice>
      <mc:Fallback xmlns="">
        <xdr:sp macro="" textlink="">
          <xdr:nvSpPr>
            <xdr:cNvPr id="4" name="TextBox 3"/>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2500" b="0" i="0">
                  <a:latin typeface="Cambria Math"/>
                </a:rPr>
                <a:t>𝑃𝑟𝑜𝑝𝑜𝑟𝑡𝑖𝑜𝑛=1−1/𝑧^2 </a:t>
              </a:r>
              <a:endParaRPr lang="en-US" sz="2500" b="0"/>
            </a:p>
            <a:p>
              <a:pPr algn="ctr"/>
              <a:r>
                <a:rPr lang="en-US" sz="1400"/>
                <a:t>where,</a:t>
              </a:r>
              <a:r>
                <a:rPr lang="en-US" sz="1400" baseline="0"/>
                <a:t> z = Number of SD away from the Mean</a:t>
              </a:r>
              <a:endParaRPr lang="en-US" sz="1400"/>
            </a:p>
          </xdr:txBody>
        </xdr:sp>
      </mc:Fallback>
    </mc:AlternateContent>
    <xdr:clientData/>
  </xdr:one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1303451</xdr:colOff>
      <xdr:row>18</xdr:row>
      <xdr:rowOff>9525</xdr:rowOff>
    </xdr:to>
    <xdr:pic>
      <xdr:nvPicPr>
        <xdr:cNvPr id="2" name="Picture 1">
          <a:extLst>
            <a:ext uri="{FF2B5EF4-FFF2-40B4-BE49-F238E27FC236}">
              <a16:creationId xmlns:a16="http://schemas.microsoft.com/office/drawing/2014/main" id="{00000000-0008-0000-3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56526" cy="3438525"/>
        </a:xfrm>
        <a:prstGeom prst="rect">
          <a:avLst/>
        </a:prstGeom>
        <a:solidFill>
          <a:schemeClr val="bg1"/>
        </a:solidFill>
      </xdr:spPr>
    </xdr:pic>
    <xdr:clientData/>
  </xdr:twoCellAnchor>
  <xdr:oneCellAnchor>
    <xdr:from>
      <xdr:col>0</xdr:col>
      <xdr:colOff>0</xdr:colOff>
      <xdr:row>19</xdr:row>
      <xdr:rowOff>0</xdr:rowOff>
    </xdr:from>
    <xdr:ext cx="3587055" cy="1038221"/>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3C00-000003000000}"/>
                </a:ext>
              </a:extLst>
            </xdr:cNvPr>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14:m>
                <m:oMathPara xmlns:m="http://schemas.openxmlformats.org/officeDocument/2006/math">
                  <m:oMathParaPr>
                    <m:jc m:val="centerGroup"/>
                  </m:oMathParaPr>
                  <m:oMath xmlns:m="http://schemas.openxmlformats.org/officeDocument/2006/math">
                    <m:r>
                      <a:rPr lang="en-US" sz="2500" b="0" i="1">
                        <a:latin typeface="Cambria Math"/>
                      </a:rPr>
                      <m:t>𝑃𝑟𝑜𝑝𝑜𝑟𝑡𝑖𝑜𝑛</m:t>
                    </m:r>
                    <m:r>
                      <a:rPr lang="en-US" sz="2500" b="0" i="1">
                        <a:latin typeface="Cambria Math"/>
                      </a:rPr>
                      <m:t>=1−</m:t>
                    </m:r>
                    <m:f>
                      <m:fPr>
                        <m:ctrlPr>
                          <a:rPr lang="en-US" sz="2500" b="0" i="1">
                            <a:latin typeface="Cambria Math" panose="02040503050406030204" pitchFamily="18" charset="0"/>
                          </a:rPr>
                        </m:ctrlPr>
                      </m:fPr>
                      <m:num>
                        <m:r>
                          <a:rPr lang="en-US" sz="2500" b="0" i="1">
                            <a:latin typeface="Cambria Math"/>
                          </a:rPr>
                          <m:t>1</m:t>
                        </m:r>
                      </m:num>
                      <m:den>
                        <m:sSup>
                          <m:sSupPr>
                            <m:ctrlPr>
                              <a:rPr lang="en-US" sz="2500" b="0" i="1">
                                <a:latin typeface="Cambria Math" panose="02040503050406030204" pitchFamily="18" charset="0"/>
                              </a:rPr>
                            </m:ctrlPr>
                          </m:sSupPr>
                          <m:e>
                            <m:r>
                              <a:rPr lang="en-US" sz="2500" b="0" i="1">
                                <a:latin typeface="Cambria Math"/>
                              </a:rPr>
                              <m:t>𝑧</m:t>
                            </m:r>
                          </m:e>
                          <m:sup>
                            <m:r>
                              <a:rPr lang="en-US" sz="2500" b="0" i="1">
                                <a:latin typeface="Cambria Math"/>
                              </a:rPr>
                              <m:t>2</m:t>
                            </m:r>
                          </m:sup>
                        </m:sSup>
                      </m:den>
                    </m:f>
                  </m:oMath>
                </m:oMathPara>
              </a14:m>
              <a:endParaRPr lang="en-US" sz="2500" b="0"/>
            </a:p>
            <a:p>
              <a:pPr algn="ctr"/>
              <a:r>
                <a:rPr lang="en-US" sz="1400"/>
                <a:t>where,</a:t>
              </a:r>
              <a:r>
                <a:rPr lang="en-US" sz="1400" baseline="0"/>
                <a:t> z = Number of SD away from the Mean</a:t>
              </a:r>
              <a:endParaRPr lang="en-US" sz="1400"/>
            </a:p>
          </xdr:txBody>
        </xdr:sp>
      </mc:Choice>
      <mc:Fallback xmlns="">
        <xdr:sp macro="" textlink="">
          <xdr:nvSpPr>
            <xdr:cNvPr id="3" name="TextBox 2"/>
            <xdr:cNvSpPr txBox="1"/>
          </xdr:nvSpPr>
          <xdr:spPr>
            <a:xfrm>
              <a:off x="0" y="3619500"/>
              <a:ext cx="3587055" cy="103822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2500" b="0" i="0">
                  <a:latin typeface="Cambria Math"/>
                </a:rPr>
                <a:t>𝑃𝑟𝑜𝑝𝑜𝑟𝑡𝑖𝑜𝑛=1−1</a:t>
              </a:r>
              <a:r>
                <a:rPr lang="en-US" sz="2500" b="0" i="0">
                  <a:latin typeface="Cambria Math" panose="02040503050406030204" pitchFamily="18" charset="0"/>
                </a:rPr>
                <a:t>/</a:t>
              </a:r>
              <a:r>
                <a:rPr lang="en-US" sz="2500" b="0" i="0">
                  <a:latin typeface="Cambria Math"/>
                </a:rPr>
                <a:t>𝑧</a:t>
              </a:r>
              <a:r>
                <a:rPr lang="en-US" sz="2500" b="0" i="0">
                  <a:latin typeface="Cambria Math" panose="02040503050406030204" pitchFamily="18" charset="0"/>
                </a:rPr>
                <a:t>^</a:t>
              </a:r>
              <a:r>
                <a:rPr lang="en-US" sz="2500" b="0" i="0">
                  <a:latin typeface="Cambria Math"/>
                </a:rPr>
                <a:t>2</a:t>
              </a:r>
              <a:r>
                <a:rPr lang="en-US" sz="2500" b="0" i="0">
                  <a:latin typeface="Cambria Math" panose="02040503050406030204" pitchFamily="18" charset="0"/>
                </a:rPr>
                <a:t> </a:t>
              </a:r>
              <a:endParaRPr lang="en-US" sz="2500" b="0"/>
            </a:p>
            <a:p>
              <a:pPr algn="ctr"/>
              <a:r>
                <a:rPr lang="en-US" sz="1400"/>
                <a:t>where,</a:t>
              </a:r>
              <a:r>
                <a:rPr lang="en-US" sz="1400" baseline="0"/>
                <a:t> z = Number of SD away from the Mean</a:t>
              </a:r>
              <a:endParaRPr lang="en-US" sz="1400"/>
            </a:p>
          </xdr:txBody>
        </xdr:sp>
      </mc:Fallback>
    </mc:AlternateContent>
    <xdr:clientData/>
  </xdr:oneCellAnchor>
</xdr:wsDr>
</file>

<file path=xl/drawings/drawing46.xml><?xml version="1.0" encoding="utf-8"?>
<xdr:wsDr xmlns:xdr="http://schemas.openxmlformats.org/drawingml/2006/spreadsheetDrawing" xmlns:a="http://schemas.openxmlformats.org/drawingml/2006/main">
  <xdr:twoCellAnchor>
    <xdr:from>
      <xdr:col>8</xdr:col>
      <xdr:colOff>325264</xdr:colOff>
      <xdr:row>11</xdr:row>
      <xdr:rowOff>29989</xdr:rowOff>
    </xdr:from>
    <xdr:to>
      <xdr:col>18</xdr:col>
      <xdr:colOff>410989</xdr:colOff>
      <xdr:row>33</xdr:row>
      <xdr:rowOff>123354</xdr:rowOff>
    </xdr:to>
    <xdr:graphicFrame macro="">
      <xdr:nvGraphicFramePr>
        <xdr:cNvPr id="3" name="Chart 2">
          <a:extLst>
            <a:ext uri="{FF2B5EF4-FFF2-40B4-BE49-F238E27FC236}">
              <a16:creationId xmlns:a16="http://schemas.microsoft.com/office/drawing/2014/main" id="{00000000-0008-0000-3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11</xdr:row>
      <xdr:rowOff>28575</xdr:rowOff>
    </xdr:from>
    <xdr:to>
      <xdr:col>8</xdr:col>
      <xdr:colOff>116869</xdr:colOff>
      <xdr:row>26</xdr:row>
      <xdr:rowOff>170451</xdr:rowOff>
    </xdr:to>
    <xdr:graphicFrame macro="">
      <xdr:nvGraphicFramePr>
        <xdr:cNvPr id="4" name="Chart 3">
          <a:extLst>
            <a:ext uri="{FF2B5EF4-FFF2-40B4-BE49-F238E27FC236}">
              <a16:creationId xmlns:a16="http://schemas.microsoft.com/office/drawing/2014/main" id="{00000000-0008-0000-3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216275</xdr:colOff>
      <xdr:row>90</xdr:row>
      <xdr:rowOff>70597</xdr:rowOff>
    </xdr:from>
    <xdr:to>
      <xdr:col>20</xdr:col>
      <xdr:colOff>89088</xdr:colOff>
      <xdr:row>111</xdr:row>
      <xdr:rowOff>165848</xdr:rowOff>
    </xdr:to>
    <xdr:graphicFrame macro="">
      <xdr:nvGraphicFramePr>
        <xdr:cNvPr id="5" name="Chart 4">
          <a:extLst>
            <a:ext uri="{FF2B5EF4-FFF2-40B4-BE49-F238E27FC236}">
              <a16:creationId xmlns:a16="http://schemas.microsoft.com/office/drawing/2014/main" id="{00000000-0008-0000-3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454868</xdr:colOff>
      <xdr:row>10</xdr:row>
      <xdr:rowOff>66013</xdr:rowOff>
    </xdr:to>
    <xdr:pic>
      <xdr:nvPicPr>
        <xdr:cNvPr id="6" name="Picture 5">
          <a:extLst>
            <a:ext uri="{FF2B5EF4-FFF2-40B4-BE49-F238E27FC236}">
              <a16:creationId xmlns:a16="http://schemas.microsoft.com/office/drawing/2014/main" id="{00000000-0008-0000-3D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8857616" cy="1952152"/>
        </a:xfrm>
        <a:prstGeom prst="rect">
          <a:avLst/>
        </a:prstGeom>
        <a:solidFill>
          <a:schemeClr val="bg1"/>
        </a:solidFill>
      </xdr:spPr>
    </xdr:pic>
    <xdr:clientData/>
  </xdr:twoCellAnchor>
</xdr:wsDr>
</file>

<file path=xl/drawings/drawing47.xml><?xml version="1.0" encoding="utf-8"?>
<c:userShapes xmlns:c="http://schemas.openxmlformats.org/drawingml/2006/chart">
  <cdr:relSizeAnchor xmlns:cdr="http://schemas.openxmlformats.org/drawingml/2006/chartDrawing">
    <cdr:from>
      <cdr:x>0.60863</cdr:x>
      <cdr:y>0.18889</cdr:y>
    </cdr:from>
    <cdr:to>
      <cdr:x>0.68567</cdr:x>
      <cdr:y>0.26444</cdr:y>
    </cdr:to>
    <cdr:sp macro="" textlink="">
      <cdr:nvSpPr>
        <cdr:cNvPr id="2" name="Line Callout 2 1"/>
        <cdr:cNvSpPr/>
      </cdr:nvSpPr>
      <cdr:spPr>
        <a:xfrm xmlns:a="http://schemas.openxmlformats.org/drawingml/2006/main">
          <a:off x="3762375" y="809625"/>
          <a:ext cx="476250" cy="323850"/>
        </a:xfrm>
        <a:prstGeom xmlns:a="http://schemas.openxmlformats.org/drawingml/2006/main" prst="borderCallout2">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100" b="0" i="0">
              <a:solidFill>
                <a:sysClr val="windowText" lastClr="000000"/>
              </a:solidFill>
              <a:effectLst/>
              <a:latin typeface="+mn-lt"/>
              <a:ea typeface="+mn-ea"/>
              <a:cs typeface="+mn-cs"/>
            </a:rPr>
            <a:t>0.34</a:t>
          </a:r>
          <a:endParaRPr lang="en-US">
            <a:solidFill>
              <a:sysClr val="windowText" lastClr="000000"/>
            </a:solidFill>
          </a:endParaRPr>
        </a:p>
      </cdr:txBody>
    </cdr:sp>
  </cdr:relSizeAnchor>
  <cdr:relSizeAnchor xmlns:cdr="http://schemas.openxmlformats.org/drawingml/2006/chartDrawing">
    <cdr:from>
      <cdr:x>0.32255</cdr:x>
      <cdr:y>0.1763</cdr:y>
    </cdr:from>
    <cdr:to>
      <cdr:x>0.39959</cdr:x>
      <cdr:y>0.25185</cdr:y>
    </cdr:to>
    <cdr:sp macro="" textlink="">
      <cdr:nvSpPr>
        <cdr:cNvPr id="4" name="Line Callout 2 3"/>
        <cdr:cNvSpPr/>
      </cdr:nvSpPr>
      <cdr:spPr>
        <a:xfrm xmlns:a="http://schemas.openxmlformats.org/drawingml/2006/main">
          <a:off x="1993900" y="755650"/>
          <a:ext cx="476250" cy="323850"/>
        </a:xfrm>
        <a:prstGeom xmlns:a="http://schemas.openxmlformats.org/drawingml/2006/main" prst="borderCallout2">
          <a:avLst>
            <a:gd name="adj1" fmla="val 21691"/>
            <a:gd name="adj2" fmla="val 101667"/>
            <a:gd name="adj3" fmla="val 24632"/>
            <a:gd name="adj4" fmla="val 125333"/>
            <a:gd name="adj5" fmla="val 100736"/>
            <a:gd name="adj6" fmla="val 149333"/>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0.72727</cdr:x>
      <cdr:y>0.33556</cdr:y>
    </cdr:from>
    <cdr:to>
      <cdr:x>0.79661</cdr:x>
      <cdr:y>0.40889</cdr:y>
    </cdr:to>
    <cdr:sp macro="" textlink="">
      <cdr:nvSpPr>
        <cdr:cNvPr id="5" name="Rectangle 4"/>
        <cdr:cNvSpPr/>
      </cdr:nvSpPr>
      <cdr:spPr>
        <a:xfrm xmlns:a="http://schemas.openxmlformats.org/drawingml/2006/main">
          <a:off x="4495800" y="143827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0.5208</cdr:x>
      <cdr:y>0.37111</cdr:y>
    </cdr:from>
    <cdr:to>
      <cdr:x>0.72727</cdr:x>
      <cdr:y>0.37222</cdr:y>
    </cdr:to>
    <cdr:cxnSp macro="">
      <cdr:nvCxnSpPr>
        <cdr:cNvPr id="7" name="Straight Arrow Connector 6">
          <a:extLst xmlns:a="http://schemas.openxmlformats.org/drawingml/2006/main">
            <a:ext uri="{FF2B5EF4-FFF2-40B4-BE49-F238E27FC236}">
              <a16:creationId xmlns:a16="http://schemas.microsoft.com/office/drawing/2014/main" id="{D3AECB4E-F661-4F9D-8DB4-4D2C2D267963}"/>
            </a:ext>
          </a:extLst>
        </cdr:cNvPr>
        <cdr:cNvCxnSpPr>
          <a:stCxn xmlns:a="http://schemas.openxmlformats.org/drawingml/2006/main" id="5" idx="1"/>
        </cdr:cNvCxnSpPr>
      </cdr:nvCxnSpPr>
      <cdr:spPr>
        <a:xfrm xmlns:a="http://schemas.openxmlformats.org/drawingml/2006/main" flipH="1" flipV="1">
          <a:off x="3219450" y="159067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0.79815</cdr:x>
      <cdr:y>0.37111</cdr:y>
    </cdr:from>
    <cdr:to>
      <cdr:x>0.93837</cdr:x>
      <cdr:y>0.37111</cdr:y>
    </cdr:to>
    <cdr:cxnSp macro="">
      <cdr:nvCxnSpPr>
        <cdr:cNvPr id="11" name="Straight Arrow Connector 10">
          <a:extLst xmlns:a="http://schemas.openxmlformats.org/drawingml/2006/main">
            <a:ext uri="{FF2B5EF4-FFF2-40B4-BE49-F238E27FC236}">
              <a16:creationId xmlns:a16="http://schemas.microsoft.com/office/drawing/2014/main" id="{904B35D1-3E6D-44E4-8187-55403282AC0E}"/>
            </a:ext>
          </a:extLst>
        </cdr:cNvPr>
        <cdr:cNvCxnSpPr/>
      </cdr:nvCxnSpPr>
      <cdr:spPr>
        <a:xfrm xmlns:a="http://schemas.openxmlformats.org/drawingml/2006/main">
          <a:off x="4933950" y="159067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0.28505</cdr:x>
      <cdr:y>0.33111</cdr:y>
    </cdr:from>
    <cdr:to>
      <cdr:x>0.35439</cdr:x>
      <cdr:y>0.40444</cdr:y>
    </cdr:to>
    <cdr:sp macro="" textlink="">
      <cdr:nvSpPr>
        <cdr:cNvPr id="14" name="Rectangle 13"/>
        <cdr:cNvSpPr/>
      </cdr:nvSpPr>
      <cdr:spPr>
        <a:xfrm xmlns:a="http://schemas.openxmlformats.org/drawingml/2006/main">
          <a:off x="1762125" y="141922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0.07858</cdr:x>
      <cdr:y>0.36667</cdr:y>
    </cdr:from>
    <cdr:to>
      <cdr:x>0.28505</cdr:x>
      <cdr:y>0.36778</cdr:y>
    </cdr:to>
    <cdr:cxnSp macro="">
      <cdr:nvCxnSpPr>
        <cdr:cNvPr id="15" name="Straight Arrow Connector 14">
          <a:extLst xmlns:a="http://schemas.openxmlformats.org/drawingml/2006/main">
            <a:ext uri="{FF2B5EF4-FFF2-40B4-BE49-F238E27FC236}">
              <a16:creationId xmlns:a16="http://schemas.microsoft.com/office/drawing/2014/main" id="{330E247E-C135-4915-B7D5-18C8C11A5AAA}"/>
            </a:ext>
          </a:extLst>
        </cdr:cNvPr>
        <cdr:cNvCxnSpPr>
          <a:stCxn xmlns:a="http://schemas.openxmlformats.org/drawingml/2006/main" id="14" idx="1"/>
        </cdr:cNvCxnSpPr>
      </cdr:nvCxnSpPr>
      <cdr:spPr>
        <a:xfrm xmlns:a="http://schemas.openxmlformats.org/drawingml/2006/main" flipH="1" flipV="1">
          <a:off x="485775" y="157162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0.35593</cdr:x>
      <cdr:y>0.36667</cdr:y>
    </cdr:from>
    <cdr:to>
      <cdr:x>0.49615</cdr:x>
      <cdr:y>0.36667</cdr:y>
    </cdr:to>
    <cdr:cxnSp macro="">
      <cdr:nvCxnSpPr>
        <cdr:cNvPr id="16" name="Straight Arrow Connector 15">
          <a:extLst xmlns:a="http://schemas.openxmlformats.org/drawingml/2006/main">
            <a:ext uri="{FF2B5EF4-FFF2-40B4-BE49-F238E27FC236}">
              <a16:creationId xmlns:a16="http://schemas.microsoft.com/office/drawing/2014/main" id="{55DE36E0-8E10-41BB-9208-A5540E7192F8}"/>
            </a:ext>
          </a:extLst>
        </cdr:cNvPr>
        <cdr:cNvCxnSpPr/>
      </cdr:nvCxnSpPr>
      <cdr:spPr>
        <a:xfrm xmlns:a="http://schemas.openxmlformats.org/drawingml/2006/main">
          <a:off x="2200275" y="157162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0.46687</cdr:x>
      <cdr:y>0.42889</cdr:y>
    </cdr:from>
    <cdr:to>
      <cdr:x>0.547</cdr:x>
      <cdr:y>0.49556</cdr:y>
    </cdr:to>
    <cdr:sp macro="" textlink="'Empirical Rule'!$B$92">
      <cdr:nvSpPr>
        <cdr:cNvPr id="17" name="Rectangle 16"/>
        <cdr:cNvSpPr/>
      </cdr:nvSpPr>
      <cdr:spPr>
        <a:xfrm xmlns:a="http://schemas.openxmlformats.org/drawingml/2006/main">
          <a:off x="2886075" y="1838326"/>
          <a:ext cx="495300" cy="28575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703F5981-51AD-48B2-BECF-5395CD0BAD9B}" type="TxLink">
            <a:rPr lang="en-US" sz="1100" b="0" i="0" u="none" strike="noStrike">
              <a:solidFill>
                <a:srgbClr val="000000"/>
              </a:solidFill>
              <a:latin typeface="Calibri"/>
              <a:cs typeface="Calibri"/>
            </a:rPr>
            <a:pPr/>
            <a:t>0.68</a:t>
          </a:fld>
          <a:endParaRPr lang="en-US">
            <a:solidFill>
              <a:sysClr val="windowText" lastClr="000000"/>
            </a:solidFill>
          </a:endParaRPr>
        </a:p>
      </cdr:txBody>
    </cdr:sp>
  </cdr:relSizeAnchor>
  <cdr:relSizeAnchor xmlns:cdr="http://schemas.openxmlformats.org/drawingml/2006/chartDrawing">
    <cdr:from>
      <cdr:x>0.39137</cdr:x>
      <cdr:y>0.46222</cdr:y>
    </cdr:from>
    <cdr:to>
      <cdr:x>0.46687</cdr:x>
      <cdr:y>0.46222</cdr:y>
    </cdr:to>
    <cdr:cxnSp macro="">
      <cdr:nvCxnSpPr>
        <cdr:cNvPr id="18" name="Straight Arrow Connector 17">
          <a:extLst xmlns:a="http://schemas.openxmlformats.org/drawingml/2006/main">
            <a:ext uri="{FF2B5EF4-FFF2-40B4-BE49-F238E27FC236}">
              <a16:creationId xmlns:a16="http://schemas.microsoft.com/office/drawing/2014/main" id="{A7169423-8475-4C01-AC87-5CD15B4294AC}"/>
            </a:ext>
          </a:extLst>
        </cdr:cNvPr>
        <cdr:cNvCxnSpPr>
          <a:stCxn xmlns:a="http://schemas.openxmlformats.org/drawingml/2006/main" id="17" idx="1"/>
        </cdr:cNvCxnSpPr>
      </cdr:nvCxnSpPr>
      <cdr:spPr>
        <a:xfrm xmlns:a="http://schemas.openxmlformats.org/drawingml/2006/main" flipH="1">
          <a:off x="2419351" y="1981201"/>
          <a:ext cx="466724"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0.46222</cdr:y>
    </cdr:from>
    <cdr:to>
      <cdr:x>0.61479</cdr:x>
      <cdr:y>0.46444</cdr:y>
    </cdr:to>
    <cdr:cxnSp macro="">
      <cdr:nvCxnSpPr>
        <cdr:cNvPr id="19" name="Straight Arrow Connector 18">
          <a:extLst xmlns:a="http://schemas.openxmlformats.org/drawingml/2006/main">
            <a:ext uri="{FF2B5EF4-FFF2-40B4-BE49-F238E27FC236}">
              <a16:creationId xmlns:a16="http://schemas.microsoft.com/office/drawing/2014/main" id="{A90B0510-5CB1-4C02-89E2-0B0C35915C19}"/>
            </a:ext>
          </a:extLst>
        </cdr:cNvPr>
        <cdr:cNvCxnSpPr>
          <a:stCxn xmlns:a="http://schemas.openxmlformats.org/drawingml/2006/main" id="17" idx="3"/>
        </cdr:cNvCxnSpPr>
      </cdr:nvCxnSpPr>
      <cdr:spPr>
        <a:xfrm xmlns:a="http://schemas.openxmlformats.org/drawingml/2006/main">
          <a:off x="3381375" y="1981201"/>
          <a:ext cx="419100" cy="9525"/>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0.46533</cdr:x>
      <cdr:y>0.63778</cdr:y>
    </cdr:from>
    <cdr:to>
      <cdr:x>0.54545</cdr:x>
      <cdr:y>0.7</cdr:y>
    </cdr:to>
    <cdr:sp macro="" textlink="'Empirical Rule'!$B$93">
      <cdr:nvSpPr>
        <cdr:cNvPr id="28" name="Rectangle 27"/>
        <cdr:cNvSpPr/>
      </cdr:nvSpPr>
      <cdr:spPr>
        <a:xfrm xmlns:a="http://schemas.openxmlformats.org/drawingml/2006/main">
          <a:off x="2876550" y="2733676"/>
          <a:ext cx="495300" cy="2667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19706864-83B1-4B80-9706-B022C8B94585}" type="TxLink">
            <a:rPr lang="en-US" sz="1100" b="0" i="0" u="none" strike="noStrike">
              <a:solidFill>
                <a:srgbClr val="000000"/>
              </a:solidFill>
              <a:latin typeface="Calibri"/>
              <a:cs typeface="Calibri"/>
            </a:rPr>
            <a:pPr/>
            <a:t>0.95</a:t>
          </a:fld>
          <a:endParaRPr lang="en-US">
            <a:solidFill>
              <a:sysClr val="windowText" lastClr="000000"/>
            </a:solidFill>
          </a:endParaRPr>
        </a:p>
      </cdr:txBody>
    </cdr:sp>
  </cdr:relSizeAnchor>
  <cdr:relSizeAnchor xmlns:cdr="http://schemas.openxmlformats.org/drawingml/2006/chartDrawing">
    <cdr:from>
      <cdr:x>0.30354</cdr:x>
      <cdr:y>0.66889</cdr:y>
    </cdr:from>
    <cdr:to>
      <cdr:x>0.46533</cdr:x>
      <cdr:y>0.67333</cdr:y>
    </cdr:to>
    <cdr:cxnSp macro="">
      <cdr:nvCxnSpPr>
        <cdr:cNvPr id="29" name="Straight Arrow Connector 28">
          <a:extLst xmlns:a="http://schemas.openxmlformats.org/drawingml/2006/main">
            <a:ext uri="{FF2B5EF4-FFF2-40B4-BE49-F238E27FC236}">
              <a16:creationId xmlns:a16="http://schemas.microsoft.com/office/drawing/2014/main" id="{D20FB814-A2F3-456C-B214-7F40F2ABFFCE}"/>
            </a:ext>
          </a:extLst>
        </cdr:cNvPr>
        <cdr:cNvCxnSpPr>
          <a:stCxn xmlns:a="http://schemas.openxmlformats.org/drawingml/2006/main" id="28" idx="1"/>
        </cdr:cNvCxnSpPr>
      </cdr:nvCxnSpPr>
      <cdr:spPr>
        <a:xfrm xmlns:a="http://schemas.openxmlformats.org/drawingml/2006/main" flipH="1">
          <a:off x="1876426" y="2867026"/>
          <a:ext cx="1000124" cy="1905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0.54545</cdr:x>
      <cdr:y>0.66889</cdr:y>
    </cdr:from>
    <cdr:to>
      <cdr:x>0.69954</cdr:x>
      <cdr:y>0.67111</cdr:y>
    </cdr:to>
    <cdr:cxnSp macro="">
      <cdr:nvCxnSpPr>
        <cdr:cNvPr id="30" name="Straight Arrow Connector 29">
          <a:extLst xmlns:a="http://schemas.openxmlformats.org/drawingml/2006/main">
            <a:ext uri="{FF2B5EF4-FFF2-40B4-BE49-F238E27FC236}">
              <a16:creationId xmlns:a16="http://schemas.microsoft.com/office/drawing/2014/main" id="{588325B3-4D15-44BA-A0D7-37C19B7AFB0F}"/>
            </a:ext>
          </a:extLst>
        </cdr:cNvPr>
        <cdr:cNvCxnSpPr>
          <a:stCxn xmlns:a="http://schemas.openxmlformats.org/drawingml/2006/main" id="28" idx="3"/>
        </cdr:cNvCxnSpPr>
      </cdr:nvCxnSpPr>
      <cdr:spPr>
        <a:xfrm xmlns:a="http://schemas.openxmlformats.org/drawingml/2006/main">
          <a:off x="3371850" y="2867026"/>
          <a:ext cx="952500" cy="9524"/>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0.46225</cdr:x>
      <cdr:y>0.76667</cdr:y>
    </cdr:from>
    <cdr:to>
      <cdr:x>0.54237</cdr:x>
      <cdr:y>0.83778</cdr:y>
    </cdr:to>
    <cdr:sp macro="" textlink="'Empirical Rule'!$B$94">
      <cdr:nvSpPr>
        <cdr:cNvPr id="39" name="Rectangle 38"/>
        <cdr:cNvSpPr/>
      </cdr:nvSpPr>
      <cdr:spPr>
        <a:xfrm xmlns:a="http://schemas.openxmlformats.org/drawingml/2006/main">
          <a:off x="2857500" y="3286126"/>
          <a:ext cx="495300" cy="3048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3E538694-A0DF-451B-85E7-B257F37E33C8}" type="TxLink">
            <a:rPr lang="en-US" sz="1100" b="0" i="0" u="none" strike="noStrike">
              <a:solidFill>
                <a:srgbClr val="000000"/>
              </a:solidFill>
              <a:latin typeface="Calibri"/>
              <a:cs typeface="Calibri"/>
            </a:rPr>
            <a:pPr/>
            <a:t>0.99</a:t>
          </a:fld>
          <a:endParaRPr lang="en-US">
            <a:solidFill>
              <a:sysClr val="windowText" lastClr="000000"/>
            </a:solidFill>
          </a:endParaRPr>
        </a:p>
      </cdr:txBody>
    </cdr:sp>
  </cdr:relSizeAnchor>
  <cdr:relSizeAnchor xmlns:cdr="http://schemas.openxmlformats.org/drawingml/2006/chartDrawing">
    <cdr:from>
      <cdr:x>0.16025</cdr:x>
      <cdr:y>0.8</cdr:y>
    </cdr:from>
    <cdr:to>
      <cdr:x>0.46687</cdr:x>
      <cdr:y>0.80333</cdr:y>
    </cdr:to>
    <cdr:cxnSp macro="">
      <cdr:nvCxnSpPr>
        <cdr:cNvPr id="40" name="Straight Arrow Connector 39">
          <a:extLst xmlns:a="http://schemas.openxmlformats.org/drawingml/2006/main">
            <a:ext uri="{FF2B5EF4-FFF2-40B4-BE49-F238E27FC236}">
              <a16:creationId xmlns:a16="http://schemas.microsoft.com/office/drawing/2014/main" id="{902CBA39-9AD5-4528-8EAF-046B517F6C21}"/>
            </a:ext>
          </a:extLst>
        </cdr:cNvPr>
        <cdr:cNvCxnSpPr/>
      </cdr:nvCxnSpPr>
      <cdr:spPr>
        <a:xfrm xmlns:a="http://schemas.openxmlformats.org/drawingml/2006/main" flipH="1" flipV="1">
          <a:off x="990600" y="3429000"/>
          <a:ext cx="1895476" cy="14289"/>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0.8</cdr:y>
    </cdr:from>
    <cdr:to>
      <cdr:x>0.83667</cdr:x>
      <cdr:y>0.80333</cdr:y>
    </cdr:to>
    <cdr:cxnSp macro="">
      <cdr:nvCxnSpPr>
        <cdr:cNvPr id="41" name="Straight Arrow Connector 40">
          <a:extLst xmlns:a="http://schemas.openxmlformats.org/drawingml/2006/main">
            <a:ext uri="{FF2B5EF4-FFF2-40B4-BE49-F238E27FC236}">
              <a16:creationId xmlns:a16="http://schemas.microsoft.com/office/drawing/2014/main" id="{ACA4701D-0353-410C-A974-9F4F0EF49790}"/>
            </a:ext>
          </a:extLst>
        </cdr:cNvPr>
        <cdr:cNvCxnSpPr/>
      </cdr:nvCxnSpPr>
      <cdr:spPr>
        <a:xfrm xmlns:a="http://schemas.openxmlformats.org/drawingml/2006/main" flipV="1">
          <a:off x="3381375" y="3429000"/>
          <a:ext cx="1790700" cy="14288"/>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0.13097</cdr:x>
      <cdr:y>0.84222</cdr:y>
    </cdr:from>
    <cdr:to>
      <cdr:x>0.89831</cdr:x>
      <cdr:y>0.93111</cdr:y>
    </cdr:to>
    <cdr:sp macro="" textlink="">
      <cdr:nvSpPr>
        <cdr:cNvPr id="50" name="TextBox 49"/>
        <cdr:cNvSpPr txBox="1"/>
      </cdr:nvSpPr>
      <cdr:spPr>
        <a:xfrm xmlns:a="http://schemas.openxmlformats.org/drawingml/2006/main">
          <a:off x="809625" y="3609975"/>
          <a:ext cx="4743450" cy="381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-3 z                -2 z                -1 z                 0 z                   1</a:t>
          </a:r>
          <a:r>
            <a:rPr lang="en-US" sz="1100" baseline="0"/>
            <a:t> z                 2 z                3z</a:t>
          </a:r>
          <a:endParaRPr lang="en-US" sz="1100"/>
        </a:p>
      </cdr:txBody>
    </cdr:sp>
  </cdr:relSizeAnchor>
</c:userShapes>
</file>

<file path=xl/drawings/drawing48.xml><?xml version="1.0" encoding="utf-8"?>
<xdr:wsDr xmlns:xdr="http://schemas.openxmlformats.org/drawingml/2006/spreadsheetDrawing" xmlns:a="http://schemas.openxmlformats.org/drawingml/2006/main">
  <xdr:twoCellAnchor>
    <xdr:from>
      <xdr:col>8</xdr:col>
      <xdr:colOff>325264</xdr:colOff>
      <xdr:row>11</xdr:row>
      <xdr:rowOff>29989</xdr:rowOff>
    </xdr:from>
    <xdr:to>
      <xdr:col>18</xdr:col>
      <xdr:colOff>410989</xdr:colOff>
      <xdr:row>33</xdr:row>
      <xdr:rowOff>123354</xdr:rowOff>
    </xdr:to>
    <xdr:graphicFrame macro="">
      <xdr:nvGraphicFramePr>
        <xdr:cNvPr id="2" name="Chart 1">
          <a:extLst>
            <a:ext uri="{FF2B5EF4-FFF2-40B4-BE49-F238E27FC236}">
              <a16:creationId xmlns:a16="http://schemas.microsoft.com/office/drawing/2014/main" id="{00000000-0008-0000-3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11</xdr:row>
      <xdr:rowOff>28575</xdr:rowOff>
    </xdr:from>
    <xdr:to>
      <xdr:col>8</xdr:col>
      <xdr:colOff>116869</xdr:colOff>
      <xdr:row>26</xdr:row>
      <xdr:rowOff>170451</xdr:rowOff>
    </xdr:to>
    <xdr:graphicFrame macro="">
      <xdr:nvGraphicFramePr>
        <xdr:cNvPr id="3" name="Chart 2">
          <a:extLst>
            <a:ext uri="{FF2B5EF4-FFF2-40B4-BE49-F238E27FC236}">
              <a16:creationId xmlns:a16="http://schemas.microsoft.com/office/drawing/2014/main" id="{00000000-0008-0000-3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216275</xdr:colOff>
      <xdr:row>90</xdr:row>
      <xdr:rowOff>70597</xdr:rowOff>
    </xdr:from>
    <xdr:to>
      <xdr:col>20</xdr:col>
      <xdr:colOff>89088</xdr:colOff>
      <xdr:row>111</xdr:row>
      <xdr:rowOff>165848</xdr:rowOff>
    </xdr:to>
    <xdr:graphicFrame macro="">
      <xdr:nvGraphicFramePr>
        <xdr:cNvPr id="4" name="Chart 3">
          <a:extLst>
            <a:ext uri="{FF2B5EF4-FFF2-40B4-BE49-F238E27FC236}">
              <a16:creationId xmlns:a16="http://schemas.microsoft.com/office/drawing/2014/main" id="{00000000-0008-0000-3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454868</xdr:colOff>
      <xdr:row>10</xdr:row>
      <xdr:rowOff>66013</xdr:rowOff>
    </xdr:to>
    <xdr:pic>
      <xdr:nvPicPr>
        <xdr:cNvPr id="5" name="Picture 4">
          <a:extLst>
            <a:ext uri="{FF2B5EF4-FFF2-40B4-BE49-F238E27FC236}">
              <a16:creationId xmlns:a16="http://schemas.microsoft.com/office/drawing/2014/main" id="{00000000-0008-0000-3F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8817818" cy="1971013"/>
        </a:xfrm>
        <a:prstGeom prst="rect">
          <a:avLst/>
        </a:prstGeom>
        <a:solidFill>
          <a:schemeClr val="bg1"/>
        </a:solidFill>
      </xdr:spPr>
    </xdr:pic>
    <xdr:clientData/>
  </xdr:twoCellAnchor>
</xdr:wsDr>
</file>

<file path=xl/drawings/drawing49.xml><?xml version="1.0" encoding="utf-8"?>
<c:userShapes xmlns:c="http://schemas.openxmlformats.org/drawingml/2006/chart">
  <cdr:relSizeAnchor xmlns:cdr="http://schemas.openxmlformats.org/drawingml/2006/chartDrawing">
    <cdr:from>
      <cdr:x>0.60863</cdr:x>
      <cdr:y>0.18889</cdr:y>
    </cdr:from>
    <cdr:to>
      <cdr:x>0.68567</cdr:x>
      <cdr:y>0.26444</cdr:y>
    </cdr:to>
    <cdr:sp macro="" textlink="'Empirical Rule (an)'!$C$92">
      <cdr:nvSpPr>
        <cdr:cNvPr id="2" name="Line Callout 2 1"/>
        <cdr:cNvSpPr/>
      </cdr:nvSpPr>
      <cdr:spPr>
        <a:xfrm xmlns:a="http://schemas.openxmlformats.org/drawingml/2006/main">
          <a:off x="3762375" y="809625"/>
          <a:ext cx="476250" cy="323850"/>
        </a:xfrm>
        <a:prstGeom xmlns:a="http://schemas.openxmlformats.org/drawingml/2006/main" prst="borderCallout2">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0.32255</cdr:x>
      <cdr:y>0.1763</cdr:y>
    </cdr:from>
    <cdr:to>
      <cdr:x>0.39959</cdr:x>
      <cdr:y>0.25185</cdr:y>
    </cdr:to>
    <cdr:sp macro="" textlink="">
      <cdr:nvSpPr>
        <cdr:cNvPr id="4" name="Line Callout 2 3"/>
        <cdr:cNvSpPr/>
      </cdr:nvSpPr>
      <cdr:spPr>
        <a:xfrm xmlns:a="http://schemas.openxmlformats.org/drawingml/2006/main">
          <a:off x="1993900" y="755650"/>
          <a:ext cx="476250" cy="323850"/>
        </a:xfrm>
        <a:prstGeom xmlns:a="http://schemas.openxmlformats.org/drawingml/2006/main" prst="borderCallout2">
          <a:avLst>
            <a:gd name="adj1" fmla="val 21691"/>
            <a:gd name="adj2" fmla="val 101667"/>
            <a:gd name="adj3" fmla="val 24632"/>
            <a:gd name="adj4" fmla="val 125333"/>
            <a:gd name="adj5" fmla="val 100736"/>
            <a:gd name="adj6" fmla="val 149333"/>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fld id="{92BDA0BF-9696-4DBF-A0B7-11F3412FC58A}" type="TxLink">
            <a:rPr lang="en-US" sz="1100" b="0" i="0" u="none" strike="noStrike">
              <a:solidFill>
                <a:srgbClr val="000000"/>
              </a:solidFill>
              <a:latin typeface="Calibri"/>
              <a:cs typeface="Calibri"/>
            </a:rPr>
            <a:pPr/>
            <a:t>0.34</a:t>
          </a:fld>
          <a:endParaRPr lang="en-US"/>
        </a:p>
      </cdr:txBody>
    </cdr:sp>
  </cdr:relSizeAnchor>
  <cdr:relSizeAnchor xmlns:cdr="http://schemas.openxmlformats.org/drawingml/2006/chartDrawing">
    <cdr:from>
      <cdr:x>0.72727</cdr:x>
      <cdr:y>0.33556</cdr:y>
    </cdr:from>
    <cdr:to>
      <cdr:x>0.79661</cdr:x>
      <cdr:y>0.40889</cdr:y>
    </cdr:to>
    <cdr:sp macro="" textlink="">
      <cdr:nvSpPr>
        <cdr:cNvPr id="5" name="Rectangle 4"/>
        <cdr:cNvSpPr/>
      </cdr:nvSpPr>
      <cdr:spPr>
        <a:xfrm xmlns:a="http://schemas.openxmlformats.org/drawingml/2006/main">
          <a:off x="4495800" y="143827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0.5208</cdr:x>
      <cdr:y>0.37111</cdr:y>
    </cdr:from>
    <cdr:to>
      <cdr:x>0.72727</cdr:x>
      <cdr:y>0.37222</cdr:y>
    </cdr:to>
    <cdr:cxnSp macro="">
      <cdr:nvCxnSpPr>
        <cdr:cNvPr id="7" name="Straight Arrow Connector 6">
          <a:extLst xmlns:a="http://schemas.openxmlformats.org/drawingml/2006/main">
            <a:ext uri="{FF2B5EF4-FFF2-40B4-BE49-F238E27FC236}">
              <a16:creationId xmlns:a16="http://schemas.microsoft.com/office/drawing/2014/main" id="{E00D04AD-8661-4B15-9679-AE90B50E60B2}"/>
            </a:ext>
          </a:extLst>
        </cdr:cNvPr>
        <cdr:cNvCxnSpPr>
          <a:stCxn xmlns:a="http://schemas.openxmlformats.org/drawingml/2006/main" id="5" idx="1"/>
        </cdr:cNvCxnSpPr>
      </cdr:nvCxnSpPr>
      <cdr:spPr>
        <a:xfrm xmlns:a="http://schemas.openxmlformats.org/drawingml/2006/main" flipH="1" flipV="1">
          <a:off x="3219450" y="159067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0.79815</cdr:x>
      <cdr:y>0.37111</cdr:y>
    </cdr:from>
    <cdr:to>
      <cdr:x>0.93837</cdr:x>
      <cdr:y>0.37111</cdr:y>
    </cdr:to>
    <cdr:cxnSp macro="">
      <cdr:nvCxnSpPr>
        <cdr:cNvPr id="11" name="Straight Arrow Connector 10">
          <a:extLst xmlns:a="http://schemas.openxmlformats.org/drawingml/2006/main">
            <a:ext uri="{FF2B5EF4-FFF2-40B4-BE49-F238E27FC236}">
              <a16:creationId xmlns:a16="http://schemas.microsoft.com/office/drawing/2014/main" id="{137396E6-A34B-4011-AAEC-C838669CF9D0}"/>
            </a:ext>
          </a:extLst>
        </cdr:cNvPr>
        <cdr:cNvCxnSpPr/>
      </cdr:nvCxnSpPr>
      <cdr:spPr>
        <a:xfrm xmlns:a="http://schemas.openxmlformats.org/drawingml/2006/main">
          <a:off x="4933950" y="159067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0.28505</cdr:x>
      <cdr:y>0.33111</cdr:y>
    </cdr:from>
    <cdr:to>
      <cdr:x>0.35439</cdr:x>
      <cdr:y>0.40444</cdr:y>
    </cdr:to>
    <cdr:sp macro="" textlink="">
      <cdr:nvSpPr>
        <cdr:cNvPr id="14" name="Rectangle 13"/>
        <cdr:cNvSpPr/>
      </cdr:nvSpPr>
      <cdr:spPr>
        <a:xfrm xmlns:a="http://schemas.openxmlformats.org/drawingml/2006/main">
          <a:off x="1762125" y="1419225"/>
          <a:ext cx="428625" cy="314325"/>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solidFill>
                <a:sysClr val="windowText" lastClr="000000"/>
              </a:solidFill>
            </a:rPr>
            <a:t>50%</a:t>
          </a:r>
        </a:p>
      </cdr:txBody>
    </cdr:sp>
  </cdr:relSizeAnchor>
  <cdr:relSizeAnchor xmlns:cdr="http://schemas.openxmlformats.org/drawingml/2006/chartDrawing">
    <cdr:from>
      <cdr:x>0.07858</cdr:x>
      <cdr:y>0.36667</cdr:y>
    </cdr:from>
    <cdr:to>
      <cdr:x>0.28505</cdr:x>
      <cdr:y>0.36778</cdr:y>
    </cdr:to>
    <cdr:cxnSp macro="">
      <cdr:nvCxnSpPr>
        <cdr:cNvPr id="15" name="Straight Arrow Connector 14">
          <a:extLst xmlns:a="http://schemas.openxmlformats.org/drawingml/2006/main">
            <a:ext uri="{FF2B5EF4-FFF2-40B4-BE49-F238E27FC236}">
              <a16:creationId xmlns:a16="http://schemas.microsoft.com/office/drawing/2014/main" id="{02A331AC-6794-4A77-9D13-45B2AC6219D9}"/>
            </a:ext>
          </a:extLst>
        </cdr:cNvPr>
        <cdr:cNvCxnSpPr>
          <a:stCxn xmlns:a="http://schemas.openxmlformats.org/drawingml/2006/main" id="14" idx="1"/>
        </cdr:cNvCxnSpPr>
      </cdr:nvCxnSpPr>
      <cdr:spPr>
        <a:xfrm xmlns:a="http://schemas.openxmlformats.org/drawingml/2006/main" flipH="1" flipV="1">
          <a:off x="485775" y="1571626"/>
          <a:ext cx="1276350" cy="4762"/>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0.35593</cdr:x>
      <cdr:y>0.36667</cdr:y>
    </cdr:from>
    <cdr:to>
      <cdr:x>0.49615</cdr:x>
      <cdr:y>0.36667</cdr:y>
    </cdr:to>
    <cdr:cxnSp macro="">
      <cdr:nvCxnSpPr>
        <cdr:cNvPr id="16" name="Straight Arrow Connector 15">
          <a:extLst xmlns:a="http://schemas.openxmlformats.org/drawingml/2006/main">
            <a:ext uri="{FF2B5EF4-FFF2-40B4-BE49-F238E27FC236}">
              <a16:creationId xmlns:a16="http://schemas.microsoft.com/office/drawing/2014/main" id="{DD5F2F7C-ACC5-4CC7-B2D8-52B678B9E90E}"/>
            </a:ext>
          </a:extLst>
        </cdr:cNvPr>
        <cdr:cNvCxnSpPr/>
      </cdr:nvCxnSpPr>
      <cdr:spPr>
        <a:xfrm xmlns:a="http://schemas.openxmlformats.org/drawingml/2006/main">
          <a:off x="2200275" y="1571625"/>
          <a:ext cx="86677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0.46687</cdr:x>
      <cdr:y>0.42889</cdr:y>
    </cdr:from>
    <cdr:to>
      <cdr:x>0.547</cdr:x>
      <cdr:y>0.49556</cdr:y>
    </cdr:to>
    <cdr:sp macro="" textlink="'Empirical Rule (an)'!$B$92">
      <cdr:nvSpPr>
        <cdr:cNvPr id="17" name="Rectangle 16"/>
        <cdr:cNvSpPr/>
      </cdr:nvSpPr>
      <cdr:spPr>
        <a:xfrm xmlns:a="http://schemas.openxmlformats.org/drawingml/2006/main">
          <a:off x="2886075" y="1838326"/>
          <a:ext cx="495300" cy="28575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703F5981-51AD-48B2-BECF-5395CD0BAD9B}" type="TxLink">
            <a:rPr lang="en-US" sz="1100" b="0" i="0" u="none" strike="noStrike">
              <a:solidFill>
                <a:srgbClr val="000000"/>
              </a:solidFill>
              <a:latin typeface="Calibri"/>
              <a:cs typeface="Calibri"/>
            </a:rPr>
            <a:pPr/>
            <a:t>0.68</a:t>
          </a:fld>
          <a:endParaRPr lang="en-US">
            <a:solidFill>
              <a:sysClr val="windowText" lastClr="000000"/>
            </a:solidFill>
          </a:endParaRPr>
        </a:p>
      </cdr:txBody>
    </cdr:sp>
  </cdr:relSizeAnchor>
  <cdr:relSizeAnchor xmlns:cdr="http://schemas.openxmlformats.org/drawingml/2006/chartDrawing">
    <cdr:from>
      <cdr:x>0.39137</cdr:x>
      <cdr:y>0.46222</cdr:y>
    </cdr:from>
    <cdr:to>
      <cdr:x>0.46687</cdr:x>
      <cdr:y>0.46222</cdr:y>
    </cdr:to>
    <cdr:cxnSp macro="">
      <cdr:nvCxnSpPr>
        <cdr:cNvPr id="18" name="Straight Arrow Connector 17">
          <a:extLst xmlns:a="http://schemas.openxmlformats.org/drawingml/2006/main">
            <a:ext uri="{FF2B5EF4-FFF2-40B4-BE49-F238E27FC236}">
              <a16:creationId xmlns:a16="http://schemas.microsoft.com/office/drawing/2014/main" id="{A316F79E-E4FF-4CA5-8F37-217E7FAFDBE0}"/>
            </a:ext>
          </a:extLst>
        </cdr:cNvPr>
        <cdr:cNvCxnSpPr>
          <a:stCxn xmlns:a="http://schemas.openxmlformats.org/drawingml/2006/main" id="17" idx="1"/>
        </cdr:cNvCxnSpPr>
      </cdr:nvCxnSpPr>
      <cdr:spPr>
        <a:xfrm xmlns:a="http://schemas.openxmlformats.org/drawingml/2006/main" flipH="1">
          <a:off x="2419351" y="1981201"/>
          <a:ext cx="466724"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0.46222</cdr:y>
    </cdr:from>
    <cdr:to>
      <cdr:x>0.61479</cdr:x>
      <cdr:y>0.46444</cdr:y>
    </cdr:to>
    <cdr:cxnSp macro="">
      <cdr:nvCxnSpPr>
        <cdr:cNvPr id="19" name="Straight Arrow Connector 18">
          <a:extLst xmlns:a="http://schemas.openxmlformats.org/drawingml/2006/main">
            <a:ext uri="{FF2B5EF4-FFF2-40B4-BE49-F238E27FC236}">
              <a16:creationId xmlns:a16="http://schemas.microsoft.com/office/drawing/2014/main" id="{0531AF11-91AB-4040-9B23-B372F37F19D9}"/>
            </a:ext>
          </a:extLst>
        </cdr:cNvPr>
        <cdr:cNvCxnSpPr>
          <a:stCxn xmlns:a="http://schemas.openxmlformats.org/drawingml/2006/main" id="17" idx="3"/>
        </cdr:cNvCxnSpPr>
      </cdr:nvCxnSpPr>
      <cdr:spPr>
        <a:xfrm xmlns:a="http://schemas.openxmlformats.org/drawingml/2006/main">
          <a:off x="3381375" y="1981201"/>
          <a:ext cx="419100" cy="9525"/>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0.46533</cdr:x>
      <cdr:y>0.63778</cdr:y>
    </cdr:from>
    <cdr:to>
      <cdr:x>0.54545</cdr:x>
      <cdr:y>0.7</cdr:y>
    </cdr:to>
    <cdr:sp macro="" textlink="'Empirical Rule (an)'!$B$93">
      <cdr:nvSpPr>
        <cdr:cNvPr id="28" name="Rectangle 27"/>
        <cdr:cNvSpPr/>
      </cdr:nvSpPr>
      <cdr:spPr>
        <a:xfrm xmlns:a="http://schemas.openxmlformats.org/drawingml/2006/main">
          <a:off x="2876550" y="2733676"/>
          <a:ext cx="495300" cy="2667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19706864-83B1-4B80-9706-B022C8B94585}" type="TxLink">
            <a:rPr lang="en-US" sz="1100" b="0" i="0" u="none" strike="noStrike">
              <a:solidFill>
                <a:srgbClr val="000000"/>
              </a:solidFill>
              <a:latin typeface="Calibri"/>
              <a:cs typeface="Calibri"/>
            </a:rPr>
            <a:pPr/>
            <a:t>0.95</a:t>
          </a:fld>
          <a:endParaRPr lang="en-US">
            <a:solidFill>
              <a:sysClr val="windowText" lastClr="000000"/>
            </a:solidFill>
          </a:endParaRPr>
        </a:p>
      </cdr:txBody>
    </cdr:sp>
  </cdr:relSizeAnchor>
  <cdr:relSizeAnchor xmlns:cdr="http://schemas.openxmlformats.org/drawingml/2006/chartDrawing">
    <cdr:from>
      <cdr:x>0.30354</cdr:x>
      <cdr:y>0.66889</cdr:y>
    </cdr:from>
    <cdr:to>
      <cdr:x>0.46533</cdr:x>
      <cdr:y>0.67333</cdr:y>
    </cdr:to>
    <cdr:cxnSp macro="">
      <cdr:nvCxnSpPr>
        <cdr:cNvPr id="29" name="Straight Arrow Connector 28">
          <a:extLst xmlns:a="http://schemas.openxmlformats.org/drawingml/2006/main">
            <a:ext uri="{FF2B5EF4-FFF2-40B4-BE49-F238E27FC236}">
              <a16:creationId xmlns:a16="http://schemas.microsoft.com/office/drawing/2014/main" id="{CF95DEBD-2A48-4B03-B53F-4F4C77A2B4BC}"/>
            </a:ext>
          </a:extLst>
        </cdr:cNvPr>
        <cdr:cNvCxnSpPr>
          <a:stCxn xmlns:a="http://schemas.openxmlformats.org/drawingml/2006/main" id="28" idx="1"/>
        </cdr:cNvCxnSpPr>
      </cdr:nvCxnSpPr>
      <cdr:spPr>
        <a:xfrm xmlns:a="http://schemas.openxmlformats.org/drawingml/2006/main" flipH="1">
          <a:off x="1876426" y="2867026"/>
          <a:ext cx="1000124" cy="1905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0.54545</cdr:x>
      <cdr:y>0.66889</cdr:y>
    </cdr:from>
    <cdr:to>
      <cdr:x>0.69954</cdr:x>
      <cdr:y>0.67111</cdr:y>
    </cdr:to>
    <cdr:cxnSp macro="">
      <cdr:nvCxnSpPr>
        <cdr:cNvPr id="30" name="Straight Arrow Connector 29">
          <a:extLst xmlns:a="http://schemas.openxmlformats.org/drawingml/2006/main">
            <a:ext uri="{FF2B5EF4-FFF2-40B4-BE49-F238E27FC236}">
              <a16:creationId xmlns:a16="http://schemas.microsoft.com/office/drawing/2014/main" id="{3D351F89-840B-4BB3-BAEE-9FE6B6E0E068}"/>
            </a:ext>
          </a:extLst>
        </cdr:cNvPr>
        <cdr:cNvCxnSpPr>
          <a:stCxn xmlns:a="http://schemas.openxmlformats.org/drawingml/2006/main" id="28" idx="3"/>
        </cdr:cNvCxnSpPr>
      </cdr:nvCxnSpPr>
      <cdr:spPr>
        <a:xfrm xmlns:a="http://schemas.openxmlformats.org/drawingml/2006/main">
          <a:off x="3371850" y="2867026"/>
          <a:ext cx="952500" cy="9524"/>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0.46225</cdr:x>
      <cdr:y>0.76667</cdr:y>
    </cdr:from>
    <cdr:to>
      <cdr:x>0.54237</cdr:x>
      <cdr:y>0.83778</cdr:y>
    </cdr:to>
    <cdr:sp macro="" textlink="'Empirical Rule (an)'!$B$94">
      <cdr:nvSpPr>
        <cdr:cNvPr id="39" name="Rectangle 38"/>
        <cdr:cNvSpPr/>
      </cdr:nvSpPr>
      <cdr:spPr>
        <a:xfrm xmlns:a="http://schemas.openxmlformats.org/drawingml/2006/main">
          <a:off x="2857500" y="3286126"/>
          <a:ext cx="495300" cy="304800"/>
        </a:xfrm>
        <a:prstGeom xmlns:a="http://schemas.openxmlformats.org/drawingml/2006/main" prst="rect">
          <a:avLst/>
        </a:prstGeom>
        <a:solidFill xmlns:a="http://schemas.openxmlformats.org/drawingml/2006/main">
          <a:srgbClr val="FFFFCC"/>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3E538694-A0DF-451B-85E7-B257F37E33C8}" type="TxLink">
            <a:rPr lang="en-US" sz="1100" b="0" i="0" u="none" strike="noStrike">
              <a:solidFill>
                <a:srgbClr val="000000"/>
              </a:solidFill>
              <a:latin typeface="Calibri"/>
              <a:cs typeface="Calibri"/>
            </a:rPr>
            <a:pPr/>
            <a:t>0.99</a:t>
          </a:fld>
          <a:endParaRPr lang="en-US">
            <a:solidFill>
              <a:sysClr val="windowText" lastClr="000000"/>
            </a:solidFill>
          </a:endParaRPr>
        </a:p>
      </cdr:txBody>
    </cdr:sp>
  </cdr:relSizeAnchor>
  <cdr:relSizeAnchor xmlns:cdr="http://schemas.openxmlformats.org/drawingml/2006/chartDrawing">
    <cdr:from>
      <cdr:x>0.16025</cdr:x>
      <cdr:y>0.8</cdr:y>
    </cdr:from>
    <cdr:to>
      <cdr:x>0.46687</cdr:x>
      <cdr:y>0.80333</cdr:y>
    </cdr:to>
    <cdr:cxnSp macro="">
      <cdr:nvCxnSpPr>
        <cdr:cNvPr id="40" name="Straight Arrow Connector 39">
          <a:extLst xmlns:a="http://schemas.openxmlformats.org/drawingml/2006/main">
            <a:ext uri="{FF2B5EF4-FFF2-40B4-BE49-F238E27FC236}">
              <a16:creationId xmlns:a16="http://schemas.microsoft.com/office/drawing/2014/main" id="{347FD4D6-362C-4274-8787-0FD9E3DF10FE}"/>
            </a:ext>
          </a:extLst>
        </cdr:cNvPr>
        <cdr:cNvCxnSpPr/>
      </cdr:nvCxnSpPr>
      <cdr:spPr>
        <a:xfrm xmlns:a="http://schemas.openxmlformats.org/drawingml/2006/main" flipH="1" flipV="1">
          <a:off x="990600" y="3429000"/>
          <a:ext cx="1895476" cy="14289"/>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0.547</cdr:x>
      <cdr:y>0.8</cdr:y>
    </cdr:from>
    <cdr:to>
      <cdr:x>0.83667</cdr:x>
      <cdr:y>0.80333</cdr:y>
    </cdr:to>
    <cdr:cxnSp macro="">
      <cdr:nvCxnSpPr>
        <cdr:cNvPr id="41" name="Straight Arrow Connector 40">
          <a:extLst xmlns:a="http://schemas.openxmlformats.org/drawingml/2006/main">
            <a:ext uri="{FF2B5EF4-FFF2-40B4-BE49-F238E27FC236}">
              <a16:creationId xmlns:a16="http://schemas.microsoft.com/office/drawing/2014/main" id="{CF4AE7B6-558C-4D90-BC58-919960E2DACB}"/>
            </a:ext>
          </a:extLst>
        </cdr:cNvPr>
        <cdr:cNvCxnSpPr/>
      </cdr:nvCxnSpPr>
      <cdr:spPr>
        <a:xfrm xmlns:a="http://schemas.openxmlformats.org/drawingml/2006/main" flipV="1">
          <a:off x="3381375" y="3429000"/>
          <a:ext cx="1790700" cy="14288"/>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0.13097</cdr:x>
      <cdr:y>0.84222</cdr:y>
    </cdr:from>
    <cdr:to>
      <cdr:x>0.89831</cdr:x>
      <cdr:y>0.93111</cdr:y>
    </cdr:to>
    <cdr:sp macro="" textlink="">
      <cdr:nvSpPr>
        <cdr:cNvPr id="50" name="TextBox 49"/>
        <cdr:cNvSpPr txBox="1"/>
      </cdr:nvSpPr>
      <cdr:spPr>
        <a:xfrm xmlns:a="http://schemas.openxmlformats.org/drawingml/2006/main">
          <a:off x="809625" y="3609975"/>
          <a:ext cx="4743450" cy="381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-3 z                -2 z                -1 z                 0 z                   1</a:t>
          </a:r>
          <a:r>
            <a:rPr lang="en-US" sz="1100" baseline="0"/>
            <a:t> z                 2 z                3z</a:t>
          </a:r>
          <a:endParaRPr lang="en-US" sz="1100"/>
        </a:p>
      </cdr:txBody>
    </cdr:sp>
  </cdr:relSizeAnchor>
</c:userShapes>
</file>

<file path=xl/drawings/drawing50.xml><?xml version="1.0" encoding="utf-8"?>
<xdr:wsDr xmlns:xdr="http://schemas.openxmlformats.org/drawingml/2006/spreadsheetDrawing" xmlns:a="http://schemas.openxmlformats.org/drawingml/2006/main">
  <xdr:twoCellAnchor editAs="oneCell">
    <xdr:from>
      <xdr:col>9</xdr:col>
      <xdr:colOff>89647</xdr:colOff>
      <xdr:row>14</xdr:row>
      <xdr:rowOff>159751</xdr:rowOff>
    </xdr:from>
    <xdr:to>
      <xdr:col>16</xdr:col>
      <xdr:colOff>555739</xdr:colOff>
      <xdr:row>31</xdr:row>
      <xdr:rowOff>91596</xdr:rowOff>
    </xdr:to>
    <xdr:pic>
      <xdr:nvPicPr>
        <xdr:cNvPr id="5" name="Picture 4">
          <a:extLst>
            <a:ext uri="{FF2B5EF4-FFF2-40B4-BE49-F238E27FC236}">
              <a16:creationId xmlns:a16="http://schemas.microsoft.com/office/drawing/2014/main" id="{00000000-0008-0000-4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0059" y="2826751"/>
          <a:ext cx="4881209" cy="3170345"/>
        </a:xfrm>
        <a:prstGeom prst="rect">
          <a:avLst/>
        </a:prstGeom>
      </xdr:spPr>
    </xdr:pic>
    <xdr:clientData/>
  </xdr:twoCellAnchor>
  <xdr:twoCellAnchor editAs="oneCell">
    <xdr:from>
      <xdr:col>0</xdr:col>
      <xdr:colOff>0</xdr:colOff>
      <xdr:row>0</xdr:row>
      <xdr:rowOff>0</xdr:rowOff>
    </xdr:from>
    <xdr:to>
      <xdr:col>8</xdr:col>
      <xdr:colOff>561975</xdr:colOff>
      <xdr:row>13</xdr:row>
      <xdr:rowOff>9525</xdr:rowOff>
    </xdr:to>
    <xdr:pic>
      <xdr:nvPicPr>
        <xdr:cNvPr id="13" name="Picture 12">
          <a:extLst>
            <a:ext uri="{FF2B5EF4-FFF2-40B4-BE49-F238E27FC236}">
              <a16:creationId xmlns:a16="http://schemas.microsoft.com/office/drawing/2014/main" id="{00000000-0008-0000-44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6837269" cy="2486025"/>
        </a:xfrm>
        <a:prstGeom prst="rect">
          <a:avLst/>
        </a:prstGeom>
        <a:solidFill>
          <a:schemeClr val="bg1"/>
        </a:solidFill>
      </xdr:spPr>
    </xdr:pic>
    <xdr:clientData/>
  </xdr:twoCellAnchor>
  <xdr:twoCellAnchor>
    <xdr:from>
      <xdr:col>16</xdr:col>
      <xdr:colOff>515471</xdr:colOff>
      <xdr:row>14</xdr:row>
      <xdr:rowOff>11206</xdr:rowOff>
    </xdr:from>
    <xdr:to>
      <xdr:col>26</xdr:col>
      <xdr:colOff>536321</xdr:colOff>
      <xdr:row>30</xdr:row>
      <xdr:rowOff>96182</xdr:rowOff>
    </xdr:to>
    <xdr:graphicFrame macro="">
      <xdr:nvGraphicFramePr>
        <xdr:cNvPr id="6" name="Chart 5">
          <a:extLst>
            <a:ext uri="{FF2B5EF4-FFF2-40B4-BE49-F238E27FC236}">
              <a16:creationId xmlns:a16="http://schemas.microsoft.com/office/drawing/2014/main" id="{00000000-0008-0000-4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28054</xdr:colOff>
      <xdr:row>14</xdr:row>
      <xdr:rowOff>130949</xdr:rowOff>
    </xdr:from>
    <xdr:to>
      <xdr:col>20</xdr:col>
      <xdr:colOff>422581</xdr:colOff>
      <xdr:row>18</xdr:row>
      <xdr:rowOff>140474</xdr:rowOff>
    </xdr:to>
    <xdr:pic>
      <xdr:nvPicPr>
        <xdr:cNvPr id="7" name="Picture 6">
          <a:extLst>
            <a:ext uri="{FF2B5EF4-FFF2-40B4-BE49-F238E27FC236}">
              <a16:creationId xmlns:a16="http://schemas.microsoft.com/office/drawing/2014/main" id="{00000000-0008-0000-44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28701" y="2797949"/>
          <a:ext cx="3128762"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16</xdr:col>
      <xdr:colOff>401772</xdr:colOff>
      <xdr:row>14</xdr:row>
      <xdr:rowOff>50746</xdr:rowOff>
    </xdr:from>
    <xdr:to>
      <xdr:col>26</xdr:col>
      <xdr:colOff>422622</xdr:colOff>
      <xdr:row>30</xdr:row>
      <xdr:rowOff>135722</xdr:rowOff>
    </xdr:to>
    <xdr:graphicFrame macro="">
      <xdr:nvGraphicFramePr>
        <xdr:cNvPr id="2" name="Chart 1">
          <a:extLst>
            <a:ext uri="{FF2B5EF4-FFF2-40B4-BE49-F238E27FC236}">
              <a16:creationId xmlns:a16="http://schemas.microsoft.com/office/drawing/2014/main" id="{00000000-0008-0000-4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519473</xdr:colOff>
      <xdr:row>14</xdr:row>
      <xdr:rowOff>170489</xdr:rowOff>
    </xdr:from>
    <xdr:to>
      <xdr:col>20</xdr:col>
      <xdr:colOff>308882</xdr:colOff>
      <xdr:row>18</xdr:row>
      <xdr:rowOff>180014</xdr:rowOff>
    </xdr:to>
    <xdr:pic>
      <xdr:nvPicPr>
        <xdr:cNvPr id="3" name="Picture 2">
          <a:extLst>
            <a:ext uri="{FF2B5EF4-FFF2-40B4-BE49-F238E27FC236}">
              <a16:creationId xmlns:a16="http://schemas.microsoft.com/office/drawing/2014/main" id="{00000000-0008-0000-4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815002" y="2837489"/>
          <a:ext cx="3128762"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33618</xdr:colOff>
      <xdr:row>14</xdr:row>
      <xdr:rowOff>58898</xdr:rowOff>
    </xdr:from>
    <xdr:to>
      <xdr:col>16</xdr:col>
      <xdr:colOff>410062</xdr:colOff>
      <xdr:row>30</xdr:row>
      <xdr:rowOff>181243</xdr:rowOff>
    </xdr:to>
    <xdr:pic>
      <xdr:nvPicPr>
        <xdr:cNvPr id="4" name="Picture 3">
          <a:extLst>
            <a:ext uri="{FF2B5EF4-FFF2-40B4-BE49-F238E27FC236}">
              <a16:creationId xmlns:a16="http://schemas.microsoft.com/office/drawing/2014/main" id="{00000000-0008-0000-4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914030" y="2725898"/>
          <a:ext cx="4791561" cy="3170345"/>
        </a:xfrm>
        <a:prstGeom prst="rect">
          <a:avLst/>
        </a:prstGeom>
      </xdr:spPr>
    </xdr:pic>
    <xdr:clientData/>
  </xdr:twoCellAnchor>
  <xdr:twoCellAnchor editAs="oneCell">
    <xdr:from>
      <xdr:col>0</xdr:col>
      <xdr:colOff>0</xdr:colOff>
      <xdr:row>0</xdr:row>
      <xdr:rowOff>0</xdr:rowOff>
    </xdr:from>
    <xdr:to>
      <xdr:col>8</xdr:col>
      <xdr:colOff>561975</xdr:colOff>
      <xdr:row>13</xdr:row>
      <xdr:rowOff>9525</xdr:rowOff>
    </xdr:to>
    <xdr:pic>
      <xdr:nvPicPr>
        <xdr:cNvPr id="5" name="Picture 4">
          <a:extLst>
            <a:ext uri="{FF2B5EF4-FFF2-40B4-BE49-F238E27FC236}">
              <a16:creationId xmlns:a16="http://schemas.microsoft.com/office/drawing/2014/main" id="{00000000-0008-0000-45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0"/>
          <a:ext cx="6858000" cy="2486025"/>
        </a:xfrm>
        <a:prstGeom prst="rect">
          <a:avLst/>
        </a:prstGeom>
        <a:solidFill>
          <a:schemeClr val="bg1"/>
        </a:solidFill>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717859</xdr:colOff>
      <xdr:row>11</xdr:row>
      <xdr:rowOff>9525</xdr:rowOff>
    </xdr:to>
    <xdr:pic>
      <xdr:nvPicPr>
        <xdr:cNvPr id="2" name="Picture 1">
          <a:extLst>
            <a:ext uri="{FF2B5EF4-FFF2-40B4-BE49-F238E27FC236}">
              <a16:creationId xmlns:a16="http://schemas.microsoft.com/office/drawing/2014/main" id="{00000000-0008-0000-4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33348" cy="2105025"/>
        </a:xfrm>
        <a:prstGeom prst="rect">
          <a:avLst/>
        </a:prstGeom>
        <a:solidFill>
          <a:schemeClr val="bg1"/>
        </a:solidFill>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717859</xdr:colOff>
      <xdr:row>11</xdr:row>
      <xdr:rowOff>9525</xdr:rowOff>
    </xdr:to>
    <xdr:pic>
      <xdr:nvPicPr>
        <xdr:cNvPr id="2" name="Picture 1">
          <a:extLst>
            <a:ext uri="{FF2B5EF4-FFF2-40B4-BE49-F238E27FC236}">
              <a16:creationId xmlns:a16="http://schemas.microsoft.com/office/drawing/2014/main" id="{00000000-0008-0000-4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6804334" cy="2105025"/>
        </a:xfrm>
        <a:prstGeom prst="rect">
          <a:avLst/>
        </a:prstGeom>
        <a:solidFill>
          <a:schemeClr val="bg1"/>
        </a:solidFill>
      </xdr:spPr>
    </xdr:pic>
    <xdr:clientData/>
  </xdr:twoCellAnchor>
</xdr:wsDr>
</file>

<file path=xl/drawings/drawing54.xml><?xml version="1.0" encoding="utf-8"?>
<xdr:wsDr xmlns:xdr="http://schemas.openxmlformats.org/drawingml/2006/spreadsheetDrawing" xmlns:a="http://schemas.openxmlformats.org/drawingml/2006/main">
  <xdr:twoCellAnchor>
    <xdr:from>
      <xdr:col>6</xdr:col>
      <xdr:colOff>270345</xdr:colOff>
      <xdr:row>3</xdr:row>
      <xdr:rowOff>168303</xdr:rowOff>
    </xdr:from>
    <xdr:to>
      <xdr:col>13</xdr:col>
      <xdr:colOff>250467</xdr:colOff>
      <xdr:row>14</xdr:row>
      <xdr:rowOff>141798</xdr:rowOff>
    </xdr:to>
    <xdr:graphicFrame macro="">
      <xdr:nvGraphicFramePr>
        <xdr:cNvPr id="2" name="Chart 1">
          <a:extLst>
            <a:ext uri="{FF2B5EF4-FFF2-40B4-BE49-F238E27FC236}">
              <a16:creationId xmlns:a16="http://schemas.microsoft.com/office/drawing/2014/main" id="{00000000-0008-0000-4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7</xdr:col>
      <xdr:colOff>382905</xdr:colOff>
      <xdr:row>1</xdr:row>
      <xdr:rowOff>7620</xdr:rowOff>
    </xdr:from>
    <xdr:to>
      <xdr:col>15</xdr:col>
      <xdr:colOff>78105</xdr:colOff>
      <xdr:row>16</xdr:row>
      <xdr:rowOff>7620</xdr:rowOff>
    </xdr:to>
    <xdr:graphicFrame macro="">
      <xdr:nvGraphicFramePr>
        <xdr:cNvPr id="2" name="Chart 1">
          <a:extLst>
            <a:ext uri="{FF2B5EF4-FFF2-40B4-BE49-F238E27FC236}">
              <a16:creationId xmlns:a16="http://schemas.microsoft.com/office/drawing/2014/main" id="{00000000-0008-0000-4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xdr:from>
      <xdr:col>1</xdr:col>
      <xdr:colOff>105722</xdr:colOff>
      <xdr:row>7</xdr:row>
      <xdr:rowOff>114773</xdr:rowOff>
    </xdr:from>
    <xdr:to>
      <xdr:col>5</xdr:col>
      <xdr:colOff>350888</xdr:colOff>
      <xdr:row>22</xdr:row>
      <xdr:rowOff>473</xdr:rowOff>
    </xdr:to>
    <xdr:graphicFrame macro="">
      <xdr:nvGraphicFramePr>
        <xdr:cNvPr id="2" name="Chart 1">
          <a:extLst>
            <a:ext uri="{FF2B5EF4-FFF2-40B4-BE49-F238E27FC236}">
              <a16:creationId xmlns:a16="http://schemas.microsoft.com/office/drawing/2014/main" id="{00000000-0008-0000-4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4</xdr:col>
      <xdr:colOff>14653</xdr:colOff>
      <xdr:row>52</xdr:row>
      <xdr:rowOff>102576</xdr:rowOff>
    </xdr:from>
    <xdr:to>
      <xdr:col>11</xdr:col>
      <xdr:colOff>21979</xdr:colOff>
      <xdr:row>63</xdr:row>
      <xdr:rowOff>133349</xdr:rowOff>
    </xdr:to>
    <xdr:graphicFrame macro="">
      <xdr:nvGraphicFramePr>
        <xdr:cNvPr id="3" name="Chart 2">
          <a:extLst>
            <a:ext uri="{FF2B5EF4-FFF2-40B4-BE49-F238E27FC236}">
              <a16:creationId xmlns:a16="http://schemas.microsoft.com/office/drawing/2014/main" id="{00000000-0008-0000-4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417634</xdr:colOff>
      <xdr:row>32</xdr:row>
      <xdr:rowOff>79131</xdr:rowOff>
    </xdr:from>
    <xdr:to>
      <xdr:col>11</xdr:col>
      <xdr:colOff>29307</xdr:colOff>
      <xdr:row>46</xdr:row>
      <xdr:rowOff>155331</xdr:rowOff>
    </xdr:to>
    <xdr:graphicFrame macro="">
      <xdr:nvGraphicFramePr>
        <xdr:cNvPr id="4" name="Chart 3">
          <a:extLst>
            <a:ext uri="{FF2B5EF4-FFF2-40B4-BE49-F238E27FC236}">
              <a16:creationId xmlns:a16="http://schemas.microsoft.com/office/drawing/2014/main" id="{00000000-0008-0000-4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417634</xdr:colOff>
      <xdr:row>11</xdr:row>
      <xdr:rowOff>79131</xdr:rowOff>
    </xdr:from>
    <xdr:to>
      <xdr:col>11</xdr:col>
      <xdr:colOff>29307</xdr:colOff>
      <xdr:row>25</xdr:row>
      <xdr:rowOff>155331</xdr:rowOff>
    </xdr:to>
    <xdr:graphicFrame macro="">
      <xdr:nvGraphicFramePr>
        <xdr:cNvPr id="5" name="Chart 4">
          <a:extLst>
            <a:ext uri="{FF2B5EF4-FFF2-40B4-BE49-F238E27FC236}">
              <a16:creationId xmlns:a16="http://schemas.microsoft.com/office/drawing/2014/main" id="{00000000-0008-0000-4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417634</xdr:colOff>
      <xdr:row>94</xdr:row>
      <xdr:rowOff>650631</xdr:rowOff>
    </xdr:from>
    <xdr:to>
      <xdr:col>11</xdr:col>
      <xdr:colOff>29307</xdr:colOff>
      <xdr:row>108</xdr:row>
      <xdr:rowOff>155331</xdr:rowOff>
    </xdr:to>
    <xdr:graphicFrame macro="">
      <xdr:nvGraphicFramePr>
        <xdr:cNvPr id="6" name="Chart 5">
          <a:extLst>
            <a:ext uri="{FF2B5EF4-FFF2-40B4-BE49-F238E27FC236}">
              <a16:creationId xmlns:a16="http://schemas.microsoft.com/office/drawing/2014/main" id="{00000000-0008-0000-4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392206</xdr:colOff>
      <xdr:row>114</xdr:row>
      <xdr:rowOff>33617</xdr:rowOff>
    </xdr:from>
    <xdr:to>
      <xdr:col>10</xdr:col>
      <xdr:colOff>514177</xdr:colOff>
      <xdr:row>128</xdr:row>
      <xdr:rowOff>109817</xdr:rowOff>
    </xdr:to>
    <xdr:graphicFrame macro="">
      <xdr:nvGraphicFramePr>
        <xdr:cNvPr id="11" name="Chart 10">
          <a:extLst>
            <a:ext uri="{FF2B5EF4-FFF2-40B4-BE49-F238E27FC236}">
              <a16:creationId xmlns:a16="http://schemas.microsoft.com/office/drawing/2014/main" id="{00000000-0008-0000-4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xdr:from>
      <xdr:col>3</xdr:col>
      <xdr:colOff>446941</xdr:colOff>
      <xdr:row>33</xdr:row>
      <xdr:rowOff>167054</xdr:rowOff>
    </xdr:from>
    <xdr:to>
      <xdr:col>11</xdr:col>
      <xdr:colOff>58614</xdr:colOff>
      <xdr:row>48</xdr:row>
      <xdr:rowOff>52754</xdr:rowOff>
    </xdr:to>
    <xdr:graphicFrame macro="">
      <xdr:nvGraphicFramePr>
        <xdr:cNvPr id="3" name="Chart 2">
          <a:extLst>
            <a:ext uri="{FF2B5EF4-FFF2-40B4-BE49-F238E27FC236}">
              <a16:creationId xmlns:a16="http://schemas.microsoft.com/office/drawing/2014/main" id="{00000000-0008-0000-4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410307</xdr:colOff>
      <xdr:row>10</xdr:row>
      <xdr:rowOff>181708</xdr:rowOff>
    </xdr:from>
    <xdr:to>
      <xdr:col>11</xdr:col>
      <xdr:colOff>21980</xdr:colOff>
      <xdr:row>25</xdr:row>
      <xdr:rowOff>67408</xdr:rowOff>
    </xdr:to>
    <xdr:graphicFrame macro="">
      <xdr:nvGraphicFramePr>
        <xdr:cNvPr id="4" name="Chart 3">
          <a:extLst>
            <a:ext uri="{FF2B5EF4-FFF2-40B4-BE49-F238E27FC236}">
              <a16:creationId xmlns:a16="http://schemas.microsoft.com/office/drawing/2014/main" id="{00000000-0008-0000-4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58616</xdr:colOff>
      <xdr:row>56</xdr:row>
      <xdr:rowOff>79131</xdr:rowOff>
    </xdr:from>
    <xdr:to>
      <xdr:col>10</xdr:col>
      <xdr:colOff>161192</xdr:colOff>
      <xdr:row>70</xdr:row>
      <xdr:rowOff>155331</xdr:rowOff>
    </xdr:to>
    <xdr:graphicFrame macro="">
      <xdr:nvGraphicFramePr>
        <xdr:cNvPr id="7" name="Chart 6">
          <a:extLst>
            <a:ext uri="{FF2B5EF4-FFF2-40B4-BE49-F238E27FC236}">
              <a16:creationId xmlns:a16="http://schemas.microsoft.com/office/drawing/2014/main" id="{00000000-0008-0000-4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392206</xdr:colOff>
      <xdr:row>81</xdr:row>
      <xdr:rowOff>33617</xdr:rowOff>
    </xdr:from>
    <xdr:to>
      <xdr:col>10</xdr:col>
      <xdr:colOff>514177</xdr:colOff>
      <xdr:row>95</xdr:row>
      <xdr:rowOff>109817</xdr:rowOff>
    </xdr:to>
    <xdr:graphicFrame macro="">
      <xdr:nvGraphicFramePr>
        <xdr:cNvPr id="6" name="Chart 5">
          <a:extLst>
            <a:ext uri="{FF2B5EF4-FFF2-40B4-BE49-F238E27FC236}">
              <a16:creationId xmlns:a16="http://schemas.microsoft.com/office/drawing/2014/main" id="{00000000-0008-0000-4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9.xml><?xml version="1.0" encoding="utf-8"?>
<xdr:wsDr xmlns:xdr="http://schemas.openxmlformats.org/drawingml/2006/spreadsheetDrawing" xmlns:a="http://schemas.openxmlformats.org/drawingml/2006/main">
  <xdr:twoCellAnchor>
    <xdr:from>
      <xdr:col>3</xdr:col>
      <xdr:colOff>446941</xdr:colOff>
      <xdr:row>33</xdr:row>
      <xdr:rowOff>167054</xdr:rowOff>
    </xdr:from>
    <xdr:to>
      <xdr:col>11</xdr:col>
      <xdr:colOff>58614</xdr:colOff>
      <xdr:row>48</xdr:row>
      <xdr:rowOff>52754</xdr:rowOff>
    </xdr:to>
    <xdr:graphicFrame macro="">
      <xdr:nvGraphicFramePr>
        <xdr:cNvPr id="2" name="Chart 1">
          <a:extLst>
            <a:ext uri="{FF2B5EF4-FFF2-40B4-BE49-F238E27FC236}">
              <a16:creationId xmlns:a16="http://schemas.microsoft.com/office/drawing/2014/main" id="{00000000-0008-0000-4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410307</xdr:colOff>
      <xdr:row>10</xdr:row>
      <xdr:rowOff>181708</xdr:rowOff>
    </xdr:from>
    <xdr:to>
      <xdr:col>11</xdr:col>
      <xdr:colOff>21980</xdr:colOff>
      <xdr:row>25</xdr:row>
      <xdr:rowOff>67408</xdr:rowOff>
    </xdr:to>
    <xdr:graphicFrame macro="">
      <xdr:nvGraphicFramePr>
        <xdr:cNvPr id="3" name="Chart 2">
          <a:extLst>
            <a:ext uri="{FF2B5EF4-FFF2-40B4-BE49-F238E27FC236}">
              <a16:creationId xmlns:a16="http://schemas.microsoft.com/office/drawing/2014/main" id="{00000000-0008-0000-4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58616</xdr:colOff>
      <xdr:row>56</xdr:row>
      <xdr:rowOff>79131</xdr:rowOff>
    </xdr:from>
    <xdr:to>
      <xdr:col>10</xdr:col>
      <xdr:colOff>161192</xdr:colOff>
      <xdr:row>70</xdr:row>
      <xdr:rowOff>155331</xdr:rowOff>
    </xdr:to>
    <xdr:graphicFrame macro="">
      <xdr:nvGraphicFramePr>
        <xdr:cNvPr id="4" name="Chart 3">
          <a:extLst>
            <a:ext uri="{FF2B5EF4-FFF2-40B4-BE49-F238E27FC236}">
              <a16:creationId xmlns:a16="http://schemas.microsoft.com/office/drawing/2014/main" id="{00000000-0008-0000-4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392206</xdr:colOff>
      <xdr:row>81</xdr:row>
      <xdr:rowOff>33617</xdr:rowOff>
    </xdr:from>
    <xdr:to>
      <xdr:col>10</xdr:col>
      <xdr:colOff>514177</xdr:colOff>
      <xdr:row>95</xdr:row>
      <xdr:rowOff>109817</xdr:rowOff>
    </xdr:to>
    <xdr:graphicFrame macro="">
      <xdr:nvGraphicFramePr>
        <xdr:cNvPr id="5" name="Chart 4">
          <a:extLst>
            <a:ext uri="{FF2B5EF4-FFF2-40B4-BE49-F238E27FC236}">
              <a16:creationId xmlns:a16="http://schemas.microsoft.com/office/drawing/2014/main" id="{00000000-0008-0000-4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0.xml><?xml version="1.0" encoding="utf-8"?>
<xdr:wsDr xmlns:xdr="http://schemas.openxmlformats.org/drawingml/2006/spreadsheetDrawing" xmlns:a="http://schemas.openxmlformats.org/drawingml/2006/main">
  <xdr:oneCellAnchor>
    <xdr:from>
      <xdr:col>12</xdr:col>
      <xdr:colOff>294127</xdr:colOff>
      <xdr:row>16</xdr:row>
      <xdr:rowOff>186054</xdr:rowOff>
    </xdr:from>
    <xdr:ext cx="3267395" cy="2091663"/>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4F00-000010000000}"/>
                </a:ext>
              </a:extLst>
            </xdr:cNvPr>
            <xdr:cNvSpPr txBox="1"/>
          </xdr:nvSpPr>
          <xdr:spPr>
            <a:xfrm>
              <a:off x="10740567" y="3250619"/>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14:m>
                <m:oMath xmlns:m="http://schemas.openxmlformats.org/officeDocument/2006/math">
                  <m:f>
                    <m:fPr>
                      <m:ctrlPr>
                        <a:rPr lang="en-US" sz="2400" i="1" baseline="0">
                          <a:solidFill>
                            <a:schemeClr val="tx1"/>
                          </a:solidFill>
                          <a:effectLst/>
                          <a:latin typeface="Cambria Math" panose="02040503050406030204" pitchFamily="18" charset="0"/>
                          <a:ea typeface="+mn-ea"/>
                          <a:cs typeface="+mn-cs"/>
                        </a:rPr>
                      </m:ctrlPr>
                    </m:fPr>
                    <m:num>
                      <m:r>
                        <m:rPr>
                          <m:nor/>
                        </m:rPr>
                        <a:rPr lang="en-US" sz="2400">
                          <a:solidFill>
                            <a:schemeClr val="tx1"/>
                          </a:solidFill>
                          <a:effectLst/>
                          <a:latin typeface="+mn-lt"/>
                          <a:ea typeface="+mn-ea"/>
                          <a:cs typeface="+mn-cs"/>
                        </a:rPr>
                        <m:t> </m:t>
                      </m:r>
                      <m:f>
                        <m:fPr>
                          <m:ctrlPr>
                            <a:rPr lang="en-US" sz="2400" i="1">
                              <a:solidFill>
                                <a:schemeClr val="tx1"/>
                              </a:solidFill>
                              <a:effectLst/>
                              <a:latin typeface="Cambria Math" panose="02040503050406030204" pitchFamily="18" charset="0"/>
                              <a:ea typeface="+mn-ea"/>
                              <a:cs typeface="+mn-cs"/>
                            </a:rPr>
                          </m:ctrlPr>
                        </m:fPr>
                        <m:num>
                          <m:r>
                            <m:rPr>
                              <m:sty m:val="p"/>
                            </m:rPr>
                            <a:rPr lang="el-GR" sz="2400" i="1">
                              <a:solidFill>
                                <a:schemeClr val="tx1"/>
                              </a:solidFill>
                              <a:effectLst/>
                              <a:latin typeface="Cambria Math"/>
                              <a:ea typeface="+mn-ea"/>
                              <a:cs typeface="+mn-cs"/>
                            </a:rPr>
                            <m:t>Σ</m:t>
                          </m:r>
                          <m:d>
                            <m:dPr>
                              <m:ctrlPr>
                                <a:rPr lang="en-US" sz="2400" b="0" i="1">
                                  <a:solidFill>
                                    <a:schemeClr val="tx1"/>
                                  </a:solidFill>
                                  <a:effectLst/>
                                  <a:latin typeface="Cambria Math" panose="02040503050406030204" pitchFamily="18" charset="0"/>
                                  <a:ea typeface="+mn-ea"/>
                                  <a:cs typeface="+mn-cs"/>
                                </a:rPr>
                              </m:ctrlPr>
                            </m:dPr>
                            <m:e>
                              <m:r>
                                <a:rPr lang="en-US" sz="2400" b="0" i="1">
                                  <a:solidFill>
                                    <a:schemeClr val="tx1"/>
                                  </a:solidFill>
                                  <a:effectLst/>
                                  <a:latin typeface="Cambria Math"/>
                                  <a:ea typeface="+mn-ea"/>
                                  <a:cs typeface="+mn-cs"/>
                                </a:rPr>
                                <m:t>𝑥</m:t>
                              </m:r>
                              <m:r>
                                <a:rPr lang="en-US" sz="2400" b="0" i="1" baseline="-25000">
                                  <a:solidFill>
                                    <a:schemeClr val="tx1"/>
                                  </a:solidFill>
                                  <a:effectLst/>
                                  <a:latin typeface="Cambria Math"/>
                                  <a:ea typeface="+mn-ea"/>
                                  <a:cs typeface="+mn-cs"/>
                                </a:rPr>
                                <m:t>𝑖</m:t>
                              </m:r>
                              <m:r>
                                <a:rPr lang="en-US" sz="2400" b="0" i="1">
                                  <a:solidFill>
                                    <a:schemeClr val="tx1"/>
                                  </a:solidFill>
                                  <a:effectLst/>
                                  <a:latin typeface="Cambria Math"/>
                                  <a:ea typeface="+mn-ea"/>
                                  <a:cs typeface="+mn-cs"/>
                                </a:rPr>
                                <m:t> −</m:t>
                              </m:r>
                              <m:r>
                                <a:rPr lang="en-US" sz="2400" b="0" i="1">
                                  <a:solidFill>
                                    <a:schemeClr val="tx1"/>
                                  </a:solidFill>
                                  <a:effectLst/>
                                  <a:latin typeface="Cambria Math"/>
                                  <a:ea typeface="+mn-ea"/>
                                  <a:cs typeface="+mn-cs"/>
                                </a:rPr>
                                <m:t>𝑋𝑏𝑎𝑟</m:t>
                              </m:r>
                            </m:e>
                          </m:d>
                          <m:r>
                            <a:rPr lang="en-US" sz="2400" b="0" i="1">
                              <a:solidFill>
                                <a:schemeClr val="tx1"/>
                              </a:solidFill>
                              <a:effectLst/>
                              <a:latin typeface="Cambria Math"/>
                              <a:ea typeface="+mn-ea"/>
                              <a:cs typeface="+mn-cs"/>
                            </a:rPr>
                            <m:t>∗(</m:t>
                          </m:r>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𝑦</m:t>
                              </m:r>
                            </m:e>
                            <m:sub>
                              <m:r>
                                <a:rPr lang="en-US" sz="2400" b="0" i="1">
                                  <a:solidFill>
                                    <a:schemeClr val="tx1"/>
                                  </a:solidFill>
                                  <a:effectLst/>
                                  <a:latin typeface="Cambria Math" panose="02040503050406030204" pitchFamily="18" charset="0"/>
                                  <a:ea typeface="+mn-ea"/>
                                  <a:cs typeface="+mn-cs"/>
                                </a:rPr>
                                <m:t>𝑖</m:t>
                              </m:r>
                            </m:sub>
                          </m:sSub>
                          <m:r>
                            <a:rPr lang="en-US" sz="2400" b="0" i="1">
                              <a:solidFill>
                                <a:schemeClr val="tx1"/>
                              </a:solidFill>
                              <a:effectLst/>
                              <a:latin typeface="Cambria Math" panose="02040503050406030204" pitchFamily="18" charset="0"/>
                              <a:ea typeface="+mn-ea"/>
                              <a:cs typeface="+mn-cs"/>
                            </a:rPr>
                            <m:t>−</m:t>
                          </m:r>
                          <m:r>
                            <a:rPr lang="en-US" sz="2400" b="0" i="1">
                              <a:solidFill>
                                <a:schemeClr val="tx1"/>
                              </a:solidFill>
                              <a:effectLst/>
                              <a:latin typeface="Cambria Math" panose="02040503050406030204" pitchFamily="18" charset="0"/>
                              <a:ea typeface="+mn-ea"/>
                              <a:cs typeface="+mn-cs"/>
                            </a:rPr>
                            <m:t>𝑌𝑏𝑎𝑟</m:t>
                          </m:r>
                          <m:r>
                            <a:rPr lang="en-US" sz="2400" b="0" i="1" baseline="-25000">
                              <a:solidFill>
                                <a:schemeClr val="tx1"/>
                              </a:solidFill>
                              <a:effectLst/>
                              <a:latin typeface="Cambria Math"/>
                              <a:ea typeface="+mn-ea"/>
                              <a:cs typeface="+mn-cs"/>
                            </a:rPr>
                            <m:t> </m:t>
                          </m:r>
                          <m:r>
                            <a:rPr lang="en-US" sz="2400" b="0" i="1">
                              <a:solidFill>
                                <a:schemeClr val="tx1"/>
                              </a:solidFill>
                              <a:effectLst/>
                              <a:latin typeface="Cambria Math"/>
                              <a:ea typeface="+mn-ea"/>
                              <a:cs typeface="+mn-cs"/>
                            </a:rPr>
                            <m:t>)</m:t>
                          </m:r>
                        </m:num>
                        <m:den>
                          <m:r>
                            <a:rPr lang="en-US" sz="2400" b="0" i="1">
                              <a:solidFill>
                                <a:schemeClr val="tx1"/>
                              </a:solidFill>
                              <a:effectLst/>
                              <a:latin typeface="Cambria Math"/>
                              <a:ea typeface="+mn-ea"/>
                              <a:cs typeface="+mn-cs"/>
                            </a:rPr>
                            <m:t>𝑛</m:t>
                          </m:r>
                          <m:r>
                            <a:rPr lang="en-US" sz="2400" b="0" i="1">
                              <a:solidFill>
                                <a:schemeClr val="tx1"/>
                              </a:solidFill>
                              <a:effectLst/>
                              <a:latin typeface="Cambria Math"/>
                              <a:ea typeface="+mn-ea"/>
                              <a:cs typeface="+mn-cs"/>
                            </a:rPr>
                            <m:t> −1</m:t>
                          </m:r>
                        </m:den>
                      </m:f>
                    </m:num>
                    <m:den>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𝑠</m:t>
                          </m:r>
                        </m:e>
                        <m:sub>
                          <m:r>
                            <a:rPr lang="en-US" sz="2400" b="0" i="1">
                              <a:solidFill>
                                <a:schemeClr val="tx1"/>
                              </a:solidFill>
                              <a:effectLst/>
                              <a:latin typeface="Cambria Math" panose="02040503050406030204" pitchFamily="18" charset="0"/>
                              <a:ea typeface="+mn-ea"/>
                              <a:cs typeface="+mn-cs"/>
                            </a:rPr>
                            <m:t>𝑥</m:t>
                          </m:r>
                        </m:sub>
                      </m:sSub>
                      <m:r>
                        <m:rPr>
                          <m:nor/>
                        </m:rPr>
                        <a:rPr lang="en-US" sz="2400" baseline="0">
                          <a:solidFill>
                            <a:schemeClr val="tx1"/>
                          </a:solidFill>
                          <a:effectLst/>
                          <a:latin typeface="+mn-lt"/>
                          <a:ea typeface="+mn-ea"/>
                          <a:cs typeface="+mn-cs"/>
                        </a:rPr>
                        <m:t>∗</m:t>
                      </m:r>
                      <m:sSub>
                        <m:sSubPr>
                          <m:ctrlPr>
                            <a:rPr lang="en-US" sz="2400" i="1" baseline="0">
                              <a:solidFill>
                                <a:schemeClr val="tx1"/>
                              </a:solidFill>
                              <a:effectLst/>
                              <a:latin typeface="Cambria Math" panose="02040503050406030204" pitchFamily="18" charset="0"/>
                              <a:ea typeface="+mn-ea"/>
                              <a:cs typeface="+mn-cs"/>
                            </a:rPr>
                          </m:ctrlPr>
                        </m:sSubPr>
                        <m:e>
                          <m:r>
                            <a:rPr lang="en-US" sz="2400" b="0" i="1" baseline="0">
                              <a:solidFill>
                                <a:schemeClr val="tx1"/>
                              </a:solidFill>
                              <a:effectLst/>
                              <a:latin typeface="Cambria Math" panose="02040503050406030204" pitchFamily="18" charset="0"/>
                              <a:ea typeface="+mn-ea"/>
                              <a:cs typeface="+mn-cs"/>
                            </a:rPr>
                            <m:t>𝑠</m:t>
                          </m:r>
                        </m:e>
                        <m:sub>
                          <m:r>
                            <a:rPr lang="en-US" sz="2400" b="0" i="1" baseline="0">
                              <a:solidFill>
                                <a:schemeClr val="tx1"/>
                              </a:solidFill>
                              <a:effectLst/>
                              <a:latin typeface="Cambria Math" panose="02040503050406030204" pitchFamily="18" charset="0"/>
                              <a:ea typeface="+mn-ea"/>
                              <a:cs typeface="+mn-cs"/>
                            </a:rPr>
                            <m:t>𝑦</m:t>
                          </m:r>
                        </m:sub>
                      </m:sSub>
                      <m:r>
                        <m:rPr>
                          <m:nor/>
                        </m:rPr>
                        <a:rPr lang="en-US" sz="2400">
                          <a:effectLst/>
                        </a:rPr>
                        <m:t> </m:t>
                      </m:r>
                    </m:den>
                  </m:f>
                </m:oMath>
              </a14:m>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Choice>
      <mc:Fallback xmlns="">
        <xdr:sp macro="" textlink="">
          <xdr:nvSpPr>
            <xdr:cNvPr id="16" name="TextBox 15"/>
            <xdr:cNvSpPr txBox="1"/>
          </xdr:nvSpPr>
          <xdr:spPr>
            <a:xfrm>
              <a:off x="10740567" y="3250619"/>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r>
                <a:rPr lang="en-US" sz="2400" i="0" baseline="0">
                  <a:solidFill>
                    <a:schemeClr val="tx1"/>
                  </a:solidFill>
                  <a:effectLst/>
                  <a:latin typeface="Cambria Math"/>
                  <a:ea typeface="+mn-ea"/>
                  <a:cs typeface="+mn-cs"/>
                </a:rPr>
                <a:t>(</a:t>
              </a:r>
              <a:r>
                <a:rPr lang="en-US" sz="2400" i="0" baseline="0">
                  <a:solidFill>
                    <a:schemeClr val="tx1"/>
                  </a:solidFill>
                  <a:effectLst/>
                  <a:latin typeface="+mn-lt"/>
                  <a:ea typeface="+mn-ea"/>
                  <a:cs typeface="+mn-cs"/>
                </a:rPr>
                <a:t>"</a:t>
              </a:r>
              <a:r>
                <a:rPr lang="en-US" sz="2400" i="0">
                  <a:solidFill>
                    <a:schemeClr val="tx1"/>
                  </a:solidFill>
                  <a:effectLst/>
                  <a:latin typeface="+mn-lt"/>
                  <a:ea typeface="+mn-ea"/>
                  <a:cs typeface="+mn-cs"/>
                </a:rPr>
                <a:t> </a:t>
              </a:r>
              <a:r>
                <a:rPr lang="en-US" sz="2400" i="0">
                  <a:solidFill>
                    <a:schemeClr val="tx1"/>
                  </a:solidFill>
                  <a:effectLst/>
                  <a:latin typeface="Cambria Math"/>
                  <a:ea typeface="+mn-ea"/>
                  <a:cs typeface="+mn-cs"/>
                </a:rPr>
                <a:t>" </a:t>
              </a:r>
              <a:r>
                <a:rPr lang="el-GR" sz="2400" i="0">
                  <a:solidFill>
                    <a:schemeClr val="tx1"/>
                  </a:solidFill>
                  <a:effectLst/>
                  <a:latin typeface="Cambria Math"/>
                  <a:ea typeface="+mn-ea"/>
                  <a:cs typeface="+mn-cs"/>
                </a:rPr>
                <a:t> </a:t>
              </a:r>
              <a:r>
                <a:rPr lang="en-US" sz="2400" i="0">
                  <a:solidFill>
                    <a:schemeClr val="tx1"/>
                  </a:solidFill>
                  <a:effectLst/>
                  <a:latin typeface="Cambria Math"/>
                  <a:ea typeface="+mn-ea"/>
                  <a:cs typeface="+mn-cs"/>
                </a:rPr>
                <a:t>(</a:t>
              </a:r>
              <a:r>
                <a:rPr lang="el-GR" sz="2400" i="0">
                  <a:solidFill>
                    <a:schemeClr val="tx1"/>
                  </a:solidFill>
                  <a:effectLst/>
                  <a:latin typeface="Cambria Math"/>
                  <a:ea typeface="+mn-ea"/>
                  <a:cs typeface="+mn-cs"/>
                </a:rPr>
                <a:t>Σ</a:t>
              </a:r>
              <a:r>
                <a:rPr lang="en-US" sz="2400" b="0" i="0">
                  <a:solidFill>
                    <a:schemeClr val="tx1"/>
                  </a:solidFill>
                  <a:effectLst/>
                  <a:latin typeface="Cambria Math"/>
                  <a:ea typeface="+mn-ea"/>
                  <a:cs typeface="+mn-cs"/>
                </a:rPr>
                <a:t>(𝑥</a:t>
              </a:r>
              <a:r>
                <a:rPr lang="en-US" sz="2400" b="0" i="0" baseline="-25000">
                  <a:solidFill>
                    <a:schemeClr val="tx1"/>
                  </a:solidFill>
                  <a:effectLst/>
                  <a:latin typeface="Cambria Math"/>
                  <a:ea typeface="+mn-ea"/>
                  <a:cs typeface="+mn-cs"/>
                </a:rPr>
                <a:t>𝑖</a:t>
              </a:r>
              <a:r>
                <a:rPr lang="en-US" sz="2400" b="0" i="0">
                  <a:solidFill>
                    <a:schemeClr val="tx1"/>
                  </a:solidFill>
                  <a:effectLst/>
                  <a:latin typeface="Cambria Math"/>
                  <a:ea typeface="+mn-ea"/>
                  <a:cs typeface="+mn-cs"/>
                </a:rPr>
                <a:t> −𝑋𝑏𝑎𝑟)∗(</a:t>
              </a:r>
              <a:r>
                <a:rPr lang="en-US" sz="2400" b="0" i="0">
                  <a:solidFill>
                    <a:schemeClr val="tx1"/>
                  </a:solidFill>
                  <a:effectLst/>
                  <a:latin typeface="Cambria Math" panose="02040503050406030204" pitchFamily="18" charset="0"/>
                  <a:ea typeface="+mn-ea"/>
                  <a:cs typeface="+mn-cs"/>
                </a:rPr>
                <a:t>𝑦</a:t>
              </a:r>
              <a:r>
                <a:rPr lang="en-US" sz="2400" b="0" i="0">
                  <a:solidFill>
                    <a:schemeClr val="tx1"/>
                  </a:solidFill>
                  <a:effectLst/>
                  <a:latin typeface="Cambria Math"/>
                  <a:ea typeface="+mn-ea"/>
                  <a:cs typeface="+mn-cs"/>
                </a:rPr>
                <a:t>_</a:t>
              </a:r>
              <a:r>
                <a:rPr lang="en-US" sz="2400" b="0" i="0">
                  <a:solidFill>
                    <a:schemeClr val="tx1"/>
                  </a:solidFill>
                  <a:effectLst/>
                  <a:latin typeface="Cambria Math" panose="02040503050406030204" pitchFamily="18" charset="0"/>
                  <a:ea typeface="+mn-ea"/>
                  <a:cs typeface="+mn-cs"/>
                </a:rPr>
                <a:t>𝑖−𝑌𝑏𝑎𝑟</a:t>
              </a:r>
              <a:r>
                <a:rPr lang="en-US" sz="2400" b="0" i="0" baseline="-25000">
                  <a:solidFill>
                    <a:schemeClr val="tx1"/>
                  </a:solidFill>
                  <a:effectLst/>
                  <a:latin typeface="Cambria Math"/>
                  <a:ea typeface="+mn-ea"/>
                  <a:cs typeface="+mn-cs"/>
                </a:rPr>
                <a:t> </a:t>
              </a:r>
              <a:r>
                <a:rPr lang="en-US" sz="2400" b="0" i="0">
                  <a:solidFill>
                    <a:schemeClr val="tx1"/>
                  </a:solidFill>
                  <a:effectLst/>
                  <a:latin typeface="Cambria Math"/>
                  <a:ea typeface="+mn-ea"/>
                  <a:cs typeface="+mn-cs"/>
                </a:rPr>
                <a:t>))/(𝑛 −1)</a:t>
              </a:r>
              <a:r>
                <a:rPr lang="en-US" sz="2400" b="0" i="0" baseline="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𝑠</a:t>
              </a:r>
              <a:r>
                <a:rPr lang="en-US" sz="2400" b="0" i="0">
                  <a:solidFill>
                    <a:schemeClr val="tx1"/>
                  </a:solidFill>
                  <a:effectLst/>
                  <a:latin typeface="Cambria Math"/>
                  <a:ea typeface="+mn-ea"/>
                  <a:cs typeface="+mn-cs"/>
                </a:rPr>
                <a:t>_</a:t>
              </a:r>
              <a:r>
                <a:rPr lang="en-US" sz="2400" b="0" i="0">
                  <a:solidFill>
                    <a:schemeClr val="tx1"/>
                  </a:solidFill>
                  <a:effectLst/>
                  <a:latin typeface="Cambria Math" panose="02040503050406030204" pitchFamily="18" charset="0"/>
                  <a:ea typeface="+mn-ea"/>
                  <a:cs typeface="+mn-cs"/>
                </a:rPr>
                <a:t>𝑥</a:t>
              </a:r>
              <a:r>
                <a:rPr lang="en-US" sz="2400" b="0" i="0" baseline="0">
                  <a:solidFill>
                    <a:schemeClr val="tx1"/>
                  </a:solidFill>
                  <a:effectLst/>
                  <a:latin typeface="+mn-lt"/>
                  <a:ea typeface="+mn-ea"/>
                  <a:cs typeface="+mn-cs"/>
                </a:rPr>
                <a:t> "</a:t>
              </a:r>
              <a:r>
                <a:rPr lang="en-US" sz="2400" i="0" baseline="0">
                  <a:solidFill>
                    <a:schemeClr val="tx1"/>
                  </a:solidFill>
                  <a:effectLst/>
                  <a:latin typeface="+mn-lt"/>
                  <a:ea typeface="+mn-ea"/>
                  <a:cs typeface="+mn-cs"/>
                </a:rPr>
                <a:t>∗</a:t>
              </a:r>
              <a:r>
                <a:rPr lang="en-US" sz="2400" i="0" baseline="0">
                  <a:solidFill>
                    <a:schemeClr val="tx1"/>
                  </a:solidFill>
                  <a:effectLst/>
                  <a:latin typeface="Cambria Math"/>
                  <a:ea typeface="+mn-ea"/>
                  <a:cs typeface="+mn-cs"/>
                </a:rPr>
                <a:t>" </a:t>
              </a:r>
              <a:r>
                <a:rPr lang="en-US" sz="2400" b="0" i="0" baseline="0">
                  <a:solidFill>
                    <a:schemeClr val="tx1"/>
                  </a:solidFill>
                  <a:effectLst/>
                  <a:latin typeface="Cambria Math" panose="02040503050406030204" pitchFamily="18" charset="0"/>
                  <a:ea typeface="+mn-ea"/>
                  <a:cs typeface="+mn-cs"/>
                </a:rPr>
                <a:t>𝑠</a:t>
              </a:r>
              <a:r>
                <a:rPr lang="en-US" sz="2400" b="0" i="0" baseline="0">
                  <a:solidFill>
                    <a:schemeClr val="tx1"/>
                  </a:solidFill>
                  <a:effectLst/>
                  <a:latin typeface="Cambria Math"/>
                  <a:ea typeface="+mn-ea"/>
                  <a:cs typeface="+mn-cs"/>
                </a:rPr>
                <a:t>_</a:t>
              </a:r>
              <a:r>
                <a:rPr lang="en-US" sz="2400" b="0" i="0" baseline="0">
                  <a:solidFill>
                    <a:schemeClr val="tx1"/>
                  </a:solidFill>
                  <a:effectLst/>
                  <a:latin typeface="Cambria Math" panose="02040503050406030204" pitchFamily="18" charset="0"/>
                  <a:ea typeface="+mn-ea"/>
                  <a:cs typeface="+mn-cs"/>
                </a:rPr>
                <a:t>𝑦 "</a:t>
              </a:r>
              <a:r>
                <a:rPr lang="en-US" sz="2400" i="0">
                  <a:effectLst/>
                </a:rPr>
                <a:t> </a:t>
              </a:r>
              <a:r>
                <a:rPr lang="en-US" sz="2400" i="0">
                  <a:effectLst/>
                  <a:latin typeface="Cambria Math"/>
                </a:rPr>
                <a:t>" </a:t>
              </a:r>
              <a:r>
                <a:rPr lang="en-US" sz="2400" i="0" baseline="0">
                  <a:solidFill>
                    <a:schemeClr val="tx1"/>
                  </a:solidFill>
                  <a:effectLst/>
                  <a:latin typeface="Cambria Math"/>
                  <a:ea typeface="+mn-ea"/>
                  <a:cs typeface="+mn-cs"/>
                </a:rPr>
                <a:t>)</a:t>
              </a:r>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Fallback>
    </mc:AlternateContent>
    <xdr:clientData/>
  </xdr:oneCellAnchor>
  <xdr:oneCellAnchor>
    <xdr:from>
      <xdr:col>9</xdr:col>
      <xdr:colOff>367797</xdr:colOff>
      <xdr:row>0</xdr:row>
      <xdr:rowOff>31416</xdr:rowOff>
    </xdr:from>
    <xdr:ext cx="4112559" cy="1390650"/>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4F00-000012000000}"/>
                </a:ext>
              </a:extLst>
            </xdr:cNvPr>
            <xdr:cNvSpPr txBox="1"/>
          </xdr:nvSpPr>
          <xdr:spPr>
            <a:xfrm>
              <a:off x="9706438"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14:m>
                <m:oMath xmlns:m="http://schemas.openxmlformats.org/officeDocument/2006/math">
                  <m:f>
                    <m:fPr>
                      <m:ctrlPr>
                        <a:rPr lang="en-US" sz="2400" i="1">
                          <a:latin typeface="Cambria Math" panose="02040503050406030204" pitchFamily="18" charset="0"/>
                        </a:rPr>
                      </m:ctrlPr>
                    </m:fPr>
                    <m:num>
                      <m:r>
                        <m:rPr>
                          <m:sty m:val="p"/>
                        </m:rPr>
                        <a:rPr lang="el-GR" sz="2400" i="1">
                          <a:latin typeface="Cambria Math"/>
                          <a:ea typeface="Cambria Math"/>
                        </a:rPr>
                        <m:t>Σ</m:t>
                      </m:r>
                      <m:d>
                        <m:dPr>
                          <m:ctrlPr>
                            <a:rPr lang="en-US" sz="2400" b="0" i="1">
                              <a:latin typeface="Cambria Math" panose="02040503050406030204" pitchFamily="18" charset="0"/>
                              <a:ea typeface="Cambria Math"/>
                            </a:rPr>
                          </m:ctrlPr>
                        </m:dPr>
                        <m:e>
                          <m:r>
                            <a:rPr lang="en-US" sz="2400" b="0" i="1">
                              <a:latin typeface="Cambria Math"/>
                              <a:ea typeface="Cambria Math"/>
                            </a:rPr>
                            <m:t>𝑥</m:t>
                          </m:r>
                          <m:r>
                            <a:rPr lang="en-US" sz="2400" b="0" i="1" baseline="-25000">
                              <a:latin typeface="Cambria Math"/>
                              <a:ea typeface="Cambria Math"/>
                            </a:rPr>
                            <m:t>𝑖</m:t>
                          </m:r>
                          <m:r>
                            <a:rPr lang="en-US" sz="2400" b="0" i="1">
                              <a:latin typeface="Cambria Math"/>
                              <a:ea typeface="Cambria Math"/>
                            </a:rPr>
                            <m:t> −</m:t>
                          </m:r>
                          <m:r>
                            <a:rPr lang="en-US" sz="2400" b="0" i="1">
                              <a:latin typeface="Cambria Math"/>
                              <a:ea typeface="Cambria Math"/>
                            </a:rPr>
                            <m:t>𝑋𝑏𝑎𝑟</m:t>
                          </m:r>
                        </m:e>
                      </m:d>
                      <m:r>
                        <a:rPr lang="en-US" sz="2400" b="0" i="1">
                          <a:latin typeface="Cambria Math"/>
                          <a:ea typeface="Cambria Math"/>
                        </a:rPr>
                        <m:t>∗(</m:t>
                      </m:r>
                      <m:sSub>
                        <m:sSubPr>
                          <m:ctrlPr>
                            <a:rPr lang="en-US" sz="2400" b="0" i="1">
                              <a:latin typeface="Cambria Math" panose="02040503050406030204" pitchFamily="18" charset="0"/>
                              <a:ea typeface="Cambria Math"/>
                            </a:rPr>
                          </m:ctrlPr>
                        </m:sSubPr>
                        <m:e>
                          <m:r>
                            <a:rPr lang="en-US" sz="2400" b="0" i="1">
                              <a:latin typeface="Cambria Math" panose="02040503050406030204" pitchFamily="18" charset="0"/>
                              <a:ea typeface="Cambria Math"/>
                            </a:rPr>
                            <m:t>𝑦</m:t>
                          </m:r>
                        </m:e>
                        <m:sub>
                          <m:r>
                            <a:rPr lang="en-US" sz="2400" b="0" i="1">
                              <a:latin typeface="Cambria Math" panose="02040503050406030204" pitchFamily="18" charset="0"/>
                              <a:ea typeface="Cambria Math"/>
                            </a:rPr>
                            <m:t>𝑖</m:t>
                          </m:r>
                        </m:sub>
                      </m:sSub>
                      <m:r>
                        <a:rPr lang="en-US" sz="2400" b="0" i="1">
                          <a:latin typeface="Cambria Math"/>
                          <a:ea typeface="Cambria Math"/>
                        </a:rPr>
                        <m:t> −</m:t>
                      </m:r>
                      <m:r>
                        <a:rPr lang="en-US" sz="2400" b="0" i="1">
                          <a:latin typeface="Cambria Math"/>
                          <a:ea typeface="Cambria Math"/>
                        </a:rPr>
                        <m:t>𝑌𝑏𝑎𝑟</m:t>
                      </m:r>
                      <m:r>
                        <a:rPr lang="en-US" sz="2400" b="0" i="1">
                          <a:latin typeface="Cambria Math"/>
                          <a:ea typeface="Cambria Math"/>
                        </a:rPr>
                        <m:t>)</m:t>
                      </m:r>
                    </m:num>
                    <m:den>
                      <m:r>
                        <a:rPr lang="en-US" sz="2400" b="0" i="1">
                          <a:latin typeface="Cambria Math"/>
                        </a:rPr>
                        <m:t>𝑛</m:t>
                      </m:r>
                      <m:r>
                        <a:rPr lang="en-US" sz="2400" b="0" i="1">
                          <a:latin typeface="Cambria Math"/>
                        </a:rPr>
                        <m:t> −1</m:t>
                      </m:r>
                    </m:den>
                  </m:f>
                </m:oMath>
              </a14:m>
              <a:endParaRPr lang="en-US" sz="2400" baseline="-25000">
                <a:solidFill>
                  <a:schemeClr val="tx1"/>
                </a:solidFill>
                <a:effectLst/>
                <a:latin typeface="+mn-lt"/>
                <a:ea typeface="+mn-ea"/>
                <a:cs typeface="+mn-cs"/>
              </a:endParaRPr>
            </a:p>
          </xdr:txBody>
        </xdr:sp>
      </mc:Choice>
      <mc:Fallback xmlns="">
        <xdr:sp macro="" textlink="">
          <xdr:nvSpPr>
            <xdr:cNvPr id="18" name="TextBox 17"/>
            <xdr:cNvSpPr txBox="1"/>
          </xdr:nvSpPr>
          <xdr:spPr>
            <a:xfrm>
              <a:off x="9706438"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r>
                <a:rPr lang="en-US" sz="2400" i="0">
                  <a:latin typeface="Cambria Math"/>
                </a:rPr>
                <a:t>(</a:t>
              </a:r>
              <a:r>
                <a:rPr lang="el-GR" sz="2400" i="0">
                  <a:latin typeface="Cambria Math"/>
                  <a:ea typeface="Cambria Math"/>
                </a:rPr>
                <a:t>Σ</a:t>
              </a:r>
              <a:r>
                <a:rPr lang="en-US" sz="2400" b="0" i="0">
                  <a:latin typeface="Cambria Math"/>
                  <a:ea typeface="Cambria Math"/>
                </a:rPr>
                <a:t>(𝑥</a:t>
              </a:r>
              <a:r>
                <a:rPr lang="en-US" sz="2400" b="0" i="0" baseline="-25000">
                  <a:latin typeface="Cambria Math"/>
                  <a:ea typeface="Cambria Math"/>
                </a:rPr>
                <a:t>𝑖</a:t>
              </a:r>
              <a:r>
                <a:rPr lang="en-US" sz="2400" b="0" i="0">
                  <a:latin typeface="Cambria Math"/>
                  <a:ea typeface="Cambria Math"/>
                </a:rPr>
                <a:t> −𝑋𝑏𝑎𝑟)∗(</a:t>
              </a:r>
              <a:r>
                <a:rPr lang="en-US" sz="2400" b="0" i="0">
                  <a:latin typeface="Cambria Math" panose="02040503050406030204" pitchFamily="18" charset="0"/>
                  <a:ea typeface="Cambria Math"/>
                </a:rPr>
                <a:t>𝑦</a:t>
              </a:r>
              <a:r>
                <a:rPr lang="en-US" sz="2400" b="0" i="0">
                  <a:latin typeface="Cambria Math"/>
                  <a:ea typeface="Cambria Math"/>
                </a:rPr>
                <a:t>_</a:t>
              </a:r>
              <a:r>
                <a:rPr lang="en-US" sz="2400" b="0" i="0">
                  <a:latin typeface="Cambria Math" panose="02040503050406030204" pitchFamily="18" charset="0"/>
                  <a:ea typeface="Cambria Math"/>
                </a:rPr>
                <a:t>𝑖</a:t>
              </a:r>
              <a:r>
                <a:rPr lang="en-US" sz="2400" b="0" i="0">
                  <a:latin typeface="Cambria Math"/>
                  <a:ea typeface="Cambria Math"/>
                </a:rPr>
                <a:t>  −𝑌𝑏𝑎𝑟))/(</a:t>
              </a:r>
              <a:r>
                <a:rPr lang="en-US" sz="2400" b="0" i="0">
                  <a:latin typeface="Cambria Math"/>
                </a:rPr>
                <a:t>𝑛 −1)</a:t>
              </a:r>
              <a:endParaRPr lang="en-US" sz="2400" baseline="-25000">
                <a:solidFill>
                  <a:schemeClr val="tx1"/>
                </a:solidFill>
                <a:effectLst/>
                <a:latin typeface="+mn-lt"/>
                <a:ea typeface="+mn-ea"/>
                <a:cs typeface="+mn-cs"/>
              </a:endParaRPr>
            </a:p>
          </xdr:txBody>
        </xdr:sp>
      </mc:Fallback>
    </mc:AlternateContent>
    <xdr:clientData/>
  </xdr:oneCellAnchor>
  <xdr:twoCellAnchor>
    <xdr:from>
      <xdr:col>3</xdr:col>
      <xdr:colOff>215348</xdr:colOff>
      <xdr:row>48</xdr:row>
      <xdr:rowOff>53533</xdr:rowOff>
    </xdr:from>
    <xdr:to>
      <xdr:col>7</xdr:col>
      <xdr:colOff>807948</xdr:colOff>
      <xdr:row>62</xdr:row>
      <xdr:rowOff>129733</xdr:rowOff>
    </xdr:to>
    <xdr:graphicFrame macro="">
      <xdr:nvGraphicFramePr>
        <xdr:cNvPr id="7" name="Chart 6">
          <a:extLst>
            <a:ext uri="{FF2B5EF4-FFF2-40B4-BE49-F238E27FC236}">
              <a16:creationId xmlns:a16="http://schemas.microsoft.com/office/drawing/2014/main" id="{00000000-0008-0000-4F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99390</xdr:colOff>
      <xdr:row>22</xdr:row>
      <xdr:rowOff>57979</xdr:rowOff>
    </xdr:from>
    <xdr:to>
      <xdr:col>12</xdr:col>
      <xdr:colOff>248477</xdr:colOff>
      <xdr:row>35</xdr:row>
      <xdr:rowOff>19196</xdr:rowOff>
    </xdr:to>
    <xdr:graphicFrame macro="">
      <xdr:nvGraphicFramePr>
        <xdr:cNvPr id="8" name="Chart 7">
          <a:extLst>
            <a:ext uri="{FF2B5EF4-FFF2-40B4-BE49-F238E27FC236}">
              <a16:creationId xmlns:a16="http://schemas.microsoft.com/office/drawing/2014/main" id="{00000000-0008-0000-4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71</xdr:row>
      <xdr:rowOff>0</xdr:rowOff>
    </xdr:from>
    <xdr:to>
      <xdr:col>8</xdr:col>
      <xdr:colOff>270664</xdr:colOff>
      <xdr:row>84</xdr:row>
      <xdr:rowOff>76200</xdr:rowOff>
    </xdr:to>
    <xdr:graphicFrame macro="">
      <xdr:nvGraphicFramePr>
        <xdr:cNvPr id="9" name="Chart 8">
          <a:extLst>
            <a:ext uri="{FF2B5EF4-FFF2-40B4-BE49-F238E27FC236}">
              <a16:creationId xmlns:a16="http://schemas.microsoft.com/office/drawing/2014/main" id="{00000000-0008-0000-4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92</xdr:row>
      <xdr:rowOff>0</xdr:rowOff>
    </xdr:from>
    <xdr:to>
      <xdr:col>9</xdr:col>
      <xdr:colOff>290060</xdr:colOff>
      <xdr:row>106</xdr:row>
      <xdr:rowOff>76200</xdr:rowOff>
    </xdr:to>
    <xdr:graphicFrame macro="">
      <xdr:nvGraphicFramePr>
        <xdr:cNvPr id="10" name="Chart 9">
          <a:extLst>
            <a:ext uri="{FF2B5EF4-FFF2-40B4-BE49-F238E27FC236}">
              <a16:creationId xmlns:a16="http://schemas.microsoft.com/office/drawing/2014/main" id="{00000000-0008-0000-4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191782</xdr:colOff>
      <xdr:row>450</xdr:row>
      <xdr:rowOff>9169</xdr:rowOff>
    </xdr:from>
    <xdr:to>
      <xdr:col>5</xdr:col>
      <xdr:colOff>995042</xdr:colOff>
      <xdr:row>461</xdr:row>
      <xdr:rowOff>155865</xdr:rowOff>
    </xdr:to>
    <xdr:graphicFrame macro="">
      <xdr:nvGraphicFramePr>
        <xdr:cNvPr id="15" name="Chart 14">
          <a:extLst>
            <a:ext uri="{FF2B5EF4-FFF2-40B4-BE49-F238E27FC236}">
              <a16:creationId xmlns:a16="http://schemas.microsoft.com/office/drawing/2014/main" id="{00000000-0008-0000-4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267479</xdr:colOff>
      <xdr:row>463</xdr:row>
      <xdr:rowOff>72473</xdr:rowOff>
    </xdr:from>
    <xdr:to>
      <xdr:col>5</xdr:col>
      <xdr:colOff>652255</xdr:colOff>
      <xdr:row>474</xdr:row>
      <xdr:rowOff>55289</xdr:rowOff>
    </xdr:to>
    <xdr:graphicFrame macro="">
      <xdr:nvGraphicFramePr>
        <xdr:cNvPr id="19" name="Chart 18">
          <a:extLst>
            <a:ext uri="{FF2B5EF4-FFF2-40B4-BE49-F238E27FC236}">
              <a16:creationId xmlns:a16="http://schemas.microsoft.com/office/drawing/2014/main" id="{00000000-0008-0000-4F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11</xdr:col>
      <xdr:colOff>414337</xdr:colOff>
      <xdr:row>8</xdr:row>
      <xdr:rowOff>152400</xdr:rowOff>
    </xdr:from>
    <xdr:ext cx="65" cy="172227"/>
    <xdr:sp macro="" textlink="">
      <xdr:nvSpPr>
        <xdr:cNvPr id="11" name="TextBox 10">
          <a:extLst>
            <a:ext uri="{FF2B5EF4-FFF2-40B4-BE49-F238E27FC236}">
              <a16:creationId xmlns:a16="http://schemas.microsoft.com/office/drawing/2014/main" id="{00000000-0008-0000-4F00-00000B000000}"/>
            </a:ext>
          </a:extLst>
        </xdr:cNvPr>
        <xdr:cNvSpPr txBox="1"/>
      </xdr:nvSpPr>
      <xdr:spPr>
        <a:xfrm>
          <a:off x="7148512" y="26193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2" name="TextBox 11">
          <a:extLst>
            <a:ext uri="{FF2B5EF4-FFF2-40B4-BE49-F238E27FC236}">
              <a16:creationId xmlns:a16="http://schemas.microsoft.com/office/drawing/2014/main" id="{00000000-0008-0000-4F00-00000C000000}"/>
            </a:ext>
          </a:extLst>
        </xdr:cNvPr>
        <xdr:cNvSpPr txBox="1"/>
      </xdr:nvSpPr>
      <xdr:spPr>
        <a:xfrm>
          <a:off x="10447475" y="172609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3" name="TextBox 12">
          <a:extLst>
            <a:ext uri="{FF2B5EF4-FFF2-40B4-BE49-F238E27FC236}">
              <a16:creationId xmlns:a16="http://schemas.microsoft.com/office/drawing/2014/main" id="{00000000-0008-0000-4F00-00000D000000}"/>
            </a:ext>
          </a:extLst>
        </xdr:cNvPr>
        <xdr:cNvSpPr txBox="1"/>
      </xdr:nvSpPr>
      <xdr:spPr>
        <a:xfrm>
          <a:off x="10447475" y="172609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drawings/drawing61.xml><?xml version="1.0" encoding="utf-8"?>
<xdr:wsDr xmlns:xdr="http://schemas.openxmlformats.org/drawingml/2006/spreadsheetDrawing" xmlns:a="http://schemas.openxmlformats.org/drawingml/2006/main">
  <xdr:oneCellAnchor>
    <xdr:from>
      <xdr:col>12</xdr:col>
      <xdr:colOff>294127</xdr:colOff>
      <xdr:row>16</xdr:row>
      <xdr:rowOff>186054</xdr:rowOff>
    </xdr:from>
    <xdr:ext cx="3267395" cy="2091663"/>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5000-000002000000}"/>
                </a:ext>
              </a:extLst>
            </xdr:cNvPr>
            <xdr:cNvSpPr txBox="1"/>
          </xdr:nvSpPr>
          <xdr:spPr>
            <a:xfrm>
              <a:off x="10714477" y="3500754"/>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14:m>
                <m:oMath xmlns:m="http://schemas.openxmlformats.org/officeDocument/2006/math">
                  <m:f>
                    <m:fPr>
                      <m:ctrlPr>
                        <a:rPr lang="en-US" sz="2400" i="1" baseline="0">
                          <a:solidFill>
                            <a:schemeClr val="tx1"/>
                          </a:solidFill>
                          <a:effectLst/>
                          <a:latin typeface="Cambria Math" panose="02040503050406030204" pitchFamily="18" charset="0"/>
                          <a:ea typeface="+mn-ea"/>
                          <a:cs typeface="+mn-cs"/>
                        </a:rPr>
                      </m:ctrlPr>
                    </m:fPr>
                    <m:num>
                      <m:r>
                        <m:rPr>
                          <m:nor/>
                        </m:rPr>
                        <a:rPr lang="en-US" sz="2400">
                          <a:solidFill>
                            <a:schemeClr val="tx1"/>
                          </a:solidFill>
                          <a:effectLst/>
                          <a:latin typeface="+mn-lt"/>
                          <a:ea typeface="+mn-ea"/>
                          <a:cs typeface="+mn-cs"/>
                        </a:rPr>
                        <m:t> </m:t>
                      </m:r>
                      <m:f>
                        <m:fPr>
                          <m:ctrlPr>
                            <a:rPr lang="en-US" sz="2400" i="1">
                              <a:solidFill>
                                <a:schemeClr val="tx1"/>
                              </a:solidFill>
                              <a:effectLst/>
                              <a:latin typeface="Cambria Math" panose="02040503050406030204" pitchFamily="18" charset="0"/>
                              <a:ea typeface="+mn-ea"/>
                              <a:cs typeface="+mn-cs"/>
                            </a:rPr>
                          </m:ctrlPr>
                        </m:fPr>
                        <m:num>
                          <m:r>
                            <m:rPr>
                              <m:sty m:val="p"/>
                            </m:rPr>
                            <a:rPr lang="el-GR" sz="2400" i="1">
                              <a:solidFill>
                                <a:schemeClr val="tx1"/>
                              </a:solidFill>
                              <a:effectLst/>
                              <a:latin typeface="Cambria Math"/>
                              <a:ea typeface="+mn-ea"/>
                              <a:cs typeface="+mn-cs"/>
                            </a:rPr>
                            <m:t>Σ</m:t>
                          </m:r>
                          <m:d>
                            <m:dPr>
                              <m:ctrlPr>
                                <a:rPr lang="en-US" sz="2400" b="0" i="1">
                                  <a:solidFill>
                                    <a:schemeClr val="tx1"/>
                                  </a:solidFill>
                                  <a:effectLst/>
                                  <a:latin typeface="Cambria Math" panose="02040503050406030204" pitchFamily="18" charset="0"/>
                                  <a:ea typeface="+mn-ea"/>
                                  <a:cs typeface="+mn-cs"/>
                                </a:rPr>
                              </m:ctrlPr>
                            </m:dPr>
                            <m:e>
                              <m:r>
                                <a:rPr lang="en-US" sz="2400" b="0" i="1">
                                  <a:solidFill>
                                    <a:schemeClr val="tx1"/>
                                  </a:solidFill>
                                  <a:effectLst/>
                                  <a:latin typeface="Cambria Math"/>
                                  <a:ea typeface="+mn-ea"/>
                                  <a:cs typeface="+mn-cs"/>
                                </a:rPr>
                                <m:t>𝑥</m:t>
                              </m:r>
                              <m:r>
                                <a:rPr lang="en-US" sz="2400" b="0" i="1" baseline="-25000">
                                  <a:solidFill>
                                    <a:schemeClr val="tx1"/>
                                  </a:solidFill>
                                  <a:effectLst/>
                                  <a:latin typeface="Cambria Math"/>
                                  <a:ea typeface="+mn-ea"/>
                                  <a:cs typeface="+mn-cs"/>
                                </a:rPr>
                                <m:t>𝑖</m:t>
                              </m:r>
                              <m:r>
                                <a:rPr lang="en-US" sz="2400" b="0" i="1">
                                  <a:solidFill>
                                    <a:schemeClr val="tx1"/>
                                  </a:solidFill>
                                  <a:effectLst/>
                                  <a:latin typeface="Cambria Math"/>
                                  <a:ea typeface="+mn-ea"/>
                                  <a:cs typeface="+mn-cs"/>
                                </a:rPr>
                                <m:t> −</m:t>
                              </m:r>
                              <m:r>
                                <a:rPr lang="en-US" sz="2400" b="0" i="1">
                                  <a:solidFill>
                                    <a:schemeClr val="tx1"/>
                                  </a:solidFill>
                                  <a:effectLst/>
                                  <a:latin typeface="Cambria Math"/>
                                  <a:ea typeface="+mn-ea"/>
                                  <a:cs typeface="+mn-cs"/>
                                </a:rPr>
                                <m:t>𝑋𝑏𝑎𝑟</m:t>
                              </m:r>
                            </m:e>
                          </m:d>
                          <m:r>
                            <a:rPr lang="en-US" sz="2400" b="0" i="1">
                              <a:solidFill>
                                <a:schemeClr val="tx1"/>
                              </a:solidFill>
                              <a:effectLst/>
                              <a:latin typeface="Cambria Math"/>
                              <a:ea typeface="+mn-ea"/>
                              <a:cs typeface="+mn-cs"/>
                            </a:rPr>
                            <m:t>∗(</m:t>
                          </m:r>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𝑦</m:t>
                              </m:r>
                            </m:e>
                            <m:sub>
                              <m:r>
                                <a:rPr lang="en-US" sz="2400" b="0" i="1">
                                  <a:solidFill>
                                    <a:schemeClr val="tx1"/>
                                  </a:solidFill>
                                  <a:effectLst/>
                                  <a:latin typeface="Cambria Math" panose="02040503050406030204" pitchFamily="18" charset="0"/>
                                  <a:ea typeface="+mn-ea"/>
                                  <a:cs typeface="+mn-cs"/>
                                </a:rPr>
                                <m:t>𝑖</m:t>
                              </m:r>
                            </m:sub>
                          </m:sSub>
                          <m:r>
                            <a:rPr lang="en-US" sz="2400" b="0" i="1">
                              <a:solidFill>
                                <a:schemeClr val="tx1"/>
                              </a:solidFill>
                              <a:effectLst/>
                              <a:latin typeface="Cambria Math" panose="02040503050406030204" pitchFamily="18" charset="0"/>
                              <a:ea typeface="+mn-ea"/>
                              <a:cs typeface="+mn-cs"/>
                            </a:rPr>
                            <m:t>−</m:t>
                          </m:r>
                          <m:r>
                            <a:rPr lang="en-US" sz="2400" b="0" i="1">
                              <a:solidFill>
                                <a:schemeClr val="tx1"/>
                              </a:solidFill>
                              <a:effectLst/>
                              <a:latin typeface="Cambria Math" panose="02040503050406030204" pitchFamily="18" charset="0"/>
                              <a:ea typeface="+mn-ea"/>
                              <a:cs typeface="+mn-cs"/>
                            </a:rPr>
                            <m:t>𝑌𝑏𝑎𝑟</m:t>
                          </m:r>
                          <m:r>
                            <a:rPr lang="en-US" sz="2400" b="0" i="1" baseline="-25000">
                              <a:solidFill>
                                <a:schemeClr val="tx1"/>
                              </a:solidFill>
                              <a:effectLst/>
                              <a:latin typeface="Cambria Math"/>
                              <a:ea typeface="+mn-ea"/>
                              <a:cs typeface="+mn-cs"/>
                            </a:rPr>
                            <m:t> </m:t>
                          </m:r>
                          <m:r>
                            <a:rPr lang="en-US" sz="2400" b="0" i="1">
                              <a:solidFill>
                                <a:schemeClr val="tx1"/>
                              </a:solidFill>
                              <a:effectLst/>
                              <a:latin typeface="Cambria Math"/>
                              <a:ea typeface="+mn-ea"/>
                              <a:cs typeface="+mn-cs"/>
                            </a:rPr>
                            <m:t>)</m:t>
                          </m:r>
                        </m:num>
                        <m:den>
                          <m:r>
                            <a:rPr lang="en-US" sz="2400" b="0" i="1">
                              <a:solidFill>
                                <a:schemeClr val="tx1"/>
                              </a:solidFill>
                              <a:effectLst/>
                              <a:latin typeface="Cambria Math"/>
                              <a:ea typeface="+mn-ea"/>
                              <a:cs typeface="+mn-cs"/>
                            </a:rPr>
                            <m:t>𝑛</m:t>
                          </m:r>
                          <m:r>
                            <a:rPr lang="en-US" sz="2400" b="0" i="1">
                              <a:solidFill>
                                <a:schemeClr val="tx1"/>
                              </a:solidFill>
                              <a:effectLst/>
                              <a:latin typeface="Cambria Math"/>
                              <a:ea typeface="+mn-ea"/>
                              <a:cs typeface="+mn-cs"/>
                            </a:rPr>
                            <m:t> −1</m:t>
                          </m:r>
                        </m:den>
                      </m:f>
                    </m:num>
                    <m:den>
                      <m:sSub>
                        <m:sSubPr>
                          <m:ctrlPr>
                            <a:rPr lang="en-US" sz="2400" b="0" i="1">
                              <a:solidFill>
                                <a:schemeClr val="tx1"/>
                              </a:solidFill>
                              <a:effectLst/>
                              <a:latin typeface="Cambria Math" panose="02040503050406030204" pitchFamily="18" charset="0"/>
                              <a:ea typeface="+mn-ea"/>
                              <a:cs typeface="+mn-cs"/>
                            </a:rPr>
                          </m:ctrlPr>
                        </m:sSubPr>
                        <m:e>
                          <m:r>
                            <a:rPr lang="en-US" sz="2400" b="0" i="1">
                              <a:solidFill>
                                <a:schemeClr val="tx1"/>
                              </a:solidFill>
                              <a:effectLst/>
                              <a:latin typeface="Cambria Math" panose="02040503050406030204" pitchFamily="18" charset="0"/>
                              <a:ea typeface="+mn-ea"/>
                              <a:cs typeface="+mn-cs"/>
                            </a:rPr>
                            <m:t>𝑠</m:t>
                          </m:r>
                        </m:e>
                        <m:sub>
                          <m:r>
                            <a:rPr lang="en-US" sz="2400" b="0" i="1">
                              <a:solidFill>
                                <a:schemeClr val="tx1"/>
                              </a:solidFill>
                              <a:effectLst/>
                              <a:latin typeface="Cambria Math" panose="02040503050406030204" pitchFamily="18" charset="0"/>
                              <a:ea typeface="+mn-ea"/>
                              <a:cs typeface="+mn-cs"/>
                            </a:rPr>
                            <m:t>𝑥</m:t>
                          </m:r>
                        </m:sub>
                      </m:sSub>
                      <m:r>
                        <m:rPr>
                          <m:nor/>
                        </m:rPr>
                        <a:rPr lang="en-US" sz="2400" baseline="0">
                          <a:solidFill>
                            <a:schemeClr val="tx1"/>
                          </a:solidFill>
                          <a:effectLst/>
                          <a:latin typeface="+mn-lt"/>
                          <a:ea typeface="+mn-ea"/>
                          <a:cs typeface="+mn-cs"/>
                        </a:rPr>
                        <m:t>∗</m:t>
                      </m:r>
                      <m:sSub>
                        <m:sSubPr>
                          <m:ctrlPr>
                            <a:rPr lang="en-US" sz="2400" i="1" baseline="0">
                              <a:solidFill>
                                <a:schemeClr val="tx1"/>
                              </a:solidFill>
                              <a:effectLst/>
                              <a:latin typeface="Cambria Math" panose="02040503050406030204" pitchFamily="18" charset="0"/>
                              <a:ea typeface="+mn-ea"/>
                              <a:cs typeface="+mn-cs"/>
                            </a:rPr>
                          </m:ctrlPr>
                        </m:sSubPr>
                        <m:e>
                          <m:r>
                            <a:rPr lang="en-US" sz="2400" b="0" i="1" baseline="0">
                              <a:solidFill>
                                <a:schemeClr val="tx1"/>
                              </a:solidFill>
                              <a:effectLst/>
                              <a:latin typeface="Cambria Math" panose="02040503050406030204" pitchFamily="18" charset="0"/>
                              <a:ea typeface="+mn-ea"/>
                              <a:cs typeface="+mn-cs"/>
                            </a:rPr>
                            <m:t>𝑠</m:t>
                          </m:r>
                        </m:e>
                        <m:sub>
                          <m:r>
                            <a:rPr lang="en-US" sz="2400" b="0" i="1" baseline="0">
                              <a:solidFill>
                                <a:schemeClr val="tx1"/>
                              </a:solidFill>
                              <a:effectLst/>
                              <a:latin typeface="Cambria Math" panose="02040503050406030204" pitchFamily="18" charset="0"/>
                              <a:ea typeface="+mn-ea"/>
                              <a:cs typeface="+mn-cs"/>
                            </a:rPr>
                            <m:t>𝑦</m:t>
                          </m:r>
                        </m:sub>
                      </m:sSub>
                      <m:r>
                        <m:rPr>
                          <m:nor/>
                        </m:rPr>
                        <a:rPr lang="en-US" sz="2400">
                          <a:effectLst/>
                        </a:rPr>
                        <m:t> </m:t>
                      </m:r>
                    </m:den>
                  </m:f>
                </m:oMath>
              </a14:m>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Choice>
      <mc:Fallback xmlns="">
        <xdr:sp macro="" textlink="">
          <xdr:nvSpPr>
            <xdr:cNvPr id="2" name="TextBox 1"/>
            <xdr:cNvSpPr txBox="1"/>
          </xdr:nvSpPr>
          <xdr:spPr>
            <a:xfrm>
              <a:off x="10714477" y="3500754"/>
              <a:ext cx="3267395" cy="209166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tx1"/>
                  </a:solidFill>
                  <a:effectLst/>
                  <a:latin typeface="+mn-lt"/>
                  <a:ea typeface="+mn-ea"/>
                  <a:cs typeface="+mn-cs"/>
                </a:rPr>
                <a:t>Coefficient of Correlation = Measures Strength and Direction Of Liner Relationship. Does Not Have  A Problem With Units. Used for Linear Relationship only.</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2400" baseline="0">
                  <a:solidFill>
                    <a:schemeClr val="tx1"/>
                  </a:solidFill>
                  <a:effectLst/>
                  <a:latin typeface="+mn-lt"/>
                  <a:ea typeface="+mn-ea"/>
                  <a:cs typeface="+mn-cs"/>
                </a:rPr>
                <a:t>r</a:t>
              </a:r>
              <a:r>
                <a:rPr lang="en-US" sz="2400" baseline="-25000">
                  <a:solidFill>
                    <a:schemeClr val="tx1"/>
                  </a:solidFill>
                  <a:effectLst/>
                  <a:latin typeface="+mn-lt"/>
                  <a:ea typeface="+mn-ea"/>
                  <a:cs typeface="+mn-cs"/>
                </a:rPr>
                <a:t>xy</a:t>
              </a:r>
              <a:r>
                <a:rPr lang="en-US" sz="2400" baseline="0">
                  <a:solidFill>
                    <a:schemeClr val="tx1"/>
                  </a:solidFill>
                  <a:effectLst/>
                  <a:latin typeface="+mn-lt"/>
                  <a:ea typeface="+mn-ea"/>
                  <a:cs typeface="+mn-cs"/>
                </a:rPr>
                <a:t> = </a:t>
              </a:r>
              <a:r>
                <a:rPr lang="en-US" sz="2400" i="0" baseline="0">
                  <a:solidFill>
                    <a:schemeClr val="tx1"/>
                  </a:solidFill>
                  <a:effectLst/>
                  <a:latin typeface="Cambria Math" panose="02040503050406030204" pitchFamily="18" charset="0"/>
                  <a:ea typeface="+mn-ea"/>
                  <a:cs typeface="+mn-cs"/>
                </a:rPr>
                <a:t>(</a:t>
              </a:r>
              <a:r>
                <a:rPr lang="en-US" sz="2400" i="0" baseline="0">
                  <a:solidFill>
                    <a:schemeClr val="tx1"/>
                  </a:solidFill>
                  <a:effectLst/>
                  <a:latin typeface="+mn-lt"/>
                  <a:ea typeface="+mn-ea"/>
                  <a:cs typeface="+mn-cs"/>
                </a:rPr>
                <a:t>"</a:t>
              </a:r>
              <a:r>
                <a:rPr lang="en-US" sz="2400" i="0">
                  <a:solidFill>
                    <a:schemeClr val="tx1"/>
                  </a:solidFill>
                  <a:effectLst/>
                  <a:latin typeface="+mn-lt"/>
                  <a:ea typeface="+mn-ea"/>
                  <a:cs typeface="+mn-cs"/>
                </a:rPr>
                <a:t> </a:t>
              </a:r>
              <a:r>
                <a:rPr lang="en-US" sz="2400" i="0">
                  <a:solidFill>
                    <a:schemeClr val="tx1"/>
                  </a:solidFill>
                  <a:effectLst/>
                  <a:latin typeface="Cambria Math" panose="02040503050406030204" pitchFamily="18" charset="0"/>
                  <a:ea typeface="+mn-ea"/>
                  <a:cs typeface="+mn-cs"/>
                </a:rPr>
                <a:t>" </a:t>
              </a:r>
              <a:r>
                <a:rPr lang="el-GR" sz="2400" i="0">
                  <a:solidFill>
                    <a:schemeClr val="tx1"/>
                  </a:solidFill>
                  <a:effectLst/>
                  <a:latin typeface="Cambria Math"/>
                  <a:ea typeface="+mn-ea"/>
                  <a:cs typeface="+mn-cs"/>
                </a:rPr>
                <a:t> </a:t>
              </a:r>
              <a:r>
                <a:rPr lang="en-US" sz="2400" i="0">
                  <a:solidFill>
                    <a:schemeClr val="tx1"/>
                  </a:solidFill>
                  <a:effectLst/>
                  <a:latin typeface="Cambria Math" panose="02040503050406030204" pitchFamily="18" charset="0"/>
                  <a:ea typeface="+mn-ea"/>
                  <a:cs typeface="+mn-cs"/>
                </a:rPr>
                <a:t>(</a:t>
              </a:r>
              <a:r>
                <a:rPr lang="el-GR" sz="2400" i="0">
                  <a:solidFill>
                    <a:schemeClr val="tx1"/>
                  </a:solidFill>
                  <a:effectLst/>
                  <a:latin typeface="Cambria Math"/>
                  <a:ea typeface="+mn-ea"/>
                  <a:cs typeface="+mn-cs"/>
                </a:rPr>
                <a:t>Σ</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𝑥</a:t>
              </a:r>
              <a:r>
                <a:rPr lang="en-US" sz="2400" b="0" i="0" baseline="-25000">
                  <a:solidFill>
                    <a:schemeClr val="tx1"/>
                  </a:solidFill>
                  <a:effectLst/>
                  <a:latin typeface="Cambria Math"/>
                  <a:ea typeface="+mn-ea"/>
                  <a:cs typeface="+mn-cs"/>
                </a:rPr>
                <a:t>𝑖</a:t>
              </a:r>
              <a:r>
                <a:rPr lang="en-US" sz="2400" b="0" i="0">
                  <a:solidFill>
                    <a:schemeClr val="tx1"/>
                  </a:solidFill>
                  <a:effectLst/>
                  <a:latin typeface="Cambria Math"/>
                  <a:ea typeface="+mn-ea"/>
                  <a:cs typeface="+mn-cs"/>
                </a:rPr>
                <a:t> −𝑋𝑏𝑎𝑟</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𝑦_𝑖−𝑌𝑏𝑎𝑟</a:t>
              </a:r>
              <a:r>
                <a:rPr lang="en-US" sz="2400" b="0" i="0" baseline="-25000">
                  <a:solidFill>
                    <a:schemeClr val="tx1"/>
                  </a:solidFill>
                  <a:effectLst/>
                  <a:latin typeface="Cambria Math"/>
                  <a:ea typeface="+mn-ea"/>
                  <a:cs typeface="+mn-cs"/>
                </a:rPr>
                <a:t> </a:t>
              </a:r>
              <a:r>
                <a:rPr lang="en-US" sz="2400" b="0" i="0">
                  <a:solidFill>
                    <a:schemeClr val="tx1"/>
                  </a:solidFill>
                  <a:effectLst/>
                  <a:latin typeface="Cambria Math"/>
                  <a:ea typeface="+mn-ea"/>
                  <a:cs typeface="+mn-cs"/>
                </a:rPr>
                <a:t>)</a:t>
              </a:r>
              <a:r>
                <a:rPr lang="en-US" sz="2400" b="0" i="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a:ea typeface="+mn-ea"/>
                  <a:cs typeface="+mn-cs"/>
                </a:rPr>
                <a:t>𝑛 −1</a:t>
              </a:r>
              <a:r>
                <a:rPr lang="en-US" sz="2400" b="0" i="0">
                  <a:solidFill>
                    <a:schemeClr val="tx1"/>
                  </a:solidFill>
                  <a:effectLst/>
                  <a:latin typeface="Cambria Math" panose="02040503050406030204" pitchFamily="18" charset="0"/>
                  <a:ea typeface="+mn-ea"/>
                  <a:cs typeface="+mn-cs"/>
                </a:rPr>
                <a:t>)</a:t>
              </a:r>
              <a:r>
                <a:rPr lang="en-US" sz="2400" b="0" i="0" baseline="0">
                  <a:solidFill>
                    <a:schemeClr val="tx1"/>
                  </a:solidFill>
                  <a:effectLst/>
                  <a:latin typeface="Cambria Math" panose="02040503050406030204" pitchFamily="18" charset="0"/>
                  <a:ea typeface="+mn-ea"/>
                  <a:cs typeface="+mn-cs"/>
                </a:rPr>
                <a:t>)/(</a:t>
              </a:r>
              <a:r>
                <a:rPr lang="en-US" sz="2400" b="0" i="0">
                  <a:solidFill>
                    <a:schemeClr val="tx1"/>
                  </a:solidFill>
                  <a:effectLst/>
                  <a:latin typeface="Cambria Math" panose="02040503050406030204" pitchFamily="18" charset="0"/>
                  <a:ea typeface="+mn-ea"/>
                  <a:cs typeface="+mn-cs"/>
                </a:rPr>
                <a:t>𝑠_𝑥</a:t>
              </a:r>
              <a:r>
                <a:rPr lang="en-US" sz="2400" b="0" i="0" baseline="0">
                  <a:solidFill>
                    <a:schemeClr val="tx1"/>
                  </a:solidFill>
                  <a:effectLst/>
                  <a:latin typeface="+mn-lt"/>
                  <a:ea typeface="+mn-ea"/>
                  <a:cs typeface="+mn-cs"/>
                </a:rPr>
                <a:t> "</a:t>
              </a:r>
              <a:r>
                <a:rPr lang="en-US" sz="2400" i="0" baseline="0">
                  <a:solidFill>
                    <a:schemeClr val="tx1"/>
                  </a:solidFill>
                  <a:effectLst/>
                  <a:latin typeface="+mn-lt"/>
                  <a:ea typeface="+mn-ea"/>
                  <a:cs typeface="+mn-cs"/>
                </a:rPr>
                <a:t>∗</a:t>
              </a:r>
              <a:r>
                <a:rPr lang="en-US" sz="2400" i="0" baseline="0">
                  <a:solidFill>
                    <a:schemeClr val="tx1"/>
                  </a:solidFill>
                  <a:effectLst/>
                  <a:latin typeface="Cambria Math" panose="02040503050406030204" pitchFamily="18" charset="0"/>
                  <a:ea typeface="+mn-ea"/>
                  <a:cs typeface="+mn-cs"/>
                </a:rPr>
                <a:t>" </a:t>
              </a:r>
              <a:r>
                <a:rPr lang="en-US" sz="2400" b="0" i="0" baseline="0">
                  <a:solidFill>
                    <a:schemeClr val="tx1"/>
                  </a:solidFill>
                  <a:effectLst/>
                  <a:latin typeface="Cambria Math" panose="02040503050406030204" pitchFamily="18" charset="0"/>
                  <a:ea typeface="+mn-ea"/>
                  <a:cs typeface="+mn-cs"/>
                </a:rPr>
                <a:t>𝑠_𝑦 "</a:t>
              </a:r>
              <a:r>
                <a:rPr lang="en-US" sz="2400" i="0">
                  <a:effectLst/>
                </a:rPr>
                <a:t> </a:t>
              </a:r>
              <a:r>
                <a:rPr lang="en-US" sz="2400" i="0">
                  <a:effectLst/>
                  <a:latin typeface="Cambria Math" panose="02040503050406030204" pitchFamily="18" charset="0"/>
                </a:rPr>
                <a:t>" </a:t>
              </a:r>
              <a:r>
                <a:rPr lang="en-US" sz="2400" i="0" baseline="0">
                  <a:solidFill>
                    <a:schemeClr val="tx1"/>
                  </a:solidFill>
                  <a:effectLst/>
                  <a:latin typeface="Cambria Math" panose="02040503050406030204" pitchFamily="18" charset="0"/>
                  <a:ea typeface="+mn-ea"/>
                  <a:cs typeface="+mn-cs"/>
                </a:rPr>
                <a:t>)</a:t>
              </a:r>
              <a:r>
                <a:rPr lang="en-US" sz="2400" baseline="0">
                  <a:solidFill>
                    <a:schemeClr val="tx1"/>
                  </a:solidFill>
                  <a:effectLst/>
                  <a:latin typeface="+mn-lt"/>
                  <a:ea typeface="+mn-ea"/>
                  <a:cs typeface="+mn-cs"/>
                </a:rPr>
                <a:t> </a:t>
              </a:r>
              <a:endParaRPr lang="en-US" sz="2400" baseline="-25000">
                <a:solidFill>
                  <a:schemeClr val="tx1"/>
                </a:solidFill>
                <a:effectLst/>
                <a:latin typeface="+mn-lt"/>
                <a:ea typeface="+mn-ea"/>
                <a:cs typeface="+mn-cs"/>
              </a:endParaRPr>
            </a:p>
          </xdr:txBody>
        </xdr:sp>
      </mc:Fallback>
    </mc:AlternateContent>
    <xdr:clientData/>
  </xdr:oneCellAnchor>
  <xdr:oneCellAnchor>
    <xdr:from>
      <xdr:col>9</xdr:col>
      <xdr:colOff>367797</xdr:colOff>
      <xdr:row>0</xdr:row>
      <xdr:rowOff>31416</xdr:rowOff>
    </xdr:from>
    <xdr:ext cx="4112559" cy="1390650"/>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5000-000003000000}"/>
                </a:ext>
              </a:extLst>
            </xdr:cNvPr>
            <xdr:cNvSpPr txBox="1"/>
          </xdr:nvSpPr>
          <xdr:spPr>
            <a:xfrm>
              <a:off x="9683247"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14:m>
                <m:oMath xmlns:m="http://schemas.openxmlformats.org/officeDocument/2006/math">
                  <m:f>
                    <m:fPr>
                      <m:ctrlPr>
                        <a:rPr lang="en-US" sz="2400" i="1">
                          <a:latin typeface="Cambria Math" panose="02040503050406030204" pitchFamily="18" charset="0"/>
                        </a:rPr>
                      </m:ctrlPr>
                    </m:fPr>
                    <m:num>
                      <m:r>
                        <m:rPr>
                          <m:sty m:val="p"/>
                        </m:rPr>
                        <a:rPr lang="el-GR" sz="2400" i="1">
                          <a:latin typeface="Cambria Math"/>
                          <a:ea typeface="Cambria Math"/>
                        </a:rPr>
                        <m:t>Σ</m:t>
                      </m:r>
                      <m:d>
                        <m:dPr>
                          <m:ctrlPr>
                            <a:rPr lang="en-US" sz="2400" b="0" i="1">
                              <a:latin typeface="Cambria Math" panose="02040503050406030204" pitchFamily="18" charset="0"/>
                              <a:ea typeface="Cambria Math"/>
                            </a:rPr>
                          </m:ctrlPr>
                        </m:dPr>
                        <m:e>
                          <m:r>
                            <a:rPr lang="en-US" sz="2400" b="0" i="1">
                              <a:latin typeface="Cambria Math"/>
                              <a:ea typeface="Cambria Math"/>
                            </a:rPr>
                            <m:t>𝑥</m:t>
                          </m:r>
                          <m:r>
                            <a:rPr lang="en-US" sz="2400" b="0" i="1" baseline="-25000">
                              <a:latin typeface="Cambria Math"/>
                              <a:ea typeface="Cambria Math"/>
                            </a:rPr>
                            <m:t>𝑖</m:t>
                          </m:r>
                          <m:r>
                            <a:rPr lang="en-US" sz="2400" b="0" i="1">
                              <a:latin typeface="Cambria Math"/>
                              <a:ea typeface="Cambria Math"/>
                            </a:rPr>
                            <m:t> −</m:t>
                          </m:r>
                          <m:r>
                            <a:rPr lang="en-US" sz="2400" b="0" i="1">
                              <a:latin typeface="Cambria Math"/>
                              <a:ea typeface="Cambria Math"/>
                            </a:rPr>
                            <m:t>𝑋𝑏𝑎𝑟</m:t>
                          </m:r>
                        </m:e>
                      </m:d>
                      <m:r>
                        <a:rPr lang="en-US" sz="2400" b="0" i="1">
                          <a:latin typeface="Cambria Math"/>
                          <a:ea typeface="Cambria Math"/>
                        </a:rPr>
                        <m:t>∗(</m:t>
                      </m:r>
                      <m:sSub>
                        <m:sSubPr>
                          <m:ctrlPr>
                            <a:rPr lang="en-US" sz="2400" b="0" i="1">
                              <a:latin typeface="Cambria Math" panose="02040503050406030204" pitchFamily="18" charset="0"/>
                              <a:ea typeface="Cambria Math"/>
                            </a:rPr>
                          </m:ctrlPr>
                        </m:sSubPr>
                        <m:e>
                          <m:r>
                            <a:rPr lang="en-US" sz="2400" b="0" i="1">
                              <a:latin typeface="Cambria Math" panose="02040503050406030204" pitchFamily="18" charset="0"/>
                              <a:ea typeface="Cambria Math"/>
                            </a:rPr>
                            <m:t>𝑦</m:t>
                          </m:r>
                        </m:e>
                        <m:sub>
                          <m:r>
                            <a:rPr lang="en-US" sz="2400" b="0" i="1">
                              <a:latin typeface="Cambria Math" panose="02040503050406030204" pitchFamily="18" charset="0"/>
                              <a:ea typeface="Cambria Math"/>
                            </a:rPr>
                            <m:t>𝑖</m:t>
                          </m:r>
                        </m:sub>
                      </m:sSub>
                      <m:r>
                        <a:rPr lang="en-US" sz="2400" b="0" i="1">
                          <a:latin typeface="Cambria Math"/>
                          <a:ea typeface="Cambria Math"/>
                        </a:rPr>
                        <m:t> −</m:t>
                      </m:r>
                      <m:r>
                        <a:rPr lang="en-US" sz="2400" b="0" i="1">
                          <a:latin typeface="Cambria Math"/>
                          <a:ea typeface="Cambria Math"/>
                        </a:rPr>
                        <m:t>𝑌𝑏𝑎𝑟</m:t>
                      </m:r>
                      <m:r>
                        <a:rPr lang="en-US" sz="2400" b="0" i="1">
                          <a:latin typeface="Cambria Math"/>
                          <a:ea typeface="Cambria Math"/>
                        </a:rPr>
                        <m:t>)</m:t>
                      </m:r>
                    </m:num>
                    <m:den>
                      <m:r>
                        <a:rPr lang="en-US" sz="2400" b="0" i="1">
                          <a:latin typeface="Cambria Math"/>
                        </a:rPr>
                        <m:t>𝑛</m:t>
                      </m:r>
                      <m:r>
                        <a:rPr lang="en-US" sz="2400" b="0" i="1">
                          <a:latin typeface="Cambria Math"/>
                        </a:rPr>
                        <m:t> −1</m:t>
                      </m:r>
                    </m:den>
                  </m:f>
                </m:oMath>
              </a14:m>
              <a:endParaRPr lang="en-US" sz="2400" baseline="-25000">
                <a:solidFill>
                  <a:schemeClr val="tx1"/>
                </a:solidFill>
                <a:effectLst/>
                <a:latin typeface="+mn-lt"/>
                <a:ea typeface="+mn-ea"/>
                <a:cs typeface="+mn-cs"/>
              </a:endParaRPr>
            </a:p>
          </xdr:txBody>
        </xdr:sp>
      </mc:Choice>
      <mc:Fallback xmlns="">
        <xdr:sp macro="" textlink="">
          <xdr:nvSpPr>
            <xdr:cNvPr id="3" name="TextBox 2"/>
            <xdr:cNvSpPr txBox="1"/>
          </xdr:nvSpPr>
          <xdr:spPr>
            <a:xfrm>
              <a:off x="9683247" y="31416"/>
              <a:ext cx="4112559" cy="1390650"/>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US" sz="1200"/>
                <a:t>Sample Covariance = Measure the Strength of the Linear Relationship Between 2 Variables, but has problem with units. </a:t>
              </a:r>
            </a:p>
            <a:p>
              <a:pPr algn="l"/>
              <a:endParaRPr lang="en-US" sz="1200"/>
            </a:p>
            <a:p>
              <a:pPr algn="l"/>
              <a:r>
                <a:rPr lang="en-US" sz="2400"/>
                <a:t>s</a:t>
              </a:r>
              <a:r>
                <a:rPr lang="en-US" sz="2400" baseline="-25000"/>
                <a:t>xy </a:t>
              </a:r>
              <a:r>
                <a:rPr lang="en-US" sz="2400"/>
                <a:t>= </a:t>
              </a:r>
              <a:r>
                <a:rPr lang="en-US" sz="2400" i="0">
                  <a:latin typeface="Cambria Math" panose="02040503050406030204" pitchFamily="18" charset="0"/>
                </a:rPr>
                <a:t>(</a:t>
              </a:r>
              <a:r>
                <a:rPr lang="el-GR" sz="2400" i="0">
                  <a:latin typeface="Cambria Math"/>
                  <a:ea typeface="Cambria Math"/>
                </a:rPr>
                <a:t>Σ</a:t>
              </a:r>
              <a:r>
                <a:rPr lang="en-US" sz="2400" b="0" i="0">
                  <a:latin typeface="Cambria Math" panose="02040503050406030204" pitchFamily="18" charset="0"/>
                  <a:ea typeface="Cambria Math"/>
                </a:rPr>
                <a:t>(</a:t>
              </a:r>
              <a:r>
                <a:rPr lang="en-US" sz="2400" b="0" i="0">
                  <a:latin typeface="Cambria Math"/>
                  <a:ea typeface="Cambria Math"/>
                </a:rPr>
                <a:t>𝑥</a:t>
              </a:r>
              <a:r>
                <a:rPr lang="en-US" sz="2400" b="0" i="0" baseline="-25000">
                  <a:latin typeface="Cambria Math"/>
                  <a:ea typeface="Cambria Math"/>
                </a:rPr>
                <a:t>𝑖</a:t>
              </a:r>
              <a:r>
                <a:rPr lang="en-US" sz="2400" b="0" i="0">
                  <a:latin typeface="Cambria Math"/>
                  <a:ea typeface="Cambria Math"/>
                </a:rPr>
                <a:t> −𝑋𝑏𝑎𝑟</a:t>
              </a:r>
              <a:r>
                <a:rPr lang="en-US" sz="2400" b="0" i="0">
                  <a:latin typeface="Cambria Math" panose="02040503050406030204" pitchFamily="18" charset="0"/>
                  <a:ea typeface="Cambria Math"/>
                </a:rPr>
                <a:t>)</a:t>
              </a:r>
              <a:r>
                <a:rPr lang="en-US" sz="2400" b="0" i="0">
                  <a:latin typeface="Cambria Math"/>
                  <a:ea typeface="Cambria Math"/>
                </a:rPr>
                <a:t>∗(</a:t>
              </a:r>
              <a:r>
                <a:rPr lang="en-US" sz="2400" b="0" i="0">
                  <a:latin typeface="Cambria Math" panose="02040503050406030204" pitchFamily="18" charset="0"/>
                  <a:ea typeface="Cambria Math"/>
                </a:rPr>
                <a:t>𝑦_𝑖</a:t>
              </a:r>
              <a:r>
                <a:rPr lang="en-US" sz="2400" b="0" i="0">
                  <a:latin typeface="Cambria Math"/>
                  <a:ea typeface="Cambria Math"/>
                </a:rPr>
                <a:t>  −𝑌𝑏𝑎𝑟)</a:t>
              </a:r>
              <a:r>
                <a:rPr lang="en-US" sz="2400" b="0" i="0">
                  <a:latin typeface="Cambria Math" panose="02040503050406030204" pitchFamily="18" charset="0"/>
                  <a:ea typeface="Cambria Math"/>
                </a:rPr>
                <a:t>)/(</a:t>
              </a:r>
              <a:r>
                <a:rPr lang="en-US" sz="2400" b="0" i="0">
                  <a:latin typeface="Cambria Math"/>
                </a:rPr>
                <a:t>𝑛 −1</a:t>
              </a:r>
              <a:r>
                <a:rPr lang="en-US" sz="2400" b="0" i="0">
                  <a:latin typeface="Cambria Math" panose="02040503050406030204" pitchFamily="18" charset="0"/>
                </a:rPr>
                <a:t>)</a:t>
              </a:r>
              <a:endParaRPr lang="en-US" sz="2400" baseline="-25000">
                <a:solidFill>
                  <a:schemeClr val="tx1"/>
                </a:solidFill>
                <a:effectLst/>
                <a:latin typeface="+mn-lt"/>
                <a:ea typeface="+mn-ea"/>
                <a:cs typeface="+mn-cs"/>
              </a:endParaRPr>
            </a:p>
          </xdr:txBody>
        </xdr:sp>
      </mc:Fallback>
    </mc:AlternateContent>
    <xdr:clientData/>
  </xdr:oneCellAnchor>
  <xdr:twoCellAnchor>
    <xdr:from>
      <xdr:col>3</xdr:col>
      <xdr:colOff>215348</xdr:colOff>
      <xdr:row>48</xdr:row>
      <xdr:rowOff>53533</xdr:rowOff>
    </xdr:from>
    <xdr:to>
      <xdr:col>7</xdr:col>
      <xdr:colOff>807948</xdr:colOff>
      <xdr:row>62</xdr:row>
      <xdr:rowOff>129733</xdr:rowOff>
    </xdr:to>
    <xdr:graphicFrame macro="">
      <xdr:nvGraphicFramePr>
        <xdr:cNvPr id="4" name="Chart 3">
          <a:extLst>
            <a:ext uri="{FF2B5EF4-FFF2-40B4-BE49-F238E27FC236}">
              <a16:creationId xmlns:a16="http://schemas.microsoft.com/office/drawing/2014/main" id="{00000000-0008-0000-5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99390</xdr:colOff>
      <xdr:row>22</xdr:row>
      <xdr:rowOff>57979</xdr:rowOff>
    </xdr:from>
    <xdr:to>
      <xdr:col>12</xdr:col>
      <xdr:colOff>248477</xdr:colOff>
      <xdr:row>35</xdr:row>
      <xdr:rowOff>19196</xdr:rowOff>
    </xdr:to>
    <xdr:graphicFrame macro="">
      <xdr:nvGraphicFramePr>
        <xdr:cNvPr id="5" name="Chart 4">
          <a:extLst>
            <a:ext uri="{FF2B5EF4-FFF2-40B4-BE49-F238E27FC236}">
              <a16:creationId xmlns:a16="http://schemas.microsoft.com/office/drawing/2014/main" id="{00000000-0008-0000-5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71</xdr:row>
      <xdr:rowOff>0</xdr:rowOff>
    </xdr:from>
    <xdr:to>
      <xdr:col>8</xdr:col>
      <xdr:colOff>270664</xdr:colOff>
      <xdr:row>84</xdr:row>
      <xdr:rowOff>76200</xdr:rowOff>
    </xdr:to>
    <xdr:graphicFrame macro="">
      <xdr:nvGraphicFramePr>
        <xdr:cNvPr id="6" name="Chart 5">
          <a:extLst>
            <a:ext uri="{FF2B5EF4-FFF2-40B4-BE49-F238E27FC236}">
              <a16:creationId xmlns:a16="http://schemas.microsoft.com/office/drawing/2014/main" id="{00000000-0008-0000-5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92</xdr:row>
      <xdr:rowOff>0</xdr:rowOff>
    </xdr:from>
    <xdr:to>
      <xdr:col>9</xdr:col>
      <xdr:colOff>290060</xdr:colOff>
      <xdr:row>106</xdr:row>
      <xdr:rowOff>76200</xdr:rowOff>
    </xdr:to>
    <xdr:graphicFrame macro="">
      <xdr:nvGraphicFramePr>
        <xdr:cNvPr id="7" name="Chart 6">
          <a:extLst>
            <a:ext uri="{FF2B5EF4-FFF2-40B4-BE49-F238E27FC236}">
              <a16:creationId xmlns:a16="http://schemas.microsoft.com/office/drawing/2014/main" id="{00000000-0008-0000-5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191782</xdr:colOff>
      <xdr:row>450</xdr:row>
      <xdr:rowOff>9169</xdr:rowOff>
    </xdr:from>
    <xdr:to>
      <xdr:col>5</xdr:col>
      <xdr:colOff>995042</xdr:colOff>
      <xdr:row>461</xdr:row>
      <xdr:rowOff>155865</xdr:rowOff>
    </xdr:to>
    <xdr:graphicFrame macro="">
      <xdr:nvGraphicFramePr>
        <xdr:cNvPr id="8" name="Chart 7">
          <a:extLst>
            <a:ext uri="{FF2B5EF4-FFF2-40B4-BE49-F238E27FC236}">
              <a16:creationId xmlns:a16="http://schemas.microsoft.com/office/drawing/2014/main" id="{00000000-0008-0000-5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267479</xdr:colOff>
      <xdr:row>463</xdr:row>
      <xdr:rowOff>72473</xdr:rowOff>
    </xdr:from>
    <xdr:to>
      <xdr:col>5</xdr:col>
      <xdr:colOff>652255</xdr:colOff>
      <xdr:row>474</xdr:row>
      <xdr:rowOff>55289</xdr:rowOff>
    </xdr:to>
    <xdr:graphicFrame macro="">
      <xdr:nvGraphicFramePr>
        <xdr:cNvPr id="9" name="Chart 8">
          <a:extLst>
            <a:ext uri="{FF2B5EF4-FFF2-40B4-BE49-F238E27FC236}">
              <a16:creationId xmlns:a16="http://schemas.microsoft.com/office/drawing/2014/main" id="{00000000-0008-0000-5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11</xdr:col>
      <xdr:colOff>414337</xdr:colOff>
      <xdr:row>8</xdr:row>
      <xdr:rowOff>152400</xdr:rowOff>
    </xdr:from>
    <xdr:ext cx="65" cy="172227"/>
    <xdr:sp macro="" textlink="">
      <xdr:nvSpPr>
        <xdr:cNvPr id="10" name="TextBox 9">
          <a:extLst>
            <a:ext uri="{FF2B5EF4-FFF2-40B4-BE49-F238E27FC236}">
              <a16:creationId xmlns:a16="http://schemas.microsoft.com/office/drawing/2014/main" id="{00000000-0008-0000-5000-00000A000000}"/>
            </a:ext>
          </a:extLst>
        </xdr:cNvPr>
        <xdr:cNvSpPr txBox="1"/>
      </xdr:nvSpPr>
      <xdr:spPr>
        <a:xfrm>
          <a:off x="10425112" y="17526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1" name="TextBox 10">
          <a:extLst>
            <a:ext uri="{FF2B5EF4-FFF2-40B4-BE49-F238E27FC236}">
              <a16:creationId xmlns:a16="http://schemas.microsoft.com/office/drawing/2014/main" id="{00000000-0008-0000-5000-00000B000000}"/>
            </a:ext>
          </a:extLst>
        </xdr:cNvPr>
        <xdr:cNvSpPr txBox="1"/>
      </xdr:nvSpPr>
      <xdr:spPr>
        <a:xfrm>
          <a:off x="10425112" y="21717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11</xdr:col>
      <xdr:colOff>414337</xdr:colOff>
      <xdr:row>10</xdr:row>
      <xdr:rowOff>152400</xdr:rowOff>
    </xdr:from>
    <xdr:ext cx="65" cy="172227"/>
    <xdr:sp macro="" textlink="">
      <xdr:nvSpPr>
        <xdr:cNvPr id="12" name="TextBox 11">
          <a:extLst>
            <a:ext uri="{FF2B5EF4-FFF2-40B4-BE49-F238E27FC236}">
              <a16:creationId xmlns:a16="http://schemas.microsoft.com/office/drawing/2014/main" id="{00000000-0008-0000-5000-00000C000000}"/>
            </a:ext>
          </a:extLst>
        </xdr:cNvPr>
        <xdr:cNvSpPr txBox="1"/>
      </xdr:nvSpPr>
      <xdr:spPr>
        <a:xfrm>
          <a:off x="10425112" y="21717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2021.732073148145" createdVersion="5" refreshedVersion="5" minRefreshableVersion="3" recordCount="20" xr:uid="{00000000-000A-0000-FFFF-FFFF00000000}">
  <cacheSource type="worksheet">
    <worksheetSource ref="D19:D39" sheet="Mode"/>
  </cacheSource>
  <cacheFields count="1">
    <cacheField name="Test Scores (Population)" numFmtId="0">
      <sharedItems containsSemiMixedTypes="0" containsString="0" containsNumber="1" containsInteger="1" minValue="31" maxValue="95" count="16">
        <n v="60"/>
        <n v="68"/>
        <n v="76"/>
        <n v="84"/>
        <n v="55"/>
        <n v="63"/>
        <n v="89"/>
        <n v="31"/>
        <n v="47"/>
        <n v="54"/>
        <n v="58"/>
        <n v="57"/>
        <n v="61"/>
        <n v="72"/>
        <n v="91"/>
        <n v="9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2021.733074074073" createdVersion="5" refreshedVersion="5" minRefreshableVersion="3" recordCount="30" xr:uid="{00000000-000A-0000-FFFF-FFFF01000000}">
  <cacheSource type="worksheet">
    <worksheetSource ref="G20:G50" sheet="Mode"/>
  </cacheSource>
  <cacheFields count="1">
    <cacheField name="Scores on Quiz" numFmtId="0">
      <sharedItems containsSemiMixedTypes="0" containsString="0" containsNumber="1" containsInteger="1" minValue="0" maxValue="10" count="11">
        <n v="6"/>
        <n v="3"/>
        <n v="5"/>
        <n v="0"/>
        <n v="1"/>
        <n v="8"/>
        <n v="7"/>
        <n v="2"/>
        <n v="4"/>
        <n v="9"/>
        <n v="1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0">
  <r>
    <x v="0"/>
  </r>
  <r>
    <x v="1"/>
  </r>
  <r>
    <x v="2"/>
  </r>
  <r>
    <x v="3"/>
  </r>
  <r>
    <x v="4"/>
  </r>
  <r>
    <x v="5"/>
  </r>
  <r>
    <x v="6"/>
  </r>
  <r>
    <x v="7"/>
  </r>
  <r>
    <x v="8"/>
  </r>
  <r>
    <x v="1"/>
  </r>
  <r>
    <x v="9"/>
  </r>
  <r>
    <x v="10"/>
  </r>
  <r>
    <x v="11"/>
  </r>
  <r>
    <x v="12"/>
  </r>
  <r>
    <x v="13"/>
  </r>
  <r>
    <x v="14"/>
  </r>
  <r>
    <x v="15"/>
  </r>
  <r>
    <x v="1"/>
  </r>
  <r>
    <x v="2"/>
  </r>
  <r>
    <x v="2"/>
  </r>
</pivotCacheRecords>
</file>

<file path=xl/pivotCache/pivotCacheRecords2.xml><?xml version="1.0" encoding="utf-8"?>
<pivotCacheRecords xmlns="http://schemas.openxmlformats.org/spreadsheetml/2006/main" xmlns:r="http://schemas.openxmlformats.org/officeDocument/2006/relationships" count="30">
  <r>
    <x v="0"/>
  </r>
  <r>
    <x v="1"/>
  </r>
  <r>
    <x v="2"/>
  </r>
  <r>
    <x v="1"/>
  </r>
  <r>
    <x v="3"/>
  </r>
  <r>
    <x v="4"/>
  </r>
  <r>
    <x v="5"/>
  </r>
  <r>
    <x v="2"/>
  </r>
  <r>
    <x v="2"/>
  </r>
  <r>
    <x v="4"/>
  </r>
  <r>
    <x v="0"/>
  </r>
  <r>
    <x v="6"/>
  </r>
  <r>
    <x v="3"/>
  </r>
  <r>
    <x v="7"/>
  </r>
  <r>
    <x v="0"/>
  </r>
  <r>
    <x v="6"/>
  </r>
  <r>
    <x v="1"/>
  </r>
  <r>
    <x v="8"/>
  </r>
  <r>
    <x v="9"/>
  </r>
  <r>
    <x v="6"/>
  </r>
  <r>
    <x v="4"/>
  </r>
  <r>
    <x v="8"/>
  </r>
  <r>
    <x v="1"/>
  </r>
  <r>
    <x v="0"/>
  </r>
  <r>
    <x v="6"/>
  </r>
  <r>
    <x v="5"/>
  </r>
  <r>
    <x v="10"/>
  </r>
  <r>
    <x v="2"/>
  </r>
  <r>
    <x v="7"/>
  </r>
  <r>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ivotTable5" cacheId="1" applyNumberFormats="0" applyBorderFormats="0" applyFontFormats="0" applyPatternFormats="0" applyAlignmentFormats="0" applyWidthHeightFormats="1" dataCaption="Values" updatedVersion="5" minRefreshableVersion="3" useAutoFormatting="1" itemPrintTitles="1" createdVersion="5" indent="0" compact="0" outline="1" outlineData="1" compactData="0" multipleFieldFilters="0">
  <location ref="I21:J33" firstHeaderRow="1" firstDataRow="1" firstDataCol="1"/>
  <pivotFields count="1">
    <pivotField axis="axisRow" dataField="1" compact="0" showAll="0">
      <items count="12">
        <item x="3"/>
        <item x="4"/>
        <item x="7"/>
        <item x="1"/>
        <item x="8"/>
        <item x="2"/>
        <item x="0"/>
        <item x="6"/>
        <item x="5"/>
        <item x="9"/>
        <item x="10"/>
        <item t="default"/>
      </items>
    </pivotField>
  </pivotFields>
  <rowFields count="1">
    <field x="0"/>
  </rowFields>
  <rowItems count="12">
    <i>
      <x/>
    </i>
    <i>
      <x v="1"/>
    </i>
    <i>
      <x v="2"/>
    </i>
    <i>
      <x v="3"/>
    </i>
    <i>
      <x v="4"/>
    </i>
    <i>
      <x v="5"/>
    </i>
    <i>
      <x v="6"/>
    </i>
    <i>
      <x v="7"/>
    </i>
    <i>
      <x v="8"/>
    </i>
    <i>
      <x v="9"/>
    </i>
    <i>
      <x v="10"/>
    </i>
    <i t="grand">
      <x/>
    </i>
  </rowItems>
  <colItems count="1">
    <i/>
  </colItems>
  <dataFields count="1">
    <dataField name="Count of Scores on Quiz"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est Scores">
  <location ref="D44:E61" firstHeaderRow="1" firstDataRow="1" firstDataCol="1"/>
  <pivotFields count="1">
    <pivotField axis="axisRow" dataField="1" showAll="0">
      <items count="17">
        <item x="7"/>
        <item x="8"/>
        <item x="9"/>
        <item x="4"/>
        <item x="11"/>
        <item x="10"/>
        <item x="0"/>
        <item x="12"/>
        <item x="5"/>
        <item x="1"/>
        <item x="13"/>
        <item x="2"/>
        <item x="3"/>
        <item x="6"/>
        <item x="14"/>
        <item x="15"/>
        <item t="default"/>
      </items>
    </pivotField>
  </pivotFields>
  <rowFields count="1">
    <field x="0"/>
  </rowFields>
  <rowItems count="17">
    <i>
      <x/>
    </i>
    <i>
      <x v="1"/>
    </i>
    <i>
      <x v="2"/>
    </i>
    <i>
      <x v="3"/>
    </i>
    <i>
      <x v="4"/>
    </i>
    <i>
      <x v="5"/>
    </i>
    <i>
      <x v="6"/>
    </i>
    <i>
      <x v="7"/>
    </i>
    <i>
      <x v="8"/>
    </i>
    <i>
      <x v="9"/>
    </i>
    <i>
      <x v="10"/>
    </i>
    <i>
      <x v="11"/>
    </i>
    <i>
      <x v="12"/>
    </i>
    <i>
      <x v="13"/>
    </i>
    <i>
      <x v="14"/>
    </i>
    <i>
      <x v="15"/>
    </i>
    <i t="grand">
      <x/>
    </i>
  </rowItems>
  <colItems count="1">
    <i/>
  </colItems>
  <dataFields count="1">
    <dataField name="Count of Test Scores (Populatio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KeyBoardTable" displayName="KeyBoardTable" ref="A1:D35" totalsRowShown="0" headerRowDxfId="34" tableBorderDxfId="33">
  <autoFilter ref="A1:D35" xr:uid="{00000000-0009-0000-0100-000002000000}"/>
  <tableColumns count="4">
    <tableColumn id="1" xr3:uid="{00000000-0010-0000-0000-000001000000}" name="Primary Key" dataDxfId="32"/>
    <tableColumn id="2" xr3:uid="{00000000-0010-0000-0000-000002000000}" name="Action" dataDxfId="31"/>
    <tableColumn id="3" xr3:uid="{00000000-0010-0000-0000-000003000000}" name="Keyboard Short Cut" dataDxfId="30"/>
    <tableColumn id="4" xr3:uid="{00000000-0010-0000-0000-000004000000}" name="Category"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OakSalaries" displayName="OakSalaries" ref="A1:A104" totalsRowShown="0" headerRowDxfId="3" dataDxfId="2" tableBorderDxfId="1">
  <autoFilter ref="A1:A104" xr:uid="{00000000-0009-0000-0100-000001000000}"/>
  <tableColumns count="1">
    <tableColumn id="1" xr3:uid="{00000000-0010-0000-0100-000001000000}" name="Salar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hyperlink" Target="https://www.youtube.com/watch?v=NjV4BZZRAQY" TargetMode="External"/><Relationship Id="rId2" Type="http://schemas.openxmlformats.org/officeDocument/2006/relationships/hyperlink" Target="https://www.youtube.com/watch?v=pki8C60Diz0" TargetMode="External"/><Relationship Id="rId1" Type="http://schemas.openxmlformats.org/officeDocument/2006/relationships/hyperlink" Target="https://www.youtube.com/watch?v=pki8C60Diz0" TargetMode="External"/><Relationship Id="rId5" Type="http://schemas.openxmlformats.org/officeDocument/2006/relationships/drawing" Target="../drawings/drawing8.xml"/><Relationship Id="rId4" Type="http://schemas.openxmlformats.org/officeDocument/2006/relationships/hyperlink" Target="https://www.youtube.com/watch?v=NjV4BZZRAQY"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www.youtube.com/watch?v=pki8C60Diz0" TargetMode="External"/><Relationship Id="rId7"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hyperlink" Target="https://www.youtube.com/watch?v=NjV4BZZRAQY" TargetMode="External"/><Relationship Id="rId5" Type="http://schemas.openxmlformats.org/officeDocument/2006/relationships/hyperlink" Target="https://www.youtube.com/watch?v=NjV4BZZRAQY" TargetMode="External"/><Relationship Id="rId4" Type="http://schemas.openxmlformats.org/officeDocument/2006/relationships/hyperlink" Target="https://www.youtube.com/watch?v=pki8C60Diz0" TargetMode="Externa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XllEMSjVGGk" TargetMode="External"/><Relationship Id="rId1" Type="http://schemas.openxmlformats.org/officeDocument/2006/relationships/hyperlink" Target="https://www.youtube.com/watch?v=XllEMSjVGGk" TargetMode="External"/></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hyperlink" Target="https://www.youtube.com/watch?v=XllEMSjVGGk" TargetMode="External"/><Relationship Id="rId1" Type="http://schemas.openxmlformats.org/officeDocument/2006/relationships/hyperlink" Target="https://www.youtube.com/watch?v=XllEMSjVGGk" TargetMode="Externa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8.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10.emf"/><Relationship Id="rId2" Type="http://schemas.openxmlformats.org/officeDocument/2006/relationships/drawing" Target="../drawings/drawing25.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11.emf"/></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bin"/></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0.bin"/></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69.xml.rels><?xml version="1.0" encoding="UTF-8" standalone="yes"?>
<Relationships xmlns="http://schemas.openxmlformats.org/package/2006/relationships"><Relationship Id="rId3" Type="http://schemas.openxmlformats.org/officeDocument/2006/relationships/hyperlink" Target="https://www.youtube.com/watch?v=2HmopqF6V6w" TargetMode="External"/><Relationship Id="rId7" Type="http://schemas.openxmlformats.org/officeDocument/2006/relationships/drawing" Target="../drawings/drawing50.xml"/><Relationship Id="rId2" Type="http://schemas.openxmlformats.org/officeDocument/2006/relationships/hyperlink" Target="https://www.youtube.com/watch?v=WSflSmcNRFI" TargetMode="External"/><Relationship Id="rId1" Type="http://schemas.openxmlformats.org/officeDocument/2006/relationships/hyperlink" Target="https://www.youtube.com/watch?v=bRdC1u9veg8" TargetMode="External"/><Relationship Id="rId6" Type="http://schemas.openxmlformats.org/officeDocument/2006/relationships/printerSettings" Target="../printerSettings/printerSettings11.bin"/><Relationship Id="rId5" Type="http://schemas.openxmlformats.org/officeDocument/2006/relationships/hyperlink" Target="https://www.youtube.com/watch?v=bgaN446TQXo" TargetMode="External"/><Relationship Id="rId4" Type="http://schemas.openxmlformats.org/officeDocument/2006/relationships/hyperlink" Target="https://www.youtube.com/watch?v=bgaN446TQXo" TargetMode="External"/></Relationships>
</file>

<file path=xl/worksheets/_rels/sheet70.xml.rels><?xml version="1.0" encoding="UTF-8" standalone="yes"?>
<Relationships xmlns="http://schemas.openxmlformats.org/package/2006/relationships"><Relationship Id="rId3" Type="http://schemas.openxmlformats.org/officeDocument/2006/relationships/hyperlink" Target="https://www.youtube.com/watch?v=2HmopqF6V6w" TargetMode="External"/><Relationship Id="rId7" Type="http://schemas.openxmlformats.org/officeDocument/2006/relationships/drawing" Target="../drawings/drawing51.xml"/><Relationship Id="rId2" Type="http://schemas.openxmlformats.org/officeDocument/2006/relationships/hyperlink" Target="https://www.youtube.com/watch?v=WSflSmcNRFI" TargetMode="External"/><Relationship Id="rId1" Type="http://schemas.openxmlformats.org/officeDocument/2006/relationships/hyperlink" Target="https://www.youtube.com/watch?v=bRdC1u9veg8" TargetMode="External"/><Relationship Id="rId6" Type="http://schemas.openxmlformats.org/officeDocument/2006/relationships/printerSettings" Target="../printerSettings/printerSettings12.bin"/><Relationship Id="rId5" Type="http://schemas.openxmlformats.org/officeDocument/2006/relationships/hyperlink" Target="https://www.youtube.com/watch?v=bgaN446TQXo" TargetMode="External"/><Relationship Id="rId4" Type="http://schemas.openxmlformats.org/officeDocument/2006/relationships/hyperlink" Target="https://www.youtube.com/watch?v=bgaN446TQXo" TargetMode="Externa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7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6.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B35"/>
  <sheetViews>
    <sheetView zoomScale="160" zoomScaleNormal="160" workbookViewId="0">
      <selection activeCell="C1" sqref="C1"/>
    </sheetView>
  </sheetViews>
  <sheetFormatPr defaultRowHeight="15" x14ac:dyDescent="0.25"/>
  <cols>
    <col min="1" max="1" width="41.85546875" customWidth="1"/>
    <col min="2" max="2" width="31.5703125" customWidth="1"/>
    <col min="6" max="6" width="25.42578125" customWidth="1"/>
    <col min="7" max="7" width="46.7109375" customWidth="1"/>
  </cols>
  <sheetData>
    <row r="1" spans="1:2" ht="15.75" x14ac:dyDescent="0.25">
      <c r="A1" s="19" t="s">
        <v>83</v>
      </c>
      <c r="B1" s="20"/>
    </row>
    <row r="2" spans="1:2" ht="15.75" x14ac:dyDescent="0.25">
      <c r="A2" s="21"/>
      <c r="B2" s="21"/>
    </row>
    <row r="3" spans="1:2" ht="15.75" x14ac:dyDescent="0.25">
      <c r="A3" s="21" t="s">
        <v>84</v>
      </c>
      <c r="B3" s="21"/>
    </row>
    <row r="4" spans="1:2" ht="15.75" x14ac:dyDescent="0.25">
      <c r="A4" s="21"/>
      <c r="B4" s="21"/>
    </row>
    <row r="5" spans="1:2" ht="15.75" x14ac:dyDescent="0.25">
      <c r="A5" s="122" t="s">
        <v>923</v>
      </c>
      <c r="B5" s="123"/>
    </row>
    <row r="7" spans="1:2" x14ac:dyDescent="0.25">
      <c r="A7" s="1" t="s">
        <v>0</v>
      </c>
      <c r="B7" s="1" t="s">
        <v>1</v>
      </c>
    </row>
    <row r="8" spans="1:2" x14ac:dyDescent="0.25">
      <c r="A8" s="89" t="s">
        <v>869</v>
      </c>
      <c r="B8" s="217" t="str">
        <f>A8</f>
        <v>Notes</v>
      </c>
    </row>
    <row r="9" spans="1:2" x14ac:dyDescent="0.25">
      <c r="A9" s="89" t="s">
        <v>116</v>
      </c>
      <c r="B9" s="217" t="str">
        <f>A9</f>
        <v>Terms</v>
      </c>
    </row>
    <row r="10" spans="1:2" x14ac:dyDescent="0.25">
      <c r="A10" s="89" t="s">
        <v>100</v>
      </c>
      <c r="B10" s="26"/>
    </row>
    <row r="11" spans="1:2" x14ac:dyDescent="0.25">
      <c r="A11" s="218" t="s">
        <v>93</v>
      </c>
      <c r="B11" s="26"/>
    </row>
    <row r="12" spans="1:2" x14ac:dyDescent="0.25">
      <c r="A12" s="219" t="s">
        <v>85</v>
      </c>
      <c r="B12" s="217" t="s">
        <v>1108</v>
      </c>
    </row>
    <row r="13" spans="1:2" x14ac:dyDescent="0.25">
      <c r="A13" s="219" t="s">
        <v>86</v>
      </c>
      <c r="B13" s="217" t="str">
        <f t="shared" ref="B13:B14" si="0">A13</f>
        <v>Median</v>
      </c>
    </row>
    <row r="14" spans="1:2" x14ac:dyDescent="0.25">
      <c r="A14" s="219" t="s">
        <v>87</v>
      </c>
      <c r="B14" s="217" t="str">
        <f t="shared" si="0"/>
        <v>Mode</v>
      </c>
    </row>
    <row r="15" spans="1:2" x14ac:dyDescent="0.25">
      <c r="A15" s="133" t="s">
        <v>89</v>
      </c>
      <c r="B15" s="217" t="s">
        <v>183</v>
      </c>
    </row>
    <row r="16" spans="1:2" x14ac:dyDescent="0.25">
      <c r="A16" s="219" t="s">
        <v>88</v>
      </c>
      <c r="B16" s="217" t="str">
        <f>A16</f>
        <v>Weighted Mean</v>
      </c>
    </row>
    <row r="17" spans="1:2" x14ac:dyDescent="0.25">
      <c r="A17" s="219" t="s">
        <v>126</v>
      </c>
      <c r="B17" s="217" t="str">
        <f>A17</f>
        <v>Geometric Mean</v>
      </c>
    </row>
    <row r="18" spans="1:2" x14ac:dyDescent="0.25">
      <c r="A18" s="219" t="s">
        <v>870</v>
      </c>
      <c r="B18" s="217" t="s">
        <v>871</v>
      </c>
    </row>
    <row r="19" spans="1:2" x14ac:dyDescent="0.25">
      <c r="A19" s="219" t="s">
        <v>92</v>
      </c>
      <c r="B19" s="217" t="s">
        <v>436</v>
      </c>
    </row>
    <row r="20" spans="1:2" x14ac:dyDescent="0.25">
      <c r="A20" s="89" t="s">
        <v>101</v>
      </c>
      <c r="B20" s="26"/>
    </row>
    <row r="21" spans="1:2" x14ac:dyDescent="0.25">
      <c r="A21" s="218" t="s">
        <v>94</v>
      </c>
      <c r="B21" s="217" t="s">
        <v>872</v>
      </c>
    </row>
    <row r="22" spans="1:2" x14ac:dyDescent="0.25">
      <c r="A22" s="218" t="s">
        <v>883</v>
      </c>
      <c r="B22" s="217" t="s">
        <v>873</v>
      </c>
    </row>
    <row r="23" spans="1:2" x14ac:dyDescent="0.25">
      <c r="A23" s="218" t="s">
        <v>97</v>
      </c>
      <c r="B23" s="217" t="s">
        <v>874</v>
      </c>
    </row>
    <row r="24" spans="1:2" x14ac:dyDescent="0.25">
      <c r="A24" s="218" t="s">
        <v>98</v>
      </c>
      <c r="B24" s="217" t="s">
        <v>875</v>
      </c>
    </row>
    <row r="25" spans="1:2" x14ac:dyDescent="0.25">
      <c r="A25" s="218" t="s">
        <v>99</v>
      </c>
      <c r="B25" s="217" t="s">
        <v>876</v>
      </c>
    </row>
    <row r="26" spans="1:2" x14ac:dyDescent="0.25">
      <c r="A26" s="26" t="s">
        <v>106</v>
      </c>
      <c r="B26" s="217" t="s">
        <v>877</v>
      </c>
    </row>
    <row r="27" spans="1:2" x14ac:dyDescent="0.25">
      <c r="A27" s="89" t="s">
        <v>422</v>
      </c>
      <c r="B27" s="26"/>
    </row>
    <row r="28" spans="1:2" x14ac:dyDescent="0.25">
      <c r="A28" s="218" t="s">
        <v>423</v>
      </c>
      <c r="B28" s="217" t="s">
        <v>878</v>
      </c>
    </row>
    <row r="29" spans="1:2" x14ac:dyDescent="0.25">
      <c r="A29" s="218" t="s">
        <v>102</v>
      </c>
      <c r="B29" s="217" t="s">
        <v>879</v>
      </c>
    </row>
    <row r="30" spans="1:2" x14ac:dyDescent="0.25">
      <c r="A30" s="218" t="s">
        <v>104</v>
      </c>
      <c r="B30" s="217" t="s">
        <v>880</v>
      </c>
    </row>
    <row r="31" spans="1:2" x14ac:dyDescent="0.25">
      <c r="A31" s="218" t="s">
        <v>103</v>
      </c>
      <c r="B31" s="217" t="s">
        <v>103</v>
      </c>
    </row>
    <row r="32" spans="1:2" x14ac:dyDescent="0.25">
      <c r="A32" s="26" t="s">
        <v>105</v>
      </c>
      <c r="B32" s="217" t="s">
        <v>782</v>
      </c>
    </row>
    <row r="33" spans="1:2" x14ac:dyDescent="0.25">
      <c r="A33" s="26" t="s">
        <v>868</v>
      </c>
      <c r="B33" s="217" t="s">
        <v>1107</v>
      </c>
    </row>
    <row r="34" spans="1:2" x14ac:dyDescent="0.25">
      <c r="A34" s="89" t="s">
        <v>111</v>
      </c>
      <c r="B34" s="26"/>
    </row>
    <row r="35" spans="1:2" x14ac:dyDescent="0.25">
      <c r="A35" s="26" t="s">
        <v>882</v>
      </c>
      <c r="B35" s="54" t="s">
        <v>881</v>
      </c>
    </row>
  </sheetData>
  <hyperlinks>
    <hyperlink ref="B8" location="Notes!A1" display="Notes!A1" xr:uid="{00000000-0004-0000-0000-000000000000}"/>
    <hyperlink ref="B9" location="Terms!A1" display="Terms!A1" xr:uid="{00000000-0004-0000-0000-000001000000}"/>
    <hyperlink ref="B12" location="MeanPorS!A1" display="MeanPorS" xr:uid="{00000000-0004-0000-0000-000002000000}"/>
    <hyperlink ref="B13" location="Median!A1" display="Median!A1" xr:uid="{00000000-0004-0000-0000-000003000000}"/>
    <hyperlink ref="B14" location="Mode!A1" display="Mode!A1" xr:uid="{00000000-0004-0000-0000-000004000000}"/>
    <hyperlink ref="B15" location="Skew!A1" display="Skew" xr:uid="{00000000-0004-0000-0000-000005000000}"/>
    <hyperlink ref="B16" location="'Weighted Mean'!A1" display="'Weighted Mean'!A1" xr:uid="{00000000-0004-0000-0000-000006000000}"/>
    <hyperlink ref="B17" location="'Geometric Mean'!A1" display="'Geometric Mean'!A1" xr:uid="{00000000-0004-0000-0000-000007000000}"/>
    <hyperlink ref="B18" location="PercentiileAndQuartile!A1" display="PercentiileAndQuartile" xr:uid="{00000000-0004-0000-0000-000008000000}"/>
    <hyperlink ref="B19" location="Rank!A1" display="Rank" xr:uid="{00000000-0004-0000-0000-000009000000}"/>
    <hyperlink ref="B21" location="'V(1)'!A1" display="V(1)" xr:uid="{00000000-0004-0000-0000-00000A000000}"/>
    <hyperlink ref="B22" location="'V(5)'!A1" display="V(5)" xr:uid="{00000000-0004-0000-0000-00000B000000}"/>
    <hyperlink ref="B23" location="'V(6)'!A1" display="V(6)" xr:uid="{00000000-0004-0000-0000-00000C000000}"/>
    <hyperlink ref="B24" location="'V(7)'!A1" display="V(7)" xr:uid="{00000000-0004-0000-0000-00000D000000}"/>
    <hyperlink ref="B25" location="'V(9)'!A1" display="V(9)" xr:uid="{00000000-0004-0000-0000-00000E000000}"/>
    <hyperlink ref="B26" location="DS!A1" display="DS" xr:uid="{00000000-0004-0000-0000-00000F000000}"/>
    <hyperlink ref="B28" location="'Skew (2)'!A1" display="Skew (2)" xr:uid="{00000000-0004-0000-0000-000010000000}"/>
    <hyperlink ref="B29" location="'z(1)'!A1" display="z(1)" xr:uid="{00000000-0004-0000-0000-000011000000}"/>
    <hyperlink ref="B30" location="Chebyshev!A1" display="Chebyshev" xr:uid="{00000000-0004-0000-0000-000012000000}"/>
    <hyperlink ref="B32" location="Outliers!A1" display="Outliers" xr:uid="{00000000-0004-0000-0000-000013000000}"/>
    <hyperlink ref="B31" location="'Empirical Rule'!A1" display="Empirical Rule" xr:uid="{00000000-0004-0000-0000-000014000000}"/>
    <hyperlink ref="B33" location="'5 N S'!A1" display="5 N S" xr:uid="{00000000-0004-0000-0000-000015000000}"/>
    <hyperlink ref="B35" location="'2 Variable Scatter'!A1" display="2 Variable Scatter" xr:uid="{00000000-0004-0000-0000-000016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M94"/>
  <sheetViews>
    <sheetView zoomScaleNormal="100" workbookViewId="0">
      <selection activeCell="D1" sqref="D1"/>
    </sheetView>
  </sheetViews>
  <sheetFormatPr defaultRowHeight="15" x14ac:dyDescent="0.25"/>
  <cols>
    <col min="2" max="2" width="96.85546875" customWidth="1"/>
    <col min="3" max="3" width="17.42578125" customWidth="1"/>
    <col min="4" max="12" width="16.42578125" customWidth="1"/>
    <col min="13" max="13" width="132.85546875" customWidth="1"/>
  </cols>
  <sheetData>
    <row r="1" spans="1:13" x14ac:dyDescent="0.25">
      <c r="A1" s="2" t="s">
        <v>1030</v>
      </c>
      <c r="B1" s="3" t="s">
        <v>1031</v>
      </c>
      <c r="C1" s="4"/>
      <c r="D1" s="5"/>
      <c r="E1" s="5"/>
      <c r="F1" s="5"/>
      <c r="G1" s="5"/>
      <c r="H1" s="5"/>
      <c r="I1" s="5"/>
      <c r="J1" s="5"/>
      <c r="K1" s="5"/>
      <c r="L1" s="5"/>
      <c r="M1" s="5"/>
    </row>
    <row r="2" spans="1:13" x14ac:dyDescent="0.25">
      <c r="A2" s="6" t="s">
        <v>2</v>
      </c>
      <c r="B2" s="7" t="s">
        <v>3</v>
      </c>
      <c r="C2" s="6" t="s">
        <v>4</v>
      </c>
      <c r="D2" s="5"/>
      <c r="E2" s="5"/>
      <c r="F2" s="5"/>
      <c r="G2" s="5"/>
      <c r="H2" s="5"/>
      <c r="I2" s="5"/>
      <c r="J2" s="5"/>
      <c r="K2" s="5"/>
      <c r="L2" s="5"/>
      <c r="M2" s="6" t="s">
        <v>5</v>
      </c>
    </row>
    <row r="3" spans="1:13" x14ac:dyDescent="0.25">
      <c r="A3" s="8">
        <f>ROWS(A3:A$3)</f>
        <v>1</v>
      </c>
      <c r="B3" s="9" t="str">
        <f>TRIM(REPLACE(M3,1,SEARCH(")",M3)+1,""))</f>
        <v>Introduction to averages as typical values that represent a single value that represents all the data points</v>
      </c>
      <c r="C3" s="10" t="str">
        <f>TRIM(LEFT(M3,SEARCH(")",M3)))</f>
        <v>(00:32)</v>
      </c>
      <c r="D3" s="5"/>
      <c r="E3" s="5"/>
      <c r="F3" s="5"/>
      <c r="G3" s="5"/>
      <c r="H3" s="5"/>
      <c r="I3" s="5"/>
      <c r="J3" s="5"/>
      <c r="K3" s="5"/>
      <c r="L3" s="5"/>
      <c r="M3" s="259" t="s">
        <v>1032</v>
      </c>
    </row>
    <row r="4" spans="1:13" x14ac:dyDescent="0.25">
      <c r="A4" s="8">
        <f>ROWS(A$3:A4)</f>
        <v>2</v>
      </c>
      <c r="B4" s="9" t="str">
        <f t="shared" ref="B4:B9" si="0">TRIM(REPLACE(M4,1,SEARCH(")",M4)+1,""))</f>
        <v>Introduction to Location</v>
      </c>
      <c r="C4" s="10" t="str">
        <f t="shared" ref="C4:C9" si="1">TRIM(LEFT(M4,SEARCH(")",M4)))</f>
        <v>(01:17)</v>
      </c>
      <c r="M4" s="259" t="s">
        <v>1033</v>
      </c>
    </row>
    <row r="5" spans="1:13" x14ac:dyDescent="0.25">
      <c r="A5" s="8">
        <f>ROWS(A$3:A5)</f>
        <v>3</v>
      </c>
      <c r="B5" s="9" t="str">
        <f t="shared" si="0"/>
        <v>Sample Statistics are point estimators for the population parameters</v>
      </c>
      <c r="C5" s="10" t="str">
        <f t="shared" si="1"/>
        <v>(03:55)</v>
      </c>
      <c r="M5" s="259" t="s">
        <v>1034</v>
      </c>
    </row>
    <row r="6" spans="1:13" x14ac:dyDescent="0.25">
      <c r="A6" s="8">
        <f>ROWS(A$3:A6)</f>
        <v>4</v>
      </c>
      <c r="B6" s="9" t="str">
        <f t="shared" si="0"/>
        <v>Mean using AVERAGE function</v>
      </c>
      <c r="C6" s="10" t="str">
        <f t="shared" si="1"/>
        <v>(05:28)</v>
      </c>
      <c r="M6" s="259" t="s">
        <v>1035</v>
      </c>
    </row>
    <row r="7" spans="1:13" x14ac:dyDescent="0.25">
      <c r="A7" s="8">
        <f>ROWS(A$3:A7)</f>
        <v>5</v>
      </c>
      <c r="B7" s="9" t="str">
        <f t="shared" si="0"/>
        <v>Median using sorting or the MEDIAN function</v>
      </c>
      <c r="C7" s="10" t="str">
        <f t="shared" si="1"/>
        <v>(09:16)</v>
      </c>
      <c r="M7" s="259" t="s">
        <v>1036</v>
      </c>
    </row>
    <row r="8" spans="1:13" ht="30" x14ac:dyDescent="0.25">
      <c r="A8" s="8">
        <f>ROWS(A$3:A8)</f>
        <v>6</v>
      </c>
      <c r="B8" s="9" t="str">
        <f t="shared" si="0"/>
        <v>Mode for Categorical data using COUNTIFS and MODE for quatitative data using MODE.SNGL. Discussion about Bi-modal and multiple modes and why using a PivotTable rather than MODE.SNGL is wise.</v>
      </c>
      <c r="C8" s="10" t="str">
        <f t="shared" si="1"/>
        <v>(15:54)</v>
      </c>
      <c r="M8" s="259" t="s">
        <v>1037</v>
      </c>
    </row>
    <row r="9" spans="1:13" x14ac:dyDescent="0.25">
      <c r="A9" s="8">
        <f>ROWS(A$3:A9)</f>
        <v>7</v>
      </c>
      <c r="B9" s="9" t="str">
        <f t="shared" si="0"/>
        <v>Relationship between Mean, Median and Mode and skew.</v>
      </c>
      <c r="C9" s="10" t="str">
        <f t="shared" si="1"/>
        <v>(21:42)</v>
      </c>
      <c r="M9" s="259" t="s">
        <v>1038</v>
      </c>
    </row>
    <row r="11" spans="1:13" x14ac:dyDescent="0.25">
      <c r="A11" s="2" t="s">
        <v>1039</v>
      </c>
      <c r="B11" s="3" t="s">
        <v>1040</v>
      </c>
      <c r="C11" s="4"/>
      <c r="D11" s="5"/>
      <c r="E11" s="5"/>
      <c r="F11" s="5"/>
      <c r="G11" s="5"/>
      <c r="H11" s="5"/>
      <c r="I11" s="5"/>
      <c r="J11" s="5"/>
      <c r="K11" s="5"/>
      <c r="L11" s="5"/>
      <c r="M11" s="5"/>
    </row>
    <row r="12" spans="1:13" x14ac:dyDescent="0.25">
      <c r="A12" s="6" t="s">
        <v>2</v>
      </c>
      <c r="B12" s="7" t="s">
        <v>3</v>
      </c>
      <c r="C12" s="6" t="s">
        <v>4</v>
      </c>
      <c r="D12" s="5"/>
      <c r="E12" s="5"/>
      <c r="F12" s="5"/>
      <c r="G12" s="5"/>
      <c r="H12" s="5"/>
      <c r="I12" s="5"/>
      <c r="J12" s="5"/>
      <c r="K12" s="5"/>
      <c r="L12" s="5"/>
      <c r="M12" s="6" t="s">
        <v>5</v>
      </c>
    </row>
    <row r="13" spans="1:13" x14ac:dyDescent="0.25">
      <c r="A13" s="8">
        <f>ROWS(A$13:A13)</f>
        <v>1</v>
      </c>
      <c r="B13" s="9" t="str">
        <f>TRIM(REPLACE(M13,1,SEARCH(")",M13)+1,""))</f>
        <v>Weighted Mean Quiz Score Example and Weighted Mean calculation using a Helper Column</v>
      </c>
      <c r="C13" s="10" t="str">
        <f>TRIM(LEFT(M13,SEARCH(")",M13)))</f>
        <v>(00:14)</v>
      </c>
      <c r="D13" s="5"/>
      <c r="E13" s="5"/>
      <c r="F13" s="5"/>
      <c r="G13" s="5"/>
      <c r="H13" s="5"/>
      <c r="I13" s="5"/>
      <c r="J13" s="5"/>
      <c r="K13" s="5"/>
      <c r="L13" s="5"/>
      <c r="M13" s="259" t="s">
        <v>1041</v>
      </c>
    </row>
    <row r="14" spans="1:13" x14ac:dyDescent="0.25">
      <c r="A14" s="8">
        <f>ROWS(A$3:A14)</f>
        <v>12</v>
      </c>
      <c r="B14" s="9" t="str">
        <f t="shared" ref="B14:B16" si="2">TRIM(REPLACE(M14,1,SEARCH(")",M14)+1,""))</f>
        <v>SUMPRODUCT and SUM function for single Cell Formula</v>
      </c>
      <c r="C14" s="10" t="str">
        <f t="shared" ref="C14:C16" si="3">TRIM(LEFT(M14,SEARCH(")",M14)))</f>
        <v>(02:47)</v>
      </c>
      <c r="M14" s="259" t="s">
        <v>1042</v>
      </c>
    </row>
    <row r="15" spans="1:13" x14ac:dyDescent="0.25">
      <c r="A15" s="8">
        <f>ROWS(A$3:A15)</f>
        <v>13</v>
      </c>
      <c r="B15" s="9" t="str">
        <f t="shared" si="2"/>
        <v>Calculate Weighted Average for Accounting COGS and End Inventory</v>
      </c>
      <c r="C15" s="10" t="str">
        <f t="shared" si="3"/>
        <v>(04:47)</v>
      </c>
      <c r="M15" s="259" t="s">
        <v>1043</v>
      </c>
    </row>
    <row r="16" spans="1:13" x14ac:dyDescent="0.25">
      <c r="A16" s="8">
        <f>ROWS(A$3:A16)</f>
        <v>14</v>
      </c>
      <c r="B16" s="9" t="str">
        <f t="shared" si="2"/>
        <v>alculate Weighted Average or “Expected Value” given a Percent Frequency Table</v>
      </c>
      <c r="C16" s="10" t="str">
        <f t="shared" si="3"/>
        <v>(08:10)</v>
      </c>
      <c r="M16" s="259" t="s">
        <v>1044</v>
      </c>
    </row>
    <row r="18" spans="1:13" x14ac:dyDescent="0.25">
      <c r="A18" s="2" t="s">
        <v>1045</v>
      </c>
      <c r="B18" s="3" t="s">
        <v>1046</v>
      </c>
      <c r="C18" s="4"/>
      <c r="D18" s="5"/>
      <c r="E18" s="5"/>
      <c r="F18" s="5"/>
      <c r="G18" s="5"/>
      <c r="H18" s="5"/>
      <c r="I18" s="5"/>
      <c r="J18" s="5"/>
      <c r="K18" s="5"/>
      <c r="L18" s="5"/>
      <c r="M18" s="5"/>
    </row>
    <row r="19" spans="1:13" x14ac:dyDescent="0.25">
      <c r="A19" s="6" t="s">
        <v>2</v>
      </c>
      <c r="B19" s="7" t="s">
        <v>3</v>
      </c>
      <c r="C19" s="6" t="s">
        <v>4</v>
      </c>
      <c r="D19" s="5"/>
      <c r="E19" s="5"/>
      <c r="F19" s="5"/>
      <c r="G19" s="5"/>
      <c r="H19" s="5"/>
      <c r="I19" s="5"/>
      <c r="J19" s="5"/>
      <c r="K19" s="5"/>
      <c r="L19" s="5"/>
      <c r="M19" s="6" t="s">
        <v>5</v>
      </c>
    </row>
    <row r="20" spans="1:13" x14ac:dyDescent="0.25">
      <c r="A20" s="8">
        <f>ROWS(A$20:A20)</f>
        <v>1</v>
      </c>
      <c r="B20" s="9" t="str">
        <f>TRIM(REPLACE(M20,1,SEARCH(")",M20)+1,""))</f>
        <v>Intro to Geometric Mean or Average Compounding Rate</v>
      </c>
      <c r="C20" s="10" t="str">
        <f>TRIM(LEFT(M20,SEARCH(")",M20)))</f>
        <v>(00:09)</v>
      </c>
      <c r="D20" s="5"/>
      <c r="E20" s="5"/>
      <c r="F20" s="5"/>
      <c r="G20" s="5"/>
      <c r="H20" s="5"/>
      <c r="I20" s="5"/>
      <c r="J20" s="5"/>
      <c r="K20" s="5"/>
      <c r="L20" s="5"/>
      <c r="M20" s="259" t="s">
        <v>1047</v>
      </c>
    </row>
    <row r="21" spans="1:13" x14ac:dyDescent="0.25">
      <c r="A21" s="8">
        <f>ROWS(A$20:A21)</f>
        <v>2</v>
      </c>
      <c r="B21" s="9" t="str">
        <f t="shared" ref="B21:B27" si="4">TRIM(REPLACE(M21,1,SEARCH(")",M21)+1,""))</f>
        <v>Growth Rate or Percentage Change Formulas and Growth Factor</v>
      </c>
      <c r="C21" s="10" t="str">
        <f t="shared" ref="C21:C27" si="5">TRIM(LEFT(M21,SEARCH(")",M21)))</f>
        <v>(00:52)</v>
      </c>
      <c r="M21" s="259" t="s">
        <v>1048</v>
      </c>
    </row>
    <row r="22" spans="1:13" x14ac:dyDescent="0.25">
      <c r="A22" s="8">
        <f>ROWS(A$20:A22)</f>
        <v>3</v>
      </c>
      <c r="B22" s="9" t="str">
        <f t="shared" si="4"/>
        <v>Why you should not use the Mean when dealing with Growth Rates</v>
      </c>
      <c r="C22" s="10" t="str">
        <f t="shared" si="5"/>
        <v>(02:36)</v>
      </c>
      <c r="M22" s="259" t="s">
        <v>1049</v>
      </c>
    </row>
    <row r="23" spans="1:13" x14ac:dyDescent="0.25">
      <c r="A23" s="8">
        <f>ROWS(A$20:A23)</f>
        <v>4</v>
      </c>
      <c r="B23" s="9" t="str">
        <f t="shared" si="4"/>
        <v>FV formula</v>
      </c>
      <c r="C23" s="10" t="str">
        <f t="shared" si="5"/>
        <v>(03:15)</v>
      </c>
      <c r="M23" s="259" t="s">
        <v>1050</v>
      </c>
    </row>
    <row r="24" spans="1:13" ht="30" x14ac:dyDescent="0.25">
      <c r="A24" s="8">
        <f>ROWS(A$20:A24)</f>
        <v>5</v>
      </c>
      <c r="B24" s="9" t="str">
        <f t="shared" si="4"/>
        <v>eometric Mean or Average Compounding Rate using GEOMEAN function when you are given a list of growth rates or Percentage Changes. Stock Price Example</v>
      </c>
      <c r="C24" s="10" t="str">
        <f t="shared" si="5"/>
        <v>(04:48)</v>
      </c>
      <c r="M24" s="259" t="s">
        <v>1051</v>
      </c>
    </row>
    <row r="25" spans="1:13" ht="30" x14ac:dyDescent="0.25">
      <c r="A25" s="8">
        <f>ROWS(A$20:A25)</f>
        <v>6</v>
      </c>
      <c r="B25" s="9" t="str">
        <f t="shared" si="4"/>
        <v>Geometric Mean or Average Compounding Rate using Formula 2 and RRI function when you are given a begin amount (PV) and an end amount (FV)) and the number of periods. Stock Price Example</v>
      </c>
      <c r="C25" s="10" t="str">
        <f t="shared" si="5"/>
        <v>(06:25)</v>
      </c>
      <c r="M25" s="259" t="s">
        <v>1052</v>
      </c>
    </row>
    <row r="26" spans="1:13" x14ac:dyDescent="0.25">
      <c r="A26" s="8">
        <f>ROWS(A$20:A26)</f>
        <v>7</v>
      </c>
      <c r="B26" s="9" t="str">
        <f t="shared" si="4"/>
        <v>Investment example</v>
      </c>
      <c r="C26" s="10" t="str">
        <f t="shared" si="5"/>
        <v>(08:08)</v>
      </c>
      <c r="M26" s="259" t="s">
        <v>1053</v>
      </c>
    </row>
    <row r="27" spans="1:13" x14ac:dyDescent="0.25">
      <c r="A27" s="8">
        <f>ROWS(A$20:A27)</f>
        <v>8</v>
      </c>
      <c r="B27" s="9" t="str">
        <f t="shared" si="4"/>
        <v>Population Change example</v>
      </c>
      <c r="C27" s="10" t="str">
        <f t="shared" si="5"/>
        <v>(09:00)</v>
      </c>
      <c r="M27" s="259" t="s">
        <v>1054</v>
      </c>
    </row>
    <row r="29" spans="1:13" x14ac:dyDescent="0.25">
      <c r="A29" s="2" t="s">
        <v>1055</v>
      </c>
      <c r="B29" s="3" t="s">
        <v>1056</v>
      </c>
      <c r="C29" s="4"/>
      <c r="D29" s="5"/>
      <c r="E29" s="5"/>
      <c r="F29" s="5"/>
      <c r="G29" s="5"/>
      <c r="H29" s="5"/>
      <c r="I29" s="5"/>
      <c r="J29" s="5"/>
      <c r="K29" s="5"/>
      <c r="L29" s="5"/>
      <c r="M29" s="5"/>
    </row>
    <row r="30" spans="1:13" x14ac:dyDescent="0.25">
      <c r="A30" s="6" t="s">
        <v>2</v>
      </c>
      <c r="B30" s="7" t="s">
        <v>3</v>
      </c>
      <c r="C30" s="6" t="s">
        <v>4</v>
      </c>
      <c r="D30" s="5"/>
      <c r="E30" s="5"/>
      <c r="F30" s="5"/>
      <c r="G30" s="5"/>
      <c r="H30" s="5"/>
      <c r="I30" s="5"/>
      <c r="J30" s="5"/>
      <c r="K30" s="5"/>
      <c r="L30" s="5"/>
      <c r="M30" s="6" t="s">
        <v>5</v>
      </c>
    </row>
    <row r="31" spans="1:13" x14ac:dyDescent="0.25">
      <c r="A31" s="8">
        <f>ROWS(A$31:A31)</f>
        <v>1</v>
      </c>
      <c r="B31" s="9" t="str">
        <f>TRIM(REPLACE(M31,1,SEARCH(")",M31)+1,""))</f>
        <v>Percentile where position is calculated with P%*(n+1)</v>
      </c>
      <c r="C31" s="10" t="str">
        <f>TRIM(LEFT(M31,SEARCH(")",M31)))</f>
        <v>(00:24)</v>
      </c>
      <c r="D31" s="5"/>
      <c r="E31" s="5"/>
      <c r="F31" s="5"/>
      <c r="G31" s="5"/>
      <c r="H31" s="5"/>
      <c r="I31" s="5"/>
      <c r="J31" s="5"/>
      <c r="K31" s="5"/>
      <c r="L31" s="5"/>
      <c r="M31" s="259" t="s">
        <v>1057</v>
      </c>
    </row>
    <row r="32" spans="1:13" x14ac:dyDescent="0.25">
      <c r="A32" s="8">
        <f>ROWS(A$31:A32)</f>
        <v>2</v>
      </c>
      <c r="B32" s="9" t="str">
        <f t="shared" ref="B32:B46" si="6">TRIM(REPLACE(M32,1,SEARCH(")",M32)+1,""))</f>
        <v>PERCENTILE.EXC function</v>
      </c>
      <c r="C32" s="10" t="str">
        <f t="shared" ref="C32:C46" si="7">TRIM(LEFT(M32,SEARCH(")",M32)))</f>
        <v>(04:26)</v>
      </c>
      <c r="M32" s="259" t="s">
        <v>1058</v>
      </c>
    </row>
    <row r="33" spans="1:13" x14ac:dyDescent="0.25">
      <c r="A33" s="8">
        <f>ROWS(A$31:A33)</f>
        <v>3</v>
      </c>
      <c r="B33" s="9" t="str">
        <f t="shared" si="6"/>
        <v>What percentile tells you</v>
      </c>
      <c r="C33" s="10" t="str">
        <f t="shared" si="7"/>
        <v>(05:18)</v>
      </c>
      <c r="M33" s="259" t="s">
        <v>1059</v>
      </c>
    </row>
    <row r="34" spans="1:13" x14ac:dyDescent="0.25">
      <c r="A34" s="8">
        <f>ROWS(A$31:A34)</f>
        <v>4</v>
      </c>
      <c r="B34" s="9" t="str">
        <f t="shared" si="6"/>
        <v>QUARTILE.EXC function</v>
      </c>
      <c r="C34" s="10" t="str">
        <f t="shared" si="7"/>
        <v>(06:09)</v>
      </c>
      <c r="M34" s="259" t="s">
        <v>1060</v>
      </c>
    </row>
    <row r="35" spans="1:13" x14ac:dyDescent="0.25">
      <c r="A35" s="8">
        <f>ROWS(A$31:A35)</f>
        <v>5</v>
      </c>
      <c r="B35" s="9" t="str">
        <f t="shared" si="6"/>
        <v>PERCENTILERANK.EXC function</v>
      </c>
      <c r="C35" s="10" t="str">
        <f t="shared" si="7"/>
        <v>(06:59)</v>
      </c>
      <c r="M35" s="259" t="s">
        <v>1061</v>
      </c>
    </row>
    <row r="36" spans="1:13" x14ac:dyDescent="0.25">
      <c r="A36" s="8">
        <f>ROWS(A$31:A36)</f>
        <v>6</v>
      </c>
      <c r="B36" s="9" t="str">
        <f t="shared" si="6"/>
        <v>Median</v>
      </c>
      <c r="C36" s="10" t="str">
        <f t="shared" si="7"/>
        <v>(07:45)</v>
      </c>
      <c r="M36" s="259" t="s">
        <v>1062</v>
      </c>
    </row>
    <row r="37" spans="1:13" x14ac:dyDescent="0.25">
      <c r="A37" s="8">
        <f>ROWS(A$31:A37)</f>
        <v>7</v>
      </c>
      <c r="B37" s="9" t="str">
        <f t="shared" si="6"/>
        <v>Quartile 1, 2, 3</v>
      </c>
      <c r="C37" s="10" t="str">
        <f t="shared" si="7"/>
        <v>(08:48)</v>
      </c>
      <c r="M37" s="259" t="s">
        <v>1063</v>
      </c>
    </row>
    <row r="38" spans="1:13" x14ac:dyDescent="0.25">
      <c r="A38" s="8">
        <f>ROWS(A$31:A38)</f>
        <v>8</v>
      </c>
      <c r="B38" s="9" t="str">
        <f t="shared" si="6"/>
        <v>Quintiles</v>
      </c>
      <c r="C38" s="10" t="str">
        <f t="shared" si="7"/>
        <v>(09:34)</v>
      </c>
      <c r="M38" s="259" t="s">
        <v>1064</v>
      </c>
    </row>
    <row r="39" spans="1:13" x14ac:dyDescent="0.25">
      <c r="A39" s="8">
        <f>ROWS(A$31:A39)</f>
        <v>9</v>
      </c>
      <c r="B39" s="9" t="str">
        <f t="shared" si="6"/>
        <v>Deciles</v>
      </c>
      <c r="C39" s="10" t="str">
        <f t="shared" si="7"/>
        <v>(10:03)</v>
      </c>
      <c r="M39" s="259" t="s">
        <v>1065</v>
      </c>
    </row>
    <row r="40" spans="1:13" x14ac:dyDescent="0.25">
      <c r="A40" s="8">
        <f>ROWS(A$31:A40)</f>
        <v>10</v>
      </c>
      <c r="B40" s="9" t="str">
        <f t="shared" si="6"/>
        <v>Percentile rank for whole data set</v>
      </c>
      <c r="C40" s="10" t="str">
        <f t="shared" si="7"/>
        <v>(10:24)</v>
      </c>
      <c r="M40" s="259" t="s">
        <v>1066</v>
      </c>
    </row>
    <row r="41" spans="1:13" x14ac:dyDescent="0.25">
      <c r="A41" s="8">
        <f>ROWS(A$31:A41)</f>
        <v>11</v>
      </c>
      <c r="B41" s="9" t="str">
        <f t="shared" si="6"/>
        <v>PERCENTILE.INC, QUARTILE.INC functions</v>
      </c>
      <c r="C41" s="10" t="str">
        <f t="shared" si="7"/>
        <v>(11:24)</v>
      </c>
      <c r="M41" s="259" t="s">
        <v>1067</v>
      </c>
    </row>
    <row r="42" spans="1:13" x14ac:dyDescent="0.25">
      <c r="A42" s="8">
        <f>ROWS(A$31:A42)</f>
        <v>12</v>
      </c>
      <c r="B42" s="9" t="str">
        <f t="shared" si="6"/>
        <v>Five Number Summary</v>
      </c>
      <c r="C42" s="10" t="str">
        <f t="shared" si="7"/>
        <v>(14:13)</v>
      </c>
      <c r="M42" s="259" t="s">
        <v>1068</v>
      </c>
    </row>
    <row r="43" spans="1:13" x14ac:dyDescent="0.25">
      <c r="A43" s="8">
        <f>ROWS(A$31:A43)</f>
        <v>13</v>
      </c>
      <c r="B43" s="9" t="str">
        <f t="shared" si="6"/>
        <v>Big Data Set to see that PERCENTILE.INC and PERCENTILE.EXC are very close if not exactly the same.</v>
      </c>
      <c r="C43" s="10" t="str">
        <f t="shared" si="7"/>
        <v>(14:40)</v>
      </c>
      <c r="M43" s="259" t="s">
        <v>1069</v>
      </c>
    </row>
    <row r="44" spans="1:13" x14ac:dyDescent="0.25">
      <c r="A44" s="8">
        <f>ROWS(A$31:A44)</f>
        <v>14</v>
      </c>
      <c r="B44" s="9" t="str">
        <f t="shared" si="6"/>
        <v>Ranking. RANK,EQ and RANK.AVE functions</v>
      </c>
      <c r="C44" s="10" t="str">
        <f t="shared" si="7"/>
        <v>(16:29)</v>
      </c>
      <c r="M44" s="259" t="s">
        <v>1070</v>
      </c>
    </row>
    <row r="45" spans="1:13" x14ac:dyDescent="0.25">
      <c r="A45" s="8">
        <f>ROWS(A$31:A45)</f>
        <v>15</v>
      </c>
      <c r="B45" s="9" t="str">
        <f t="shared" si="6"/>
        <v>PERCENTILERANK.INC function</v>
      </c>
      <c r="C45" s="10" t="str">
        <f t="shared" si="7"/>
        <v>(18:46)</v>
      </c>
      <c r="M45" s="259" t="s">
        <v>1072</v>
      </c>
    </row>
    <row r="46" spans="1:13" x14ac:dyDescent="0.25">
      <c r="A46" s="8">
        <f>ROWS(A$31:A46)</f>
        <v>16</v>
      </c>
      <c r="B46" s="9" t="str">
        <f t="shared" si="6"/>
        <v>Data Ribbon Tab, Analysis group, Data Analysis, Rank and Percentile feature</v>
      </c>
      <c r="C46" s="10" t="str">
        <f t="shared" si="7"/>
        <v>(19:00)</v>
      </c>
      <c r="M46" s="259" t="s">
        <v>1071</v>
      </c>
    </row>
    <row r="48" spans="1:13" x14ac:dyDescent="0.25">
      <c r="A48" s="2" t="s">
        <v>1073</v>
      </c>
      <c r="B48" s="3" t="s">
        <v>1074</v>
      </c>
      <c r="C48" s="4"/>
      <c r="D48" s="5"/>
      <c r="E48" s="5"/>
      <c r="F48" s="5"/>
      <c r="G48" s="5"/>
      <c r="H48" s="5"/>
      <c r="I48" s="5"/>
      <c r="J48" s="5"/>
      <c r="K48" s="5"/>
      <c r="L48" s="5"/>
      <c r="M48" s="5"/>
    </row>
    <row r="49" spans="1:13" x14ac:dyDescent="0.25">
      <c r="A49" s="6" t="s">
        <v>2</v>
      </c>
      <c r="B49" s="7" t="s">
        <v>3</v>
      </c>
      <c r="C49" s="6" t="s">
        <v>4</v>
      </c>
      <c r="D49" s="5"/>
      <c r="E49" s="5"/>
      <c r="F49" s="5"/>
      <c r="G49" s="5"/>
      <c r="H49" s="5"/>
      <c r="I49" s="5"/>
      <c r="J49" s="5"/>
      <c r="K49" s="5"/>
      <c r="L49" s="5"/>
      <c r="M49" s="6" t="s">
        <v>5</v>
      </c>
    </row>
    <row r="50" spans="1:13" ht="30" x14ac:dyDescent="0.25">
      <c r="A50" s="8">
        <f>ROWS(A$50:A50)</f>
        <v>1</v>
      </c>
      <c r="B50" s="9" t="str">
        <f>TRIM(REPLACE(M50,1,SEARCH(")",M50)+1,""))</f>
        <v>Three data sets and charts of each to illustrate the concept of Variability, or Dispersion, or Spread in the Data.</v>
      </c>
      <c r="C50" s="10" t="str">
        <f>TRIM(LEFT(M50,SEARCH(")",M50)))</f>
        <v>(00:09)</v>
      </c>
      <c r="D50" s="5"/>
      <c r="E50" s="5"/>
      <c r="F50" s="5"/>
      <c r="G50" s="5"/>
      <c r="H50" s="5"/>
      <c r="I50" s="5"/>
      <c r="J50" s="5"/>
      <c r="K50" s="5"/>
      <c r="L50" s="5"/>
      <c r="M50" s="259" t="s">
        <v>1075</v>
      </c>
    </row>
    <row r="51" spans="1:13" ht="30" x14ac:dyDescent="0.25">
      <c r="A51" s="8">
        <f>ROWS(A$50:A51)</f>
        <v>2</v>
      </c>
      <c r="B51" s="9" t="str">
        <f t="shared" ref="B51:B65" si="8">TRIM(REPLACE(M51,1,SEARCH(")",M51)+1,""))</f>
        <v>Set 1 (Hours Worked per Week Data), we ask the question: How fairly does the mean represent its data points?</v>
      </c>
      <c r="C51" s="10" t="str">
        <f t="shared" ref="C51:C65" si="9">TRIM(LEFT(M51,SEARCH(")",M51)))</f>
        <v>(00:20)</v>
      </c>
      <c r="M51" s="259" t="s">
        <v>1076</v>
      </c>
    </row>
    <row r="52" spans="1:13" x14ac:dyDescent="0.25">
      <c r="A52" s="8">
        <f>ROWS(A$50:A52)</f>
        <v>3</v>
      </c>
      <c r="B52" s="9" t="str">
        <f t="shared" si="8"/>
        <v>Set 2 (Seattle and Burien Gas Prices), we ask the question: How volatile are Prices?</v>
      </c>
      <c r="C52" s="10" t="str">
        <f t="shared" si="9"/>
        <v>(02:37)</v>
      </c>
      <c r="M52" s="259" t="s">
        <v>1077</v>
      </c>
    </row>
    <row r="53" spans="1:13" x14ac:dyDescent="0.25">
      <c r="A53" s="8">
        <f>ROWS(A$50:A53)</f>
        <v>4</v>
      </c>
      <c r="B53" s="9" t="str">
        <f t="shared" si="8"/>
        <v>Set 3 (Supplier Days To Fill Order Data), we ask the question: How reliable is a Supplier?</v>
      </c>
      <c r="C53" s="10" t="str">
        <f t="shared" si="9"/>
        <v>(03:17)</v>
      </c>
      <c r="M53" s="259" t="s">
        <v>1078</v>
      </c>
    </row>
    <row r="54" spans="1:13" x14ac:dyDescent="0.25">
      <c r="A54" s="8">
        <f>ROWS(A$50:A54)</f>
        <v>5</v>
      </c>
      <c r="B54" s="9" t="str">
        <f t="shared" si="8"/>
        <v>Calculate Range: Max - Min</v>
      </c>
      <c r="C54" s="10" t="str">
        <f t="shared" si="9"/>
        <v>(04:37)</v>
      </c>
      <c r="M54" s="259" t="s">
        <v>1079</v>
      </c>
    </row>
    <row r="55" spans="1:13" x14ac:dyDescent="0.25">
      <c r="A55" s="8">
        <f>ROWS(A$50:A55)</f>
        <v>6</v>
      </c>
      <c r="B55" s="9" t="str">
        <f t="shared" si="8"/>
        <v>Calculate Interquartile range: Quartile 3 – Quartile 1 = Middle 50% of the values</v>
      </c>
      <c r="C55" s="10" t="str">
        <f t="shared" si="9"/>
        <v>(05:50)</v>
      </c>
      <c r="M55" s="259" t="s">
        <v>1080</v>
      </c>
    </row>
    <row r="56" spans="1:13" x14ac:dyDescent="0.25">
      <c r="A56" s="8">
        <f>ROWS(A$50:A56)</f>
        <v>7</v>
      </c>
      <c r="B56" s="9" t="str">
        <f t="shared" si="8"/>
        <v>Variance and Standard Deviation Math Formulas for populations and samples.</v>
      </c>
      <c r="C56" s="10" t="str">
        <f t="shared" si="9"/>
        <v>(07:17)</v>
      </c>
      <c r="M56" s="259" t="s">
        <v>1081</v>
      </c>
    </row>
    <row r="57" spans="1:13" ht="30" x14ac:dyDescent="0.25">
      <c r="A57" s="8">
        <f>ROWS(A$50:A57)</f>
        <v>8</v>
      </c>
      <c r="B57" s="9" t="str">
        <f t="shared" si="8"/>
        <v>Calculate Sample Standard Deviation Long Hand and with STDEV.S for Data Set 3 (Supplier Days To Fill Order Data), were we ask the question: How reliable is a Supplier?</v>
      </c>
      <c r="C57" s="10" t="str">
        <f t="shared" si="9"/>
        <v>(08:13)</v>
      </c>
      <c r="M57" s="259" t="s">
        <v>1082</v>
      </c>
    </row>
    <row r="58" spans="1:13" x14ac:dyDescent="0.25">
      <c r="A58" s="8">
        <f>ROWS(A$50:A58)</f>
        <v>9</v>
      </c>
      <c r="B58" s="9" t="str">
        <f t="shared" si="8"/>
        <v>Alternative Formula for Sample Standard Deviation</v>
      </c>
      <c r="C58" s="10" t="str">
        <f t="shared" si="9"/>
        <v>(16:45)</v>
      </c>
      <c r="M58" s="259" t="s">
        <v>1083</v>
      </c>
    </row>
    <row r="59" spans="1:13" x14ac:dyDescent="0.25">
      <c r="A59" s="8">
        <f>ROWS(A$50:A59)</f>
        <v>10</v>
      </c>
      <c r="B59" s="9" t="str">
        <f t="shared" si="8"/>
        <v>Mean Absolute Error Formula</v>
      </c>
      <c r="C59" s="10" t="str">
        <f t="shared" si="9"/>
        <v>(17:05)</v>
      </c>
      <c r="M59" s="259" t="s">
        <v>1084</v>
      </c>
    </row>
    <row r="60" spans="1:13" ht="30" x14ac:dyDescent="0.25">
      <c r="A60" s="8">
        <f>ROWS(A$50:A60)</f>
        <v>11</v>
      </c>
      <c r="B60" s="9" t="str">
        <f t="shared" si="8"/>
        <v>Calculate Sample Standard Deviation with STDEV.S for Data Set 1, (Hours Worked per Week Data) were we ask the question: How fairly does the mean represent its data points?</v>
      </c>
      <c r="C60" s="10" t="str">
        <f t="shared" si="9"/>
        <v>(17:20)</v>
      </c>
      <c r="M60" s="259" t="s">
        <v>1085</v>
      </c>
    </row>
    <row r="61" spans="1:13" ht="30" x14ac:dyDescent="0.25">
      <c r="A61" s="8">
        <f>ROWS(A$50:A61)</f>
        <v>12</v>
      </c>
      <c r="B61" s="9" t="str">
        <f t="shared" si="8"/>
        <v>Calculate Sample Standard Deviation with STDEV.S for Set 2 (Seattle and Burien Gas Prices), were we ask the question: How volatile are Prices?</v>
      </c>
      <c r="C61" s="10" t="str">
        <f t="shared" si="9"/>
        <v>(18:06)</v>
      </c>
      <c r="M61" s="259" t="s">
        <v>1086</v>
      </c>
    </row>
    <row r="62" spans="1:13" x14ac:dyDescent="0.25">
      <c r="A62" s="8">
        <f>ROWS(A$50:A62)</f>
        <v>13</v>
      </c>
      <c r="B62" s="9" t="str">
        <f t="shared" si="8"/>
        <v>Coefficient of Variation</v>
      </c>
      <c r="C62" s="10" t="str">
        <f t="shared" si="9"/>
        <v>(19:25)</v>
      </c>
      <c r="M62" s="259" t="s">
        <v>1087</v>
      </c>
    </row>
    <row r="63" spans="1:13" ht="30" x14ac:dyDescent="0.25">
      <c r="A63" s="8">
        <f>ROWS(A$50:A63)</f>
        <v>14</v>
      </c>
      <c r="B63" s="9" t="str">
        <f t="shared" si="8"/>
        <v>Using Descriptive Statistics feature to quickly calculate Numerical Measures like Mean, Median, Mode, Standard Deviation and more</v>
      </c>
      <c r="C63" s="10" t="str">
        <f t="shared" si="9"/>
        <v>(23:25)</v>
      </c>
      <c r="M63" s="259" t="s">
        <v>1088</v>
      </c>
    </row>
    <row r="64" spans="1:13" x14ac:dyDescent="0.25">
      <c r="A64" s="8">
        <f>ROWS(A$50:A64)</f>
        <v>15</v>
      </c>
      <c r="B64" s="9" t="str">
        <f t="shared" si="8"/>
        <v>X-Y Scatter Chart to Visually Portray Variation or Dispersion or Spread in the Data.</v>
      </c>
      <c r="C64" s="10" t="str">
        <f t="shared" si="9"/>
        <v>(24:52)</v>
      </c>
      <c r="M64" s="259" t="s">
        <v>1089</v>
      </c>
    </row>
    <row r="65" spans="1:13" x14ac:dyDescent="0.25">
      <c r="A65" s="8">
        <f>ROWS(A$50:A65)</f>
        <v>16</v>
      </c>
      <c r="B65" s="9" t="str">
        <f t="shared" si="8"/>
        <v>Summary of topics in video</v>
      </c>
      <c r="C65" s="10" t="str">
        <f t="shared" si="9"/>
        <v>(25:09)</v>
      </c>
      <c r="M65" s="259" t="s">
        <v>1090</v>
      </c>
    </row>
    <row r="67" spans="1:13" x14ac:dyDescent="0.25">
      <c r="A67" s="2" t="s">
        <v>1091</v>
      </c>
      <c r="B67" s="3" t="s">
        <v>1092</v>
      </c>
      <c r="C67" s="4"/>
      <c r="D67" s="5"/>
      <c r="E67" s="5"/>
      <c r="F67" s="5"/>
      <c r="G67" s="5"/>
      <c r="H67" s="5"/>
      <c r="I67" s="5"/>
      <c r="J67" s="5"/>
      <c r="K67" s="5"/>
      <c r="L67" s="5"/>
      <c r="M67" s="5"/>
    </row>
    <row r="68" spans="1:13" x14ac:dyDescent="0.25">
      <c r="A68" s="6" t="s">
        <v>2</v>
      </c>
      <c r="B68" s="7" t="s">
        <v>3</v>
      </c>
      <c r="C68" s="6" t="s">
        <v>4</v>
      </c>
      <c r="D68" s="5"/>
      <c r="E68" s="5"/>
      <c r="F68" s="5"/>
      <c r="G68" s="5"/>
      <c r="H68" s="5"/>
      <c r="I68" s="5"/>
      <c r="J68" s="5"/>
      <c r="K68" s="5"/>
      <c r="L68" s="5"/>
      <c r="M68" s="6" t="s">
        <v>5</v>
      </c>
    </row>
    <row r="69" spans="1:13" x14ac:dyDescent="0.25">
      <c r="A69" s="8">
        <f>ROWS(A$69:A69)</f>
        <v>1</v>
      </c>
      <c r="B69" s="261" t="s">
        <v>1093</v>
      </c>
      <c r="C69" s="10" t="s">
        <v>1094</v>
      </c>
      <c r="D69" s="5"/>
      <c r="E69" s="5"/>
      <c r="F69" s="5"/>
      <c r="G69" s="5"/>
      <c r="H69" s="5"/>
      <c r="I69" s="5"/>
      <c r="J69" s="5"/>
      <c r="K69" s="5"/>
      <c r="L69" s="5"/>
      <c r="M69" s="260" t="s">
        <v>1093</v>
      </c>
    </row>
    <row r="71" spans="1:13" x14ac:dyDescent="0.25">
      <c r="A71" s="2" t="s">
        <v>1096</v>
      </c>
      <c r="B71" s="3" t="s">
        <v>1095</v>
      </c>
      <c r="C71" s="4"/>
      <c r="D71" s="5"/>
      <c r="E71" s="5"/>
      <c r="F71" s="5"/>
      <c r="G71" s="5"/>
      <c r="H71" s="5"/>
      <c r="I71" s="5"/>
      <c r="J71" s="5"/>
      <c r="K71" s="5"/>
      <c r="L71" s="5"/>
      <c r="M71" s="5"/>
    </row>
    <row r="72" spans="1:13" x14ac:dyDescent="0.25">
      <c r="A72" s="6" t="s">
        <v>2</v>
      </c>
      <c r="B72" s="7" t="s">
        <v>3</v>
      </c>
      <c r="C72" s="6" t="s">
        <v>4</v>
      </c>
      <c r="D72" s="5"/>
      <c r="E72" s="5"/>
      <c r="F72" s="5"/>
      <c r="G72" s="5"/>
      <c r="H72" s="5"/>
      <c r="I72" s="5"/>
      <c r="J72" s="5"/>
      <c r="K72" s="5"/>
      <c r="L72" s="5"/>
      <c r="M72" s="6" t="s">
        <v>5</v>
      </c>
    </row>
    <row r="73" spans="1:13" ht="30" x14ac:dyDescent="0.25">
      <c r="A73" s="8">
        <f>ROWS(A$73:A73)</f>
        <v>1</v>
      </c>
      <c r="B73" s="9" t="str">
        <f>TRIM(REPLACE(M73,1,SEARCH(")",M73)+1,""))</f>
        <v>Calculate z score. Z Score is the Number of Standard Deviations a particular value is away from the mean. Deviation divided by Standard Deviation formula or STANDARDIZE function.</v>
      </c>
      <c r="C73" s="10" t="str">
        <f>TRIM(LEFT(M73,SEARCH(")",M73)))</f>
        <v>(00:09)</v>
      </c>
      <c r="D73" s="5"/>
      <c r="E73" s="5"/>
      <c r="F73" s="5"/>
      <c r="G73" s="5"/>
      <c r="H73" s="5"/>
      <c r="I73" s="5"/>
      <c r="J73" s="5"/>
      <c r="K73" s="5"/>
      <c r="L73" s="5"/>
      <c r="M73" s="259" t="s">
        <v>1097</v>
      </c>
    </row>
    <row r="74" spans="1:13" x14ac:dyDescent="0.25">
      <c r="A74" s="8">
        <f>ROWS(A$73:A74)</f>
        <v>2</v>
      </c>
      <c r="B74" s="9" t="str">
        <f t="shared" ref="B74:B75" si="10">TRIM(REPLACE(M74,1,SEARCH(")",M74)+1,""))</f>
        <v>Chebshev’s Rule: 5 Examples</v>
      </c>
      <c r="C74" s="10" t="str">
        <f t="shared" ref="C74:C75" si="11">TRIM(LEFT(M74,SEARCH(")",M74)))</f>
        <v>(08:15)</v>
      </c>
      <c r="M74" s="259" t="s">
        <v>1098</v>
      </c>
    </row>
    <row r="75" spans="1:13" x14ac:dyDescent="0.25">
      <c r="A75" s="8">
        <f>ROWS(A$73:A75)</f>
        <v>3</v>
      </c>
      <c r="B75" s="9" t="str">
        <f t="shared" si="10"/>
        <v>Empirical Rule: 12 Examples</v>
      </c>
      <c r="C75" s="10" t="str">
        <f t="shared" si="11"/>
        <v>(14:03)</v>
      </c>
      <c r="M75" s="259" t="s">
        <v>1099</v>
      </c>
    </row>
    <row r="77" spans="1:13" x14ac:dyDescent="0.25">
      <c r="A77" s="2" t="s">
        <v>1100</v>
      </c>
      <c r="B77" s="3" t="s">
        <v>1095</v>
      </c>
      <c r="C77" s="4"/>
      <c r="D77" s="5"/>
      <c r="E77" s="5"/>
      <c r="F77" s="5"/>
      <c r="G77" s="5"/>
      <c r="H77" s="5"/>
      <c r="I77" s="5"/>
      <c r="J77" s="5"/>
      <c r="K77" s="5"/>
      <c r="L77" s="5"/>
      <c r="M77" s="5"/>
    </row>
    <row r="78" spans="1:13" x14ac:dyDescent="0.25">
      <c r="A78" s="6" t="s">
        <v>2</v>
      </c>
      <c r="B78" s="7" t="s">
        <v>3</v>
      </c>
      <c r="C78" s="6" t="s">
        <v>4</v>
      </c>
      <c r="D78" s="5"/>
      <c r="E78" s="5"/>
      <c r="F78" s="5"/>
      <c r="G78" s="5"/>
      <c r="H78" s="5"/>
      <c r="I78" s="5"/>
      <c r="J78" s="5"/>
      <c r="K78" s="5"/>
      <c r="L78" s="5"/>
      <c r="M78" s="6" t="s">
        <v>5</v>
      </c>
    </row>
    <row r="79" spans="1:13" x14ac:dyDescent="0.25">
      <c r="A79" s="8">
        <f>ROWS(A$79:A79)</f>
        <v>1</v>
      </c>
      <c r="B79" s="9" t="str">
        <f>TRIM(REPLACE(M79,1,SEARCH(")",M79)+1,""))</f>
        <v>Five Number Summary: Min, Quartile 1, Quartile 2, Quartile 3 and Max</v>
      </c>
      <c r="C79" s="10" t="str">
        <f>TRIM(LEFT(M79,SEARCH(")",M79)))</f>
        <v>(00:09)</v>
      </c>
      <c r="D79" s="5"/>
      <c r="E79" s="5"/>
      <c r="F79" s="5"/>
      <c r="G79" s="5"/>
      <c r="H79" s="5"/>
      <c r="I79" s="5"/>
      <c r="J79" s="5"/>
      <c r="K79" s="5"/>
      <c r="L79" s="5"/>
      <c r="M79" s="259" t="s">
        <v>1101</v>
      </c>
    </row>
    <row r="80" spans="1:13" ht="30" x14ac:dyDescent="0.25">
      <c r="A80" s="8">
        <f>ROWS(A$79:A80)</f>
        <v>2</v>
      </c>
      <c r="B80" s="9" t="str">
        <f t="shared" ref="B80:B84" si="12">TRIM(REPLACE(M80,1,SEARCH(")",M80)+1,""))</f>
        <v>Box Plots: Visual Summary of the Five Number Summary. How to calculate numbers with Excel and draw chart on paper</v>
      </c>
      <c r="C80" s="10" t="str">
        <f t="shared" ref="C80:C84" si="13">TRIM(LEFT(M80,SEARCH(")",M80)))</f>
        <v>(02:41)</v>
      </c>
      <c r="M80" s="259" t="s">
        <v>1102</v>
      </c>
    </row>
    <row r="81" spans="1:13" x14ac:dyDescent="0.25">
      <c r="A81" s="8">
        <f>ROWS(A$79:A81)</f>
        <v>3</v>
      </c>
      <c r="B81" s="9" t="str">
        <f t="shared" si="12"/>
        <v>+/- 3 Standard Deviation Outliers</v>
      </c>
      <c r="C81" s="10" t="str">
        <f t="shared" si="13"/>
        <v>(07:55)</v>
      </c>
      <c r="M81" s="259" t="s">
        <v>1103</v>
      </c>
    </row>
    <row r="82" spans="1:13" x14ac:dyDescent="0.25">
      <c r="A82" s="8">
        <f>ROWS(A$79:A82)</f>
        <v>4</v>
      </c>
      <c r="B82" s="9" t="str">
        <f t="shared" si="12"/>
        <v>ABS function to find outliers</v>
      </c>
      <c r="C82" s="10" t="str">
        <f t="shared" si="13"/>
        <v>(08:37)</v>
      </c>
      <c r="M82" s="259" t="s">
        <v>1104</v>
      </c>
    </row>
    <row r="83" spans="1:13" x14ac:dyDescent="0.25">
      <c r="A83" s="8">
        <f>ROWS(A$79:A83)</f>
        <v>5</v>
      </c>
      <c r="B83" s="9" t="str">
        <f t="shared" si="12"/>
        <v>+/- 3 Standard Deviation Outliers, COUNTIFS to count TRUE values</v>
      </c>
      <c r="C83" s="10" t="str">
        <f t="shared" si="13"/>
        <v>(09:17)</v>
      </c>
      <c r="M83" s="259" t="s">
        <v>1105</v>
      </c>
    </row>
    <row r="84" spans="1:13" x14ac:dyDescent="0.25">
      <c r="A84" s="8">
        <f>ROWS(A$79:A84)</f>
        <v>6</v>
      </c>
      <c r="B84" s="9" t="str">
        <f t="shared" si="12"/>
        <v>+/- 3 Standard Deviation Outliers, Conditional Formatting to highlight Outliers</v>
      </c>
      <c r="C84" s="10" t="str">
        <f t="shared" si="13"/>
        <v>(10:08)</v>
      </c>
      <c r="M84" s="259" t="s">
        <v>1106</v>
      </c>
    </row>
    <row r="86" spans="1:13" x14ac:dyDescent="0.25">
      <c r="A86" s="2" t="s">
        <v>1111</v>
      </c>
      <c r="B86" s="3" t="s">
        <v>1112</v>
      </c>
      <c r="C86" s="4"/>
      <c r="D86" s="5"/>
      <c r="E86" s="5"/>
      <c r="F86" s="5"/>
      <c r="G86" s="5"/>
      <c r="H86" s="5"/>
      <c r="I86" s="5"/>
      <c r="J86" s="5"/>
      <c r="K86" s="5"/>
      <c r="L86" s="5"/>
      <c r="M86" s="5"/>
    </row>
    <row r="87" spans="1:13" x14ac:dyDescent="0.25">
      <c r="A87" s="6" t="s">
        <v>2</v>
      </c>
      <c r="B87" s="7" t="s">
        <v>3</v>
      </c>
      <c r="C87" s="6" t="s">
        <v>4</v>
      </c>
      <c r="D87" s="5"/>
      <c r="E87" s="5"/>
      <c r="F87" s="5"/>
      <c r="G87" s="5"/>
      <c r="H87" s="5"/>
      <c r="I87" s="5"/>
      <c r="J87" s="5"/>
      <c r="K87" s="5"/>
      <c r="L87" s="5"/>
      <c r="M87" s="6" t="s">
        <v>5</v>
      </c>
    </row>
    <row r="88" spans="1:13" x14ac:dyDescent="0.25">
      <c r="A88" s="8">
        <f>ROWS(A$88:A88)</f>
        <v>1</v>
      </c>
      <c r="B88" s="9" t="str">
        <f>TRIM(REPLACE(M88,1,SEARCH(")",M88)+1,""))</f>
        <v>Review of different X-Y Scatter</v>
      </c>
      <c r="C88" s="10" t="str">
        <f>TRIM(LEFT(M88,SEARCH(")",M88)))</f>
        <v>(00:15)</v>
      </c>
      <c r="D88" s="5"/>
      <c r="E88" s="5"/>
      <c r="F88" s="5"/>
      <c r="G88" s="5"/>
      <c r="H88" s="5"/>
      <c r="I88" s="5"/>
      <c r="J88" s="5"/>
      <c r="K88" s="5"/>
      <c r="L88" s="5"/>
      <c r="M88" s="259" t="s">
        <v>1113</v>
      </c>
    </row>
    <row r="89" spans="1:13" ht="30" x14ac:dyDescent="0.25">
      <c r="A89" s="8">
        <f>ROWS(A$88:A89)</f>
        <v>2</v>
      </c>
      <c r="B89" s="9" t="str">
        <f t="shared" ref="B89:B94" si="14">TRIM(REPLACE(M89,1,SEARCH(")",M89)+1,""))</f>
        <v>Add Xbar Line and Ybar Line to X Y Scatter Chart to help interpret how Covariance is calculated and why the math behind the calculation makes sense</v>
      </c>
      <c r="C89" s="10" t="str">
        <f t="shared" ref="C89:C94" si="15">TRIM(LEFT(M89,SEARCH(")",M89)))</f>
        <v>(02:42)</v>
      </c>
      <c r="M89" s="259" t="s">
        <v>1114</v>
      </c>
    </row>
    <row r="90" spans="1:13" x14ac:dyDescent="0.25">
      <c r="A90" s="8">
        <f>ROWS(A$88:A90)</f>
        <v>3</v>
      </c>
      <c r="B90" s="9" t="str">
        <f t="shared" si="14"/>
        <v>Formulas and Calculations for Covariance and Correlation Coefficient (Long Hand)</v>
      </c>
      <c r="C90" s="10" t="str">
        <f t="shared" si="15"/>
        <v>(08:36)</v>
      </c>
      <c r="M90" s="259" t="s">
        <v>1115</v>
      </c>
    </row>
    <row r="91" spans="1:13" x14ac:dyDescent="0.25">
      <c r="A91" s="8">
        <f>ROWS(A$88:A91)</f>
        <v>4</v>
      </c>
      <c r="B91" s="9" t="str">
        <f t="shared" si="14"/>
        <v>COVARIANCE.S Excel function for calculation Sample Covariance</v>
      </c>
      <c r="C91" s="10" t="str">
        <f t="shared" si="15"/>
        <v>(12:38)</v>
      </c>
      <c r="M91" s="259" t="s">
        <v>1116</v>
      </c>
    </row>
    <row r="92" spans="1:13" x14ac:dyDescent="0.25">
      <c r="A92" s="8">
        <f>ROWS(A$88:A92)</f>
        <v>5</v>
      </c>
      <c r="B92" s="9" t="str">
        <f t="shared" si="14"/>
        <v>Correlation Coefficient &amp; PEARSON Excel function for calculation Correlation Coefficient</v>
      </c>
      <c r="C92" s="10" t="str">
        <f t="shared" si="15"/>
        <v>(13:41)</v>
      </c>
      <c r="M92" s="259" t="s">
        <v>1117</v>
      </c>
    </row>
    <row r="93" spans="1:13" x14ac:dyDescent="0.25">
      <c r="A93" s="8">
        <f>ROWS(A$88:A93)</f>
        <v>6</v>
      </c>
      <c r="B93" s="9" t="str">
        <f t="shared" si="14"/>
        <v>CORREL Excel function for calculation Correlation Coefficient</v>
      </c>
      <c r="C93" s="10" t="str">
        <f t="shared" si="15"/>
        <v>(16:11)</v>
      </c>
      <c r="M93" s="259" t="s">
        <v>1118</v>
      </c>
    </row>
    <row r="94" spans="1:13" x14ac:dyDescent="0.25">
      <c r="A94" s="8">
        <f>ROWS(A$88:A94)</f>
        <v>7</v>
      </c>
      <c r="B94" s="9" t="str">
        <f t="shared" si="14"/>
        <v>Summary</v>
      </c>
      <c r="C94" s="10" t="str">
        <f t="shared" si="15"/>
        <v>(18:50)</v>
      </c>
      <c r="M94" s="259" t="s">
        <v>1119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sheetPr>
  <dimension ref="A1:D35"/>
  <sheetViews>
    <sheetView topLeftCell="A19" workbookViewId="0">
      <selection activeCell="B35" sqref="B35"/>
    </sheetView>
  </sheetViews>
  <sheetFormatPr defaultRowHeight="15" x14ac:dyDescent="0.25"/>
  <cols>
    <col min="1" max="1" width="13.85546875" customWidth="1"/>
    <col min="2" max="2" width="47.5703125" customWidth="1"/>
    <col min="3" max="3" width="28.140625" customWidth="1"/>
    <col min="4" max="4" width="23.5703125" customWidth="1"/>
  </cols>
  <sheetData>
    <row r="1" spans="1:4" x14ac:dyDescent="0.25">
      <c r="A1" s="17" t="s">
        <v>6</v>
      </c>
      <c r="B1" s="18" t="s">
        <v>7</v>
      </c>
      <c r="C1" s="18" t="s">
        <v>8</v>
      </c>
      <c r="D1" s="18" t="s">
        <v>9</v>
      </c>
    </row>
    <row r="2" spans="1:4" x14ac:dyDescent="0.25">
      <c r="A2" s="15">
        <v>1</v>
      </c>
      <c r="B2" s="12" t="s">
        <v>10</v>
      </c>
      <c r="C2" s="11" t="s">
        <v>11</v>
      </c>
      <c r="D2" s="11" t="s">
        <v>12</v>
      </c>
    </row>
    <row r="3" spans="1:4" x14ac:dyDescent="0.25">
      <c r="A3" s="16">
        <v>2</v>
      </c>
      <c r="B3" s="14" t="s">
        <v>13</v>
      </c>
      <c r="C3" s="13" t="s">
        <v>14</v>
      </c>
      <c r="D3" s="13" t="s">
        <v>15</v>
      </c>
    </row>
    <row r="4" spans="1:4" x14ac:dyDescent="0.25">
      <c r="A4" s="15">
        <v>3</v>
      </c>
      <c r="B4" s="12" t="s">
        <v>16</v>
      </c>
      <c r="C4" s="11" t="s">
        <v>17</v>
      </c>
      <c r="D4" s="11" t="s">
        <v>15</v>
      </c>
    </row>
    <row r="5" spans="1:4" x14ac:dyDescent="0.25">
      <c r="A5" s="16">
        <v>4</v>
      </c>
      <c r="B5" s="14" t="s">
        <v>18</v>
      </c>
      <c r="C5" s="13" t="s">
        <v>19</v>
      </c>
      <c r="D5" s="13" t="s">
        <v>20</v>
      </c>
    </row>
    <row r="6" spans="1:4" x14ac:dyDescent="0.25">
      <c r="A6" s="15">
        <v>5</v>
      </c>
      <c r="B6" s="12" t="s">
        <v>21</v>
      </c>
      <c r="C6" s="11" t="s">
        <v>22</v>
      </c>
      <c r="D6" s="11" t="s">
        <v>20</v>
      </c>
    </row>
    <row r="7" spans="1:4" x14ac:dyDescent="0.25">
      <c r="A7" s="16">
        <v>6</v>
      </c>
      <c r="B7" s="14" t="s">
        <v>23</v>
      </c>
      <c r="C7" s="13" t="s">
        <v>24</v>
      </c>
      <c r="D7" s="13" t="s">
        <v>20</v>
      </c>
    </row>
    <row r="8" spans="1:4" x14ac:dyDescent="0.25">
      <c r="A8" s="15">
        <v>7</v>
      </c>
      <c r="B8" s="12" t="s">
        <v>25</v>
      </c>
      <c r="C8" s="11" t="s">
        <v>26</v>
      </c>
      <c r="D8" s="11" t="s">
        <v>20</v>
      </c>
    </row>
    <row r="9" spans="1:4" x14ac:dyDescent="0.25">
      <c r="A9" s="16">
        <v>8</v>
      </c>
      <c r="B9" s="14" t="s">
        <v>27</v>
      </c>
      <c r="C9" s="13" t="s">
        <v>28</v>
      </c>
      <c r="D9" s="13" t="s">
        <v>20</v>
      </c>
    </row>
    <row r="10" spans="1:4" x14ac:dyDescent="0.25">
      <c r="A10" s="15">
        <v>9</v>
      </c>
      <c r="B10" s="12" t="s">
        <v>29</v>
      </c>
      <c r="C10" s="11" t="s">
        <v>30</v>
      </c>
      <c r="D10" s="11" t="s">
        <v>31</v>
      </c>
    </row>
    <row r="11" spans="1:4" x14ac:dyDescent="0.25">
      <c r="A11" s="16">
        <v>10</v>
      </c>
      <c r="B11" s="14" t="s">
        <v>32</v>
      </c>
      <c r="C11" s="13" t="s">
        <v>33</v>
      </c>
      <c r="D11" s="13" t="s">
        <v>31</v>
      </c>
    </row>
    <row r="12" spans="1:4" x14ac:dyDescent="0.25">
      <c r="A12" s="15">
        <v>11</v>
      </c>
      <c r="B12" s="12" t="s">
        <v>34</v>
      </c>
      <c r="C12" s="11" t="s">
        <v>35</v>
      </c>
      <c r="D12" s="11" t="s">
        <v>31</v>
      </c>
    </row>
    <row r="13" spans="1:4" x14ac:dyDescent="0.25">
      <c r="A13" s="16">
        <v>12</v>
      </c>
      <c r="B13" s="14" t="s">
        <v>36</v>
      </c>
      <c r="C13" s="13" t="s">
        <v>37</v>
      </c>
      <c r="D13" s="13" t="s">
        <v>20</v>
      </c>
    </row>
    <row r="14" spans="1:4" x14ac:dyDescent="0.25">
      <c r="A14" s="15">
        <v>13</v>
      </c>
      <c r="B14" s="12" t="s">
        <v>38</v>
      </c>
      <c r="C14" s="11" t="s">
        <v>39</v>
      </c>
      <c r="D14" s="11" t="s">
        <v>31</v>
      </c>
    </row>
    <row r="15" spans="1:4" x14ac:dyDescent="0.25">
      <c r="A15" s="16">
        <v>14</v>
      </c>
      <c r="B15" s="14" t="s">
        <v>40</v>
      </c>
      <c r="C15" s="13" t="s">
        <v>41</v>
      </c>
      <c r="D15" s="13" t="s">
        <v>15</v>
      </c>
    </row>
    <row r="16" spans="1:4" x14ac:dyDescent="0.25">
      <c r="A16" s="15">
        <v>15</v>
      </c>
      <c r="B16" s="12" t="s">
        <v>42</v>
      </c>
      <c r="C16" s="11" t="s">
        <v>43</v>
      </c>
      <c r="D16" s="11" t="s">
        <v>15</v>
      </c>
    </row>
    <row r="17" spans="1:4" x14ac:dyDescent="0.25">
      <c r="A17" s="16">
        <v>16</v>
      </c>
      <c r="B17" s="14" t="s">
        <v>44</v>
      </c>
      <c r="C17" s="13" t="s">
        <v>45</v>
      </c>
      <c r="D17" s="13" t="s">
        <v>12</v>
      </c>
    </row>
    <row r="18" spans="1:4" x14ac:dyDescent="0.25">
      <c r="A18" s="15">
        <v>17</v>
      </c>
      <c r="B18" s="12" t="s">
        <v>46</v>
      </c>
      <c r="C18" s="11" t="s">
        <v>47</v>
      </c>
      <c r="D18" s="11" t="s">
        <v>31</v>
      </c>
    </row>
    <row r="19" spans="1:4" x14ac:dyDescent="0.25">
      <c r="A19" s="16">
        <v>18</v>
      </c>
      <c r="B19" s="14" t="s">
        <v>48</v>
      </c>
      <c r="C19" s="13" t="s">
        <v>49</v>
      </c>
      <c r="D19" s="13" t="s">
        <v>15</v>
      </c>
    </row>
    <row r="20" spans="1:4" x14ac:dyDescent="0.25">
      <c r="A20" s="15">
        <v>19</v>
      </c>
      <c r="B20" s="12" t="s">
        <v>50</v>
      </c>
      <c r="C20" s="11" t="s">
        <v>51</v>
      </c>
      <c r="D20" s="11" t="s">
        <v>31</v>
      </c>
    </row>
    <row r="21" spans="1:4" x14ac:dyDescent="0.25">
      <c r="A21" s="16">
        <v>20</v>
      </c>
      <c r="B21" s="14" t="s">
        <v>52</v>
      </c>
      <c r="C21" s="13" t="s">
        <v>53</v>
      </c>
      <c r="D21" s="13" t="s">
        <v>54</v>
      </c>
    </row>
    <row r="22" spans="1:4" x14ac:dyDescent="0.25">
      <c r="A22" s="15">
        <v>21</v>
      </c>
      <c r="B22" s="12" t="s">
        <v>55</v>
      </c>
      <c r="C22" s="11" t="s">
        <v>56</v>
      </c>
      <c r="D22" s="11" t="s">
        <v>57</v>
      </c>
    </row>
    <row r="23" spans="1:4" x14ac:dyDescent="0.25">
      <c r="A23" s="16">
        <v>22</v>
      </c>
      <c r="B23" s="14" t="s">
        <v>58</v>
      </c>
      <c r="C23" s="13" t="s">
        <v>56</v>
      </c>
      <c r="D23" s="13" t="s">
        <v>59</v>
      </c>
    </row>
    <row r="24" spans="1:4" x14ac:dyDescent="0.25">
      <c r="A24" s="15">
        <v>23</v>
      </c>
      <c r="B24" s="12" t="s">
        <v>60</v>
      </c>
      <c r="C24" s="11" t="s">
        <v>61</v>
      </c>
      <c r="D24" s="11" t="s">
        <v>12</v>
      </c>
    </row>
    <row r="25" spans="1:4" x14ac:dyDescent="0.25">
      <c r="A25" s="16">
        <v>24</v>
      </c>
      <c r="B25" s="14" t="s">
        <v>62</v>
      </c>
      <c r="C25" s="13" t="s">
        <v>63</v>
      </c>
      <c r="D25" s="13" t="s">
        <v>12</v>
      </c>
    </row>
    <row r="26" spans="1:4" x14ac:dyDescent="0.25">
      <c r="A26" s="15">
        <v>25</v>
      </c>
      <c r="B26" s="12" t="s">
        <v>64</v>
      </c>
      <c r="C26" s="11" t="s">
        <v>65</v>
      </c>
      <c r="D26" s="11" t="s">
        <v>66</v>
      </c>
    </row>
    <row r="27" spans="1:4" ht="45" x14ac:dyDescent="0.25">
      <c r="A27" s="16">
        <v>26</v>
      </c>
      <c r="B27" s="14" t="s">
        <v>67</v>
      </c>
      <c r="C27" s="14" t="s">
        <v>68</v>
      </c>
      <c r="D27" s="13" t="s">
        <v>66</v>
      </c>
    </row>
    <row r="28" spans="1:4" ht="45" x14ac:dyDescent="0.25">
      <c r="A28" s="15">
        <v>27</v>
      </c>
      <c r="B28" s="12" t="s">
        <v>69</v>
      </c>
      <c r="C28" s="12" t="s">
        <v>70</v>
      </c>
      <c r="D28" s="11" t="s">
        <v>71</v>
      </c>
    </row>
    <row r="29" spans="1:4" ht="30" x14ac:dyDescent="0.25">
      <c r="A29" s="16">
        <v>28</v>
      </c>
      <c r="B29" s="14" t="s">
        <v>72</v>
      </c>
      <c r="C29" s="13" t="s">
        <v>73</v>
      </c>
      <c r="D29" s="13" t="s">
        <v>71</v>
      </c>
    </row>
    <row r="30" spans="1:4" x14ac:dyDescent="0.25">
      <c r="A30" s="15">
        <v>29</v>
      </c>
      <c r="B30" s="12" t="s">
        <v>74</v>
      </c>
      <c r="C30" s="11" t="s">
        <v>75</v>
      </c>
      <c r="D30" s="11" t="s">
        <v>20</v>
      </c>
    </row>
    <row r="31" spans="1:4" x14ac:dyDescent="0.25">
      <c r="A31" s="16">
        <v>30</v>
      </c>
      <c r="B31" s="14" t="s">
        <v>76</v>
      </c>
      <c r="C31" s="13" t="s">
        <v>77</v>
      </c>
      <c r="D31" s="13" t="s">
        <v>20</v>
      </c>
    </row>
    <row r="32" spans="1:4" x14ac:dyDescent="0.25">
      <c r="A32" s="15">
        <v>31</v>
      </c>
      <c r="B32" s="12" t="s">
        <v>78</v>
      </c>
      <c r="C32" s="11" t="s">
        <v>79</v>
      </c>
      <c r="D32" s="11" t="s">
        <v>20</v>
      </c>
    </row>
    <row r="33" spans="1:4" x14ac:dyDescent="0.25">
      <c r="A33" s="16">
        <v>32</v>
      </c>
      <c r="B33" s="14" t="s">
        <v>80</v>
      </c>
      <c r="C33" s="13" t="s">
        <v>81</v>
      </c>
      <c r="D33" s="13" t="s">
        <v>20</v>
      </c>
    </row>
    <row r="34" spans="1:4" x14ac:dyDescent="0.25">
      <c r="A34" s="15">
        <v>33</v>
      </c>
      <c r="B34" s="12" t="s">
        <v>82</v>
      </c>
      <c r="C34" s="11" t="s">
        <v>61</v>
      </c>
      <c r="D34" s="11" t="s">
        <v>20</v>
      </c>
    </row>
    <row r="35" spans="1:4" x14ac:dyDescent="0.25">
      <c r="A35" s="16">
        <v>34</v>
      </c>
      <c r="B35" s="14"/>
      <c r="C35" s="13"/>
      <c r="D35" s="1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D197"/>
  <sheetViews>
    <sheetView zoomScale="85" zoomScaleNormal="85" workbookViewId="0"/>
  </sheetViews>
  <sheetFormatPr defaultRowHeight="15" x14ac:dyDescent="0.25"/>
  <cols>
    <col min="1" max="1" width="102.7109375" customWidth="1"/>
    <col min="2" max="2" width="19.28515625" customWidth="1"/>
    <col min="3" max="3" width="2.140625" customWidth="1"/>
    <col min="4" max="4" width="20.140625" customWidth="1"/>
    <col min="5" max="5" width="25" customWidth="1"/>
    <col min="6" max="6" width="19.5703125" customWidth="1"/>
    <col min="7" max="7" width="15" customWidth="1"/>
  </cols>
  <sheetData>
    <row r="1" spans="1:1" ht="21" x14ac:dyDescent="0.35">
      <c r="A1" s="207" t="s">
        <v>100</v>
      </c>
    </row>
    <row r="2" spans="1:1" x14ac:dyDescent="0.25">
      <c r="A2" s="28" t="s">
        <v>130</v>
      </c>
    </row>
    <row r="3" spans="1:1" x14ac:dyDescent="0.25">
      <c r="A3" s="28" t="s">
        <v>120</v>
      </c>
    </row>
    <row r="4" spans="1:1" x14ac:dyDescent="0.25">
      <c r="A4" s="25" t="s">
        <v>85</v>
      </c>
    </row>
    <row r="5" spans="1:1" x14ac:dyDescent="0.25">
      <c r="A5" s="27" t="s">
        <v>117</v>
      </c>
    </row>
    <row r="6" spans="1:1" ht="30" x14ac:dyDescent="0.25">
      <c r="A6" s="27" t="s">
        <v>118</v>
      </c>
    </row>
    <row r="7" spans="1:1" x14ac:dyDescent="0.25">
      <c r="A7" s="27" t="s">
        <v>119</v>
      </c>
    </row>
    <row r="8" spans="1:1" x14ac:dyDescent="0.25">
      <c r="A8" s="25" t="s">
        <v>86</v>
      </c>
    </row>
    <row r="9" spans="1:1" x14ac:dyDescent="0.25">
      <c r="A9" s="27" t="s">
        <v>214</v>
      </c>
    </row>
    <row r="10" spans="1:1" ht="30" x14ac:dyDescent="0.25">
      <c r="A10" s="27" t="s">
        <v>215</v>
      </c>
    </row>
    <row r="11" spans="1:1" x14ac:dyDescent="0.25">
      <c r="A11" s="27" t="s">
        <v>122</v>
      </c>
    </row>
    <row r="12" spans="1:1" x14ac:dyDescent="0.25">
      <c r="A12" s="27" t="s">
        <v>123</v>
      </c>
    </row>
    <row r="13" spans="1:1" x14ac:dyDescent="0.25">
      <c r="A13" s="25" t="s">
        <v>87</v>
      </c>
    </row>
    <row r="14" spans="1:1" x14ac:dyDescent="0.25">
      <c r="A14" s="27" t="s">
        <v>124</v>
      </c>
    </row>
    <row r="15" spans="1:1" x14ac:dyDescent="0.25">
      <c r="A15" s="27" t="s">
        <v>125</v>
      </c>
    </row>
    <row r="16" spans="1:1" ht="45" x14ac:dyDescent="0.25">
      <c r="A16" s="27" t="s">
        <v>887</v>
      </c>
    </row>
    <row r="17" spans="1:4" x14ac:dyDescent="0.25">
      <c r="A17" s="25" t="s">
        <v>88</v>
      </c>
    </row>
    <row r="18" spans="1:4" x14ac:dyDescent="0.25">
      <c r="A18" s="27" t="s">
        <v>162</v>
      </c>
    </row>
    <row r="19" spans="1:4" x14ac:dyDescent="0.25">
      <c r="A19" s="27" t="s">
        <v>888</v>
      </c>
    </row>
    <row r="20" spans="1:4" x14ac:dyDescent="0.25">
      <c r="A20" s="25" t="s">
        <v>126</v>
      </c>
    </row>
    <row r="21" spans="1:4" x14ac:dyDescent="0.25">
      <c r="A21" s="27" t="s">
        <v>498</v>
      </c>
      <c r="D21" t="s">
        <v>337</v>
      </c>
    </row>
    <row r="22" spans="1:4" x14ac:dyDescent="0.25">
      <c r="A22" s="104" t="s">
        <v>499</v>
      </c>
    </row>
    <row r="23" spans="1:4" ht="30" x14ac:dyDescent="0.25">
      <c r="A23" s="104" t="s">
        <v>502</v>
      </c>
    </row>
    <row r="24" spans="1:4" ht="30" x14ac:dyDescent="0.25">
      <c r="A24" s="27" t="s">
        <v>909</v>
      </c>
    </row>
    <row r="25" spans="1:4" x14ac:dyDescent="0.25">
      <c r="A25" s="104" t="s">
        <v>338</v>
      </c>
    </row>
    <row r="26" spans="1:4" x14ac:dyDescent="0.25">
      <c r="A26" s="104" t="s">
        <v>398</v>
      </c>
    </row>
    <row r="27" spans="1:4" ht="45" x14ac:dyDescent="0.25">
      <c r="A27" s="27" t="s">
        <v>910</v>
      </c>
    </row>
    <row r="28" spans="1:4" x14ac:dyDescent="0.25">
      <c r="A28" s="226" t="s">
        <v>341</v>
      </c>
    </row>
    <row r="29" spans="1:4" x14ac:dyDescent="0.25">
      <c r="A29" s="104" t="s">
        <v>339</v>
      </c>
    </row>
    <row r="30" spans="1:4" ht="30" x14ac:dyDescent="0.25">
      <c r="A30" s="104" t="s">
        <v>913</v>
      </c>
    </row>
    <row r="31" spans="1:4" x14ac:dyDescent="0.25">
      <c r="A31" s="104" t="s">
        <v>914</v>
      </c>
    </row>
    <row r="32" spans="1:4" x14ac:dyDescent="0.25">
      <c r="A32" s="105" t="s">
        <v>912</v>
      </c>
    </row>
    <row r="33" spans="1:1" x14ac:dyDescent="0.25">
      <c r="A33" s="105" t="s">
        <v>911</v>
      </c>
    </row>
    <row r="34" spans="1:1" x14ac:dyDescent="0.25">
      <c r="A34" s="226" t="s">
        <v>342</v>
      </c>
    </row>
    <row r="35" spans="1:1" x14ac:dyDescent="0.25">
      <c r="A35" s="104" t="s">
        <v>340</v>
      </c>
    </row>
    <row r="36" spans="1:1" x14ac:dyDescent="0.25">
      <c r="A36" s="105" t="s">
        <v>396</v>
      </c>
    </row>
    <row r="37" spans="1:1" x14ac:dyDescent="0.25">
      <c r="A37" s="105" t="s">
        <v>944</v>
      </c>
    </row>
    <row r="38" spans="1:1" x14ac:dyDescent="0.25">
      <c r="A38" s="28" t="s">
        <v>127</v>
      </c>
    </row>
    <row r="39" spans="1:1" x14ac:dyDescent="0.25">
      <c r="A39" s="28" t="s">
        <v>131</v>
      </c>
    </row>
    <row r="40" spans="1:1" x14ac:dyDescent="0.25">
      <c r="A40" s="25" t="s">
        <v>90</v>
      </c>
    </row>
    <row r="41" spans="1:1" x14ac:dyDescent="0.25">
      <c r="A41" s="27" t="s">
        <v>416</v>
      </c>
    </row>
    <row r="42" spans="1:1" ht="30" x14ac:dyDescent="0.25">
      <c r="A42" s="27" t="s">
        <v>250</v>
      </c>
    </row>
    <row r="43" spans="1:1" x14ac:dyDescent="0.25">
      <c r="A43" s="27" t="s">
        <v>128</v>
      </c>
    </row>
    <row r="44" spans="1:1" x14ac:dyDescent="0.25">
      <c r="A44" s="27" t="s">
        <v>917</v>
      </c>
    </row>
    <row r="45" spans="1:1" ht="30" x14ac:dyDescent="0.25">
      <c r="A45" s="27" t="s">
        <v>916</v>
      </c>
    </row>
    <row r="46" spans="1:1" x14ac:dyDescent="0.25">
      <c r="A46" s="25" t="s">
        <v>91</v>
      </c>
    </row>
    <row r="47" spans="1:1" x14ac:dyDescent="0.25">
      <c r="A47" s="27" t="s">
        <v>915</v>
      </c>
    </row>
    <row r="48" spans="1:1" x14ac:dyDescent="0.25">
      <c r="A48" s="27" t="s">
        <v>129</v>
      </c>
    </row>
    <row r="49" spans="1:1" x14ac:dyDescent="0.25">
      <c r="A49" s="25" t="s">
        <v>92</v>
      </c>
    </row>
    <row r="50" spans="1:1" ht="30" x14ac:dyDescent="0.25">
      <c r="A50" s="27" t="s">
        <v>438</v>
      </c>
    </row>
    <row r="51" spans="1:1" x14ac:dyDescent="0.25">
      <c r="A51" s="25" t="s">
        <v>436</v>
      </c>
    </row>
    <row r="52" spans="1:1" x14ac:dyDescent="0.25">
      <c r="A52" s="27" t="s">
        <v>437</v>
      </c>
    </row>
    <row r="53" spans="1:1" x14ac:dyDescent="0.25">
      <c r="A53" s="27" t="s">
        <v>456</v>
      </c>
    </row>
    <row r="54" spans="1:1" x14ac:dyDescent="0.25">
      <c r="A54" s="26"/>
    </row>
    <row r="55" spans="1:1" ht="21" x14ac:dyDescent="0.35">
      <c r="A55" s="207" t="s">
        <v>381</v>
      </c>
    </row>
    <row r="56" spans="1:1" x14ac:dyDescent="0.25">
      <c r="A56" s="28" t="s">
        <v>382</v>
      </c>
    </row>
    <row r="57" spans="1:1" x14ac:dyDescent="0.25">
      <c r="A57" s="28" t="s">
        <v>383</v>
      </c>
    </row>
    <row r="58" spans="1:1" x14ac:dyDescent="0.25">
      <c r="A58" s="28" t="s">
        <v>384</v>
      </c>
    </row>
    <row r="59" spans="1:1" x14ac:dyDescent="0.25">
      <c r="A59" s="28" t="s">
        <v>385</v>
      </c>
    </row>
    <row r="60" spans="1:1" x14ac:dyDescent="0.25">
      <c r="A60" s="28" t="s">
        <v>386</v>
      </c>
    </row>
    <row r="61" spans="1:1" x14ac:dyDescent="0.25">
      <c r="A61" s="25" t="s">
        <v>95</v>
      </c>
    </row>
    <row r="62" spans="1:1" x14ac:dyDescent="0.25">
      <c r="A62" s="27" t="s">
        <v>391</v>
      </c>
    </row>
    <row r="63" spans="1:1" x14ac:dyDescent="0.25">
      <c r="A63" s="27" t="s">
        <v>399</v>
      </c>
    </row>
    <row r="64" spans="1:1" x14ac:dyDescent="0.25">
      <c r="A64" s="25" t="s">
        <v>96</v>
      </c>
    </row>
    <row r="65" spans="1:1" x14ac:dyDescent="0.25">
      <c r="A65" s="27" t="s">
        <v>393</v>
      </c>
    </row>
    <row r="66" spans="1:1" x14ac:dyDescent="0.25">
      <c r="A66" s="27" t="s">
        <v>400</v>
      </c>
    </row>
    <row r="67" spans="1:1" x14ac:dyDescent="0.25">
      <c r="A67" s="25" t="s">
        <v>441</v>
      </c>
    </row>
    <row r="68" spans="1:1" x14ac:dyDescent="0.25">
      <c r="A68" s="27" t="s">
        <v>449</v>
      </c>
    </row>
    <row r="69" spans="1:1" x14ac:dyDescent="0.25">
      <c r="A69" s="27" t="s">
        <v>448</v>
      </c>
    </row>
    <row r="70" spans="1:1" ht="30" x14ac:dyDescent="0.25">
      <c r="A70" s="27" t="s">
        <v>452</v>
      </c>
    </row>
    <row r="71" spans="1:1" x14ac:dyDescent="0.25">
      <c r="A71" s="25" t="s">
        <v>97</v>
      </c>
    </row>
    <row r="72" spans="1:1" x14ac:dyDescent="0.25">
      <c r="A72" s="27" t="s">
        <v>446</v>
      </c>
    </row>
    <row r="73" spans="1:1" x14ac:dyDescent="0.25">
      <c r="A73" s="27" t="s">
        <v>447</v>
      </c>
    </row>
    <row r="74" spans="1:1" ht="30" x14ac:dyDescent="0.25">
      <c r="A74" s="27" t="s">
        <v>451</v>
      </c>
    </row>
    <row r="75" spans="1:1" x14ac:dyDescent="0.25">
      <c r="A75" s="27" t="s">
        <v>918</v>
      </c>
    </row>
    <row r="76" spans="1:1" x14ac:dyDescent="0.25">
      <c r="A76" s="25" t="s">
        <v>453</v>
      </c>
    </row>
    <row r="77" spans="1:1" x14ac:dyDescent="0.25">
      <c r="A77" s="27" t="s">
        <v>450</v>
      </c>
    </row>
    <row r="78" spans="1:1" ht="30" x14ac:dyDescent="0.25">
      <c r="A78" s="27" t="s">
        <v>500</v>
      </c>
    </row>
    <row r="79" spans="1:1" x14ac:dyDescent="0.25">
      <c r="A79" s="27" t="s">
        <v>454</v>
      </c>
    </row>
    <row r="80" spans="1:1" x14ac:dyDescent="0.25">
      <c r="A80" s="27" t="s">
        <v>458</v>
      </c>
    </row>
    <row r="81" spans="1:1" x14ac:dyDescent="0.25">
      <c r="A81" s="27" t="s">
        <v>457</v>
      </c>
    </row>
    <row r="82" spans="1:1" x14ac:dyDescent="0.25">
      <c r="A82" s="131" t="s">
        <v>446</v>
      </c>
    </row>
    <row r="83" spans="1:1" x14ac:dyDescent="0.25">
      <c r="A83" s="131" t="s">
        <v>443</v>
      </c>
    </row>
    <row r="84" spans="1:1" x14ac:dyDescent="0.25">
      <c r="A84" s="131" t="s">
        <v>444</v>
      </c>
    </row>
    <row r="85" spans="1:1" x14ac:dyDescent="0.25">
      <c r="A85" s="131" t="s">
        <v>445</v>
      </c>
    </row>
    <row r="86" spans="1:1" x14ac:dyDescent="0.25">
      <c r="A86" s="131" t="s">
        <v>459</v>
      </c>
    </row>
    <row r="87" spans="1:1" x14ac:dyDescent="0.25">
      <c r="A87" s="27" t="s">
        <v>919</v>
      </c>
    </row>
    <row r="88" spans="1:1" x14ac:dyDescent="0.25">
      <c r="A88" s="25" t="s">
        <v>99</v>
      </c>
    </row>
    <row r="89" spans="1:1" x14ac:dyDescent="0.25">
      <c r="A89" s="27" t="s">
        <v>467</v>
      </c>
    </row>
    <row r="90" spans="1:1" x14ac:dyDescent="0.25">
      <c r="A90" s="27" t="s">
        <v>465</v>
      </c>
    </row>
    <row r="91" spans="1:1" x14ac:dyDescent="0.25">
      <c r="A91" s="104" t="s">
        <v>501</v>
      </c>
    </row>
    <row r="92" spans="1:1" x14ac:dyDescent="0.25">
      <c r="A92" s="104" t="s">
        <v>460</v>
      </c>
    </row>
    <row r="93" spans="1:1" x14ac:dyDescent="0.25">
      <c r="A93" s="132" t="s">
        <v>466</v>
      </c>
    </row>
    <row r="94" spans="1:1" x14ac:dyDescent="0.25">
      <c r="A94" s="133" t="s">
        <v>461</v>
      </c>
    </row>
    <row r="95" spans="1:1" x14ac:dyDescent="0.25">
      <c r="A95" s="134" t="s">
        <v>462</v>
      </c>
    </row>
    <row r="96" spans="1:1" x14ac:dyDescent="0.25">
      <c r="A96" s="134" t="s">
        <v>463</v>
      </c>
    </row>
    <row r="97" spans="1:1" x14ac:dyDescent="0.25">
      <c r="A97" s="134" t="s">
        <v>464</v>
      </c>
    </row>
    <row r="99" spans="1:1" ht="21" x14ac:dyDescent="0.35">
      <c r="A99" s="207" t="s">
        <v>580</v>
      </c>
    </row>
    <row r="100" spans="1:1" x14ac:dyDescent="0.25">
      <c r="A100" s="28" t="s">
        <v>854</v>
      </c>
    </row>
    <row r="101" spans="1:1" x14ac:dyDescent="0.25">
      <c r="A101" s="25" t="s">
        <v>581</v>
      </c>
    </row>
    <row r="102" spans="1:1" x14ac:dyDescent="0.25">
      <c r="A102" s="27" t="s">
        <v>855</v>
      </c>
    </row>
    <row r="103" spans="1:1" x14ac:dyDescent="0.25">
      <c r="A103" s="27" t="s">
        <v>582</v>
      </c>
    </row>
    <row r="104" spans="1:1" x14ac:dyDescent="0.25">
      <c r="A104" s="27" t="s">
        <v>583</v>
      </c>
    </row>
    <row r="105" spans="1:1" x14ac:dyDescent="0.25">
      <c r="A105" s="27" t="s">
        <v>856</v>
      </c>
    </row>
    <row r="106" spans="1:1" x14ac:dyDescent="0.25">
      <c r="A106" s="25" t="s">
        <v>183</v>
      </c>
    </row>
    <row r="107" spans="1:1" x14ac:dyDescent="0.25">
      <c r="A107" s="27" t="s">
        <v>624</v>
      </c>
    </row>
    <row r="108" spans="1:1" x14ac:dyDescent="0.25">
      <c r="A108" s="27" t="s">
        <v>584</v>
      </c>
    </row>
    <row r="109" spans="1:1" x14ac:dyDescent="0.25">
      <c r="A109" s="27" t="s">
        <v>585</v>
      </c>
    </row>
    <row r="110" spans="1:1" x14ac:dyDescent="0.25">
      <c r="A110" s="104" t="s">
        <v>590</v>
      </c>
    </row>
    <row r="111" spans="1:1" x14ac:dyDescent="0.25">
      <c r="A111" s="104" t="s">
        <v>587</v>
      </c>
    </row>
    <row r="112" spans="1:1" x14ac:dyDescent="0.25">
      <c r="A112" s="27" t="s">
        <v>586</v>
      </c>
    </row>
    <row r="113" spans="1:1" x14ac:dyDescent="0.25">
      <c r="A113" s="104" t="s">
        <v>857</v>
      </c>
    </row>
    <row r="114" spans="1:1" x14ac:dyDescent="0.25">
      <c r="A114" s="104" t="s">
        <v>588</v>
      </c>
    </row>
    <row r="115" spans="1:1" x14ac:dyDescent="0.25">
      <c r="A115" s="27" t="s">
        <v>858</v>
      </c>
    </row>
    <row r="116" spans="1:1" x14ac:dyDescent="0.25">
      <c r="A116" s="104" t="s">
        <v>589</v>
      </c>
    </row>
    <row r="117" spans="1:1" x14ac:dyDescent="0.25">
      <c r="A117" s="28" t="s">
        <v>593</v>
      </c>
    </row>
    <row r="118" spans="1:1" x14ac:dyDescent="0.25">
      <c r="A118" s="25" t="s">
        <v>627</v>
      </c>
    </row>
    <row r="119" spans="1:1" ht="30" x14ac:dyDescent="0.25">
      <c r="A119" s="27" t="s">
        <v>975</v>
      </c>
    </row>
    <row r="120" spans="1:1" ht="30" x14ac:dyDescent="0.25">
      <c r="A120" s="27" t="s">
        <v>971</v>
      </c>
    </row>
    <row r="121" spans="1:1" ht="54" x14ac:dyDescent="0.35">
      <c r="A121" s="27" t="s">
        <v>629</v>
      </c>
    </row>
    <row r="122" spans="1:1" ht="30" x14ac:dyDescent="0.25">
      <c r="A122" s="27" t="s">
        <v>628</v>
      </c>
    </row>
    <row r="123" spans="1:1" ht="18" x14ac:dyDescent="0.35">
      <c r="A123" s="167" t="s">
        <v>625</v>
      </c>
    </row>
    <row r="124" spans="1:1" x14ac:dyDescent="0.25">
      <c r="A124" s="27" t="s">
        <v>626</v>
      </c>
    </row>
    <row r="125" spans="1:1" x14ac:dyDescent="0.25">
      <c r="A125" s="28" t="s">
        <v>859</v>
      </c>
    </row>
    <row r="126" spans="1:1" x14ac:dyDescent="0.25">
      <c r="A126" s="25" t="s">
        <v>636</v>
      </c>
    </row>
    <row r="127" spans="1:1" x14ac:dyDescent="0.25">
      <c r="A127" s="27" t="s">
        <v>635</v>
      </c>
    </row>
    <row r="128" spans="1:1" x14ac:dyDescent="0.25">
      <c r="A128" s="27" t="s">
        <v>636</v>
      </c>
    </row>
    <row r="129" spans="1:1" ht="60" x14ac:dyDescent="0.25">
      <c r="A129" s="27" t="s">
        <v>980</v>
      </c>
    </row>
    <row r="130" spans="1:1" ht="75" x14ac:dyDescent="0.25">
      <c r="A130" s="27" t="s">
        <v>637</v>
      </c>
    </row>
    <row r="131" spans="1:1" ht="30" x14ac:dyDescent="0.25">
      <c r="A131" s="27" t="s">
        <v>638</v>
      </c>
    </row>
    <row r="132" spans="1:1" x14ac:dyDescent="0.25">
      <c r="A132" s="27" t="s">
        <v>644</v>
      </c>
    </row>
    <row r="133" spans="1:1" x14ac:dyDescent="0.25">
      <c r="A133" s="27" t="s">
        <v>645</v>
      </c>
    </row>
    <row r="134" spans="1:1" x14ac:dyDescent="0.25">
      <c r="A134" s="27" t="s">
        <v>646</v>
      </c>
    </row>
    <row r="135" spans="1:1" x14ac:dyDescent="0.25">
      <c r="A135" s="25" t="s">
        <v>647</v>
      </c>
    </row>
    <row r="136" spans="1:1" ht="45" x14ac:dyDescent="0.25">
      <c r="A136" s="27" t="s">
        <v>860</v>
      </c>
    </row>
    <row r="137" spans="1:1" x14ac:dyDescent="0.25">
      <c r="A137" s="27" t="s">
        <v>861</v>
      </c>
    </row>
    <row r="138" spans="1:1" x14ac:dyDescent="0.25">
      <c r="A138" s="27" t="s">
        <v>1023</v>
      </c>
    </row>
    <row r="139" spans="1:1" x14ac:dyDescent="0.25">
      <c r="A139" s="27" t="s">
        <v>1024</v>
      </c>
    </row>
    <row r="140" spans="1:1" x14ac:dyDescent="0.25">
      <c r="A140" s="28" t="s">
        <v>105</v>
      </c>
    </row>
    <row r="141" spans="1:1" x14ac:dyDescent="0.25">
      <c r="A141" s="204" t="s">
        <v>787</v>
      </c>
    </row>
    <row r="142" spans="1:1" x14ac:dyDescent="0.25">
      <c r="A142" s="205" t="s">
        <v>659</v>
      </c>
    </row>
    <row r="143" spans="1:1" x14ac:dyDescent="0.25">
      <c r="A143" s="204" t="s">
        <v>788</v>
      </c>
    </row>
    <row r="144" spans="1:1" x14ac:dyDescent="0.25">
      <c r="A144" s="205" t="s">
        <v>660</v>
      </c>
    </row>
    <row r="145" spans="1:1" ht="75" x14ac:dyDescent="0.25">
      <c r="A145" s="205" t="s">
        <v>661</v>
      </c>
    </row>
    <row r="146" spans="1:1" x14ac:dyDescent="0.25">
      <c r="A146" s="205" t="s">
        <v>662</v>
      </c>
    </row>
    <row r="147" spans="1:1" x14ac:dyDescent="0.25">
      <c r="A147" s="204" t="s">
        <v>852</v>
      </c>
    </row>
    <row r="148" spans="1:1" x14ac:dyDescent="0.25">
      <c r="A148" s="205" t="s">
        <v>717</v>
      </c>
    </row>
    <row r="149" spans="1:1" x14ac:dyDescent="0.25">
      <c r="A149" s="205" t="s">
        <v>862</v>
      </c>
    </row>
    <row r="150" spans="1:1" x14ac:dyDescent="0.25">
      <c r="A150" s="205" t="s">
        <v>716</v>
      </c>
    </row>
    <row r="151" spans="1:1" x14ac:dyDescent="0.25">
      <c r="A151" s="205" t="s">
        <v>86</v>
      </c>
    </row>
    <row r="152" spans="1:1" x14ac:dyDescent="0.25">
      <c r="A152" s="205" t="s">
        <v>715</v>
      </c>
    </row>
    <row r="153" spans="1:1" x14ac:dyDescent="0.25">
      <c r="A153" s="205" t="s">
        <v>91</v>
      </c>
    </row>
    <row r="154" spans="1:1" x14ac:dyDescent="0.25">
      <c r="A154" s="205" t="s">
        <v>714</v>
      </c>
    </row>
    <row r="155" spans="1:1" x14ac:dyDescent="0.25">
      <c r="A155" s="205" t="s">
        <v>783</v>
      </c>
    </row>
    <row r="156" spans="1:1" x14ac:dyDescent="0.25">
      <c r="A156" s="204" t="s">
        <v>853</v>
      </c>
    </row>
    <row r="157" spans="1:1" x14ac:dyDescent="0.25">
      <c r="A157" s="205" t="s">
        <v>789</v>
      </c>
    </row>
    <row r="158" spans="1:1" x14ac:dyDescent="0.25">
      <c r="A158" s="206" t="s">
        <v>863</v>
      </c>
    </row>
    <row r="159" spans="1:1" x14ac:dyDescent="0.25">
      <c r="A159" s="206" t="s">
        <v>785</v>
      </c>
    </row>
    <row r="160" spans="1:1" x14ac:dyDescent="0.25">
      <c r="A160" s="206" t="s">
        <v>786</v>
      </c>
    </row>
    <row r="161" spans="1:2" ht="75" x14ac:dyDescent="0.25">
      <c r="A161" s="206" t="s">
        <v>799</v>
      </c>
    </row>
    <row r="162" spans="1:2" x14ac:dyDescent="0.25">
      <c r="A162" s="206" t="s">
        <v>800</v>
      </c>
      <c r="B162" s="176"/>
    </row>
    <row r="163" spans="1:2" x14ac:dyDescent="0.25">
      <c r="A163" s="206" t="s">
        <v>801</v>
      </c>
    </row>
    <row r="164" spans="1:2" x14ac:dyDescent="0.25">
      <c r="A164" s="206" t="s">
        <v>784</v>
      </c>
    </row>
    <row r="165" spans="1:2" ht="228.75" customHeight="1" x14ac:dyDescent="0.25">
      <c r="A165" s="206"/>
    </row>
    <row r="166" spans="1:2" x14ac:dyDescent="0.25">
      <c r="A166" s="206"/>
    </row>
    <row r="167" spans="1:2" ht="21" x14ac:dyDescent="0.35">
      <c r="A167" s="207" t="s">
        <v>804</v>
      </c>
    </row>
    <row r="168" spans="1:2" x14ac:dyDescent="0.25">
      <c r="A168" s="212" t="s">
        <v>805</v>
      </c>
    </row>
    <row r="169" spans="1:2" ht="30" x14ac:dyDescent="0.25">
      <c r="A169" s="159" t="s">
        <v>884</v>
      </c>
    </row>
    <row r="170" spans="1:2" ht="18" x14ac:dyDescent="0.35">
      <c r="A170" s="159" t="s">
        <v>806</v>
      </c>
    </row>
    <row r="171" spans="1:2" x14ac:dyDescent="0.25">
      <c r="A171" s="159" t="s">
        <v>807</v>
      </c>
    </row>
    <row r="172" spans="1:2" ht="18" x14ac:dyDescent="0.35">
      <c r="A172" s="159" t="s">
        <v>808</v>
      </c>
    </row>
    <row r="173" spans="1:2" x14ac:dyDescent="0.25">
      <c r="A173" s="159" t="s">
        <v>809</v>
      </c>
    </row>
    <row r="174" spans="1:2" x14ac:dyDescent="0.25">
      <c r="A174" s="159" t="s">
        <v>810</v>
      </c>
    </row>
    <row r="175" spans="1:2" x14ac:dyDescent="0.25">
      <c r="A175" s="159" t="s">
        <v>812</v>
      </c>
    </row>
    <row r="176" spans="1:2" ht="30" x14ac:dyDescent="0.25">
      <c r="A176" s="159" t="s">
        <v>814</v>
      </c>
    </row>
    <row r="177" spans="1:1" ht="30" x14ac:dyDescent="0.25">
      <c r="A177" s="159" t="s">
        <v>817</v>
      </c>
    </row>
    <row r="178" spans="1:1" ht="30" x14ac:dyDescent="0.25">
      <c r="A178" s="159" t="s">
        <v>815</v>
      </c>
    </row>
    <row r="179" spans="1:1" ht="128.25" customHeight="1" x14ac:dyDescent="0.25">
      <c r="A179" s="159" t="s">
        <v>822</v>
      </c>
    </row>
    <row r="180" spans="1:1" x14ac:dyDescent="0.25">
      <c r="A180" s="212" t="s">
        <v>819</v>
      </c>
    </row>
    <row r="181" spans="1:1" x14ac:dyDescent="0.25">
      <c r="A181" s="157" t="s">
        <v>820</v>
      </c>
    </row>
    <row r="182" spans="1:1" ht="30" x14ac:dyDescent="0.25">
      <c r="A182" s="157" t="s">
        <v>816</v>
      </c>
    </row>
    <row r="183" spans="1:1" ht="75" x14ac:dyDescent="0.25">
      <c r="A183" s="157" t="s">
        <v>818</v>
      </c>
    </row>
    <row r="184" spans="1:1" ht="45" x14ac:dyDescent="0.25">
      <c r="A184" s="157" t="s">
        <v>864</v>
      </c>
    </row>
    <row r="185" spans="1:1" ht="18" x14ac:dyDescent="0.35">
      <c r="A185" s="159" t="s">
        <v>821</v>
      </c>
    </row>
    <row r="186" spans="1:1" x14ac:dyDescent="0.25">
      <c r="A186" s="159" t="s">
        <v>813</v>
      </c>
    </row>
    <row r="187" spans="1:1" ht="18" x14ac:dyDescent="0.35">
      <c r="A187" s="159" t="s">
        <v>1136</v>
      </c>
    </row>
    <row r="188" spans="1:1" x14ac:dyDescent="0.25">
      <c r="A188" s="159" t="s">
        <v>813</v>
      </c>
    </row>
    <row r="189" spans="1:1" ht="18" x14ac:dyDescent="0.35">
      <c r="A189" s="159" t="s">
        <v>824</v>
      </c>
    </row>
    <row r="190" spans="1:1" x14ac:dyDescent="0.25">
      <c r="A190" s="159" t="s">
        <v>886</v>
      </c>
    </row>
    <row r="192" spans="1:1" ht="21" x14ac:dyDescent="0.35">
      <c r="A192" s="207" t="s">
        <v>468</v>
      </c>
    </row>
    <row r="193" spans="1:1" x14ac:dyDescent="0.25">
      <c r="A193" s="28" t="s">
        <v>469</v>
      </c>
    </row>
    <row r="194" spans="1:1" ht="45" x14ac:dyDescent="0.25">
      <c r="A194" s="27" t="s">
        <v>478</v>
      </c>
    </row>
    <row r="195" spans="1:1" ht="30" x14ac:dyDescent="0.25">
      <c r="A195" s="27" t="s">
        <v>470</v>
      </c>
    </row>
    <row r="196" spans="1:1" x14ac:dyDescent="0.25">
      <c r="A196" s="28" t="s">
        <v>694</v>
      </c>
    </row>
    <row r="197" spans="1:1" ht="180" x14ac:dyDescent="0.25">
      <c r="A197" s="27" t="s">
        <v>802</v>
      </c>
    </row>
  </sheetData>
  <printOptions horizontalCentered="1"/>
  <pageMargins left="0.45" right="0.45" top="0.45" bottom="0.75" header="0.3" footer="0.3"/>
  <pageSetup scale="95" orientation="portrait" r:id="rId1"/>
  <headerFooter>
    <oddFooter>&amp;L&amp;D&amp;CPage &amp;P of &amp;N&amp;R&amp;F</oddFooter>
  </headerFooter>
  <rowBreaks count="8" manualBreakCount="8">
    <brk id="36" max="16383" man="1"/>
    <brk id="53" max="16383" man="1"/>
    <brk id="97" max="16383" man="1"/>
    <brk id="124" man="1"/>
    <brk id="138" max="16383" man="1"/>
    <brk id="165" max="16383" man="1"/>
    <brk id="191" man="1"/>
    <brk id="209"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D21"/>
  <sheetViews>
    <sheetView zoomScale="122" zoomScaleNormal="122" workbookViewId="0">
      <selection activeCell="D5" sqref="D5"/>
    </sheetView>
  </sheetViews>
  <sheetFormatPr defaultRowHeight="15" x14ac:dyDescent="0.25"/>
  <cols>
    <col min="3" max="3" width="25.85546875" customWidth="1"/>
  </cols>
  <sheetData>
    <row r="1" spans="1:4" x14ac:dyDescent="0.25">
      <c r="A1" s="33" t="s">
        <v>920</v>
      </c>
    </row>
    <row r="2" spans="1:4" x14ac:dyDescent="0.25">
      <c r="A2" s="26">
        <v>31</v>
      </c>
      <c r="C2" s="61" t="s">
        <v>921</v>
      </c>
      <c r="D2" s="26">
        <v>79</v>
      </c>
    </row>
    <row r="3" spans="1:4" x14ac:dyDescent="0.25">
      <c r="A3" s="26">
        <v>47</v>
      </c>
    </row>
    <row r="4" spans="1:4" x14ac:dyDescent="0.25">
      <c r="A4" s="26">
        <v>54</v>
      </c>
      <c r="C4" s="82" t="s">
        <v>922</v>
      </c>
      <c r="D4" s="227"/>
    </row>
    <row r="5" spans="1:4" x14ac:dyDescent="0.25">
      <c r="A5" s="26">
        <v>55</v>
      </c>
      <c r="C5" s="61" t="s">
        <v>85</v>
      </c>
      <c r="D5" s="30"/>
    </row>
    <row r="6" spans="1:4" x14ac:dyDescent="0.25">
      <c r="A6" s="26">
        <v>57</v>
      </c>
    </row>
    <row r="7" spans="1:4" x14ac:dyDescent="0.25">
      <c r="A7" s="26">
        <v>58</v>
      </c>
      <c r="C7" s="228" t="str">
        <f>"Are you above the "&amp;D8*100&amp;"th percentile?"</f>
        <v>Are you above the 75th percentile?</v>
      </c>
      <c r="D7" s="227"/>
    </row>
    <row r="8" spans="1:4" x14ac:dyDescent="0.25">
      <c r="A8" s="26">
        <v>60</v>
      </c>
      <c r="C8" s="26" t="str">
        <f>"Percentile Marker for "&amp;TEXT(D8,"0%")</f>
        <v>Percentile Marker for 75%</v>
      </c>
      <c r="D8" s="86">
        <v>0.75</v>
      </c>
    </row>
    <row r="9" spans="1:4" x14ac:dyDescent="0.25">
      <c r="A9" s="26">
        <v>61</v>
      </c>
      <c r="C9" s="61" t="str">
        <f>"Marker for "&amp;D8*100&amp;"th percentile:"</f>
        <v>Marker for 75th percentile:</v>
      </c>
      <c r="D9" s="30"/>
    </row>
    <row r="10" spans="1:4" x14ac:dyDescent="0.25">
      <c r="A10" s="26">
        <v>63</v>
      </c>
    </row>
    <row r="11" spans="1:4" x14ac:dyDescent="0.25">
      <c r="A11" s="26">
        <v>68</v>
      </c>
    </row>
    <row r="12" spans="1:4" x14ac:dyDescent="0.25">
      <c r="A12" s="26">
        <v>68</v>
      </c>
    </row>
    <row r="13" spans="1:4" x14ac:dyDescent="0.25">
      <c r="A13" s="26">
        <v>68</v>
      </c>
    </row>
    <row r="14" spans="1:4" x14ac:dyDescent="0.25">
      <c r="A14" s="26">
        <v>72</v>
      </c>
    </row>
    <row r="15" spans="1:4" x14ac:dyDescent="0.25">
      <c r="A15" s="26">
        <v>76</v>
      </c>
    </row>
    <row r="16" spans="1:4" x14ac:dyDescent="0.25">
      <c r="A16" s="26">
        <v>78</v>
      </c>
    </row>
    <row r="17" spans="1:1" x14ac:dyDescent="0.25">
      <c r="A17" s="26">
        <v>79</v>
      </c>
    </row>
    <row r="18" spans="1:1" x14ac:dyDescent="0.25">
      <c r="A18" s="26">
        <v>84</v>
      </c>
    </row>
    <row r="19" spans="1:1" x14ac:dyDescent="0.25">
      <c r="A19" s="26">
        <v>89</v>
      </c>
    </row>
    <row r="20" spans="1:1" x14ac:dyDescent="0.25">
      <c r="A20" s="26">
        <v>91</v>
      </c>
    </row>
    <row r="21" spans="1:1" x14ac:dyDescent="0.25">
      <c r="A21" s="26">
        <v>95</v>
      </c>
    </row>
  </sheetData>
  <sortState xmlns:xlrd2="http://schemas.microsoft.com/office/spreadsheetml/2017/richdata2" ref="A2:A2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D21"/>
  <sheetViews>
    <sheetView zoomScale="122" zoomScaleNormal="122" workbookViewId="0">
      <selection activeCell="D9" sqref="D9"/>
    </sheetView>
  </sheetViews>
  <sheetFormatPr defaultRowHeight="15" x14ac:dyDescent="0.25"/>
  <cols>
    <col min="3" max="3" width="25.85546875" customWidth="1"/>
  </cols>
  <sheetData>
    <row r="1" spans="1:4" x14ac:dyDescent="0.25">
      <c r="A1" s="33" t="s">
        <v>920</v>
      </c>
    </row>
    <row r="2" spans="1:4" x14ac:dyDescent="0.25">
      <c r="A2" s="26">
        <v>31</v>
      </c>
      <c r="C2" s="61" t="s">
        <v>921</v>
      </c>
      <c r="D2" s="26">
        <v>79</v>
      </c>
    </row>
    <row r="3" spans="1:4" x14ac:dyDescent="0.25">
      <c r="A3" s="26">
        <v>47</v>
      </c>
    </row>
    <row r="4" spans="1:4" x14ac:dyDescent="0.25">
      <c r="A4" s="26">
        <v>54</v>
      </c>
      <c r="C4" s="82" t="s">
        <v>922</v>
      </c>
      <c r="D4" s="227"/>
    </row>
    <row r="5" spans="1:4" x14ac:dyDescent="0.25">
      <c r="A5" s="26">
        <v>55</v>
      </c>
      <c r="C5" s="61" t="s">
        <v>85</v>
      </c>
      <c r="D5" s="30">
        <f>AVERAGE(A2:A21)</f>
        <v>67.7</v>
      </c>
    </row>
    <row r="6" spans="1:4" x14ac:dyDescent="0.25">
      <c r="A6" s="26">
        <v>57</v>
      </c>
    </row>
    <row r="7" spans="1:4" x14ac:dyDescent="0.25">
      <c r="A7" s="26">
        <v>58</v>
      </c>
      <c r="C7" s="228" t="str">
        <f>"Are you above the "&amp;D8*100&amp;"th percentile?"</f>
        <v>Are you above the 75th percentile?</v>
      </c>
      <c r="D7" s="227"/>
    </row>
    <row r="8" spans="1:4" x14ac:dyDescent="0.25">
      <c r="A8" s="26">
        <v>60</v>
      </c>
      <c r="C8" s="26" t="str">
        <f>"Percentile Marker for "&amp;TEXT(D8,"0%")</f>
        <v>Percentile Marker for 75%</v>
      </c>
      <c r="D8" s="86">
        <v>0.75</v>
      </c>
    </row>
    <row r="9" spans="1:4" x14ac:dyDescent="0.25">
      <c r="A9" s="26">
        <v>61</v>
      </c>
      <c r="C9" s="61" t="str">
        <f>"Marker for "&amp;D8*100&amp;"th percentile:"</f>
        <v>Marker for 75th percentile:</v>
      </c>
      <c r="D9" s="30">
        <f>_xlfn.PERCENTILE.EXC(A2:A21,D8)</f>
        <v>78.75</v>
      </c>
    </row>
    <row r="10" spans="1:4" x14ac:dyDescent="0.25">
      <c r="A10" s="26">
        <v>63</v>
      </c>
    </row>
    <row r="11" spans="1:4" x14ac:dyDescent="0.25">
      <c r="A11" s="26">
        <v>68</v>
      </c>
    </row>
    <row r="12" spans="1:4" x14ac:dyDescent="0.25">
      <c r="A12" s="26">
        <v>68</v>
      </c>
    </row>
    <row r="13" spans="1:4" x14ac:dyDescent="0.25">
      <c r="A13" s="26">
        <v>68</v>
      </c>
    </row>
    <row r="14" spans="1:4" x14ac:dyDescent="0.25">
      <c r="A14" s="26">
        <v>72</v>
      </c>
    </row>
    <row r="15" spans="1:4" x14ac:dyDescent="0.25">
      <c r="A15" s="26">
        <v>76</v>
      </c>
    </row>
    <row r="16" spans="1:4" x14ac:dyDescent="0.25">
      <c r="A16" s="26">
        <v>78</v>
      </c>
    </row>
    <row r="17" spans="1:1" x14ac:dyDescent="0.25">
      <c r="A17" s="26">
        <v>79</v>
      </c>
    </row>
    <row r="18" spans="1:1" x14ac:dyDescent="0.25">
      <c r="A18" s="26">
        <v>84</v>
      </c>
    </row>
    <row r="19" spans="1:1" x14ac:dyDescent="0.25">
      <c r="A19" s="26">
        <v>89</v>
      </c>
    </row>
    <row r="20" spans="1:1" x14ac:dyDescent="0.25">
      <c r="A20" s="26">
        <v>91</v>
      </c>
    </row>
    <row r="21" spans="1:1" x14ac:dyDescent="0.25">
      <c r="A21" s="26">
        <v>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00FF"/>
  </sheetPr>
  <dimension ref="A1:A10"/>
  <sheetViews>
    <sheetView zoomScale="130" zoomScaleNormal="130" workbookViewId="0"/>
  </sheetViews>
  <sheetFormatPr defaultRowHeight="15" x14ac:dyDescent="0.25"/>
  <cols>
    <col min="1" max="1" width="95" customWidth="1"/>
  </cols>
  <sheetData>
    <row r="1" spans="1:1" x14ac:dyDescent="0.25">
      <c r="A1" s="29" t="s">
        <v>113</v>
      </c>
    </row>
    <row r="2" spans="1:1" x14ac:dyDescent="0.25">
      <c r="A2" s="29" t="s">
        <v>114</v>
      </c>
    </row>
    <row r="3" spans="1:1" ht="30" x14ac:dyDescent="0.25">
      <c r="A3" s="29" t="s">
        <v>115</v>
      </c>
    </row>
    <row r="4" spans="1:1" ht="30" x14ac:dyDescent="0.25">
      <c r="A4" s="29" t="s">
        <v>107</v>
      </c>
    </row>
    <row r="5" spans="1:1" ht="30" x14ac:dyDescent="0.25">
      <c r="A5" s="29" t="s">
        <v>108</v>
      </c>
    </row>
    <row r="6" spans="1:1" ht="45" x14ac:dyDescent="0.25">
      <c r="A6" s="29" t="s">
        <v>112</v>
      </c>
    </row>
    <row r="7" spans="1:1" ht="30" x14ac:dyDescent="0.25">
      <c r="A7" s="29" t="s">
        <v>109</v>
      </c>
    </row>
    <row r="8" spans="1:1" ht="30" x14ac:dyDescent="0.25">
      <c r="A8" s="29" t="s">
        <v>110</v>
      </c>
    </row>
    <row r="10" spans="1:1" x14ac:dyDescent="0.25">
      <c r="A10" t="s">
        <v>121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00FF"/>
  </sheetPr>
  <dimension ref="A1:J21"/>
  <sheetViews>
    <sheetView topLeftCell="A2" zoomScale="113" zoomScaleNormal="113" workbookViewId="0">
      <selection activeCell="B16" sqref="B15:B16"/>
    </sheetView>
  </sheetViews>
  <sheetFormatPr defaultRowHeight="15" x14ac:dyDescent="0.25"/>
  <cols>
    <col min="1" max="1" width="14.42578125" customWidth="1"/>
    <col min="2" max="2" width="17.85546875" bestFit="1" customWidth="1"/>
    <col min="4" max="4" width="13.140625" customWidth="1"/>
    <col min="5" max="5" width="14" customWidth="1"/>
    <col min="9" max="9" width="30.7109375" customWidth="1"/>
  </cols>
  <sheetData>
    <row r="1" spans="1:10" x14ac:dyDescent="0.25">
      <c r="A1" s="1" t="s">
        <v>136</v>
      </c>
      <c r="B1" s="1" t="s">
        <v>421</v>
      </c>
      <c r="D1" s="1" t="s">
        <v>136</v>
      </c>
      <c r="E1" s="1" t="s">
        <v>137</v>
      </c>
    </row>
    <row r="2" spans="1:10" ht="18" x14ac:dyDescent="0.35">
      <c r="A2" s="26" t="s">
        <v>138</v>
      </c>
      <c r="B2" s="35">
        <v>15</v>
      </c>
      <c r="D2" s="26" t="s">
        <v>138</v>
      </c>
      <c r="E2" s="35">
        <f>INDEX($B$2:$B$16,(ROWS(E$2:E2)-1)*2+1)</f>
        <v>15</v>
      </c>
    </row>
    <row r="3" spans="1:10" ht="18" x14ac:dyDescent="0.35">
      <c r="A3" s="26" t="s">
        <v>139</v>
      </c>
      <c r="B3" s="36">
        <v>10</v>
      </c>
      <c r="D3" s="26" t="s">
        <v>139</v>
      </c>
      <c r="E3" s="37">
        <f>INDEX($B$2:$B$16,(ROWS(E$2:E3)-1)*2+1)</f>
        <v>14</v>
      </c>
    </row>
    <row r="4" spans="1:10" ht="18" x14ac:dyDescent="0.35">
      <c r="A4" s="26" t="s">
        <v>140</v>
      </c>
      <c r="B4" s="37">
        <v>14</v>
      </c>
      <c r="D4" s="26" t="s">
        <v>140</v>
      </c>
      <c r="E4" s="38">
        <f>INDEX($B$2:$B$16,(ROWS(E$2:E4)-1)*2+1)</f>
        <v>14</v>
      </c>
    </row>
    <row r="5" spans="1:10" ht="18" x14ac:dyDescent="0.35">
      <c r="A5" s="26" t="s">
        <v>141</v>
      </c>
      <c r="B5" s="36">
        <v>13</v>
      </c>
      <c r="D5" s="26" t="s">
        <v>141</v>
      </c>
      <c r="E5" s="39">
        <f>INDEX($B$2:$B$16,(ROWS(E$2:E5)-1)*2+1)</f>
        <v>11</v>
      </c>
    </row>
    <row r="6" spans="1:10" ht="18" x14ac:dyDescent="0.35">
      <c r="A6" s="26" t="s">
        <v>142</v>
      </c>
      <c r="B6" s="38">
        <v>14</v>
      </c>
      <c r="D6" s="26" t="s">
        <v>142</v>
      </c>
      <c r="E6" s="40">
        <f>INDEX($B$2:$B$16,(ROWS(E$2:E6)-1)*2+1)</f>
        <v>10</v>
      </c>
    </row>
    <row r="7" spans="1:10" ht="18" x14ac:dyDescent="0.35">
      <c r="A7" s="26" t="s">
        <v>143</v>
      </c>
      <c r="B7" s="36">
        <v>8</v>
      </c>
      <c r="D7" s="26" t="s">
        <v>143</v>
      </c>
      <c r="E7" s="41">
        <f>INDEX($B$2:$B$16,(ROWS(E$2:E7)-1)*2+1)</f>
        <v>9</v>
      </c>
      <c r="G7" s="61" t="s">
        <v>198</v>
      </c>
      <c r="H7" s="26" t="s">
        <v>199</v>
      </c>
      <c r="I7" s="26" t="s">
        <v>200</v>
      </c>
      <c r="J7" s="26" t="s">
        <v>203</v>
      </c>
    </row>
    <row r="8" spans="1:10" ht="18" x14ac:dyDescent="0.35">
      <c r="A8" s="26" t="s">
        <v>144</v>
      </c>
      <c r="B8" s="39">
        <v>11</v>
      </c>
      <c r="D8" s="26" t="s">
        <v>144</v>
      </c>
      <c r="E8" s="42">
        <f>INDEX($B$2:$B$16,(ROWS(E$2:E8)-1)*2+1)</f>
        <v>9</v>
      </c>
      <c r="G8" s="61" t="s">
        <v>209</v>
      </c>
      <c r="H8" s="26" t="s">
        <v>199</v>
      </c>
      <c r="I8" s="26" t="s">
        <v>201</v>
      </c>
      <c r="J8" s="26" t="s">
        <v>204</v>
      </c>
    </row>
    <row r="9" spans="1:10" ht="18" x14ac:dyDescent="0.35">
      <c r="A9" s="26" t="s">
        <v>145</v>
      </c>
      <c r="B9" s="36">
        <v>11</v>
      </c>
      <c r="D9" s="26" t="s">
        <v>145</v>
      </c>
      <c r="E9" s="43">
        <f>INDEX($B$2:$B$16,(ROWS(E$2:E9)-1)*2+1)</f>
        <v>6</v>
      </c>
      <c r="G9" s="61" t="s">
        <v>202</v>
      </c>
      <c r="H9" s="26" t="s">
        <v>199</v>
      </c>
      <c r="I9" s="26" t="s">
        <v>205</v>
      </c>
      <c r="J9" s="26" t="s">
        <v>208</v>
      </c>
    </row>
    <row r="10" spans="1:10" ht="18" x14ac:dyDescent="0.35">
      <c r="A10" s="26" t="s">
        <v>146</v>
      </c>
      <c r="B10" s="40">
        <v>10</v>
      </c>
      <c r="G10" s="61" t="s">
        <v>206</v>
      </c>
      <c r="H10" s="26" t="s">
        <v>199</v>
      </c>
      <c r="I10" s="26" t="s">
        <v>415</v>
      </c>
      <c r="J10" s="26" t="s">
        <v>207</v>
      </c>
    </row>
    <row r="11" spans="1:10" ht="18" x14ac:dyDescent="0.35">
      <c r="A11" s="26" t="s">
        <v>147</v>
      </c>
      <c r="B11" s="36">
        <v>13</v>
      </c>
      <c r="D11" s="26" t="s">
        <v>148</v>
      </c>
      <c r="E11" s="44"/>
    </row>
    <row r="12" spans="1:10" ht="18.75" thickBot="1" x14ac:dyDescent="0.4">
      <c r="A12" s="26" t="s">
        <v>149</v>
      </c>
      <c r="B12" s="41">
        <v>9</v>
      </c>
    </row>
    <row r="13" spans="1:10" ht="18" x14ac:dyDescent="0.35">
      <c r="A13" s="26" t="s">
        <v>150</v>
      </c>
      <c r="B13" s="36">
        <v>11</v>
      </c>
      <c r="D13" s="264" t="str">
        <f t="shared" ref="D13" si="0">IF(E11="","","The Sample Statistic 'Sample Mean Xbar', "&amp;DOLLAR(E11)&amp;" is the point estimate of the Population Parameter 'Population Mean Mew'")</f>
        <v/>
      </c>
      <c r="E13" s="265"/>
    </row>
    <row r="14" spans="1:10" ht="18" x14ac:dyDescent="0.35">
      <c r="A14" s="26" t="s">
        <v>151</v>
      </c>
      <c r="B14" s="42">
        <v>9</v>
      </c>
      <c r="D14" s="266"/>
      <c r="E14" s="267"/>
    </row>
    <row r="15" spans="1:10" ht="18" x14ac:dyDescent="0.35">
      <c r="A15" s="26" t="s">
        <v>152</v>
      </c>
      <c r="B15" s="36">
        <v>9</v>
      </c>
      <c r="D15" s="266"/>
      <c r="E15" s="267"/>
    </row>
    <row r="16" spans="1:10" ht="18" x14ac:dyDescent="0.35">
      <c r="A16" s="26" t="s">
        <v>153</v>
      </c>
      <c r="B16" s="43">
        <v>6</v>
      </c>
      <c r="D16" s="266"/>
      <c r="E16" s="267"/>
    </row>
    <row r="17" spans="1:10" x14ac:dyDescent="0.25">
      <c r="D17" s="266"/>
      <c r="E17" s="267"/>
    </row>
    <row r="18" spans="1:10" ht="15.75" thickBot="1" x14ac:dyDescent="0.3">
      <c r="A18" s="26" t="s">
        <v>154</v>
      </c>
      <c r="B18" s="44"/>
      <c r="D18" s="268"/>
      <c r="E18" s="269"/>
      <c r="G18" s="72" t="s">
        <v>210</v>
      </c>
      <c r="H18" s="26" t="s">
        <v>199</v>
      </c>
      <c r="I18" s="26" t="s">
        <v>419</v>
      </c>
      <c r="J18" s="26" t="s">
        <v>213</v>
      </c>
    </row>
    <row r="19" spans="1:10" x14ac:dyDescent="0.25">
      <c r="G19" s="61" t="s">
        <v>209</v>
      </c>
      <c r="H19" s="26" t="s">
        <v>199</v>
      </c>
      <c r="I19" s="26" t="s">
        <v>201</v>
      </c>
      <c r="J19" s="26" t="s">
        <v>204</v>
      </c>
    </row>
    <row r="20" spans="1:10" x14ac:dyDescent="0.25">
      <c r="G20" s="61" t="s">
        <v>202</v>
      </c>
      <c r="H20" s="26" t="s">
        <v>199</v>
      </c>
      <c r="I20" s="26" t="s">
        <v>205</v>
      </c>
      <c r="J20" s="26" t="s">
        <v>208</v>
      </c>
    </row>
    <row r="21" spans="1:10" x14ac:dyDescent="0.25">
      <c r="G21" s="61" t="s">
        <v>211</v>
      </c>
      <c r="H21" s="26" t="s">
        <v>199</v>
      </c>
      <c r="I21" s="26" t="s">
        <v>420</v>
      </c>
      <c r="J21" s="26" t="s">
        <v>212</v>
      </c>
    </row>
  </sheetData>
  <mergeCells count="1">
    <mergeCell ref="D13:E18"/>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J21"/>
  <sheetViews>
    <sheetView zoomScale="113" zoomScaleNormal="113" workbookViewId="0">
      <selection activeCell="E11" sqref="E11"/>
    </sheetView>
  </sheetViews>
  <sheetFormatPr defaultRowHeight="15" x14ac:dyDescent="0.25"/>
  <cols>
    <col min="1" max="1" width="14.42578125" customWidth="1"/>
    <col min="2" max="2" width="17.85546875" bestFit="1" customWidth="1"/>
    <col min="4" max="4" width="13.140625" customWidth="1"/>
    <col min="5" max="5" width="14" customWidth="1"/>
    <col min="9" max="9" width="30.7109375" customWidth="1"/>
  </cols>
  <sheetData>
    <row r="1" spans="1:10" x14ac:dyDescent="0.25">
      <c r="A1" s="1" t="s">
        <v>136</v>
      </c>
      <c r="B1" s="1" t="s">
        <v>421</v>
      </c>
      <c r="D1" s="1" t="s">
        <v>136</v>
      </c>
      <c r="E1" s="1" t="s">
        <v>137</v>
      </c>
    </row>
    <row r="2" spans="1:10" ht="18" x14ac:dyDescent="0.35">
      <c r="A2" s="26" t="s">
        <v>138</v>
      </c>
      <c r="B2" s="35">
        <v>15</v>
      </c>
      <c r="D2" s="26" t="s">
        <v>138</v>
      </c>
      <c r="E2" s="35">
        <f>INDEX($B$2:$B$16,(ROWS(E$2:E2)-1)*2+1)</f>
        <v>15</v>
      </c>
    </row>
    <row r="3" spans="1:10" ht="18" x14ac:dyDescent="0.35">
      <c r="A3" s="26" t="s">
        <v>139</v>
      </c>
      <c r="B3" s="36">
        <v>10</v>
      </c>
      <c r="D3" s="26" t="s">
        <v>139</v>
      </c>
      <c r="E3" s="37">
        <f>INDEX($B$2:$B$16,(ROWS(E$2:E3)-1)*2+1)</f>
        <v>14</v>
      </c>
    </row>
    <row r="4" spans="1:10" ht="18" x14ac:dyDescent="0.35">
      <c r="A4" s="26" t="s">
        <v>140</v>
      </c>
      <c r="B4" s="37">
        <v>14</v>
      </c>
      <c r="D4" s="26" t="s">
        <v>140</v>
      </c>
      <c r="E4" s="38">
        <f>INDEX($B$2:$B$16,(ROWS(E$2:E4)-1)*2+1)</f>
        <v>14</v>
      </c>
    </row>
    <row r="5" spans="1:10" ht="18" x14ac:dyDescent="0.35">
      <c r="A5" s="26" t="s">
        <v>141</v>
      </c>
      <c r="B5" s="36">
        <v>13</v>
      </c>
      <c r="D5" s="26" t="s">
        <v>141</v>
      </c>
      <c r="E5" s="39">
        <f>INDEX($B$2:$B$16,(ROWS(E$2:E5)-1)*2+1)</f>
        <v>11</v>
      </c>
    </row>
    <row r="6" spans="1:10" ht="18" x14ac:dyDescent="0.35">
      <c r="A6" s="26" t="s">
        <v>142</v>
      </c>
      <c r="B6" s="38">
        <v>14</v>
      </c>
      <c r="D6" s="26" t="s">
        <v>142</v>
      </c>
      <c r="E6" s="40">
        <f>INDEX($B$2:$B$16,(ROWS(E$2:E6)-1)*2+1)</f>
        <v>10</v>
      </c>
    </row>
    <row r="7" spans="1:10" ht="18" x14ac:dyDescent="0.35">
      <c r="A7" s="26" t="s">
        <v>143</v>
      </c>
      <c r="B7" s="36">
        <v>8</v>
      </c>
      <c r="D7" s="26" t="s">
        <v>143</v>
      </c>
      <c r="E7" s="41">
        <f>INDEX($B$2:$B$16,(ROWS(E$2:E7)-1)*2+1)</f>
        <v>9</v>
      </c>
      <c r="G7" s="61" t="s">
        <v>198</v>
      </c>
      <c r="H7" s="26" t="s">
        <v>199</v>
      </c>
      <c r="I7" s="26" t="s">
        <v>200</v>
      </c>
      <c r="J7" s="26" t="s">
        <v>203</v>
      </c>
    </row>
    <row r="8" spans="1:10" ht="18" x14ac:dyDescent="0.35">
      <c r="A8" s="26" t="s">
        <v>144</v>
      </c>
      <c r="B8" s="39">
        <v>11</v>
      </c>
      <c r="D8" s="26" t="s">
        <v>144</v>
      </c>
      <c r="E8" s="42">
        <f>INDEX($B$2:$B$16,(ROWS(E$2:E8)-1)*2+1)</f>
        <v>9</v>
      </c>
      <c r="G8" s="61" t="s">
        <v>209</v>
      </c>
      <c r="H8" s="26" t="s">
        <v>199</v>
      </c>
      <c r="I8" s="26" t="s">
        <v>201</v>
      </c>
      <c r="J8" s="26" t="s">
        <v>204</v>
      </c>
    </row>
    <row r="9" spans="1:10" ht="18" x14ac:dyDescent="0.35">
      <c r="A9" s="26" t="s">
        <v>145</v>
      </c>
      <c r="B9" s="36">
        <v>11</v>
      </c>
      <c r="D9" s="26" t="s">
        <v>145</v>
      </c>
      <c r="E9" s="43">
        <f>INDEX($B$2:$B$16,(ROWS(E$2:E9)-1)*2+1)</f>
        <v>6</v>
      </c>
      <c r="G9" s="61" t="s">
        <v>202</v>
      </c>
      <c r="H9" s="26" t="s">
        <v>199</v>
      </c>
      <c r="I9" s="26" t="s">
        <v>205</v>
      </c>
      <c r="J9" s="26" t="s">
        <v>208</v>
      </c>
    </row>
    <row r="10" spans="1:10" ht="18" x14ac:dyDescent="0.35">
      <c r="A10" s="26" t="s">
        <v>146</v>
      </c>
      <c r="B10" s="40">
        <v>10</v>
      </c>
      <c r="G10" s="61" t="s">
        <v>206</v>
      </c>
      <c r="H10" s="26" t="s">
        <v>199</v>
      </c>
      <c r="I10" s="26" t="s">
        <v>415</v>
      </c>
      <c r="J10" s="26" t="s">
        <v>207</v>
      </c>
    </row>
    <row r="11" spans="1:10" ht="18" x14ac:dyDescent="0.35">
      <c r="A11" s="26" t="s">
        <v>147</v>
      </c>
      <c r="B11" s="36">
        <v>13</v>
      </c>
      <c r="D11" s="26" t="s">
        <v>148</v>
      </c>
      <c r="E11" s="44">
        <f>AVERAGE(E2:E9)</f>
        <v>11</v>
      </c>
    </row>
    <row r="12" spans="1:10" ht="18.75" thickBot="1" x14ac:dyDescent="0.4">
      <c r="A12" s="26" t="s">
        <v>149</v>
      </c>
      <c r="B12" s="41">
        <v>9</v>
      </c>
    </row>
    <row r="13" spans="1:10" ht="18" x14ac:dyDescent="0.35">
      <c r="A13" s="26" t="s">
        <v>150</v>
      </c>
      <c r="B13" s="36">
        <v>11</v>
      </c>
      <c r="D13" s="264" t="str">
        <f t="shared" ref="D13" si="0">IF(E11="","","The Sample Statistic 'Sample Mean Xbar', "&amp;DOLLAR(E11)&amp;" is the point estimate of the Population Parameter 'Population Mean Mew'")</f>
        <v>The Sample Statistic 'Sample Mean Xbar', $11.00 is the point estimate of the Population Parameter 'Population Mean Mew'</v>
      </c>
      <c r="E13" s="265"/>
    </row>
    <row r="14" spans="1:10" ht="18" x14ac:dyDescent="0.35">
      <c r="A14" s="26" t="s">
        <v>151</v>
      </c>
      <c r="B14" s="42">
        <v>9</v>
      </c>
      <c r="D14" s="266"/>
      <c r="E14" s="267"/>
    </row>
    <row r="15" spans="1:10" ht="18" x14ac:dyDescent="0.35">
      <c r="A15" s="26" t="s">
        <v>152</v>
      </c>
      <c r="B15" s="36">
        <v>9</v>
      </c>
      <c r="D15" s="266"/>
      <c r="E15" s="267"/>
    </row>
    <row r="16" spans="1:10" ht="18" x14ac:dyDescent="0.35">
      <c r="A16" s="26" t="s">
        <v>153</v>
      </c>
      <c r="B16" s="43">
        <v>6</v>
      </c>
      <c r="D16" s="266"/>
      <c r="E16" s="267"/>
    </row>
    <row r="17" spans="1:10" x14ac:dyDescent="0.25">
      <c r="D17" s="266"/>
      <c r="E17" s="267"/>
    </row>
    <row r="18" spans="1:10" ht="15.75" thickBot="1" x14ac:dyDescent="0.3">
      <c r="A18" s="26" t="s">
        <v>154</v>
      </c>
      <c r="B18" s="44">
        <f>AVERAGE(B2:B16)</f>
        <v>10.866666666666667</v>
      </c>
      <c r="D18" s="268"/>
      <c r="E18" s="269"/>
      <c r="G18" s="72" t="s">
        <v>210</v>
      </c>
      <c r="H18" s="26" t="s">
        <v>199</v>
      </c>
      <c r="I18" s="26" t="s">
        <v>419</v>
      </c>
      <c r="J18" s="26" t="s">
        <v>213</v>
      </c>
    </row>
    <row r="19" spans="1:10" x14ac:dyDescent="0.25">
      <c r="G19" s="61" t="s">
        <v>209</v>
      </c>
      <c r="H19" s="26" t="s">
        <v>199</v>
      </c>
      <c r="I19" s="26" t="s">
        <v>201</v>
      </c>
      <c r="J19" s="26" t="s">
        <v>204</v>
      </c>
    </row>
    <row r="20" spans="1:10" x14ac:dyDescent="0.25">
      <c r="G20" s="61" t="s">
        <v>202</v>
      </c>
      <c r="H20" s="26" t="s">
        <v>199</v>
      </c>
      <c r="I20" s="26" t="s">
        <v>205</v>
      </c>
      <c r="J20" s="26" t="s">
        <v>208</v>
      </c>
    </row>
    <row r="21" spans="1:10" x14ac:dyDescent="0.25">
      <c r="G21" s="61" t="s">
        <v>211</v>
      </c>
      <c r="H21" s="26" t="s">
        <v>199</v>
      </c>
      <c r="I21" s="26" t="s">
        <v>420</v>
      </c>
      <c r="J21" s="26" t="s">
        <v>212</v>
      </c>
    </row>
  </sheetData>
  <mergeCells count="1">
    <mergeCell ref="D13:E18"/>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00FF"/>
  </sheetPr>
  <dimension ref="A10:E33"/>
  <sheetViews>
    <sheetView zoomScaleNormal="100" workbookViewId="0"/>
  </sheetViews>
  <sheetFormatPr defaultRowHeight="15" x14ac:dyDescent="0.25"/>
  <cols>
    <col min="1" max="1" width="29.28515625" customWidth="1"/>
    <col min="2" max="2" width="19.28515625" customWidth="1"/>
    <col min="3" max="3" width="2.140625" customWidth="1"/>
    <col min="4" max="4" width="20.140625" customWidth="1"/>
    <col min="5" max="5" width="25" customWidth="1"/>
    <col min="8" max="8" width="97.28515625" customWidth="1"/>
  </cols>
  <sheetData>
    <row r="10" spans="1:5" x14ac:dyDescent="0.25">
      <c r="A10" s="1" t="s">
        <v>132</v>
      </c>
      <c r="B10" s="30"/>
      <c r="D10" s="1" t="s">
        <v>133</v>
      </c>
      <c r="E10" s="30"/>
    </row>
    <row r="11" spans="1:5" ht="31.5" customHeight="1" x14ac:dyDescent="0.25">
      <c r="A11" s="73" t="str">
        <f>IF(B10&lt;&gt;"","We can use this average to compare to our scores and gage how well we did.","")</f>
        <v/>
      </c>
      <c r="B11" s="74"/>
      <c r="D11" s="73" t="str">
        <f>IF(E10&lt;&gt;"","We can use this average to help us estimate whether the machine is filling correctly.","")</f>
        <v/>
      </c>
      <c r="E11" s="74"/>
    </row>
    <row r="13" spans="1:5" ht="45" x14ac:dyDescent="0.25">
      <c r="A13" s="33" t="s">
        <v>134</v>
      </c>
      <c r="D13" s="33" t="s">
        <v>135</v>
      </c>
    </row>
    <row r="14" spans="1:5" x14ac:dyDescent="0.25">
      <c r="A14" s="26">
        <v>60</v>
      </c>
      <c r="D14" s="34">
        <v>10.8</v>
      </c>
    </row>
    <row r="15" spans="1:5" x14ac:dyDescent="0.25">
      <c r="A15" s="26">
        <v>68</v>
      </c>
      <c r="D15" s="34">
        <v>10.74</v>
      </c>
    </row>
    <row r="16" spans="1:5" x14ac:dyDescent="0.25">
      <c r="A16" s="26">
        <v>76</v>
      </c>
      <c r="D16" s="34">
        <v>10.32</v>
      </c>
    </row>
    <row r="17" spans="1:4" x14ac:dyDescent="0.25">
      <c r="A17" s="26">
        <v>84</v>
      </c>
      <c r="D17" s="34">
        <v>9.73</v>
      </c>
    </row>
    <row r="18" spans="1:4" x14ac:dyDescent="0.25">
      <c r="A18" s="26">
        <v>55</v>
      </c>
      <c r="D18" s="34">
        <v>9.15</v>
      </c>
    </row>
    <row r="19" spans="1:4" x14ac:dyDescent="0.25">
      <c r="A19" s="26">
        <v>63</v>
      </c>
      <c r="D19" s="34">
        <v>10.94</v>
      </c>
    </row>
    <row r="20" spans="1:4" x14ac:dyDescent="0.25">
      <c r="A20" s="26">
        <v>89</v>
      </c>
      <c r="D20" s="34">
        <v>10.83</v>
      </c>
    </row>
    <row r="21" spans="1:4" x14ac:dyDescent="0.25">
      <c r="A21" s="26">
        <v>31</v>
      </c>
      <c r="D21" s="34">
        <v>9.36</v>
      </c>
    </row>
    <row r="22" spans="1:4" x14ac:dyDescent="0.25">
      <c r="A22" s="26">
        <v>47</v>
      </c>
      <c r="D22" s="34">
        <v>10.42</v>
      </c>
    </row>
    <row r="23" spans="1:4" x14ac:dyDescent="0.25">
      <c r="A23" s="26">
        <v>68</v>
      </c>
      <c r="D23" s="34">
        <v>9.9700000000000006</v>
      </c>
    </row>
    <row r="24" spans="1:4" x14ac:dyDescent="0.25">
      <c r="A24" s="26">
        <v>54</v>
      </c>
      <c r="D24" s="34">
        <v>10.23</v>
      </c>
    </row>
    <row r="25" spans="1:4" x14ac:dyDescent="0.25">
      <c r="A25" s="26">
        <v>58</v>
      </c>
      <c r="D25" s="34">
        <v>9.83</v>
      </c>
    </row>
    <row r="26" spans="1:4" x14ac:dyDescent="0.25">
      <c r="A26" s="26">
        <v>57</v>
      </c>
      <c r="D26" s="34">
        <v>10.41</v>
      </c>
    </row>
    <row r="27" spans="1:4" x14ac:dyDescent="0.25">
      <c r="A27" s="26">
        <v>61</v>
      </c>
      <c r="D27" s="34">
        <v>10.35</v>
      </c>
    </row>
    <row r="28" spans="1:4" x14ac:dyDescent="0.25">
      <c r="A28" s="26">
        <v>72</v>
      </c>
      <c r="D28" s="34">
        <v>9.8699999999999992</v>
      </c>
    </row>
    <row r="29" spans="1:4" x14ac:dyDescent="0.25">
      <c r="A29" s="26">
        <v>91</v>
      </c>
      <c r="D29" s="34">
        <v>10.02</v>
      </c>
    </row>
    <row r="30" spans="1:4" x14ac:dyDescent="0.25">
      <c r="A30" s="26">
        <v>95</v>
      </c>
      <c r="D30" s="34">
        <v>9.4499999999999993</v>
      </c>
    </row>
    <row r="31" spans="1:4" x14ac:dyDescent="0.25">
      <c r="A31" s="26">
        <v>68</v>
      </c>
      <c r="D31" s="34">
        <v>10.46</v>
      </c>
    </row>
    <row r="32" spans="1:4" x14ac:dyDescent="0.25">
      <c r="A32" s="26">
        <v>76</v>
      </c>
      <c r="D32" s="34">
        <v>10.8</v>
      </c>
    </row>
    <row r="33" spans="1:4" x14ac:dyDescent="0.25">
      <c r="A33" s="26">
        <v>76</v>
      </c>
      <c r="D33" s="34">
        <v>10.01</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0000"/>
  </sheetPr>
  <dimension ref="A10:E33"/>
  <sheetViews>
    <sheetView zoomScaleNormal="100" workbookViewId="0">
      <selection activeCell="E9" sqref="E9"/>
    </sheetView>
  </sheetViews>
  <sheetFormatPr defaultRowHeight="15" x14ac:dyDescent="0.25"/>
  <cols>
    <col min="1" max="1" width="29.28515625" customWidth="1"/>
    <col min="2" max="2" width="19.28515625" customWidth="1"/>
    <col min="3" max="3" width="2.140625" customWidth="1"/>
    <col min="4" max="4" width="20.140625" customWidth="1"/>
    <col min="5" max="5" width="25" customWidth="1"/>
    <col min="8" max="8" width="97.28515625" customWidth="1"/>
  </cols>
  <sheetData>
    <row r="10" spans="1:5" x14ac:dyDescent="0.25">
      <c r="A10" s="1" t="s">
        <v>132</v>
      </c>
      <c r="B10" s="30">
        <f>AVERAGE(A14:A33)</f>
        <v>67.45</v>
      </c>
      <c r="D10" s="1" t="s">
        <v>133</v>
      </c>
      <c r="E10" s="30">
        <f>AVERAGE(D14:D33)</f>
        <v>10.184500000000002</v>
      </c>
    </row>
    <row r="11" spans="1:5" ht="31.5" customHeight="1" x14ac:dyDescent="0.25">
      <c r="A11" s="73" t="str">
        <f>IF(B10&lt;&gt;"","We can use this average to compare to our scores and gage how well we did.","")</f>
        <v>We can use this average to compare to our scores and gage how well we did.</v>
      </c>
      <c r="B11" s="74"/>
      <c r="D11" s="73" t="str">
        <f>IF(E10&lt;&gt;"","We can use this average to help us estimate whether the machine is filling correctly.","")</f>
        <v>We can use this average to help us estimate whether the machine is filling correctly.</v>
      </c>
      <c r="E11" s="74"/>
    </row>
    <row r="13" spans="1:5" ht="45" x14ac:dyDescent="0.25">
      <c r="A13" s="33" t="s">
        <v>134</v>
      </c>
      <c r="D13" s="33" t="s">
        <v>135</v>
      </c>
    </row>
    <row r="14" spans="1:5" x14ac:dyDescent="0.25">
      <c r="A14" s="26">
        <v>60</v>
      </c>
      <c r="D14" s="34">
        <v>10.8</v>
      </c>
    </row>
    <row r="15" spans="1:5" x14ac:dyDescent="0.25">
      <c r="A15" s="26">
        <v>68</v>
      </c>
      <c r="D15" s="34">
        <v>10.74</v>
      </c>
    </row>
    <row r="16" spans="1:5" x14ac:dyDescent="0.25">
      <c r="A16" s="26">
        <v>76</v>
      </c>
      <c r="D16" s="34">
        <v>10.32</v>
      </c>
    </row>
    <row r="17" spans="1:4" x14ac:dyDescent="0.25">
      <c r="A17" s="26">
        <v>84</v>
      </c>
      <c r="D17" s="34">
        <v>9.73</v>
      </c>
    </row>
    <row r="18" spans="1:4" x14ac:dyDescent="0.25">
      <c r="A18" s="26">
        <v>55</v>
      </c>
      <c r="D18" s="34">
        <v>9.15</v>
      </c>
    </row>
    <row r="19" spans="1:4" x14ac:dyDescent="0.25">
      <c r="A19" s="26">
        <v>63</v>
      </c>
      <c r="D19" s="34">
        <v>10.94</v>
      </c>
    </row>
    <row r="20" spans="1:4" x14ac:dyDescent="0.25">
      <c r="A20" s="26">
        <v>89</v>
      </c>
      <c r="D20" s="34">
        <v>10.83</v>
      </c>
    </row>
    <row r="21" spans="1:4" x14ac:dyDescent="0.25">
      <c r="A21" s="26">
        <v>31</v>
      </c>
      <c r="D21" s="34">
        <v>9.36</v>
      </c>
    </row>
    <row r="22" spans="1:4" x14ac:dyDescent="0.25">
      <c r="A22" s="26">
        <v>47</v>
      </c>
      <c r="D22" s="34">
        <v>10.42</v>
      </c>
    </row>
    <row r="23" spans="1:4" x14ac:dyDescent="0.25">
      <c r="A23" s="26">
        <v>68</v>
      </c>
      <c r="D23" s="34">
        <v>9.9700000000000006</v>
      </c>
    </row>
    <row r="24" spans="1:4" x14ac:dyDescent="0.25">
      <c r="A24" s="26">
        <v>54</v>
      </c>
      <c r="D24" s="34">
        <v>10.23</v>
      </c>
    </row>
    <row r="25" spans="1:4" x14ac:dyDescent="0.25">
      <c r="A25" s="26">
        <v>58</v>
      </c>
      <c r="D25" s="34">
        <v>9.83</v>
      </c>
    </row>
    <row r="26" spans="1:4" x14ac:dyDescent="0.25">
      <c r="A26" s="26">
        <v>57</v>
      </c>
      <c r="D26" s="34">
        <v>10.41</v>
      </c>
    </row>
    <row r="27" spans="1:4" x14ac:dyDescent="0.25">
      <c r="A27" s="26">
        <v>61</v>
      </c>
      <c r="D27" s="34">
        <v>10.35</v>
      </c>
    </row>
    <row r="28" spans="1:4" x14ac:dyDescent="0.25">
      <c r="A28" s="26">
        <v>72</v>
      </c>
      <c r="D28" s="34">
        <v>9.8699999999999992</v>
      </c>
    </row>
    <row r="29" spans="1:4" x14ac:dyDescent="0.25">
      <c r="A29" s="26">
        <v>91</v>
      </c>
      <c r="D29" s="34">
        <v>10.02</v>
      </c>
    </row>
    <row r="30" spans="1:4" x14ac:dyDescent="0.25">
      <c r="A30" s="26">
        <v>95</v>
      </c>
      <c r="D30" s="34">
        <v>9.4499999999999993</v>
      </c>
    </row>
    <row r="31" spans="1:4" x14ac:dyDescent="0.25">
      <c r="A31" s="26">
        <v>68</v>
      </c>
      <c r="D31" s="34">
        <v>10.46</v>
      </c>
    </row>
    <row r="32" spans="1:4" x14ac:dyDescent="0.25">
      <c r="A32" s="26">
        <v>76</v>
      </c>
      <c r="D32" s="34">
        <v>10.8</v>
      </c>
    </row>
    <row r="33" spans="1:4" x14ac:dyDescent="0.25">
      <c r="A33" s="26">
        <v>76</v>
      </c>
      <c r="D33" s="34">
        <v>10.01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00FF"/>
  </sheetPr>
  <dimension ref="A11:M36"/>
  <sheetViews>
    <sheetView zoomScale="85" zoomScaleNormal="85" workbookViewId="0">
      <selection activeCell="C11" sqref="C11"/>
    </sheetView>
  </sheetViews>
  <sheetFormatPr defaultRowHeight="15" x14ac:dyDescent="0.25"/>
  <cols>
    <col min="1" max="1" width="25" customWidth="1"/>
    <col min="2" max="2" width="1.28515625" customWidth="1"/>
    <col min="3" max="3" width="25" customWidth="1"/>
    <col min="4" max="4" width="11.28515625" customWidth="1"/>
    <col min="5" max="8" width="1.7109375" customWidth="1"/>
    <col min="9" max="9" width="20.28515625" customWidth="1"/>
    <col min="10" max="10" width="1.5703125" customWidth="1"/>
    <col min="11" max="12" width="25" customWidth="1"/>
    <col min="14" max="14" width="11.42578125" customWidth="1"/>
    <col min="15" max="15" width="10.28515625" bestFit="1" customWidth="1"/>
  </cols>
  <sheetData>
    <row r="11" spans="1:13" x14ac:dyDescent="0.25">
      <c r="A11" s="230" t="s">
        <v>155</v>
      </c>
      <c r="B11" s="231"/>
      <c r="C11" s="229"/>
      <c r="I11" s="230" t="s">
        <v>156</v>
      </c>
      <c r="J11" s="231"/>
      <c r="K11" s="46"/>
      <c r="M11" t="s">
        <v>161</v>
      </c>
    </row>
    <row r="12" spans="1:13" x14ac:dyDescent="0.25">
      <c r="A12" s="230" t="s">
        <v>157</v>
      </c>
      <c r="B12" s="231"/>
      <c r="C12" s="229"/>
      <c r="D12" s="45"/>
      <c r="I12" s="230" t="s">
        <v>158</v>
      </c>
      <c r="J12" s="231"/>
      <c r="K12" s="46"/>
      <c r="L12" s="45"/>
    </row>
    <row r="13" spans="1:13" ht="83.25" customHeight="1" x14ac:dyDescent="0.25">
      <c r="A13" s="31" t="str">
        <f>IF(C12&lt;&gt;"","Median gives us a more representative 'typical value' to use in discussions and ads - because it is not affected by extreme values.","")</f>
        <v/>
      </c>
      <c r="B13" s="47"/>
      <c r="C13" s="32"/>
      <c r="I13" s="31" t="str">
        <f>IF(K12&lt;&gt;"","Median gives us a more representative 'typical value' to make your decision. As soon as you see that the mean is larger than the median, you know that a few large values are pulling the mean up.","")</f>
        <v/>
      </c>
      <c r="J13" s="47"/>
      <c r="K13" s="32"/>
    </row>
    <row r="15" spans="1:13" ht="30" x14ac:dyDescent="0.25">
      <c r="A15" s="33" t="s">
        <v>159</v>
      </c>
      <c r="C15" s="33" t="s">
        <v>159</v>
      </c>
      <c r="I15" s="33" t="s">
        <v>160</v>
      </c>
      <c r="K15" s="33" t="s">
        <v>160</v>
      </c>
    </row>
    <row r="16" spans="1:13" x14ac:dyDescent="0.25">
      <c r="A16" s="48">
        <v>297873</v>
      </c>
      <c r="B16" s="49"/>
      <c r="C16" s="50">
        <v>297873</v>
      </c>
      <c r="I16" s="48">
        <v>103332</v>
      </c>
      <c r="J16" s="49"/>
      <c r="K16" s="50">
        <v>103332</v>
      </c>
    </row>
    <row r="17" spans="1:11" x14ac:dyDescent="0.25">
      <c r="A17" s="48">
        <v>170143</v>
      </c>
      <c r="B17" s="49"/>
      <c r="C17" s="50">
        <v>170143</v>
      </c>
      <c r="I17" s="48">
        <v>120102</v>
      </c>
      <c r="J17" s="49"/>
      <c r="K17" s="50">
        <v>120102</v>
      </c>
    </row>
    <row r="18" spans="1:11" x14ac:dyDescent="0.25">
      <c r="A18" s="48">
        <v>109159</v>
      </c>
      <c r="B18" s="49"/>
      <c r="C18" s="50">
        <v>109159</v>
      </c>
      <c r="I18" s="48">
        <v>144354</v>
      </c>
      <c r="J18" s="49"/>
      <c r="K18" s="50">
        <v>144354</v>
      </c>
    </row>
    <row r="19" spans="1:11" x14ac:dyDescent="0.25">
      <c r="A19" s="48">
        <v>277309</v>
      </c>
      <c r="B19" s="49"/>
      <c r="C19" s="50">
        <v>277309</v>
      </c>
      <c r="I19" s="48">
        <v>138409</v>
      </c>
      <c r="J19" s="49"/>
      <c r="K19" s="50">
        <v>138409</v>
      </c>
    </row>
    <row r="20" spans="1:11" x14ac:dyDescent="0.25">
      <c r="A20" s="48">
        <v>239136</v>
      </c>
      <c r="B20" s="49"/>
      <c r="C20" s="50">
        <v>239136</v>
      </c>
      <c r="I20" s="48">
        <v>93949</v>
      </c>
      <c r="J20" s="49"/>
      <c r="K20" s="50">
        <v>93949</v>
      </c>
    </row>
    <row r="21" spans="1:11" x14ac:dyDescent="0.25">
      <c r="A21" s="48">
        <v>114460</v>
      </c>
      <c r="B21" s="49"/>
      <c r="C21" s="50">
        <v>114460</v>
      </c>
      <c r="I21" s="48">
        <v>59915</v>
      </c>
      <c r="J21" s="49"/>
      <c r="K21" s="50">
        <v>59915</v>
      </c>
    </row>
    <row r="22" spans="1:11" x14ac:dyDescent="0.25">
      <c r="A22" s="48">
        <v>224649</v>
      </c>
      <c r="B22" s="49"/>
      <c r="C22" s="50">
        <v>224649</v>
      </c>
      <c r="I22" s="48">
        <v>54594</v>
      </c>
      <c r="J22" s="49"/>
      <c r="K22" s="50">
        <v>54594</v>
      </c>
    </row>
    <row r="23" spans="1:11" x14ac:dyDescent="0.25">
      <c r="A23" s="48">
        <v>99857</v>
      </c>
      <c r="B23" s="49"/>
      <c r="C23" s="50">
        <v>99857</v>
      </c>
      <c r="I23" s="48">
        <v>92784</v>
      </c>
      <c r="J23" s="49"/>
      <c r="K23" s="50">
        <v>92784</v>
      </c>
    </row>
    <row r="24" spans="1:11" x14ac:dyDescent="0.25">
      <c r="A24" s="48">
        <v>144686</v>
      </c>
      <c r="B24" s="49"/>
      <c r="C24" s="50">
        <v>144686</v>
      </c>
      <c r="I24" s="48">
        <v>550250</v>
      </c>
      <c r="J24" s="49"/>
      <c r="K24" s="50">
        <v>550250</v>
      </c>
    </row>
    <row r="25" spans="1:11" x14ac:dyDescent="0.25">
      <c r="A25" s="48">
        <v>193308</v>
      </c>
      <c r="B25" s="49"/>
      <c r="C25" s="50">
        <v>193308</v>
      </c>
      <c r="I25" s="48">
        <v>59196</v>
      </c>
      <c r="J25" s="49"/>
      <c r="K25" s="50">
        <v>59196</v>
      </c>
    </row>
    <row r="26" spans="1:11" x14ac:dyDescent="0.25">
      <c r="A26" s="48">
        <v>144244</v>
      </c>
      <c r="B26" s="49"/>
      <c r="C26" s="50">
        <v>144244</v>
      </c>
      <c r="I26" s="48">
        <v>58072</v>
      </c>
      <c r="J26" s="49"/>
      <c r="K26" s="50">
        <v>58072</v>
      </c>
    </row>
    <row r="27" spans="1:11" x14ac:dyDescent="0.25">
      <c r="A27" s="48">
        <v>118492</v>
      </c>
      <c r="B27" s="49"/>
      <c r="C27" s="50">
        <v>118492</v>
      </c>
      <c r="I27" s="48">
        <v>51671</v>
      </c>
      <c r="J27" s="49"/>
      <c r="K27" s="50">
        <v>51671</v>
      </c>
    </row>
    <row r="28" spans="1:11" x14ac:dyDescent="0.25">
      <c r="A28" s="48">
        <v>178708</v>
      </c>
      <c r="B28" s="49"/>
      <c r="C28" s="50">
        <v>178708</v>
      </c>
      <c r="I28" s="48">
        <v>119001</v>
      </c>
      <c r="J28" s="49"/>
      <c r="K28" s="50">
        <v>119001</v>
      </c>
    </row>
    <row r="29" spans="1:11" x14ac:dyDescent="0.25">
      <c r="A29" s="48">
        <v>750022</v>
      </c>
      <c r="B29" s="49"/>
      <c r="C29" s="50">
        <v>750022</v>
      </c>
      <c r="I29" s="48">
        <v>126737</v>
      </c>
      <c r="J29" s="49"/>
      <c r="K29" s="50">
        <v>126737</v>
      </c>
    </row>
    <row r="30" spans="1:11" x14ac:dyDescent="0.25">
      <c r="A30" s="48">
        <v>143400</v>
      </c>
      <c r="B30" s="49"/>
      <c r="C30" s="50">
        <v>143400</v>
      </c>
      <c r="I30" s="48">
        <v>105127</v>
      </c>
      <c r="J30" s="49"/>
      <c r="K30" s="50">
        <v>105127</v>
      </c>
    </row>
    <row r="31" spans="1:11" x14ac:dyDescent="0.25">
      <c r="A31" s="48">
        <v>201661</v>
      </c>
      <c r="B31" s="49"/>
      <c r="C31" s="50">
        <v>201661</v>
      </c>
      <c r="I31" s="48">
        <v>139330</v>
      </c>
      <c r="J31" s="49"/>
      <c r="K31" s="50">
        <v>139330</v>
      </c>
    </row>
    <row r="32" spans="1:11" x14ac:dyDescent="0.25">
      <c r="A32" s="48">
        <v>1258963</v>
      </c>
      <c r="B32" s="49"/>
      <c r="C32" s="50">
        <v>1258963</v>
      </c>
      <c r="I32" s="48">
        <v>109151</v>
      </c>
      <c r="J32" s="49"/>
      <c r="K32" s="50">
        <v>109151</v>
      </c>
    </row>
    <row r="33" spans="1:11" x14ac:dyDescent="0.25">
      <c r="A33" s="48">
        <v>198345</v>
      </c>
      <c r="B33" s="49"/>
      <c r="C33" s="50">
        <v>198345</v>
      </c>
      <c r="I33" s="48">
        <v>119831</v>
      </c>
      <c r="J33" s="49"/>
      <c r="K33" s="50">
        <v>119831</v>
      </c>
    </row>
    <row r="34" spans="1:11" x14ac:dyDescent="0.25">
      <c r="A34" s="48">
        <v>394136</v>
      </c>
      <c r="B34" s="49"/>
      <c r="C34" s="50">
        <v>394136</v>
      </c>
      <c r="I34" s="48">
        <v>255800</v>
      </c>
      <c r="J34" s="49"/>
      <c r="K34" s="50">
        <v>255800</v>
      </c>
    </row>
    <row r="35" spans="1:11" x14ac:dyDescent="0.25">
      <c r="A35" s="48">
        <v>2589657</v>
      </c>
      <c r="B35" s="49"/>
      <c r="C35" s="50">
        <v>2589657</v>
      </c>
      <c r="I35" s="51">
        <v>790500</v>
      </c>
      <c r="J35" s="52"/>
      <c r="K35" s="53">
        <v>790500</v>
      </c>
    </row>
    <row r="36" spans="1:11" x14ac:dyDescent="0.25">
      <c r="I36" s="48">
        <v>96842</v>
      </c>
      <c r="J36" s="49"/>
      <c r="K36" s="50">
        <v>96842</v>
      </c>
    </row>
  </sheetData>
  <sortState xmlns:xlrd2="http://schemas.microsoft.com/office/spreadsheetml/2017/richdata2" ref="K16:K36">
    <sortCondition ref="K16"/>
  </sortState>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sheetPr>
  <dimension ref="A11:M36"/>
  <sheetViews>
    <sheetView zoomScale="85" zoomScaleNormal="85" workbookViewId="0">
      <selection activeCell="A13" sqref="A13:XFD13"/>
    </sheetView>
  </sheetViews>
  <sheetFormatPr defaultRowHeight="15" x14ac:dyDescent="0.25"/>
  <cols>
    <col min="1" max="1" width="25" customWidth="1"/>
    <col min="2" max="2" width="1.28515625" customWidth="1"/>
    <col min="3" max="3" width="25" customWidth="1"/>
    <col min="4" max="4" width="11.28515625" customWidth="1"/>
    <col min="5" max="8" width="1.7109375" customWidth="1"/>
    <col min="9" max="9" width="20.28515625" customWidth="1"/>
    <col min="10" max="10" width="1.5703125" customWidth="1"/>
    <col min="11" max="12" width="25" customWidth="1"/>
    <col min="14" max="14" width="11.42578125" customWidth="1"/>
    <col min="15" max="15" width="10.28515625" bestFit="1" customWidth="1"/>
  </cols>
  <sheetData>
    <row r="11" spans="1:13" x14ac:dyDescent="0.25">
      <c r="A11" s="230" t="s">
        <v>155</v>
      </c>
      <c r="B11" s="231"/>
      <c r="C11" s="229">
        <f>AVERAGE(A16:A35)</f>
        <v>392410.4</v>
      </c>
      <c r="I11" s="230" t="s">
        <v>156</v>
      </c>
      <c r="J11" s="231"/>
      <c r="K11" s="46">
        <f>AVERAGE(I16:I36)</f>
        <v>161378.42857142858</v>
      </c>
      <c r="M11" t="s">
        <v>161</v>
      </c>
    </row>
    <row r="12" spans="1:13" x14ac:dyDescent="0.25">
      <c r="A12" s="230" t="s">
        <v>157</v>
      </c>
      <c r="B12" s="231"/>
      <c r="C12" s="229">
        <f>MEDIAN(A16:A35)</f>
        <v>195826.5</v>
      </c>
      <c r="D12" s="45">
        <f>AVERAGE(C25:C26)</f>
        <v>195826.5</v>
      </c>
      <c r="I12" s="230" t="s">
        <v>158</v>
      </c>
      <c r="J12" s="231"/>
      <c r="K12" s="46">
        <f>MEDIAN(I16:I36)</f>
        <v>109151</v>
      </c>
      <c r="L12" s="45"/>
    </row>
    <row r="13" spans="1:13" ht="60" x14ac:dyDescent="0.25">
      <c r="A13" s="31" t="str">
        <f>IF(C12&lt;&gt;"","Median gives us a more representative 'typical value' to use in discussions and ads - because it is not affected by extreme values.","")</f>
        <v>Median gives us a more representative 'typical value' to use in discussions and ads - because it is not affected by extreme values.</v>
      </c>
      <c r="B13" s="47"/>
      <c r="C13" s="32"/>
      <c r="I13" s="31" t="str">
        <f>IF(K12&lt;&gt;"","Median gives us a more representative 'typical value' to make your decision. As soon as you see that the mean is larger than the median, you know that a few large values are pulling the mean up.","")</f>
        <v>Median gives us a more representative 'typical value' to make your decision. As soon as you see that the mean is larger than the median, you know that a few large values are pulling the mean up.</v>
      </c>
      <c r="J13" s="47"/>
      <c r="K13" s="32"/>
    </row>
    <row r="15" spans="1:13" ht="30" x14ac:dyDescent="0.25">
      <c r="A15" s="33" t="s">
        <v>159</v>
      </c>
      <c r="C15" s="33" t="s">
        <v>159</v>
      </c>
      <c r="I15" s="33" t="s">
        <v>160</v>
      </c>
      <c r="K15" s="33" t="s">
        <v>160</v>
      </c>
    </row>
    <row r="16" spans="1:13" x14ac:dyDescent="0.25">
      <c r="A16" s="48">
        <v>297873</v>
      </c>
      <c r="B16" s="49"/>
      <c r="C16" s="234">
        <v>99857</v>
      </c>
      <c r="I16" s="48">
        <v>103332</v>
      </c>
      <c r="J16" s="49"/>
      <c r="K16" s="234">
        <v>51671</v>
      </c>
    </row>
    <row r="17" spans="1:11" x14ac:dyDescent="0.25">
      <c r="A17" s="48">
        <v>170143</v>
      </c>
      <c r="B17" s="49"/>
      <c r="C17" s="234">
        <v>109159</v>
      </c>
      <c r="I17" s="48">
        <v>120102</v>
      </c>
      <c r="J17" s="49"/>
      <c r="K17" s="234">
        <v>54594</v>
      </c>
    </row>
    <row r="18" spans="1:11" x14ac:dyDescent="0.25">
      <c r="A18" s="48">
        <v>109159</v>
      </c>
      <c r="B18" s="49"/>
      <c r="C18" s="234">
        <v>114460</v>
      </c>
      <c r="I18" s="48">
        <v>144354</v>
      </c>
      <c r="J18" s="49"/>
      <c r="K18" s="234">
        <v>58072</v>
      </c>
    </row>
    <row r="19" spans="1:11" x14ac:dyDescent="0.25">
      <c r="A19" s="48">
        <v>277309</v>
      </c>
      <c r="B19" s="49"/>
      <c r="C19" s="234">
        <v>118492</v>
      </c>
      <c r="I19" s="48">
        <v>138409</v>
      </c>
      <c r="J19" s="49"/>
      <c r="K19" s="234">
        <v>59196</v>
      </c>
    </row>
    <row r="20" spans="1:11" x14ac:dyDescent="0.25">
      <c r="A20" s="48">
        <v>239136</v>
      </c>
      <c r="B20" s="49"/>
      <c r="C20" s="234">
        <v>143400</v>
      </c>
      <c r="I20" s="48">
        <v>93949</v>
      </c>
      <c r="J20" s="49"/>
      <c r="K20" s="234">
        <v>59915</v>
      </c>
    </row>
    <row r="21" spans="1:11" x14ac:dyDescent="0.25">
      <c r="A21" s="48">
        <v>114460</v>
      </c>
      <c r="B21" s="49"/>
      <c r="C21" s="234">
        <v>144244</v>
      </c>
      <c r="I21" s="48">
        <v>59915</v>
      </c>
      <c r="J21" s="49"/>
      <c r="K21" s="234">
        <v>92784</v>
      </c>
    </row>
    <row r="22" spans="1:11" x14ac:dyDescent="0.25">
      <c r="A22" s="48">
        <v>224649</v>
      </c>
      <c r="B22" s="49"/>
      <c r="C22" s="234">
        <v>144686</v>
      </c>
      <c r="I22" s="48">
        <v>54594</v>
      </c>
      <c r="J22" s="49"/>
      <c r="K22" s="234">
        <v>93949</v>
      </c>
    </row>
    <row r="23" spans="1:11" x14ac:dyDescent="0.25">
      <c r="A23" s="48">
        <v>99857</v>
      </c>
      <c r="B23" s="49"/>
      <c r="C23" s="234">
        <v>170143</v>
      </c>
      <c r="I23" s="48">
        <v>92784</v>
      </c>
      <c r="J23" s="49"/>
      <c r="K23" s="234">
        <v>96842</v>
      </c>
    </row>
    <row r="24" spans="1:11" x14ac:dyDescent="0.25">
      <c r="A24" s="48">
        <v>144686</v>
      </c>
      <c r="B24" s="49"/>
      <c r="C24" s="234">
        <v>178708</v>
      </c>
      <c r="I24" s="48">
        <v>550250</v>
      </c>
      <c r="J24" s="49"/>
      <c r="K24" s="234">
        <v>103332</v>
      </c>
    </row>
    <row r="25" spans="1:11" x14ac:dyDescent="0.25">
      <c r="A25" s="48">
        <v>193308</v>
      </c>
      <c r="B25" s="49"/>
      <c r="C25" s="234">
        <v>193308</v>
      </c>
      <c r="I25" s="48">
        <v>59196</v>
      </c>
      <c r="J25" s="49"/>
      <c r="K25" s="234">
        <v>105127</v>
      </c>
    </row>
    <row r="26" spans="1:11" x14ac:dyDescent="0.25">
      <c r="A26" s="48">
        <v>144244</v>
      </c>
      <c r="B26" s="49"/>
      <c r="C26" s="233">
        <v>198345</v>
      </c>
      <c r="I26" s="48">
        <v>58072</v>
      </c>
      <c r="J26" s="49"/>
      <c r="K26" s="50">
        <v>109151</v>
      </c>
    </row>
    <row r="27" spans="1:11" x14ac:dyDescent="0.25">
      <c r="A27" s="48">
        <v>118492</v>
      </c>
      <c r="B27" s="49"/>
      <c r="C27" s="233">
        <v>201661</v>
      </c>
      <c r="I27" s="48">
        <v>51671</v>
      </c>
      <c r="J27" s="49"/>
      <c r="K27" s="233">
        <v>119001</v>
      </c>
    </row>
    <row r="28" spans="1:11" x14ac:dyDescent="0.25">
      <c r="A28" s="48">
        <v>178708</v>
      </c>
      <c r="B28" s="49"/>
      <c r="C28" s="233">
        <v>224649</v>
      </c>
      <c r="I28" s="48">
        <v>119001</v>
      </c>
      <c r="J28" s="49"/>
      <c r="K28" s="233">
        <v>119831</v>
      </c>
    </row>
    <row r="29" spans="1:11" x14ac:dyDescent="0.25">
      <c r="A29" s="48">
        <v>750022</v>
      </c>
      <c r="B29" s="49"/>
      <c r="C29" s="233">
        <v>239136</v>
      </c>
      <c r="I29" s="48">
        <v>126737</v>
      </c>
      <c r="J29" s="49"/>
      <c r="K29" s="233">
        <v>120102</v>
      </c>
    </row>
    <row r="30" spans="1:11" x14ac:dyDescent="0.25">
      <c r="A30" s="48">
        <v>143400</v>
      </c>
      <c r="B30" s="49"/>
      <c r="C30" s="233">
        <v>277309</v>
      </c>
      <c r="I30" s="48">
        <v>105127</v>
      </c>
      <c r="J30" s="49"/>
      <c r="K30" s="233">
        <v>126737</v>
      </c>
    </row>
    <row r="31" spans="1:11" x14ac:dyDescent="0.25">
      <c r="A31" s="48">
        <v>201661</v>
      </c>
      <c r="B31" s="49"/>
      <c r="C31" s="233">
        <v>297873</v>
      </c>
      <c r="I31" s="48">
        <v>139330</v>
      </c>
      <c r="J31" s="49"/>
      <c r="K31" s="233">
        <v>138409</v>
      </c>
    </row>
    <row r="32" spans="1:11" x14ac:dyDescent="0.25">
      <c r="A32" s="48">
        <v>1258963</v>
      </c>
      <c r="B32" s="49"/>
      <c r="C32" s="233">
        <v>394136</v>
      </c>
      <c r="I32" s="48">
        <v>109151</v>
      </c>
      <c r="J32" s="49"/>
      <c r="K32" s="233">
        <v>139330</v>
      </c>
    </row>
    <row r="33" spans="1:11" x14ac:dyDescent="0.25">
      <c r="A33" s="48">
        <v>198345</v>
      </c>
      <c r="B33" s="49"/>
      <c r="C33" s="233">
        <v>750022</v>
      </c>
      <c r="I33" s="48">
        <v>119831</v>
      </c>
      <c r="J33" s="49"/>
      <c r="K33" s="233">
        <v>144354</v>
      </c>
    </row>
    <row r="34" spans="1:11" x14ac:dyDescent="0.25">
      <c r="A34" s="48">
        <v>394136</v>
      </c>
      <c r="B34" s="49"/>
      <c r="C34" s="233">
        <v>1258963</v>
      </c>
      <c r="I34" s="48">
        <v>255800</v>
      </c>
      <c r="J34" s="49"/>
      <c r="K34" s="233">
        <v>255800</v>
      </c>
    </row>
    <row r="35" spans="1:11" x14ac:dyDescent="0.25">
      <c r="A35" s="48">
        <v>2589657</v>
      </c>
      <c r="B35" s="49"/>
      <c r="C35" s="233">
        <v>2589657</v>
      </c>
      <c r="I35" s="51">
        <v>790500</v>
      </c>
      <c r="J35" s="52"/>
      <c r="K35" s="235">
        <v>550250</v>
      </c>
    </row>
    <row r="36" spans="1:11" x14ac:dyDescent="0.25">
      <c r="I36" s="48">
        <v>96842</v>
      </c>
      <c r="J36" s="49"/>
      <c r="K36" s="233">
        <v>790500</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00FF"/>
  </sheetPr>
  <dimension ref="A1:L50"/>
  <sheetViews>
    <sheetView zoomScaleNormal="100" workbookViewId="0">
      <selection activeCell="B13" sqref="B13"/>
    </sheetView>
  </sheetViews>
  <sheetFormatPr defaultRowHeight="15" x14ac:dyDescent="0.25"/>
  <cols>
    <col min="1" max="2" width="25" customWidth="1"/>
    <col min="3" max="3" width="17" customWidth="1"/>
    <col min="4" max="4" width="21.5703125" customWidth="1"/>
    <col min="5" max="5" width="31.140625" customWidth="1"/>
    <col min="6" max="6" width="12.42578125" bestFit="1" customWidth="1"/>
    <col min="7" max="7" width="14.7109375" customWidth="1"/>
    <col min="9" max="9" width="16.28515625" customWidth="1"/>
    <col min="10" max="10" width="22.28515625" customWidth="1"/>
  </cols>
  <sheetData>
    <row r="1" spans="1:12" x14ac:dyDescent="0.25">
      <c r="J1" s="45"/>
      <c r="L1" s="45"/>
    </row>
    <row r="2" spans="1:12" x14ac:dyDescent="0.25">
      <c r="J2" s="45"/>
      <c r="L2" s="45"/>
    </row>
    <row r="3" spans="1:12" x14ac:dyDescent="0.25">
      <c r="J3" s="45"/>
      <c r="L3" s="45"/>
    </row>
    <row r="4" spans="1:12" x14ac:dyDescent="0.25">
      <c r="F4" s="45"/>
      <c r="H4" s="45"/>
    </row>
    <row r="5" spans="1:12" x14ac:dyDescent="0.25">
      <c r="F5" s="45"/>
      <c r="H5" s="45"/>
    </row>
    <row r="12" spans="1:12" x14ac:dyDescent="0.25">
      <c r="A12" s="33" t="s">
        <v>166</v>
      </c>
      <c r="B12" s="33" t="s">
        <v>164</v>
      </c>
    </row>
    <row r="13" spans="1:12" x14ac:dyDescent="0.25">
      <c r="A13" s="26" t="s">
        <v>167</v>
      </c>
      <c r="B13" s="30"/>
      <c r="C13" t="s">
        <v>168</v>
      </c>
      <c r="G13" t="s">
        <v>173</v>
      </c>
    </row>
    <row r="14" spans="1:12" x14ac:dyDescent="0.25">
      <c r="A14" s="26" t="s">
        <v>169</v>
      </c>
      <c r="B14" s="30"/>
      <c r="G14" s="54" t="s">
        <v>218</v>
      </c>
    </row>
    <row r="15" spans="1:12" x14ac:dyDescent="0.25">
      <c r="A15" s="26" t="s">
        <v>170</v>
      </c>
      <c r="B15" s="30"/>
      <c r="G15" s="54" t="s">
        <v>219</v>
      </c>
    </row>
    <row r="16" spans="1:12" x14ac:dyDescent="0.25">
      <c r="A16" s="26" t="s">
        <v>171</v>
      </c>
      <c r="B16" s="30"/>
      <c r="D16" s="1" t="s">
        <v>172</v>
      </c>
      <c r="E16" s="30"/>
      <c r="G16" s="54" t="s">
        <v>216</v>
      </c>
    </row>
    <row r="17" spans="1:7" ht="66" customHeight="1" x14ac:dyDescent="0.25">
      <c r="A17" s="31" t="str">
        <f t="array" ref="A17">IF(AND(B13:B16&lt;&gt;""),"With Nominal or Ordinal Data we have a way of calculating a 'Typical Value'.","")</f>
        <v/>
      </c>
      <c r="B17" s="32"/>
      <c r="D17" s="31" t="str">
        <f>IF(E16&lt;&gt;"","MODE.SNGL will not tell you if there is more than one Mode. MODE.SNGL will just report the first one it encounters. A quick PivotTable will help reveal if there is more than one Mode.","")</f>
        <v/>
      </c>
      <c r="E17" s="32"/>
      <c r="G17" s="54" t="s">
        <v>217</v>
      </c>
    </row>
    <row r="19" spans="1:7" ht="30" x14ac:dyDescent="0.25">
      <c r="A19" s="33" t="s">
        <v>166</v>
      </c>
      <c r="D19" s="33" t="s">
        <v>134</v>
      </c>
    </row>
    <row r="20" spans="1:7" x14ac:dyDescent="0.25">
      <c r="A20" s="26" t="s">
        <v>169</v>
      </c>
      <c r="D20" s="26">
        <v>60</v>
      </c>
      <c r="G20" s="1" t="s">
        <v>163</v>
      </c>
    </row>
    <row r="21" spans="1:7" x14ac:dyDescent="0.25">
      <c r="A21" s="26" t="s">
        <v>170</v>
      </c>
      <c r="D21" s="26">
        <v>68</v>
      </c>
      <c r="G21" s="26">
        <v>6</v>
      </c>
    </row>
    <row r="22" spans="1:7" x14ac:dyDescent="0.25">
      <c r="A22" s="26" t="s">
        <v>171</v>
      </c>
      <c r="D22" s="26">
        <v>76</v>
      </c>
      <c r="G22" s="26">
        <v>3</v>
      </c>
    </row>
    <row r="23" spans="1:7" x14ac:dyDescent="0.25">
      <c r="A23" s="26" t="s">
        <v>167</v>
      </c>
      <c r="D23" s="26">
        <v>84</v>
      </c>
      <c r="G23" s="26">
        <v>5</v>
      </c>
    </row>
    <row r="24" spans="1:7" x14ac:dyDescent="0.25">
      <c r="A24" s="26" t="s">
        <v>167</v>
      </c>
      <c r="D24" s="26">
        <v>55</v>
      </c>
      <c r="G24" s="26">
        <v>3</v>
      </c>
    </row>
    <row r="25" spans="1:7" x14ac:dyDescent="0.25">
      <c r="A25" s="26" t="s">
        <v>167</v>
      </c>
      <c r="D25" s="26">
        <v>63</v>
      </c>
      <c r="G25" s="26">
        <v>0</v>
      </c>
    </row>
    <row r="26" spans="1:7" x14ac:dyDescent="0.25">
      <c r="A26" s="26" t="s">
        <v>167</v>
      </c>
      <c r="D26" s="26">
        <v>89</v>
      </c>
      <c r="G26" s="26">
        <v>1</v>
      </c>
    </row>
    <row r="27" spans="1:7" x14ac:dyDescent="0.25">
      <c r="A27" s="26" t="s">
        <v>170</v>
      </c>
      <c r="D27" s="26">
        <v>31</v>
      </c>
      <c r="G27" s="26">
        <v>8</v>
      </c>
    </row>
    <row r="28" spans="1:7" x14ac:dyDescent="0.25">
      <c r="A28" s="26" t="s">
        <v>169</v>
      </c>
      <c r="D28" s="26">
        <v>47</v>
      </c>
      <c r="G28" s="26">
        <v>5</v>
      </c>
    </row>
    <row r="29" spans="1:7" x14ac:dyDescent="0.25">
      <c r="A29" s="26" t="s">
        <v>169</v>
      </c>
      <c r="D29" s="26">
        <v>68</v>
      </c>
      <c r="G29" s="26">
        <v>5</v>
      </c>
    </row>
    <row r="30" spans="1:7" x14ac:dyDescent="0.25">
      <c r="A30" s="26" t="s">
        <v>169</v>
      </c>
      <c r="D30" s="26">
        <v>54</v>
      </c>
      <c r="G30" s="26">
        <v>1</v>
      </c>
    </row>
    <row r="31" spans="1:7" x14ac:dyDescent="0.25">
      <c r="A31" s="26" t="s">
        <v>169</v>
      </c>
      <c r="D31" s="26">
        <v>58</v>
      </c>
      <c r="G31" s="26">
        <v>6</v>
      </c>
    </row>
    <row r="32" spans="1:7" x14ac:dyDescent="0.25">
      <c r="A32" s="26" t="s">
        <v>169</v>
      </c>
      <c r="D32" s="26">
        <v>57</v>
      </c>
      <c r="G32" s="26">
        <v>7</v>
      </c>
    </row>
    <row r="33" spans="1:7" x14ac:dyDescent="0.25">
      <c r="A33" s="26" t="s">
        <v>167</v>
      </c>
      <c r="D33" s="26">
        <v>61</v>
      </c>
      <c r="G33" s="26">
        <v>0</v>
      </c>
    </row>
    <row r="34" spans="1:7" x14ac:dyDescent="0.25">
      <c r="A34" s="26" t="s">
        <v>167</v>
      </c>
      <c r="D34" s="26">
        <v>72</v>
      </c>
      <c r="G34" s="26">
        <v>2</v>
      </c>
    </row>
    <row r="35" spans="1:7" x14ac:dyDescent="0.25">
      <c r="A35" s="26" t="s">
        <v>167</v>
      </c>
      <c r="D35" s="26">
        <v>91</v>
      </c>
      <c r="G35" s="26">
        <v>6</v>
      </c>
    </row>
    <row r="36" spans="1:7" x14ac:dyDescent="0.25">
      <c r="A36" s="26" t="s">
        <v>171</v>
      </c>
      <c r="D36" s="26">
        <v>95</v>
      </c>
      <c r="G36" s="26">
        <v>7</v>
      </c>
    </row>
    <row r="37" spans="1:7" x14ac:dyDescent="0.25">
      <c r="A37" s="26" t="s">
        <v>170</v>
      </c>
      <c r="D37" s="26">
        <v>68</v>
      </c>
      <c r="G37" s="26">
        <v>3</v>
      </c>
    </row>
    <row r="38" spans="1:7" x14ac:dyDescent="0.25">
      <c r="A38" s="26" t="s">
        <v>170</v>
      </c>
      <c r="D38" s="26">
        <v>76</v>
      </c>
      <c r="G38" s="26">
        <v>4</v>
      </c>
    </row>
    <row r="39" spans="1:7" x14ac:dyDescent="0.25">
      <c r="A39" s="26" t="s">
        <v>167</v>
      </c>
      <c r="D39" s="26">
        <v>76</v>
      </c>
      <c r="G39" s="26">
        <v>9</v>
      </c>
    </row>
    <row r="40" spans="1:7" x14ac:dyDescent="0.25">
      <c r="G40" s="26">
        <v>7</v>
      </c>
    </row>
    <row r="41" spans="1:7" x14ac:dyDescent="0.25">
      <c r="G41" s="26">
        <v>1</v>
      </c>
    </row>
    <row r="42" spans="1:7" x14ac:dyDescent="0.25">
      <c r="G42" s="26">
        <v>4</v>
      </c>
    </row>
    <row r="43" spans="1:7" x14ac:dyDescent="0.25">
      <c r="G43" s="26">
        <v>3</v>
      </c>
    </row>
    <row r="44" spans="1:7" x14ac:dyDescent="0.25">
      <c r="G44" s="26">
        <v>6</v>
      </c>
    </row>
    <row r="45" spans="1:7" x14ac:dyDescent="0.25">
      <c r="G45" s="26">
        <v>7</v>
      </c>
    </row>
    <row r="46" spans="1:7" x14ac:dyDescent="0.25">
      <c r="G46" s="26">
        <v>8</v>
      </c>
    </row>
    <row r="47" spans="1:7" x14ac:dyDescent="0.25">
      <c r="G47" s="26">
        <v>10</v>
      </c>
    </row>
    <row r="48" spans="1:7" x14ac:dyDescent="0.25">
      <c r="G48" s="26">
        <v>5</v>
      </c>
    </row>
    <row r="49" spans="7:7" x14ac:dyDescent="0.25">
      <c r="G49" s="26">
        <v>2</v>
      </c>
    </row>
    <row r="50" spans="7:7" x14ac:dyDescent="0.25">
      <c r="G50" s="26">
        <v>7</v>
      </c>
    </row>
  </sheetData>
  <hyperlinks>
    <hyperlink ref="G16" r:id="rId1" xr:uid="{00000000-0004-0000-0D00-000000000000}"/>
    <hyperlink ref="G17" r:id="rId2" xr:uid="{00000000-0004-0000-0D00-000001000000}"/>
    <hyperlink ref="G14" r:id="rId3" xr:uid="{00000000-0004-0000-0D00-000002000000}"/>
    <hyperlink ref="G15" r:id="rId4" xr:uid="{00000000-0004-0000-0D00-000003000000}"/>
  </hyperlinks>
  <pageMargins left="0.7" right="0.7" top="0.75" bottom="0.75" header="0.3" footer="0.3"/>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L61"/>
  <sheetViews>
    <sheetView zoomScaleNormal="100" workbookViewId="0">
      <selection activeCell="D45" sqref="D45"/>
    </sheetView>
  </sheetViews>
  <sheetFormatPr defaultRowHeight="15" x14ac:dyDescent="0.25"/>
  <cols>
    <col min="1" max="2" width="25" customWidth="1"/>
    <col min="3" max="3" width="17" customWidth="1"/>
    <col min="4" max="4" width="13.140625" customWidth="1"/>
    <col min="5" max="5" width="31.140625" customWidth="1"/>
    <col min="6" max="6" width="12.42578125" bestFit="1" customWidth="1"/>
    <col min="7" max="7" width="14.7109375" customWidth="1"/>
    <col min="9" max="9" width="16.28515625" customWidth="1"/>
    <col min="10" max="10" width="22.28515625" customWidth="1"/>
  </cols>
  <sheetData>
    <row r="1" spans="1:12" x14ac:dyDescent="0.25">
      <c r="J1" s="45"/>
      <c r="L1" s="45"/>
    </row>
    <row r="2" spans="1:12" x14ac:dyDescent="0.25">
      <c r="J2" s="45"/>
      <c r="L2" s="45"/>
    </row>
    <row r="3" spans="1:12" x14ac:dyDescent="0.25">
      <c r="J3" s="45"/>
      <c r="L3" s="45"/>
    </row>
    <row r="4" spans="1:12" x14ac:dyDescent="0.25">
      <c r="F4" s="45"/>
      <c r="H4" s="45"/>
    </row>
    <row r="5" spans="1:12" x14ac:dyDescent="0.25">
      <c r="F5" s="45"/>
      <c r="H5" s="45"/>
    </row>
    <row r="12" spans="1:12" x14ac:dyDescent="0.25">
      <c r="A12" s="33" t="s">
        <v>166</v>
      </c>
      <c r="B12" s="33" t="s">
        <v>164</v>
      </c>
    </row>
    <row r="13" spans="1:12" x14ac:dyDescent="0.25">
      <c r="A13" s="26" t="s">
        <v>167</v>
      </c>
      <c r="B13" s="30">
        <f>COUNTIFS($A$20:$A$39,A13)</f>
        <v>8</v>
      </c>
      <c r="C13" t="s">
        <v>168</v>
      </c>
      <c r="G13" t="s">
        <v>173</v>
      </c>
    </row>
    <row r="14" spans="1:12" x14ac:dyDescent="0.25">
      <c r="A14" s="26" t="s">
        <v>169</v>
      </c>
      <c r="B14" s="30">
        <f t="shared" ref="B14:B16" si="0">COUNTIFS($A$20:$A$39,A14)</f>
        <v>6</v>
      </c>
      <c r="G14" s="54" t="s">
        <v>218</v>
      </c>
    </row>
    <row r="15" spans="1:12" x14ac:dyDescent="0.25">
      <c r="A15" s="26" t="s">
        <v>170</v>
      </c>
      <c r="B15" s="30">
        <f t="shared" si="0"/>
        <v>4</v>
      </c>
      <c r="G15" s="54" t="s">
        <v>219</v>
      </c>
    </row>
    <row r="16" spans="1:12" x14ac:dyDescent="0.25">
      <c r="A16" s="26" t="s">
        <v>171</v>
      </c>
      <c r="B16" s="30">
        <f t="shared" si="0"/>
        <v>2</v>
      </c>
      <c r="D16" s="1" t="s">
        <v>172</v>
      </c>
      <c r="E16" s="30">
        <f>_xlfn.MODE.SNGL(D20:D39)</f>
        <v>68</v>
      </c>
      <c r="G16" s="54" t="s">
        <v>216</v>
      </c>
    </row>
    <row r="17" spans="1:10" ht="60" x14ac:dyDescent="0.25">
      <c r="A17" s="31" t="str">
        <f t="array" ref="A17">IF(AND(B13:B16&lt;&gt;""),"With Nominal or Ordinal Data we have a way of calculating a 'Typical Value'.","")</f>
        <v>With Nominal or Ordinal Data we have a way of calculating a 'Typical Value'.</v>
      </c>
      <c r="B17" s="32"/>
      <c r="D17" s="31" t="str">
        <f>IF(E16&lt;&gt;"","MODE.SNGL will not tell you if there is more than one Mode. MODE.SNGL will just report the first one it encounters. A quick PivotTable will help reveal if there is more than one Mode.","")</f>
        <v>MODE.SNGL will not tell you if there is more than one Mode. MODE.SNGL will just report the first one it encounters. A quick PivotTable will help reveal if there is more than one Mode.</v>
      </c>
      <c r="E17" s="32"/>
      <c r="G17" s="54" t="s">
        <v>217</v>
      </c>
    </row>
    <row r="19" spans="1:10" ht="30" x14ac:dyDescent="0.25">
      <c r="A19" s="33" t="s">
        <v>166</v>
      </c>
      <c r="D19" s="33" t="s">
        <v>134</v>
      </c>
    </row>
    <row r="20" spans="1:10" x14ac:dyDescent="0.25">
      <c r="A20" s="26" t="s">
        <v>169</v>
      </c>
      <c r="D20" s="26">
        <v>60</v>
      </c>
      <c r="G20" s="1" t="s">
        <v>163</v>
      </c>
    </row>
    <row r="21" spans="1:10" x14ac:dyDescent="0.25">
      <c r="A21" s="26" t="s">
        <v>170</v>
      </c>
      <c r="D21" s="26">
        <v>68</v>
      </c>
      <c r="G21" s="26">
        <v>6</v>
      </c>
      <c r="I21" t="s">
        <v>163</v>
      </c>
      <c r="J21" t="s">
        <v>926</v>
      </c>
    </row>
    <row r="22" spans="1:10" x14ac:dyDescent="0.25">
      <c r="A22" s="26" t="s">
        <v>171</v>
      </c>
      <c r="D22" s="26">
        <v>76</v>
      </c>
      <c r="G22" s="26">
        <v>3</v>
      </c>
      <c r="I22">
        <v>0</v>
      </c>
      <c r="J22" s="152">
        <v>2</v>
      </c>
    </row>
    <row r="23" spans="1:10" x14ac:dyDescent="0.25">
      <c r="A23" s="26" t="s">
        <v>167</v>
      </c>
      <c r="D23" s="26">
        <v>84</v>
      </c>
      <c r="G23" s="26">
        <v>5</v>
      </c>
      <c r="I23">
        <v>1</v>
      </c>
      <c r="J23" s="152">
        <v>3</v>
      </c>
    </row>
    <row r="24" spans="1:10" x14ac:dyDescent="0.25">
      <c r="A24" s="26" t="s">
        <v>167</v>
      </c>
      <c r="D24" s="26">
        <v>55</v>
      </c>
      <c r="G24" s="26">
        <v>3</v>
      </c>
      <c r="I24">
        <v>2</v>
      </c>
      <c r="J24" s="152">
        <v>2</v>
      </c>
    </row>
    <row r="25" spans="1:10" x14ac:dyDescent="0.25">
      <c r="A25" s="26" t="s">
        <v>167</v>
      </c>
      <c r="D25" s="26">
        <v>63</v>
      </c>
      <c r="G25" s="26">
        <v>0</v>
      </c>
      <c r="I25">
        <v>3</v>
      </c>
      <c r="J25" s="152">
        <v>4</v>
      </c>
    </row>
    <row r="26" spans="1:10" x14ac:dyDescent="0.25">
      <c r="A26" s="26" t="s">
        <v>167</v>
      </c>
      <c r="D26" s="26">
        <v>89</v>
      </c>
      <c r="G26" s="26">
        <v>1</v>
      </c>
      <c r="I26">
        <v>4</v>
      </c>
      <c r="J26" s="152">
        <v>2</v>
      </c>
    </row>
    <row r="27" spans="1:10" x14ac:dyDescent="0.25">
      <c r="A27" s="26" t="s">
        <v>170</v>
      </c>
      <c r="D27" s="26">
        <v>31</v>
      </c>
      <c r="G27" s="26">
        <v>8</v>
      </c>
      <c r="I27">
        <v>5</v>
      </c>
      <c r="J27" s="152">
        <v>4</v>
      </c>
    </row>
    <row r="28" spans="1:10" x14ac:dyDescent="0.25">
      <c r="A28" s="26" t="s">
        <v>169</v>
      </c>
      <c r="D28" s="26">
        <v>47</v>
      </c>
      <c r="G28" s="26">
        <v>5</v>
      </c>
      <c r="I28">
        <v>6</v>
      </c>
      <c r="J28" s="152">
        <v>4</v>
      </c>
    </row>
    <row r="29" spans="1:10" x14ac:dyDescent="0.25">
      <c r="A29" s="26" t="s">
        <v>169</v>
      </c>
      <c r="D29" s="26">
        <v>68</v>
      </c>
      <c r="G29" s="26">
        <v>5</v>
      </c>
      <c r="I29">
        <v>7</v>
      </c>
      <c r="J29" s="152">
        <v>5</v>
      </c>
    </row>
    <row r="30" spans="1:10" x14ac:dyDescent="0.25">
      <c r="A30" s="26" t="s">
        <v>169</v>
      </c>
      <c r="D30" s="26">
        <v>54</v>
      </c>
      <c r="G30" s="26">
        <v>1</v>
      </c>
      <c r="I30">
        <v>8</v>
      </c>
      <c r="J30" s="152">
        <v>2</v>
      </c>
    </row>
    <row r="31" spans="1:10" x14ac:dyDescent="0.25">
      <c r="A31" s="26" t="s">
        <v>169</v>
      </c>
      <c r="D31" s="26">
        <v>58</v>
      </c>
      <c r="G31" s="26">
        <v>6</v>
      </c>
      <c r="I31">
        <v>9</v>
      </c>
      <c r="J31" s="152">
        <v>1</v>
      </c>
    </row>
    <row r="32" spans="1:10" x14ac:dyDescent="0.25">
      <c r="A32" s="26" t="s">
        <v>169</v>
      </c>
      <c r="D32" s="26">
        <v>57</v>
      </c>
      <c r="G32" s="26">
        <v>7</v>
      </c>
      <c r="I32">
        <v>10</v>
      </c>
      <c r="J32" s="152">
        <v>1</v>
      </c>
    </row>
    <row r="33" spans="1:10" x14ac:dyDescent="0.25">
      <c r="A33" s="26" t="s">
        <v>167</v>
      </c>
      <c r="D33" s="26">
        <v>61</v>
      </c>
      <c r="G33" s="26">
        <v>0</v>
      </c>
      <c r="I33" t="s">
        <v>924</v>
      </c>
      <c r="J33" s="152">
        <v>30</v>
      </c>
    </row>
    <row r="34" spans="1:10" x14ac:dyDescent="0.25">
      <c r="A34" s="26" t="s">
        <v>167</v>
      </c>
      <c r="D34" s="26">
        <v>72</v>
      </c>
      <c r="G34" s="26">
        <v>2</v>
      </c>
    </row>
    <row r="35" spans="1:10" x14ac:dyDescent="0.25">
      <c r="A35" s="26" t="s">
        <v>167</v>
      </c>
      <c r="D35" s="26">
        <v>91</v>
      </c>
      <c r="G35" s="26">
        <v>6</v>
      </c>
    </row>
    <row r="36" spans="1:10" x14ac:dyDescent="0.25">
      <c r="A36" s="26" t="s">
        <v>171</v>
      </c>
      <c r="D36" s="26">
        <v>95</v>
      </c>
      <c r="G36" s="26">
        <v>7</v>
      </c>
    </row>
    <row r="37" spans="1:10" x14ac:dyDescent="0.25">
      <c r="A37" s="26" t="s">
        <v>170</v>
      </c>
      <c r="D37" s="26">
        <v>68</v>
      </c>
      <c r="G37" s="26">
        <v>3</v>
      </c>
    </row>
    <row r="38" spans="1:10" x14ac:dyDescent="0.25">
      <c r="A38" s="26" t="s">
        <v>170</v>
      </c>
      <c r="D38" s="26">
        <v>76</v>
      </c>
      <c r="G38" s="26">
        <v>4</v>
      </c>
    </row>
    <row r="39" spans="1:10" x14ac:dyDescent="0.25">
      <c r="A39" s="26" t="s">
        <v>167</v>
      </c>
      <c r="D39" s="26">
        <v>76</v>
      </c>
      <c r="G39" s="26">
        <v>9</v>
      </c>
    </row>
    <row r="40" spans="1:10" x14ac:dyDescent="0.25">
      <c r="G40" s="26">
        <v>7</v>
      </c>
    </row>
    <row r="41" spans="1:10" x14ac:dyDescent="0.25">
      <c r="G41" s="26">
        <v>1</v>
      </c>
    </row>
    <row r="42" spans="1:10" x14ac:dyDescent="0.25">
      <c r="G42" s="26">
        <v>4</v>
      </c>
    </row>
    <row r="43" spans="1:10" x14ac:dyDescent="0.25">
      <c r="G43" s="26">
        <v>3</v>
      </c>
    </row>
    <row r="44" spans="1:10" x14ac:dyDescent="0.25">
      <c r="D44" t="s">
        <v>701</v>
      </c>
      <c r="E44" t="s">
        <v>925</v>
      </c>
      <c r="G44" s="26">
        <v>6</v>
      </c>
    </row>
    <row r="45" spans="1:10" x14ac:dyDescent="0.25">
      <c r="D45" s="232">
        <v>31</v>
      </c>
      <c r="E45" s="152">
        <v>1</v>
      </c>
      <c r="G45" s="26">
        <v>7</v>
      </c>
    </row>
    <row r="46" spans="1:10" x14ac:dyDescent="0.25">
      <c r="D46" s="232">
        <v>47</v>
      </c>
      <c r="E46" s="152">
        <v>1</v>
      </c>
      <c r="G46" s="26">
        <v>8</v>
      </c>
    </row>
    <row r="47" spans="1:10" x14ac:dyDescent="0.25">
      <c r="D47" s="232">
        <v>54</v>
      </c>
      <c r="E47" s="152">
        <v>1</v>
      </c>
      <c r="G47" s="26">
        <v>10</v>
      </c>
    </row>
    <row r="48" spans="1:10" x14ac:dyDescent="0.25">
      <c r="D48" s="232">
        <v>55</v>
      </c>
      <c r="E48" s="152">
        <v>1</v>
      </c>
      <c r="G48" s="26">
        <v>5</v>
      </c>
    </row>
    <row r="49" spans="4:7" x14ac:dyDescent="0.25">
      <c r="D49" s="232">
        <v>57</v>
      </c>
      <c r="E49" s="152">
        <v>1</v>
      </c>
      <c r="G49" s="26">
        <v>2</v>
      </c>
    </row>
    <row r="50" spans="4:7" x14ac:dyDescent="0.25">
      <c r="D50" s="232">
        <v>58</v>
      </c>
      <c r="E50" s="152">
        <v>1</v>
      </c>
      <c r="G50" s="26">
        <v>7</v>
      </c>
    </row>
    <row r="51" spans="4:7" x14ac:dyDescent="0.25">
      <c r="D51" s="232">
        <v>60</v>
      </c>
      <c r="E51" s="152">
        <v>1</v>
      </c>
    </row>
    <row r="52" spans="4:7" x14ac:dyDescent="0.25">
      <c r="D52" s="232">
        <v>61</v>
      </c>
      <c r="E52" s="152">
        <v>1</v>
      </c>
    </row>
    <row r="53" spans="4:7" x14ac:dyDescent="0.25">
      <c r="D53" s="232">
        <v>63</v>
      </c>
      <c r="E53" s="152">
        <v>1</v>
      </c>
    </row>
    <row r="54" spans="4:7" x14ac:dyDescent="0.25">
      <c r="D54" s="232">
        <v>68</v>
      </c>
      <c r="E54" s="152">
        <v>3</v>
      </c>
    </row>
    <row r="55" spans="4:7" x14ac:dyDescent="0.25">
      <c r="D55" s="232">
        <v>72</v>
      </c>
      <c r="E55" s="152">
        <v>1</v>
      </c>
    </row>
    <row r="56" spans="4:7" x14ac:dyDescent="0.25">
      <c r="D56" s="232">
        <v>76</v>
      </c>
      <c r="E56" s="152">
        <v>3</v>
      </c>
    </row>
    <row r="57" spans="4:7" x14ac:dyDescent="0.25">
      <c r="D57" s="232">
        <v>84</v>
      </c>
      <c r="E57" s="152">
        <v>1</v>
      </c>
    </row>
    <row r="58" spans="4:7" x14ac:dyDescent="0.25">
      <c r="D58" s="232">
        <v>89</v>
      </c>
      <c r="E58" s="152">
        <v>1</v>
      </c>
    </row>
    <row r="59" spans="4:7" x14ac:dyDescent="0.25">
      <c r="D59" s="232">
        <v>91</v>
      </c>
      <c r="E59" s="152">
        <v>1</v>
      </c>
    </row>
    <row r="60" spans="4:7" x14ac:dyDescent="0.25">
      <c r="D60" s="232">
        <v>95</v>
      </c>
      <c r="E60" s="152">
        <v>1</v>
      </c>
    </row>
    <row r="61" spans="4:7" x14ac:dyDescent="0.25">
      <c r="D61" s="232" t="s">
        <v>924</v>
      </c>
      <c r="E61" s="152">
        <v>20</v>
      </c>
    </row>
  </sheetData>
  <hyperlinks>
    <hyperlink ref="G16" r:id="rId3" xr:uid="{00000000-0004-0000-0E00-000000000000}"/>
    <hyperlink ref="G17" r:id="rId4" xr:uid="{00000000-0004-0000-0E00-000001000000}"/>
    <hyperlink ref="G14" r:id="rId5" xr:uid="{00000000-0004-0000-0E00-000002000000}"/>
    <hyperlink ref="G15" r:id="rId6" xr:uid="{00000000-0004-0000-0E00-000003000000}"/>
  </hyperlinks>
  <pageMargins left="0.7" right="0.7" top="0.75" bottom="0.75" header="0.3" footer="0.3"/>
  <drawing r:id="rId7"/>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00FF"/>
  </sheetPr>
  <dimension ref="A1:K44"/>
  <sheetViews>
    <sheetView zoomScale="140" zoomScaleNormal="140" workbookViewId="0"/>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45" x14ac:dyDescent="0.25">
      <c r="B1" s="23" t="s">
        <v>190</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 t="shared" ref="B15:D15" si="0">SKEW(B21:B30)</f>
        <v>-0.64052176797398896</v>
      </c>
      <c r="C15" s="59">
        <f t="shared" si="0"/>
        <v>-1.1277285554160533E-2</v>
      </c>
      <c r="D15" s="59">
        <f t="shared" si="0"/>
        <v>1.5524906262931217</v>
      </c>
    </row>
    <row r="16" spans="1:11" x14ac:dyDescent="0.25">
      <c r="A16" t="s">
        <v>85</v>
      </c>
      <c r="B16" s="58"/>
      <c r="C16" s="58"/>
      <c r="D16" s="58"/>
    </row>
    <row r="17" spans="1:4" x14ac:dyDescent="0.25">
      <c r="A17" t="s">
        <v>86</v>
      </c>
      <c r="B17" s="58"/>
      <c r="C17" s="58"/>
      <c r="D17" s="58"/>
    </row>
    <row r="18" spans="1:4" x14ac:dyDescent="0.25">
      <c r="A18" t="s">
        <v>87</v>
      </c>
      <c r="B18" s="58"/>
      <c r="C18" s="58"/>
      <c r="D18" s="58"/>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0000"/>
  </sheetPr>
  <dimension ref="A1:K44"/>
  <sheetViews>
    <sheetView tabSelected="1" topLeftCell="A4" zoomScale="140" zoomScaleNormal="140" workbookViewId="0">
      <selection activeCell="E12" sqref="E12"/>
    </sheetView>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45" x14ac:dyDescent="0.25">
      <c r="B1" s="23" t="s">
        <v>190</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 t="shared" ref="B15:D15" si="0">SKEW(B21:B30)</f>
        <v>-0.64052176797398896</v>
      </c>
      <c r="C15" s="59">
        <f t="shared" si="0"/>
        <v>-1.1277285554160533E-2</v>
      </c>
      <c r="D15" s="59">
        <f t="shared" si="0"/>
        <v>1.5524906262931217</v>
      </c>
    </row>
    <row r="16" spans="1:11" x14ac:dyDescent="0.25">
      <c r="A16" t="s">
        <v>85</v>
      </c>
      <c r="B16" s="58">
        <f>AVERAGE(B21:B30)</f>
        <v>32.6</v>
      </c>
      <c r="C16" s="58">
        <f t="shared" ref="C16:D16" si="1">AVERAGE(C21:C30)</f>
        <v>24.59</v>
      </c>
      <c r="D16" s="58">
        <f t="shared" si="1"/>
        <v>14.39</v>
      </c>
    </row>
    <row r="17" spans="1:4" x14ac:dyDescent="0.25">
      <c r="A17" t="s">
        <v>86</v>
      </c>
      <c r="B17" s="58">
        <f>MEDIAN(B21:B30)</f>
        <v>34.5</v>
      </c>
      <c r="C17" s="58">
        <f t="shared" ref="C17:D17" si="2">MEDIAN(C21:C30)</f>
        <v>25</v>
      </c>
      <c r="D17" s="58">
        <f t="shared" si="2"/>
        <v>9</v>
      </c>
    </row>
    <row r="18" spans="1:4" x14ac:dyDescent="0.25">
      <c r="A18" t="s">
        <v>87</v>
      </c>
      <c r="B18" s="58">
        <f>_xlfn.MODE.SNGL(B21:B30)</f>
        <v>43</v>
      </c>
      <c r="C18" s="58">
        <f t="shared" ref="C18:D18" si="3">_xlfn.MODE.SNGL(C21:C30)</f>
        <v>25</v>
      </c>
      <c r="D18" s="58">
        <f t="shared" si="3"/>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0000FF"/>
  </sheetPr>
  <dimension ref="A8:J22"/>
  <sheetViews>
    <sheetView zoomScale="111" zoomScaleNormal="111" workbookViewId="0"/>
  </sheetViews>
  <sheetFormatPr defaultRowHeight="15" x14ac:dyDescent="0.25"/>
  <cols>
    <col min="1" max="1" width="15.140625" bestFit="1" customWidth="1"/>
    <col min="3" max="4" width="14.85546875" customWidth="1"/>
    <col min="5" max="5" width="11.42578125" customWidth="1"/>
    <col min="7" max="7" width="12.140625" customWidth="1"/>
    <col min="9" max="9" width="28.42578125" bestFit="1" customWidth="1"/>
  </cols>
  <sheetData>
    <row r="8" spans="1:10" ht="33" x14ac:dyDescent="0.35">
      <c r="A8" s="77" t="s">
        <v>234</v>
      </c>
      <c r="C8" s="77" t="s">
        <v>929</v>
      </c>
      <c r="D8" s="77" t="s">
        <v>930</v>
      </c>
      <c r="E8" s="77" t="s">
        <v>231</v>
      </c>
      <c r="G8" s="76"/>
      <c r="H8" s="76"/>
      <c r="I8" s="76"/>
      <c r="J8" s="76"/>
    </row>
    <row r="9" spans="1:10" x14ac:dyDescent="0.25">
      <c r="A9" s="26">
        <v>5</v>
      </c>
      <c r="C9" s="26">
        <v>5</v>
      </c>
      <c r="D9" s="26">
        <f>COUNTIFS($A$9:$A$20,C9)</f>
        <v>2</v>
      </c>
      <c r="E9" s="30"/>
      <c r="G9" s="76"/>
      <c r="H9" s="76"/>
      <c r="I9" s="76"/>
      <c r="J9" s="76"/>
    </row>
    <row r="10" spans="1:10" x14ac:dyDescent="0.25">
      <c r="A10" s="26">
        <v>6</v>
      </c>
      <c r="C10" s="26">
        <v>6</v>
      </c>
      <c r="D10" s="26">
        <f t="shared" ref="D10:D14" si="0">COUNTIFS($A$9:$A$20,C10)</f>
        <v>3</v>
      </c>
      <c r="E10" s="30"/>
      <c r="G10" s="76"/>
      <c r="H10" s="76"/>
      <c r="I10" s="76"/>
      <c r="J10" s="76"/>
    </row>
    <row r="11" spans="1:10" x14ac:dyDescent="0.25">
      <c r="A11" s="26">
        <v>8</v>
      </c>
      <c r="C11" s="26">
        <v>8</v>
      </c>
      <c r="D11" s="26">
        <f t="shared" si="0"/>
        <v>3</v>
      </c>
      <c r="E11" s="30"/>
    </row>
    <row r="12" spans="1:10" x14ac:dyDescent="0.25">
      <c r="A12" s="26">
        <v>10</v>
      </c>
      <c r="C12" s="26">
        <v>10</v>
      </c>
      <c r="D12" s="26">
        <f t="shared" si="0"/>
        <v>2</v>
      </c>
      <c r="E12" s="30"/>
    </row>
    <row r="13" spans="1:10" x14ac:dyDescent="0.25">
      <c r="A13" s="26">
        <v>2</v>
      </c>
      <c r="C13" s="26">
        <v>2</v>
      </c>
      <c r="D13" s="26">
        <f t="shared" si="0"/>
        <v>1</v>
      </c>
      <c r="E13" s="30"/>
      <c r="G13" s="77" t="s">
        <v>198</v>
      </c>
      <c r="H13" s="78" t="s">
        <v>199</v>
      </c>
      <c r="I13" s="78" t="s">
        <v>200</v>
      </c>
      <c r="J13" s="78" t="s">
        <v>203</v>
      </c>
    </row>
    <row r="14" spans="1:10" ht="15.75" thickBot="1" x14ac:dyDescent="0.3">
      <c r="A14" s="26">
        <v>0</v>
      </c>
      <c r="C14" s="65">
        <v>0</v>
      </c>
      <c r="D14" s="65">
        <f t="shared" si="0"/>
        <v>1</v>
      </c>
      <c r="E14" s="30"/>
      <c r="G14" s="79" t="s">
        <v>209</v>
      </c>
      <c r="H14" s="80" t="s">
        <v>199</v>
      </c>
      <c r="I14" s="80" t="s">
        <v>201</v>
      </c>
      <c r="J14" s="80" t="s">
        <v>204</v>
      </c>
    </row>
    <row r="15" spans="1:10" ht="18.75" thickBot="1" x14ac:dyDescent="0.4">
      <c r="A15" s="26">
        <v>5</v>
      </c>
      <c r="C15" s="68" t="s">
        <v>165</v>
      </c>
      <c r="D15" s="81"/>
      <c r="E15" s="81"/>
      <c r="G15" s="79" t="s">
        <v>229</v>
      </c>
      <c r="H15" s="80" t="s">
        <v>199</v>
      </c>
      <c r="I15" s="80" t="s">
        <v>230</v>
      </c>
      <c r="J15" s="80" t="s">
        <v>228</v>
      </c>
    </row>
    <row r="16" spans="1:10" ht="15.75" thickTop="1" x14ac:dyDescent="0.25">
      <c r="A16" s="26">
        <v>6</v>
      </c>
      <c r="G16" s="79" t="s">
        <v>202</v>
      </c>
      <c r="H16" s="80" t="s">
        <v>199</v>
      </c>
      <c r="I16" s="80" t="s">
        <v>205</v>
      </c>
      <c r="J16" s="80" t="s">
        <v>208</v>
      </c>
    </row>
    <row r="17" spans="1:10" x14ac:dyDescent="0.25">
      <c r="A17" s="26">
        <v>8</v>
      </c>
      <c r="C17" s="77" t="s">
        <v>232</v>
      </c>
      <c r="D17" s="30"/>
      <c r="G17" s="79" t="s">
        <v>206</v>
      </c>
      <c r="H17" s="80" t="s">
        <v>199</v>
      </c>
      <c r="I17" s="80" t="s">
        <v>415</v>
      </c>
      <c r="J17" s="80" t="s">
        <v>207</v>
      </c>
    </row>
    <row r="18" spans="1:10" x14ac:dyDescent="0.25">
      <c r="A18" s="26">
        <v>6</v>
      </c>
      <c r="C18" s="77" t="s">
        <v>233</v>
      </c>
      <c r="D18" s="30"/>
    </row>
    <row r="19" spans="1:10" x14ac:dyDescent="0.25">
      <c r="A19" s="26">
        <v>10</v>
      </c>
    </row>
    <row r="20" spans="1:10" x14ac:dyDescent="0.25">
      <c r="A20" s="26">
        <v>8</v>
      </c>
    </row>
    <row r="22" spans="1:10" x14ac:dyDescent="0.25">
      <c r="A22" s="77" t="s">
        <v>85</v>
      </c>
      <c r="B22" s="30"/>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0000"/>
  </sheetPr>
  <dimension ref="A8:J22"/>
  <sheetViews>
    <sheetView zoomScaleNormal="100" workbookViewId="0">
      <selection activeCell="E9" sqref="E9"/>
    </sheetView>
  </sheetViews>
  <sheetFormatPr defaultRowHeight="15" x14ac:dyDescent="0.25"/>
  <cols>
    <col min="1" max="1" width="15.140625" bestFit="1" customWidth="1"/>
    <col min="3" max="4" width="14.85546875" customWidth="1"/>
    <col min="5" max="5" width="11.42578125" customWidth="1"/>
    <col min="7" max="7" width="12.140625" customWidth="1"/>
    <col min="9" max="9" width="28.42578125" bestFit="1" customWidth="1"/>
  </cols>
  <sheetData>
    <row r="8" spans="1:10" ht="33" x14ac:dyDescent="0.35">
      <c r="A8" s="77" t="s">
        <v>234</v>
      </c>
      <c r="C8" s="77" t="s">
        <v>929</v>
      </c>
      <c r="D8" s="77" t="s">
        <v>930</v>
      </c>
      <c r="E8" s="77" t="s">
        <v>231</v>
      </c>
      <c r="G8" s="76"/>
      <c r="H8" s="76"/>
      <c r="I8" s="76"/>
      <c r="J8" s="76"/>
    </row>
    <row r="9" spans="1:10" x14ac:dyDescent="0.25">
      <c r="A9" s="26">
        <v>5</v>
      </c>
      <c r="C9" s="26">
        <v>5</v>
      </c>
      <c r="D9" s="26">
        <f>COUNTIFS($A$9:$A$20,C9)</f>
        <v>2</v>
      </c>
      <c r="E9" s="30">
        <f t="shared" ref="E9:E14" si="0">D9*C9</f>
        <v>10</v>
      </c>
      <c r="G9" s="76"/>
      <c r="H9" s="76"/>
      <c r="I9" s="76"/>
      <c r="J9" s="76"/>
    </row>
    <row r="10" spans="1:10" x14ac:dyDescent="0.25">
      <c r="A10" s="26">
        <v>6</v>
      </c>
      <c r="C10" s="26">
        <v>6</v>
      </c>
      <c r="D10" s="26">
        <f t="shared" ref="D10:D14" si="1">COUNTIFS($A$9:$A$20,C10)</f>
        <v>3</v>
      </c>
      <c r="E10" s="30">
        <f t="shared" si="0"/>
        <v>18</v>
      </c>
      <c r="G10" s="76"/>
      <c r="H10" s="76"/>
      <c r="I10" s="76"/>
      <c r="J10" s="76"/>
    </row>
    <row r="11" spans="1:10" x14ac:dyDescent="0.25">
      <c r="A11" s="26">
        <v>8</v>
      </c>
      <c r="C11" s="26">
        <v>8</v>
      </c>
      <c r="D11" s="26">
        <f t="shared" si="1"/>
        <v>3</v>
      </c>
      <c r="E11" s="30">
        <f t="shared" si="0"/>
        <v>24</v>
      </c>
    </row>
    <row r="12" spans="1:10" x14ac:dyDescent="0.25">
      <c r="A12" s="26">
        <v>10</v>
      </c>
      <c r="C12" s="26">
        <v>10</v>
      </c>
      <c r="D12" s="26">
        <f t="shared" si="1"/>
        <v>2</v>
      </c>
      <c r="E12" s="30">
        <f t="shared" si="0"/>
        <v>20</v>
      </c>
    </row>
    <row r="13" spans="1:10" x14ac:dyDescent="0.25">
      <c r="A13" s="26">
        <v>2</v>
      </c>
      <c r="C13" s="26">
        <v>2</v>
      </c>
      <c r="D13" s="26">
        <f t="shared" si="1"/>
        <v>1</v>
      </c>
      <c r="E13" s="30">
        <f t="shared" si="0"/>
        <v>2</v>
      </c>
      <c r="G13" s="77" t="s">
        <v>198</v>
      </c>
      <c r="H13" s="78" t="s">
        <v>199</v>
      </c>
      <c r="I13" s="78" t="s">
        <v>200</v>
      </c>
      <c r="J13" s="78" t="s">
        <v>203</v>
      </c>
    </row>
    <row r="14" spans="1:10" ht="15.75" thickBot="1" x14ac:dyDescent="0.3">
      <c r="A14" s="26">
        <v>0</v>
      </c>
      <c r="C14" s="65">
        <v>0</v>
      </c>
      <c r="D14" s="65">
        <f t="shared" si="1"/>
        <v>1</v>
      </c>
      <c r="E14" s="30">
        <f t="shared" si="0"/>
        <v>0</v>
      </c>
      <c r="G14" s="79" t="s">
        <v>209</v>
      </c>
      <c r="H14" s="80" t="s">
        <v>199</v>
      </c>
      <c r="I14" s="80" t="s">
        <v>201</v>
      </c>
      <c r="J14" s="80" t="s">
        <v>204</v>
      </c>
    </row>
    <row r="15" spans="1:10" ht="18.75" thickBot="1" x14ac:dyDescent="0.4">
      <c r="A15" s="26">
        <v>5</v>
      </c>
      <c r="C15" s="68" t="s">
        <v>165</v>
      </c>
      <c r="D15" s="81">
        <f>SUM(D9:D14)</f>
        <v>12</v>
      </c>
      <c r="E15" s="81">
        <f>SUM(E9:E14)</f>
        <v>74</v>
      </c>
      <c r="G15" s="79" t="s">
        <v>229</v>
      </c>
      <c r="H15" s="80" t="s">
        <v>199</v>
      </c>
      <c r="I15" s="80" t="s">
        <v>230</v>
      </c>
      <c r="J15" s="80" t="s">
        <v>228</v>
      </c>
    </row>
    <row r="16" spans="1:10" ht="15.75" thickTop="1" x14ac:dyDescent="0.25">
      <c r="A16" s="26">
        <v>6</v>
      </c>
      <c r="G16" s="79" t="s">
        <v>202</v>
      </c>
      <c r="H16" s="80" t="s">
        <v>199</v>
      </c>
      <c r="I16" s="80" t="s">
        <v>205</v>
      </c>
      <c r="J16" s="80" t="s">
        <v>208</v>
      </c>
    </row>
    <row r="17" spans="1:10" x14ac:dyDescent="0.25">
      <c r="A17" s="26">
        <v>8</v>
      </c>
      <c r="C17" s="77" t="s">
        <v>232</v>
      </c>
      <c r="D17" s="30">
        <f>E15/D15</f>
        <v>6.166666666666667</v>
      </c>
      <c r="G17" s="79" t="s">
        <v>206</v>
      </c>
      <c r="H17" s="80" t="s">
        <v>199</v>
      </c>
      <c r="I17" s="80" t="s">
        <v>415</v>
      </c>
      <c r="J17" s="80" t="s">
        <v>207</v>
      </c>
    </row>
    <row r="18" spans="1:10" x14ac:dyDescent="0.25">
      <c r="A18" s="26">
        <v>6</v>
      </c>
      <c r="C18" s="77" t="s">
        <v>233</v>
      </c>
      <c r="D18" s="30">
        <f>SUMPRODUCT(C9:C14,D9:D14)/SUM(D9:D14)</f>
        <v>6.166666666666667</v>
      </c>
    </row>
    <row r="19" spans="1:10" x14ac:dyDescent="0.25">
      <c r="A19" s="26">
        <v>10</v>
      </c>
    </row>
    <row r="20" spans="1:10" x14ac:dyDescent="0.25">
      <c r="A20" s="26">
        <v>8</v>
      </c>
    </row>
    <row r="22" spans="1:10" x14ac:dyDescent="0.25">
      <c r="A22" s="77" t="s">
        <v>85</v>
      </c>
      <c r="B22" s="30">
        <f>AVERAGE(A9:A20)</f>
        <v>6.166666666666667</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0000FF"/>
  </sheetPr>
  <dimension ref="A1:AA32"/>
  <sheetViews>
    <sheetView workbookViewId="0">
      <selection activeCell="D5" sqref="D5"/>
    </sheetView>
  </sheetViews>
  <sheetFormatPr defaultRowHeight="15" x14ac:dyDescent="0.25"/>
  <cols>
    <col min="1" max="1" width="10.5703125" customWidth="1"/>
    <col min="2" max="2" width="12.7109375" customWidth="1"/>
    <col min="3" max="3" width="11.42578125" customWidth="1"/>
    <col min="4" max="4" width="10.85546875" bestFit="1" customWidth="1"/>
    <col min="6" max="6" width="24.140625" customWidth="1"/>
    <col min="7" max="7" width="10.85546875" bestFit="1" customWidth="1"/>
    <col min="10" max="10" width="12.7109375" customWidth="1"/>
    <col min="11" max="11" width="11.42578125" customWidth="1"/>
  </cols>
  <sheetData>
    <row r="1" spans="1:27" x14ac:dyDescent="0.25">
      <c r="A1" t="s">
        <v>191</v>
      </c>
      <c r="AA1" t="s">
        <v>193</v>
      </c>
    </row>
    <row r="2" spans="1:27" x14ac:dyDescent="0.25">
      <c r="A2" t="s">
        <v>194</v>
      </c>
      <c r="AA2">
        <f t="shared" ref="AA2" ca="1" si="0">ROUND(43/2*(1+RANDBETWEEN(-20,30)/100),2)</f>
        <v>27.52</v>
      </c>
    </row>
    <row r="4" spans="1:27" ht="34.5" x14ac:dyDescent="0.35">
      <c r="A4" s="62" t="s">
        <v>192</v>
      </c>
      <c r="B4" s="62" t="s">
        <v>224</v>
      </c>
      <c r="C4" s="62" t="s">
        <v>223</v>
      </c>
      <c r="D4" s="62" t="s">
        <v>225</v>
      </c>
    </row>
    <row r="5" spans="1:27" x14ac:dyDescent="0.25">
      <c r="A5" s="63">
        <v>41641</v>
      </c>
      <c r="B5" s="26">
        <v>108</v>
      </c>
      <c r="C5" s="70">
        <v>24.3</v>
      </c>
      <c r="D5" s="44"/>
      <c r="F5" s="62" t="s">
        <v>196</v>
      </c>
      <c r="G5" s="44"/>
    </row>
    <row r="6" spans="1:27" x14ac:dyDescent="0.25">
      <c r="A6" s="63">
        <v>41685</v>
      </c>
      <c r="B6" s="26">
        <v>72</v>
      </c>
      <c r="C6" s="70">
        <v>26.45</v>
      </c>
      <c r="D6" s="44"/>
      <c r="F6" s="62" t="s">
        <v>197</v>
      </c>
      <c r="G6" s="44"/>
    </row>
    <row r="7" spans="1:27" x14ac:dyDescent="0.25">
      <c r="A7" s="63">
        <v>41726</v>
      </c>
      <c r="B7" s="26">
        <v>120</v>
      </c>
      <c r="C7" s="70">
        <v>26.45</v>
      </c>
      <c r="D7" s="44"/>
      <c r="F7" s="62" t="s">
        <v>195</v>
      </c>
      <c r="G7" s="26">
        <v>865</v>
      </c>
    </row>
    <row r="8" spans="1:27" x14ac:dyDescent="0.25">
      <c r="A8" s="63">
        <v>41756</v>
      </c>
      <c r="B8" s="26">
        <v>108</v>
      </c>
      <c r="C8" s="70">
        <v>17.420000000000002</v>
      </c>
      <c r="D8" s="44"/>
      <c r="F8" s="62" t="s">
        <v>927</v>
      </c>
      <c r="G8" s="44"/>
    </row>
    <row r="9" spans="1:27" x14ac:dyDescent="0.25">
      <c r="A9" s="63">
        <v>41778</v>
      </c>
      <c r="B9" s="26">
        <v>36</v>
      </c>
      <c r="C9" s="70">
        <v>26.02</v>
      </c>
      <c r="D9" s="44"/>
      <c r="F9" s="62" t="s">
        <v>928</v>
      </c>
      <c r="G9" s="44"/>
    </row>
    <row r="10" spans="1:27" x14ac:dyDescent="0.25">
      <c r="A10" s="63">
        <v>41809</v>
      </c>
      <c r="B10" s="26">
        <v>96</v>
      </c>
      <c r="C10" s="70">
        <v>21.72</v>
      </c>
      <c r="D10" s="44"/>
    </row>
    <row r="11" spans="1:27" x14ac:dyDescent="0.25">
      <c r="A11" s="63">
        <v>41842</v>
      </c>
      <c r="B11" s="26">
        <v>36</v>
      </c>
      <c r="C11" s="70">
        <v>20.64</v>
      </c>
      <c r="D11" s="44"/>
      <c r="F11" s="22" t="s">
        <v>165</v>
      </c>
      <c r="G11" s="103"/>
      <c r="H11" t="s">
        <v>931</v>
      </c>
    </row>
    <row r="12" spans="1:27" x14ac:dyDescent="0.25">
      <c r="A12" s="63">
        <v>41886</v>
      </c>
      <c r="B12" s="26">
        <v>120</v>
      </c>
      <c r="C12" s="70">
        <v>25.37</v>
      </c>
      <c r="D12" s="44"/>
    </row>
    <row r="13" spans="1:27" x14ac:dyDescent="0.25">
      <c r="A13" s="63">
        <v>41908</v>
      </c>
      <c r="B13" s="26">
        <v>36</v>
      </c>
      <c r="C13" s="70">
        <v>23.44</v>
      </c>
      <c r="D13" s="44"/>
    </row>
    <row r="14" spans="1:27" x14ac:dyDescent="0.25">
      <c r="A14" s="63">
        <v>41946</v>
      </c>
      <c r="B14" s="26">
        <v>144</v>
      </c>
      <c r="C14" s="70">
        <v>21.72</v>
      </c>
      <c r="D14" s="44"/>
    </row>
    <row r="15" spans="1:27" ht="15.75" thickBot="1" x14ac:dyDescent="0.3">
      <c r="A15" s="64">
        <v>41976</v>
      </c>
      <c r="B15" s="65">
        <v>144</v>
      </c>
      <c r="C15" s="70">
        <v>20.21</v>
      </c>
      <c r="D15" s="44"/>
    </row>
    <row r="16" spans="1:27" ht="15.75" thickBot="1" x14ac:dyDescent="0.3">
      <c r="A16" s="66" t="s">
        <v>165</v>
      </c>
      <c r="B16" s="67">
        <f>SUM(B5:B15)</f>
        <v>1020</v>
      </c>
      <c r="D16" s="71"/>
    </row>
    <row r="17" spans="1:7" ht="15.75" thickTop="1" x14ac:dyDescent="0.25"/>
    <row r="19" spans="1:7" ht="30" x14ac:dyDescent="0.25">
      <c r="A19" s="62" t="s">
        <v>193</v>
      </c>
      <c r="B19" s="62" t="s">
        <v>164</v>
      </c>
      <c r="C19" s="62" t="s">
        <v>932</v>
      </c>
      <c r="D19" s="62" t="s">
        <v>222</v>
      </c>
      <c r="F19" s="62" t="s">
        <v>220</v>
      </c>
      <c r="G19" s="44"/>
    </row>
    <row r="20" spans="1:7" x14ac:dyDescent="0.25">
      <c r="A20" s="70">
        <v>24.3</v>
      </c>
      <c r="B20" s="26">
        <v>108</v>
      </c>
      <c r="C20" s="75"/>
      <c r="D20" s="44"/>
      <c r="F20" s="62" t="s">
        <v>221</v>
      </c>
      <c r="G20" s="44"/>
    </row>
    <row r="21" spans="1:7" x14ac:dyDescent="0.25">
      <c r="A21" s="70">
        <v>26.45</v>
      </c>
      <c r="B21" s="26">
        <v>72</v>
      </c>
      <c r="C21" s="75"/>
      <c r="D21" s="44"/>
    </row>
    <row r="22" spans="1:7" x14ac:dyDescent="0.25">
      <c r="A22" s="70">
        <v>26.45</v>
      </c>
      <c r="B22" s="26">
        <v>120</v>
      </c>
      <c r="C22" s="75"/>
      <c r="D22" s="44"/>
      <c r="F22" t="s">
        <v>226</v>
      </c>
    </row>
    <row r="23" spans="1:7" x14ac:dyDescent="0.25">
      <c r="A23" s="70">
        <v>17.420000000000002</v>
      </c>
      <c r="B23" s="26">
        <v>108</v>
      </c>
      <c r="C23" s="75"/>
      <c r="D23" s="44"/>
      <c r="F23" t="s">
        <v>227</v>
      </c>
    </row>
    <row r="24" spans="1:7" x14ac:dyDescent="0.25">
      <c r="A24" s="70">
        <v>26.02</v>
      </c>
      <c r="B24" s="26">
        <v>36</v>
      </c>
      <c r="C24" s="75"/>
      <c r="D24" s="44"/>
    </row>
    <row r="25" spans="1:7" x14ac:dyDescent="0.25">
      <c r="A25" s="70">
        <v>21.72</v>
      </c>
      <c r="B25" s="26">
        <v>96</v>
      </c>
      <c r="C25" s="75"/>
      <c r="D25" s="44"/>
    </row>
    <row r="26" spans="1:7" x14ac:dyDescent="0.25">
      <c r="A26" s="70">
        <v>20.64</v>
      </c>
      <c r="B26" s="26">
        <v>36</v>
      </c>
      <c r="C26" s="75"/>
      <c r="D26" s="44"/>
    </row>
    <row r="27" spans="1:7" x14ac:dyDescent="0.25">
      <c r="A27" s="70">
        <v>25.37</v>
      </c>
      <c r="B27" s="26">
        <v>120</v>
      </c>
      <c r="C27" s="75"/>
      <c r="D27" s="44"/>
    </row>
    <row r="28" spans="1:7" x14ac:dyDescent="0.25">
      <c r="A28" s="70">
        <v>23.44</v>
      </c>
      <c r="B28" s="26">
        <v>36</v>
      </c>
      <c r="C28" s="75"/>
      <c r="D28" s="44"/>
    </row>
    <row r="29" spans="1:7" x14ac:dyDescent="0.25">
      <c r="A29" s="70">
        <v>21.72</v>
      </c>
      <c r="B29" s="26">
        <v>144</v>
      </c>
      <c r="C29" s="75"/>
      <c r="D29" s="44"/>
    </row>
    <row r="30" spans="1:7" ht="15.75" thickBot="1" x14ac:dyDescent="0.3">
      <c r="A30" s="70">
        <v>20.21</v>
      </c>
      <c r="B30" s="65">
        <v>144</v>
      </c>
      <c r="C30" s="75"/>
      <c r="D30" s="44"/>
    </row>
    <row r="31" spans="1:7" ht="15.75" thickBot="1" x14ac:dyDescent="0.3">
      <c r="B31" s="67">
        <f>SUM(B20:B30)</f>
        <v>1020</v>
      </c>
      <c r="C31" s="236"/>
      <c r="D31" s="71"/>
    </row>
    <row r="32" spans="1:7" ht="15.75" thickTop="1"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FF0000"/>
  </sheetPr>
  <dimension ref="A1:AA32"/>
  <sheetViews>
    <sheetView workbookViewId="0">
      <selection activeCell="G20" sqref="G20"/>
    </sheetView>
  </sheetViews>
  <sheetFormatPr defaultRowHeight="15" x14ac:dyDescent="0.25"/>
  <cols>
    <col min="1" max="1" width="10.5703125" customWidth="1"/>
    <col min="2" max="2" width="12.7109375" customWidth="1"/>
    <col min="3" max="3" width="11.42578125" customWidth="1"/>
    <col min="4" max="4" width="10.85546875" bestFit="1" customWidth="1"/>
    <col min="6" max="6" width="24.140625" customWidth="1"/>
    <col min="7" max="7" width="10.85546875" bestFit="1" customWidth="1"/>
    <col min="10" max="10" width="12.7109375" customWidth="1"/>
    <col min="11" max="11" width="11.42578125" customWidth="1"/>
  </cols>
  <sheetData>
    <row r="1" spans="1:27" x14ac:dyDescent="0.25">
      <c r="A1" t="s">
        <v>191</v>
      </c>
      <c r="AA1" t="s">
        <v>193</v>
      </c>
    </row>
    <row r="2" spans="1:27" x14ac:dyDescent="0.25">
      <c r="A2" t="s">
        <v>194</v>
      </c>
      <c r="AA2">
        <f t="shared" ref="AA2" ca="1" si="0">ROUND(43/2*(1+RANDBETWEEN(-20,30)/100),2)</f>
        <v>25.8</v>
      </c>
    </row>
    <row r="4" spans="1:27" ht="34.5" x14ac:dyDescent="0.35">
      <c r="A4" s="62" t="s">
        <v>192</v>
      </c>
      <c r="B4" s="62" t="s">
        <v>224</v>
      </c>
      <c r="C4" s="62" t="s">
        <v>223</v>
      </c>
      <c r="D4" s="62" t="s">
        <v>225</v>
      </c>
    </row>
    <row r="5" spans="1:27" x14ac:dyDescent="0.25">
      <c r="A5" s="63">
        <v>41641</v>
      </c>
      <c r="B5" s="26">
        <v>108</v>
      </c>
      <c r="C5" s="70">
        <v>24.3</v>
      </c>
      <c r="D5" s="44">
        <f>B5*C5</f>
        <v>2624.4</v>
      </c>
      <c r="F5" s="62" t="s">
        <v>196</v>
      </c>
      <c r="G5" s="44">
        <f>D16/B16</f>
        <v>22.81882352941177</v>
      </c>
    </row>
    <row r="6" spans="1:27" x14ac:dyDescent="0.25">
      <c r="A6" s="63">
        <v>41685</v>
      </c>
      <c r="B6" s="26">
        <v>72</v>
      </c>
      <c r="C6" s="70">
        <v>26.45</v>
      </c>
      <c r="D6" s="44">
        <f t="shared" ref="D6:D15" si="1">B6*C6</f>
        <v>1904.3999999999999</v>
      </c>
      <c r="F6" s="62" t="s">
        <v>197</v>
      </c>
      <c r="G6" s="44">
        <f>SUMPRODUCT(C5:C15,B5:B15)/SUM(B5:B15)</f>
        <v>22.81882352941177</v>
      </c>
    </row>
    <row r="7" spans="1:27" x14ac:dyDescent="0.25">
      <c r="A7" s="63">
        <v>41726</v>
      </c>
      <c r="B7" s="26">
        <v>120</v>
      </c>
      <c r="C7" s="70">
        <v>26.45</v>
      </c>
      <c r="D7" s="44">
        <f t="shared" si="1"/>
        <v>3174</v>
      </c>
      <c r="F7" s="62" t="s">
        <v>195</v>
      </c>
      <c r="G7" s="26">
        <v>865</v>
      </c>
    </row>
    <row r="8" spans="1:27" x14ac:dyDescent="0.25">
      <c r="A8" s="63">
        <v>41756</v>
      </c>
      <c r="B8" s="26">
        <v>108</v>
      </c>
      <c r="C8" s="70">
        <v>17.420000000000002</v>
      </c>
      <c r="D8" s="44">
        <f t="shared" si="1"/>
        <v>1881.3600000000001</v>
      </c>
      <c r="F8" s="62" t="s">
        <v>927</v>
      </c>
      <c r="G8" s="44">
        <f>G7*G6</f>
        <v>19738.28235294118</v>
      </c>
    </row>
    <row r="9" spans="1:27" x14ac:dyDescent="0.25">
      <c r="A9" s="63">
        <v>41778</v>
      </c>
      <c r="B9" s="26">
        <v>36</v>
      </c>
      <c r="C9" s="70">
        <v>26.02</v>
      </c>
      <c r="D9" s="44">
        <f t="shared" si="1"/>
        <v>936.72</v>
      </c>
      <c r="F9" s="62" t="s">
        <v>928</v>
      </c>
      <c r="G9" s="44">
        <f>(B16-G7)*G6</f>
        <v>3536.9176470588245</v>
      </c>
    </row>
    <row r="10" spans="1:27" x14ac:dyDescent="0.25">
      <c r="A10" s="63">
        <v>41809</v>
      </c>
      <c r="B10" s="26">
        <v>96</v>
      </c>
      <c r="C10" s="70">
        <v>21.72</v>
      </c>
      <c r="D10" s="44">
        <f t="shared" si="1"/>
        <v>2085.12</v>
      </c>
    </row>
    <row r="11" spans="1:27" x14ac:dyDescent="0.25">
      <c r="A11" s="63">
        <v>41842</v>
      </c>
      <c r="B11" s="26">
        <v>36</v>
      </c>
      <c r="C11" s="70">
        <v>20.64</v>
      </c>
      <c r="D11" s="44">
        <f t="shared" si="1"/>
        <v>743.04</v>
      </c>
      <c r="F11" s="22" t="s">
        <v>165</v>
      </c>
      <c r="G11" s="103">
        <f>SUM(G8:G9)</f>
        <v>23275.200000000004</v>
      </c>
      <c r="H11" t="s">
        <v>931</v>
      </c>
    </row>
    <row r="12" spans="1:27" x14ac:dyDescent="0.25">
      <c r="A12" s="63">
        <v>41886</v>
      </c>
      <c r="B12" s="26">
        <v>120</v>
      </c>
      <c r="C12" s="70">
        <v>25.37</v>
      </c>
      <c r="D12" s="44">
        <f t="shared" si="1"/>
        <v>3044.4</v>
      </c>
    </row>
    <row r="13" spans="1:27" x14ac:dyDescent="0.25">
      <c r="A13" s="63">
        <v>41908</v>
      </c>
      <c r="B13" s="26">
        <v>36</v>
      </c>
      <c r="C13" s="70">
        <v>23.44</v>
      </c>
      <c r="D13" s="44">
        <f t="shared" si="1"/>
        <v>843.84</v>
      </c>
    </row>
    <row r="14" spans="1:27" x14ac:dyDescent="0.25">
      <c r="A14" s="63">
        <v>41946</v>
      </c>
      <c r="B14" s="26">
        <v>144</v>
      </c>
      <c r="C14" s="70">
        <v>21.72</v>
      </c>
      <c r="D14" s="44">
        <f t="shared" si="1"/>
        <v>3127.68</v>
      </c>
    </row>
    <row r="15" spans="1:27" ht="15.75" thickBot="1" x14ac:dyDescent="0.3">
      <c r="A15" s="64">
        <v>41976</v>
      </c>
      <c r="B15" s="65">
        <v>144</v>
      </c>
      <c r="C15" s="70">
        <v>20.21</v>
      </c>
      <c r="D15" s="44">
        <f t="shared" si="1"/>
        <v>2910.2400000000002</v>
      </c>
    </row>
    <row r="16" spans="1:27" ht="15.75" thickBot="1" x14ac:dyDescent="0.3">
      <c r="A16" s="66" t="s">
        <v>165</v>
      </c>
      <c r="B16" s="67">
        <f>SUM(B5:B15)</f>
        <v>1020</v>
      </c>
      <c r="D16" s="71">
        <f>SUM(D5:D15)</f>
        <v>23275.200000000004</v>
      </c>
    </row>
    <row r="17" spans="1:7" ht="15.75" thickTop="1" x14ac:dyDescent="0.25"/>
    <row r="19" spans="1:7" ht="30" x14ac:dyDescent="0.25">
      <c r="A19" s="62" t="s">
        <v>193</v>
      </c>
      <c r="B19" s="62" t="s">
        <v>164</v>
      </c>
      <c r="C19" s="62" t="s">
        <v>932</v>
      </c>
      <c r="D19" s="62" t="s">
        <v>222</v>
      </c>
      <c r="F19" s="62" t="s">
        <v>220</v>
      </c>
      <c r="G19" s="44">
        <f>D31</f>
        <v>22.818823529411763</v>
      </c>
    </row>
    <row r="20" spans="1:7" x14ac:dyDescent="0.25">
      <c r="A20" s="70">
        <v>24.3</v>
      </c>
      <c r="B20" s="26">
        <v>108</v>
      </c>
      <c r="C20" s="75">
        <f>B20/$B$31</f>
        <v>0.10588235294117647</v>
      </c>
      <c r="D20" s="44">
        <f>C20*A20</f>
        <v>2.5729411764705881</v>
      </c>
      <c r="F20" s="62" t="s">
        <v>221</v>
      </c>
      <c r="G20" s="44">
        <f>SUMPRODUCT(A20:A30,C20:C30)</f>
        <v>22.818823529411763</v>
      </c>
    </row>
    <row r="21" spans="1:7" x14ac:dyDescent="0.25">
      <c r="A21" s="70">
        <v>26.45</v>
      </c>
      <c r="B21" s="26">
        <v>72</v>
      </c>
      <c r="C21" s="75">
        <f t="shared" ref="C21:C30" si="2">B21/$B$31</f>
        <v>7.0588235294117646E-2</v>
      </c>
      <c r="D21" s="44">
        <f t="shared" ref="D21:D30" si="3">C21*A21</f>
        <v>1.8670588235294117</v>
      </c>
    </row>
    <row r="22" spans="1:7" x14ac:dyDescent="0.25">
      <c r="A22" s="70">
        <v>26.45</v>
      </c>
      <c r="B22" s="26">
        <v>120</v>
      </c>
      <c r="C22" s="75">
        <f t="shared" si="2"/>
        <v>0.11764705882352941</v>
      </c>
      <c r="D22" s="44">
        <f t="shared" si="3"/>
        <v>3.111764705882353</v>
      </c>
      <c r="F22" t="s">
        <v>226</v>
      </c>
    </row>
    <row r="23" spans="1:7" x14ac:dyDescent="0.25">
      <c r="A23" s="70">
        <v>17.420000000000002</v>
      </c>
      <c r="B23" s="26">
        <v>108</v>
      </c>
      <c r="C23" s="75">
        <f t="shared" si="2"/>
        <v>0.10588235294117647</v>
      </c>
      <c r="D23" s="44">
        <f t="shared" si="3"/>
        <v>1.8444705882352943</v>
      </c>
      <c r="F23" t="s">
        <v>227</v>
      </c>
    </row>
    <row r="24" spans="1:7" x14ac:dyDescent="0.25">
      <c r="A24" s="70">
        <v>26.02</v>
      </c>
      <c r="B24" s="26">
        <v>36</v>
      </c>
      <c r="C24" s="75">
        <f t="shared" si="2"/>
        <v>3.5294117647058823E-2</v>
      </c>
      <c r="D24" s="44">
        <f t="shared" si="3"/>
        <v>0.91835294117647059</v>
      </c>
    </row>
    <row r="25" spans="1:7" x14ac:dyDescent="0.25">
      <c r="A25" s="70">
        <v>21.72</v>
      </c>
      <c r="B25" s="26">
        <v>96</v>
      </c>
      <c r="C25" s="75">
        <f t="shared" si="2"/>
        <v>9.4117647058823528E-2</v>
      </c>
      <c r="D25" s="44">
        <f t="shared" si="3"/>
        <v>2.0442352941176467</v>
      </c>
    </row>
    <row r="26" spans="1:7" x14ac:dyDescent="0.25">
      <c r="A26" s="70">
        <v>20.64</v>
      </c>
      <c r="B26" s="26">
        <v>36</v>
      </c>
      <c r="C26" s="75">
        <f t="shared" si="2"/>
        <v>3.5294117647058823E-2</v>
      </c>
      <c r="D26" s="44">
        <f t="shared" si="3"/>
        <v>0.72847058823529409</v>
      </c>
    </row>
    <row r="27" spans="1:7" x14ac:dyDescent="0.25">
      <c r="A27" s="70">
        <v>25.37</v>
      </c>
      <c r="B27" s="26">
        <v>120</v>
      </c>
      <c r="C27" s="75">
        <f t="shared" si="2"/>
        <v>0.11764705882352941</v>
      </c>
      <c r="D27" s="44">
        <f t="shared" si="3"/>
        <v>2.9847058823529413</v>
      </c>
    </row>
    <row r="28" spans="1:7" x14ac:dyDescent="0.25">
      <c r="A28" s="70">
        <v>23.44</v>
      </c>
      <c r="B28" s="26">
        <v>36</v>
      </c>
      <c r="C28" s="75">
        <f t="shared" si="2"/>
        <v>3.5294117647058823E-2</v>
      </c>
      <c r="D28" s="44">
        <f t="shared" si="3"/>
        <v>0.82729411764705885</v>
      </c>
    </row>
    <row r="29" spans="1:7" x14ac:dyDescent="0.25">
      <c r="A29" s="70">
        <v>21.72</v>
      </c>
      <c r="B29" s="26">
        <v>144</v>
      </c>
      <c r="C29" s="75">
        <f t="shared" si="2"/>
        <v>0.14117647058823529</v>
      </c>
      <c r="D29" s="44">
        <f t="shared" si="3"/>
        <v>3.0663529411764703</v>
      </c>
    </row>
    <row r="30" spans="1:7" ht="15.75" thickBot="1" x14ac:dyDescent="0.3">
      <c r="A30" s="70">
        <v>20.21</v>
      </c>
      <c r="B30" s="65">
        <v>144</v>
      </c>
      <c r="C30" s="75">
        <f t="shared" si="2"/>
        <v>0.14117647058823529</v>
      </c>
      <c r="D30" s="44">
        <f t="shared" si="3"/>
        <v>2.8531764705882354</v>
      </c>
    </row>
    <row r="31" spans="1:7" ht="15.75" thickBot="1" x14ac:dyDescent="0.3">
      <c r="B31" s="67">
        <f>SUM(B20:B30)</f>
        <v>1020</v>
      </c>
      <c r="C31" s="236">
        <f>SUM(C20:C30)</f>
        <v>0.99999999999999978</v>
      </c>
      <c r="D31" s="71">
        <f>SUM(D20:D30)</f>
        <v>22.818823529411763</v>
      </c>
    </row>
    <row r="32" spans="1:7" ht="15.75" thickTop="1" x14ac:dyDescent="0.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0000FF"/>
  </sheetPr>
  <dimension ref="A1:P201"/>
  <sheetViews>
    <sheetView zoomScale="130" zoomScaleNormal="130" workbookViewId="0">
      <selection activeCell="C2" sqref="C2"/>
    </sheetView>
  </sheetViews>
  <sheetFormatPr defaultRowHeight="15" x14ac:dyDescent="0.25"/>
  <cols>
    <col min="1" max="1" width="5" customWidth="1"/>
    <col min="2" max="2" width="1.42578125" customWidth="1"/>
    <col min="3" max="3" width="6.140625" bestFit="1" customWidth="1"/>
    <col min="4" max="4" width="6" bestFit="1" customWidth="1"/>
    <col min="5" max="5" width="17.42578125" customWidth="1"/>
    <col min="6" max="6" width="14.7109375" customWidth="1"/>
    <col min="7" max="7" width="8.140625" bestFit="1" customWidth="1"/>
    <col min="8" max="8" width="12.140625" customWidth="1"/>
    <col min="9" max="9" width="9.28515625" customWidth="1"/>
    <col min="16" max="16" width="16.28515625" bestFit="1" customWidth="1"/>
  </cols>
  <sheetData>
    <row r="1" spans="1:16" ht="15.75" x14ac:dyDescent="0.25">
      <c r="A1" s="92" t="s">
        <v>313</v>
      </c>
      <c r="E1" s="82" t="s">
        <v>314</v>
      </c>
      <c r="F1" s="83"/>
      <c r="P1" s="96" t="s">
        <v>325</v>
      </c>
    </row>
    <row r="2" spans="1:16" ht="15.75" x14ac:dyDescent="0.25">
      <c r="A2" s="26">
        <v>21</v>
      </c>
      <c r="C2" s="1" t="s">
        <v>315</v>
      </c>
      <c r="D2" s="1" t="s">
        <v>316</v>
      </c>
      <c r="E2" s="93" t="s">
        <v>313</v>
      </c>
      <c r="F2" s="93" t="s">
        <v>164</v>
      </c>
      <c r="H2" s="93" t="s">
        <v>317</v>
      </c>
      <c r="N2" s="1" t="s">
        <v>318</v>
      </c>
      <c r="P2" s="26">
        <v>19</v>
      </c>
    </row>
    <row r="3" spans="1:16" x14ac:dyDescent="0.25">
      <c r="A3" s="26">
        <v>57</v>
      </c>
      <c r="C3" s="26">
        <v>0</v>
      </c>
      <c r="D3" s="30">
        <f>C3+$P$2</f>
        <v>19</v>
      </c>
      <c r="E3" s="30" t="str">
        <f>C3&amp;" - "&amp;D3</f>
        <v>0 - 19</v>
      </c>
      <c r="F3" s="30">
        <f>COUNTIFS($A$2:$A$201,"&gt;="&amp;C3,$A$2:$A$201,"&lt;="&amp;D3)</f>
        <v>13</v>
      </c>
      <c r="H3" s="30">
        <f>AVERAGE(C3:D3)</f>
        <v>9.5</v>
      </c>
      <c r="N3" s="30">
        <f>MIN($A$2:$A$201)</f>
        <v>18</v>
      </c>
    </row>
    <row r="4" spans="1:16" x14ac:dyDescent="0.25">
      <c r="A4" s="26">
        <v>25</v>
      </c>
      <c r="C4" s="30">
        <f>D3+1</f>
        <v>20</v>
      </c>
      <c r="D4" s="30">
        <f>C4+$P$2</f>
        <v>39</v>
      </c>
      <c r="E4" s="30" t="str">
        <f>C4&amp;" - "&amp;D4</f>
        <v>20 - 39</v>
      </c>
      <c r="F4" s="30">
        <f>COUNTIFS($A$2:$A$201,"&gt;="&amp;C4,$A$2:$A$201,"&lt;="&amp;D4)</f>
        <v>110</v>
      </c>
      <c r="H4" s="30">
        <f>AVERAGE(C4:D4)</f>
        <v>29.5</v>
      </c>
      <c r="N4" s="1" t="s">
        <v>319</v>
      </c>
    </row>
    <row r="5" spans="1:16" x14ac:dyDescent="0.25">
      <c r="A5" s="26">
        <v>38</v>
      </c>
      <c r="C5" s="30">
        <f>D4+1</f>
        <v>40</v>
      </c>
      <c r="D5" s="30">
        <f>C5+$P$2</f>
        <v>59</v>
      </c>
      <c r="E5" s="30" t="str">
        <f>C5&amp;" - "&amp;D5</f>
        <v>40 - 59</v>
      </c>
      <c r="F5" s="30">
        <f>COUNTIFS($A$2:$A$201,"&gt;="&amp;C5,$A$2:$A$201,"&lt;="&amp;D5)</f>
        <v>56</v>
      </c>
      <c r="H5" s="30">
        <f>AVERAGE(C5:D5)</f>
        <v>49.5</v>
      </c>
      <c r="N5" s="30">
        <f>MAX($A$2:$A$201)</f>
        <v>65</v>
      </c>
    </row>
    <row r="6" spans="1:16" ht="15.75" thickBot="1" x14ac:dyDescent="0.3">
      <c r="A6" s="26">
        <v>22</v>
      </c>
      <c r="C6" s="30">
        <f>D5+1</f>
        <v>60</v>
      </c>
      <c r="D6" s="30">
        <f>C6+$P$2</f>
        <v>79</v>
      </c>
      <c r="E6" s="69" t="str">
        <f>C6&amp;" - "&amp;D6</f>
        <v>60 - 79</v>
      </c>
      <c r="F6" s="69">
        <f>COUNTIFS($A$2:$A$201,"&gt;="&amp;C6,$A$2:$A$201,"&lt;="&amp;D6)</f>
        <v>21</v>
      </c>
      <c r="H6" s="30">
        <f>AVERAGE(C6:D6)</f>
        <v>69.5</v>
      </c>
    </row>
    <row r="7" spans="1:16" ht="15.75" thickBot="1" x14ac:dyDescent="0.3">
      <c r="A7" s="26">
        <v>29</v>
      </c>
      <c r="E7" s="66" t="s">
        <v>165</v>
      </c>
      <c r="F7" s="67">
        <f>SUM(F3:F6)</f>
        <v>200</v>
      </c>
    </row>
    <row r="8" spans="1:16" ht="15.75" thickTop="1" x14ac:dyDescent="0.25">
      <c r="A8" s="26">
        <v>18</v>
      </c>
    </row>
    <row r="9" spans="1:16" x14ac:dyDescent="0.25">
      <c r="A9" s="26">
        <v>64</v>
      </c>
      <c r="E9" s="1" t="s">
        <v>320</v>
      </c>
      <c r="F9" s="94">
        <f>AVERAGE(A2:A201)</f>
        <v>37.08</v>
      </c>
    </row>
    <row r="10" spans="1:16" x14ac:dyDescent="0.25">
      <c r="A10" s="26">
        <v>27</v>
      </c>
      <c r="F10" s="95"/>
    </row>
    <row r="11" spans="1:16" ht="30" x14ac:dyDescent="0.25">
      <c r="A11" s="26">
        <v>22</v>
      </c>
      <c r="E11" s="33" t="s">
        <v>321</v>
      </c>
      <c r="F11" s="94">
        <f>SUMPRODUCT(F3:F6,H3:H6)/F7</f>
        <v>38</v>
      </c>
    </row>
    <row r="12" spans="1:16" x14ac:dyDescent="0.25">
      <c r="A12" s="26">
        <v>39</v>
      </c>
      <c r="E12" t="s">
        <v>322</v>
      </c>
    </row>
    <row r="13" spans="1:16" x14ac:dyDescent="0.25">
      <c r="A13" s="26">
        <v>61</v>
      </c>
      <c r="E13" t="s">
        <v>323</v>
      </c>
    </row>
    <row r="14" spans="1:16" x14ac:dyDescent="0.25">
      <c r="A14" s="26">
        <v>18</v>
      </c>
      <c r="E14" t="s">
        <v>324</v>
      </c>
    </row>
    <row r="15" spans="1:16" x14ac:dyDescent="0.25">
      <c r="A15" s="26">
        <v>22</v>
      </c>
    </row>
    <row r="16" spans="1:16" x14ac:dyDescent="0.25">
      <c r="A16" s="26">
        <v>52</v>
      </c>
    </row>
    <row r="17" spans="1:1" x14ac:dyDescent="0.25">
      <c r="A17" s="26">
        <v>22</v>
      </c>
    </row>
    <row r="18" spans="1:1" x14ac:dyDescent="0.25">
      <c r="A18" s="26">
        <v>18</v>
      </c>
    </row>
    <row r="19" spans="1:1" x14ac:dyDescent="0.25">
      <c r="A19" s="26">
        <v>55</v>
      </c>
    </row>
    <row r="20" spans="1:1" x14ac:dyDescent="0.25">
      <c r="A20" s="26">
        <v>20</v>
      </c>
    </row>
    <row r="21" spans="1:1" x14ac:dyDescent="0.25">
      <c r="A21" s="26">
        <v>42</v>
      </c>
    </row>
    <row r="22" spans="1:1" x14ac:dyDescent="0.25">
      <c r="A22" s="26">
        <v>30</v>
      </c>
    </row>
    <row r="23" spans="1:1" x14ac:dyDescent="0.25">
      <c r="A23" s="26">
        <v>64</v>
      </c>
    </row>
    <row r="24" spans="1:1" x14ac:dyDescent="0.25">
      <c r="A24" s="26">
        <v>63</v>
      </c>
    </row>
    <row r="25" spans="1:1" x14ac:dyDescent="0.25">
      <c r="A25" s="26">
        <v>41</v>
      </c>
    </row>
    <row r="26" spans="1:1" x14ac:dyDescent="0.25">
      <c r="A26" s="26">
        <v>21</v>
      </c>
    </row>
    <row r="27" spans="1:1" x14ac:dyDescent="0.25">
      <c r="A27" s="26">
        <v>63</v>
      </c>
    </row>
    <row r="28" spans="1:1" x14ac:dyDescent="0.25">
      <c r="A28" s="26">
        <v>54</v>
      </c>
    </row>
    <row r="29" spans="1:1" x14ac:dyDescent="0.25">
      <c r="A29" s="26">
        <v>18</v>
      </c>
    </row>
    <row r="30" spans="1:1" x14ac:dyDescent="0.25">
      <c r="A30" s="26">
        <v>26</v>
      </c>
    </row>
    <row r="31" spans="1:1" x14ac:dyDescent="0.25">
      <c r="A31" s="26">
        <v>59</v>
      </c>
    </row>
    <row r="32" spans="1:1" x14ac:dyDescent="0.25">
      <c r="A32" s="26">
        <v>30</v>
      </c>
    </row>
    <row r="33" spans="1:1" x14ac:dyDescent="0.25">
      <c r="A33" s="26">
        <v>64</v>
      </c>
    </row>
    <row r="34" spans="1:1" x14ac:dyDescent="0.25">
      <c r="A34" s="26">
        <v>30</v>
      </c>
    </row>
    <row r="35" spans="1:1" x14ac:dyDescent="0.25">
      <c r="A35" s="26">
        <v>41</v>
      </c>
    </row>
    <row r="36" spans="1:1" x14ac:dyDescent="0.25">
      <c r="A36" s="26">
        <v>23</v>
      </c>
    </row>
    <row r="37" spans="1:1" x14ac:dyDescent="0.25">
      <c r="A37" s="26">
        <v>52</v>
      </c>
    </row>
    <row r="38" spans="1:1" x14ac:dyDescent="0.25">
      <c r="A38" s="26">
        <v>18</v>
      </c>
    </row>
    <row r="39" spans="1:1" x14ac:dyDescent="0.25">
      <c r="A39" s="26">
        <v>32</v>
      </c>
    </row>
    <row r="40" spans="1:1" x14ac:dyDescent="0.25">
      <c r="A40" s="26">
        <v>22</v>
      </c>
    </row>
    <row r="41" spans="1:1" x14ac:dyDescent="0.25">
      <c r="A41" s="26">
        <v>29</v>
      </c>
    </row>
    <row r="42" spans="1:1" x14ac:dyDescent="0.25">
      <c r="A42" s="26">
        <v>25</v>
      </c>
    </row>
    <row r="43" spans="1:1" x14ac:dyDescent="0.25">
      <c r="A43" s="26">
        <v>63</v>
      </c>
    </row>
    <row r="44" spans="1:1" x14ac:dyDescent="0.25">
      <c r="A44" s="26">
        <v>26</v>
      </c>
    </row>
    <row r="45" spans="1:1" x14ac:dyDescent="0.25">
      <c r="A45" s="26">
        <v>31</v>
      </c>
    </row>
    <row r="46" spans="1:1" x14ac:dyDescent="0.25">
      <c r="A46" s="26">
        <v>23</v>
      </c>
    </row>
    <row r="47" spans="1:1" x14ac:dyDescent="0.25">
      <c r="A47" s="26">
        <v>42</v>
      </c>
    </row>
    <row r="48" spans="1:1" x14ac:dyDescent="0.25">
      <c r="A48" s="26">
        <v>28</v>
      </c>
    </row>
    <row r="49" spans="1:1" x14ac:dyDescent="0.25">
      <c r="A49" s="26">
        <v>23</v>
      </c>
    </row>
    <row r="50" spans="1:1" x14ac:dyDescent="0.25">
      <c r="A50" s="26">
        <v>19</v>
      </c>
    </row>
    <row r="51" spans="1:1" x14ac:dyDescent="0.25">
      <c r="A51" s="26">
        <v>37</v>
      </c>
    </row>
    <row r="52" spans="1:1" x14ac:dyDescent="0.25">
      <c r="A52" s="26">
        <v>38</v>
      </c>
    </row>
    <row r="53" spans="1:1" x14ac:dyDescent="0.25">
      <c r="A53" s="26">
        <v>50</v>
      </c>
    </row>
    <row r="54" spans="1:1" x14ac:dyDescent="0.25">
      <c r="A54" s="26">
        <v>26</v>
      </c>
    </row>
    <row r="55" spans="1:1" x14ac:dyDescent="0.25">
      <c r="A55" s="26">
        <v>33</v>
      </c>
    </row>
    <row r="56" spans="1:1" x14ac:dyDescent="0.25">
      <c r="A56" s="26">
        <v>59</v>
      </c>
    </row>
    <row r="57" spans="1:1" x14ac:dyDescent="0.25">
      <c r="A57" s="26">
        <v>32</v>
      </c>
    </row>
    <row r="58" spans="1:1" x14ac:dyDescent="0.25">
      <c r="A58" s="26">
        <v>27</v>
      </c>
    </row>
    <row r="59" spans="1:1" x14ac:dyDescent="0.25">
      <c r="A59" s="26">
        <v>54</v>
      </c>
    </row>
    <row r="60" spans="1:1" x14ac:dyDescent="0.25">
      <c r="A60" s="26">
        <v>63</v>
      </c>
    </row>
    <row r="61" spans="1:1" x14ac:dyDescent="0.25">
      <c r="A61" s="26">
        <v>48</v>
      </c>
    </row>
    <row r="62" spans="1:1" x14ac:dyDescent="0.25">
      <c r="A62" s="26">
        <v>29</v>
      </c>
    </row>
    <row r="63" spans="1:1" x14ac:dyDescent="0.25">
      <c r="A63" s="26">
        <v>38</v>
      </c>
    </row>
    <row r="64" spans="1:1" x14ac:dyDescent="0.25">
      <c r="A64" s="26">
        <v>24</v>
      </c>
    </row>
    <row r="65" spans="1:1" x14ac:dyDescent="0.25">
      <c r="A65" s="26">
        <v>51</v>
      </c>
    </row>
    <row r="66" spans="1:1" x14ac:dyDescent="0.25">
      <c r="A66" s="26">
        <v>25</v>
      </c>
    </row>
    <row r="67" spans="1:1" x14ac:dyDescent="0.25">
      <c r="A67" s="26">
        <v>65</v>
      </c>
    </row>
    <row r="68" spans="1:1" x14ac:dyDescent="0.25">
      <c r="A68" s="26">
        <v>35</v>
      </c>
    </row>
    <row r="69" spans="1:1" x14ac:dyDescent="0.25">
      <c r="A69" s="26">
        <v>35</v>
      </c>
    </row>
    <row r="70" spans="1:1" x14ac:dyDescent="0.25">
      <c r="A70" s="26">
        <v>21</v>
      </c>
    </row>
    <row r="71" spans="1:1" x14ac:dyDescent="0.25">
      <c r="A71" s="26">
        <v>47</v>
      </c>
    </row>
    <row r="72" spans="1:1" x14ac:dyDescent="0.25">
      <c r="A72" s="26">
        <v>62</v>
      </c>
    </row>
    <row r="73" spans="1:1" x14ac:dyDescent="0.25">
      <c r="A73" s="26">
        <v>63</v>
      </c>
    </row>
    <row r="74" spans="1:1" x14ac:dyDescent="0.25">
      <c r="A74" s="26">
        <v>23</v>
      </c>
    </row>
    <row r="75" spans="1:1" x14ac:dyDescent="0.25">
      <c r="A75" s="26">
        <v>59</v>
      </c>
    </row>
    <row r="76" spans="1:1" x14ac:dyDescent="0.25">
      <c r="A76" s="26">
        <v>48</v>
      </c>
    </row>
    <row r="77" spans="1:1" x14ac:dyDescent="0.25">
      <c r="A77" s="26">
        <v>57</v>
      </c>
    </row>
    <row r="78" spans="1:1" x14ac:dyDescent="0.25">
      <c r="A78" s="26">
        <v>19</v>
      </c>
    </row>
    <row r="79" spans="1:1" x14ac:dyDescent="0.25">
      <c r="A79" s="26">
        <v>48</v>
      </c>
    </row>
    <row r="80" spans="1:1" x14ac:dyDescent="0.25">
      <c r="A80" s="26">
        <v>21</v>
      </c>
    </row>
    <row r="81" spans="1:1" x14ac:dyDescent="0.25">
      <c r="A81" s="26">
        <v>40</v>
      </c>
    </row>
    <row r="82" spans="1:1" x14ac:dyDescent="0.25">
      <c r="A82" s="26">
        <v>25</v>
      </c>
    </row>
    <row r="83" spans="1:1" x14ac:dyDescent="0.25">
      <c r="A83" s="26">
        <v>59</v>
      </c>
    </row>
    <row r="84" spans="1:1" x14ac:dyDescent="0.25">
      <c r="A84" s="26">
        <v>57</v>
      </c>
    </row>
    <row r="85" spans="1:1" x14ac:dyDescent="0.25">
      <c r="A85" s="26">
        <v>56</v>
      </c>
    </row>
    <row r="86" spans="1:1" x14ac:dyDescent="0.25">
      <c r="A86" s="26">
        <v>19</v>
      </c>
    </row>
    <row r="87" spans="1:1" x14ac:dyDescent="0.25">
      <c r="A87" s="26">
        <v>54</v>
      </c>
    </row>
    <row r="88" spans="1:1" x14ac:dyDescent="0.25">
      <c r="A88" s="26">
        <v>65</v>
      </c>
    </row>
    <row r="89" spans="1:1" x14ac:dyDescent="0.25">
      <c r="A89" s="26">
        <v>25</v>
      </c>
    </row>
    <row r="90" spans="1:1" x14ac:dyDescent="0.25">
      <c r="A90" s="26">
        <v>30</v>
      </c>
    </row>
    <row r="91" spans="1:1" x14ac:dyDescent="0.25">
      <c r="A91" s="26">
        <v>57</v>
      </c>
    </row>
    <row r="92" spans="1:1" x14ac:dyDescent="0.25">
      <c r="A92" s="26">
        <v>43</v>
      </c>
    </row>
    <row r="93" spans="1:1" x14ac:dyDescent="0.25">
      <c r="A93" s="26">
        <v>44</v>
      </c>
    </row>
    <row r="94" spans="1:1" x14ac:dyDescent="0.25">
      <c r="A94" s="26">
        <v>21</v>
      </c>
    </row>
    <row r="95" spans="1:1" x14ac:dyDescent="0.25">
      <c r="A95" s="26">
        <v>20</v>
      </c>
    </row>
    <row r="96" spans="1:1" x14ac:dyDescent="0.25">
      <c r="A96" s="26">
        <v>49</v>
      </c>
    </row>
    <row r="97" spans="1:1" x14ac:dyDescent="0.25">
      <c r="A97" s="26">
        <v>37</v>
      </c>
    </row>
    <row r="98" spans="1:1" x14ac:dyDescent="0.25">
      <c r="A98" s="26">
        <v>26</v>
      </c>
    </row>
    <row r="99" spans="1:1" x14ac:dyDescent="0.25">
      <c r="A99" s="26">
        <v>62</v>
      </c>
    </row>
    <row r="100" spans="1:1" x14ac:dyDescent="0.25">
      <c r="A100" s="26">
        <v>38</v>
      </c>
    </row>
    <row r="101" spans="1:1" x14ac:dyDescent="0.25">
      <c r="A101" s="26">
        <v>55</v>
      </c>
    </row>
    <row r="102" spans="1:1" x14ac:dyDescent="0.25">
      <c r="A102" s="26">
        <v>24</v>
      </c>
    </row>
    <row r="103" spans="1:1" x14ac:dyDescent="0.25">
      <c r="A103" s="26">
        <v>30</v>
      </c>
    </row>
    <row r="104" spans="1:1" x14ac:dyDescent="0.25">
      <c r="A104" s="26">
        <v>39</v>
      </c>
    </row>
    <row r="105" spans="1:1" x14ac:dyDescent="0.25">
      <c r="A105" s="26">
        <v>59</v>
      </c>
    </row>
    <row r="106" spans="1:1" x14ac:dyDescent="0.25">
      <c r="A106" s="26">
        <v>26</v>
      </c>
    </row>
    <row r="107" spans="1:1" x14ac:dyDescent="0.25">
      <c r="A107" s="26">
        <v>33</v>
      </c>
    </row>
    <row r="108" spans="1:1" x14ac:dyDescent="0.25">
      <c r="A108" s="26">
        <v>20</v>
      </c>
    </row>
    <row r="109" spans="1:1" x14ac:dyDescent="0.25">
      <c r="A109" s="26">
        <v>18</v>
      </c>
    </row>
    <row r="110" spans="1:1" x14ac:dyDescent="0.25">
      <c r="A110" s="26">
        <v>19</v>
      </c>
    </row>
    <row r="111" spans="1:1" x14ac:dyDescent="0.25">
      <c r="A111" s="26">
        <v>61</v>
      </c>
    </row>
    <row r="112" spans="1:1" x14ac:dyDescent="0.25">
      <c r="A112" s="26">
        <v>39</v>
      </c>
    </row>
    <row r="113" spans="1:1" x14ac:dyDescent="0.25">
      <c r="A113" s="26">
        <v>52</v>
      </c>
    </row>
    <row r="114" spans="1:1" x14ac:dyDescent="0.25">
      <c r="A114" s="26">
        <v>20</v>
      </c>
    </row>
    <row r="115" spans="1:1" x14ac:dyDescent="0.25">
      <c r="A115" s="26">
        <v>50</v>
      </c>
    </row>
    <row r="116" spans="1:1" x14ac:dyDescent="0.25">
      <c r="A116" s="26">
        <v>29</v>
      </c>
    </row>
    <row r="117" spans="1:1" x14ac:dyDescent="0.25">
      <c r="A117" s="26">
        <v>55</v>
      </c>
    </row>
    <row r="118" spans="1:1" x14ac:dyDescent="0.25">
      <c r="A118" s="26">
        <v>18</v>
      </c>
    </row>
    <row r="119" spans="1:1" x14ac:dyDescent="0.25">
      <c r="A119" s="26">
        <v>39</v>
      </c>
    </row>
    <row r="120" spans="1:1" x14ac:dyDescent="0.25">
      <c r="A120" s="26">
        <v>35</v>
      </c>
    </row>
    <row r="121" spans="1:1" x14ac:dyDescent="0.25">
      <c r="A121" s="26">
        <v>38</v>
      </c>
    </row>
    <row r="122" spans="1:1" x14ac:dyDescent="0.25">
      <c r="A122" s="26">
        <v>20</v>
      </c>
    </row>
    <row r="123" spans="1:1" x14ac:dyDescent="0.25">
      <c r="A123" s="26">
        <v>60</v>
      </c>
    </row>
    <row r="124" spans="1:1" x14ac:dyDescent="0.25">
      <c r="A124" s="26">
        <v>61</v>
      </c>
    </row>
    <row r="125" spans="1:1" x14ac:dyDescent="0.25">
      <c r="A125" s="26">
        <v>62</v>
      </c>
    </row>
    <row r="126" spans="1:1" x14ac:dyDescent="0.25">
      <c r="A126" s="26">
        <v>21</v>
      </c>
    </row>
    <row r="127" spans="1:1" x14ac:dyDescent="0.25">
      <c r="A127" s="26">
        <v>40</v>
      </c>
    </row>
    <row r="128" spans="1:1" x14ac:dyDescent="0.25">
      <c r="A128" s="26">
        <v>25</v>
      </c>
    </row>
    <row r="129" spans="1:1" x14ac:dyDescent="0.25">
      <c r="A129" s="26">
        <v>50</v>
      </c>
    </row>
    <row r="130" spans="1:1" x14ac:dyDescent="0.25">
      <c r="A130" s="26">
        <v>24</v>
      </c>
    </row>
    <row r="131" spans="1:1" x14ac:dyDescent="0.25">
      <c r="A131" s="26">
        <v>28</v>
      </c>
    </row>
    <row r="132" spans="1:1" x14ac:dyDescent="0.25">
      <c r="A132" s="26">
        <v>22</v>
      </c>
    </row>
    <row r="133" spans="1:1" x14ac:dyDescent="0.25">
      <c r="A133" s="26">
        <v>22</v>
      </c>
    </row>
    <row r="134" spans="1:1" x14ac:dyDescent="0.25">
      <c r="A134" s="26">
        <v>27</v>
      </c>
    </row>
    <row r="135" spans="1:1" x14ac:dyDescent="0.25">
      <c r="A135" s="26">
        <v>54</v>
      </c>
    </row>
    <row r="136" spans="1:1" x14ac:dyDescent="0.25">
      <c r="A136" s="26">
        <v>25</v>
      </c>
    </row>
    <row r="137" spans="1:1" x14ac:dyDescent="0.25">
      <c r="A137" s="26">
        <v>25</v>
      </c>
    </row>
    <row r="138" spans="1:1" x14ac:dyDescent="0.25">
      <c r="A138" s="26">
        <v>30</v>
      </c>
    </row>
    <row r="139" spans="1:1" x14ac:dyDescent="0.25">
      <c r="A139" s="26">
        <v>59</v>
      </c>
    </row>
    <row r="140" spans="1:1" x14ac:dyDescent="0.25">
      <c r="A140" s="26">
        <v>51</v>
      </c>
    </row>
    <row r="141" spans="1:1" x14ac:dyDescent="0.25">
      <c r="A141" s="26">
        <v>38</v>
      </c>
    </row>
    <row r="142" spans="1:1" x14ac:dyDescent="0.25">
      <c r="A142" s="26">
        <v>28</v>
      </c>
    </row>
    <row r="143" spans="1:1" x14ac:dyDescent="0.25">
      <c r="A143" s="26">
        <v>30</v>
      </c>
    </row>
    <row r="144" spans="1:1" x14ac:dyDescent="0.25">
      <c r="A144" s="26">
        <v>43</v>
      </c>
    </row>
    <row r="145" spans="1:1" x14ac:dyDescent="0.25">
      <c r="A145" s="26">
        <v>42</v>
      </c>
    </row>
    <row r="146" spans="1:1" x14ac:dyDescent="0.25">
      <c r="A146" s="26">
        <v>24</v>
      </c>
    </row>
    <row r="147" spans="1:1" x14ac:dyDescent="0.25">
      <c r="A147" s="26">
        <v>47</v>
      </c>
    </row>
    <row r="148" spans="1:1" x14ac:dyDescent="0.25">
      <c r="A148" s="26">
        <v>23</v>
      </c>
    </row>
    <row r="149" spans="1:1" x14ac:dyDescent="0.25">
      <c r="A149" s="26">
        <v>59</v>
      </c>
    </row>
    <row r="150" spans="1:1" x14ac:dyDescent="0.25">
      <c r="A150" s="26">
        <v>22</v>
      </c>
    </row>
    <row r="151" spans="1:1" x14ac:dyDescent="0.25">
      <c r="A151" s="26">
        <v>27</v>
      </c>
    </row>
    <row r="152" spans="1:1" x14ac:dyDescent="0.25">
      <c r="A152" s="26">
        <v>65</v>
      </c>
    </row>
    <row r="153" spans="1:1" x14ac:dyDescent="0.25">
      <c r="A153" s="26">
        <v>27</v>
      </c>
    </row>
    <row r="154" spans="1:1" x14ac:dyDescent="0.25">
      <c r="A154" s="26">
        <v>27</v>
      </c>
    </row>
    <row r="155" spans="1:1" x14ac:dyDescent="0.25">
      <c r="A155" s="26">
        <v>28</v>
      </c>
    </row>
    <row r="156" spans="1:1" x14ac:dyDescent="0.25">
      <c r="A156" s="26">
        <v>22</v>
      </c>
    </row>
    <row r="157" spans="1:1" x14ac:dyDescent="0.25">
      <c r="A157" s="26">
        <v>42</v>
      </c>
    </row>
    <row r="158" spans="1:1" x14ac:dyDescent="0.25">
      <c r="A158" s="26">
        <v>25</v>
      </c>
    </row>
    <row r="159" spans="1:1" x14ac:dyDescent="0.25">
      <c r="A159" s="26">
        <v>41</v>
      </c>
    </row>
    <row r="160" spans="1:1" x14ac:dyDescent="0.25">
      <c r="A160" s="26">
        <v>46</v>
      </c>
    </row>
    <row r="161" spans="1:1" x14ac:dyDescent="0.25">
      <c r="A161" s="26">
        <v>41</v>
      </c>
    </row>
    <row r="162" spans="1:1" x14ac:dyDescent="0.25">
      <c r="A162" s="26">
        <v>29</v>
      </c>
    </row>
    <row r="163" spans="1:1" x14ac:dyDescent="0.25">
      <c r="A163" s="26">
        <v>50</v>
      </c>
    </row>
    <row r="164" spans="1:1" x14ac:dyDescent="0.25">
      <c r="A164" s="26">
        <v>50</v>
      </c>
    </row>
    <row r="165" spans="1:1" x14ac:dyDescent="0.25">
      <c r="A165" s="26">
        <v>34</v>
      </c>
    </row>
    <row r="166" spans="1:1" x14ac:dyDescent="0.25">
      <c r="A166" s="26">
        <v>24</v>
      </c>
    </row>
    <row r="167" spans="1:1" x14ac:dyDescent="0.25">
      <c r="A167" s="26">
        <v>29</v>
      </c>
    </row>
    <row r="168" spans="1:1" x14ac:dyDescent="0.25">
      <c r="A168" s="26">
        <v>35</v>
      </c>
    </row>
    <row r="169" spans="1:1" x14ac:dyDescent="0.25">
      <c r="A169" s="26">
        <v>24</v>
      </c>
    </row>
    <row r="170" spans="1:1" x14ac:dyDescent="0.25">
      <c r="A170" s="26">
        <v>23</v>
      </c>
    </row>
    <row r="171" spans="1:1" x14ac:dyDescent="0.25">
      <c r="A171" s="26">
        <v>31</v>
      </c>
    </row>
    <row r="172" spans="1:1" x14ac:dyDescent="0.25">
      <c r="A172" s="26">
        <v>24</v>
      </c>
    </row>
    <row r="173" spans="1:1" x14ac:dyDescent="0.25">
      <c r="A173" s="26">
        <v>30</v>
      </c>
    </row>
    <row r="174" spans="1:1" x14ac:dyDescent="0.25">
      <c r="A174" s="26">
        <v>22</v>
      </c>
    </row>
    <row r="175" spans="1:1" x14ac:dyDescent="0.25">
      <c r="A175" s="26">
        <v>43</v>
      </c>
    </row>
    <row r="176" spans="1:1" x14ac:dyDescent="0.25">
      <c r="A176" s="26">
        <v>55</v>
      </c>
    </row>
    <row r="177" spans="1:1" x14ac:dyDescent="0.25">
      <c r="A177" s="26">
        <v>38</v>
      </c>
    </row>
    <row r="178" spans="1:1" x14ac:dyDescent="0.25">
      <c r="A178" s="26">
        <v>28</v>
      </c>
    </row>
    <row r="179" spans="1:1" x14ac:dyDescent="0.25">
      <c r="A179" s="26">
        <v>30</v>
      </c>
    </row>
    <row r="180" spans="1:1" x14ac:dyDescent="0.25">
      <c r="A180" s="26">
        <v>35</v>
      </c>
    </row>
    <row r="181" spans="1:1" x14ac:dyDescent="0.25">
      <c r="A181" s="26">
        <v>41</v>
      </c>
    </row>
    <row r="182" spans="1:1" x14ac:dyDescent="0.25">
      <c r="A182" s="26">
        <v>28</v>
      </c>
    </row>
    <row r="183" spans="1:1" x14ac:dyDescent="0.25">
      <c r="A183" s="26">
        <v>65</v>
      </c>
    </row>
    <row r="184" spans="1:1" x14ac:dyDescent="0.25">
      <c r="A184" s="26">
        <v>20</v>
      </c>
    </row>
    <row r="185" spans="1:1" x14ac:dyDescent="0.25">
      <c r="A185" s="26">
        <v>39</v>
      </c>
    </row>
    <row r="186" spans="1:1" x14ac:dyDescent="0.25">
      <c r="A186" s="26">
        <v>19</v>
      </c>
    </row>
    <row r="187" spans="1:1" x14ac:dyDescent="0.25">
      <c r="A187" s="26">
        <v>64</v>
      </c>
    </row>
    <row r="188" spans="1:1" x14ac:dyDescent="0.25">
      <c r="A188" s="26">
        <v>42</v>
      </c>
    </row>
    <row r="189" spans="1:1" x14ac:dyDescent="0.25">
      <c r="A189" s="26">
        <v>24</v>
      </c>
    </row>
    <row r="190" spans="1:1" x14ac:dyDescent="0.25">
      <c r="A190" s="26">
        <v>24</v>
      </c>
    </row>
    <row r="191" spans="1:1" x14ac:dyDescent="0.25">
      <c r="A191" s="26">
        <v>18</v>
      </c>
    </row>
    <row r="192" spans="1:1" x14ac:dyDescent="0.25">
      <c r="A192" s="26">
        <v>36</v>
      </c>
    </row>
    <row r="193" spans="1:1" x14ac:dyDescent="0.25">
      <c r="A193" s="26">
        <v>61</v>
      </c>
    </row>
    <row r="194" spans="1:1" x14ac:dyDescent="0.25">
      <c r="A194" s="26">
        <v>22</v>
      </c>
    </row>
    <row r="195" spans="1:1" x14ac:dyDescent="0.25">
      <c r="A195" s="26">
        <v>55</v>
      </c>
    </row>
    <row r="196" spans="1:1" x14ac:dyDescent="0.25">
      <c r="A196" s="26">
        <v>27</v>
      </c>
    </row>
    <row r="197" spans="1:1" x14ac:dyDescent="0.25">
      <c r="A197" s="26">
        <v>49</v>
      </c>
    </row>
    <row r="198" spans="1:1" x14ac:dyDescent="0.25">
      <c r="A198" s="26">
        <v>29</v>
      </c>
    </row>
    <row r="199" spans="1:1" x14ac:dyDescent="0.25">
      <c r="A199" s="26">
        <v>33</v>
      </c>
    </row>
    <row r="200" spans="1:1" x14ac:dyDescent="0.25">
      <c r="A200" s="26">
        <v>52</v>
      </c>
    </row>
    <row r="201" spans="1:1" x14ac:dyDescent="0.25">
      <c r="A201" s="26">
        <v>26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0000FF"/>
  </sheetPr>
  <dimension ref="A1:K40"/>
  <sheetViews>
    <sheetView zoomScale="130" zoomScaleNormal="130" workbookViewId="0">
      <selection activeCell="E7" sqref="E7"/>
    </sheetView>
  </sheetViews>
  <sheetFormatPr defaultRowHeight="15" x14ac:dyDescent="0.25"/>
  <cols>
    <col min="1" max="1" width="3.5703125" bestFit="1" customWidth="1"/>
    <col min="2" max="2" width="10.85546875" bestFit="1" customWidth="1"/>
    <col min="4" max="4" width="18.85546875" bestFit="1" customWidth="1"/>
    <col min="5" max="5" width="11.5703125" customWidth="1"/>
    <col min="6" max="6" width="1.5703125" customWidth="1"/>
    <col min="7" max="7" width="11.7109375" customWidth="1"/>
    <col min="8" max="8" width="13" customWidth="1"/>
    <col min="12" max="16" width="10.42578125" bestFit="1" customWidth="1"/>
    <col min="257" max="257" width="3.5703125" bestFit="1" customWidth="1"/>
    <col min="258" max="258" width="10.85546875" bestFit="1" customWidth="1"/>
    <col min="260" max="260" width="18.85546875" bestFit="1" customWidth="1"/>
    <col min="261" max="261" width="11.5703125" customWidth="1"/>
    <col min="262" max="262" width="9.85546875" bestFit="1" customWidth="1"/>
    <col min="513" max="513" width="3.5703125" bestFit="1" customWidth="1"/>
    <col min="514" max="514" width="10.85546875" bestFit="1" customWidth="1"/>
    <col min="516" max="516" width="18.85546875" bestFit="1" customWidth="1"/>
    <col min="517" max="517" width="11.5703125" customWidth="1"/>
    <col min="518" max="518" width="9.85546875" bestFit="1" customWidth="1"/>
    <col min="769" max="769" width="3.5703125" bestFit="1" customWidth="1"/>
    <col min="770" max="770" width="10.85546875" bestFit="1" customWidth="1"/>
    <col min="772" max="772" width="18.85546875" bestFit="1" customWidth="1"/>
    <col min="773" max="773" width="11.5703125" customWidth="1"/>
    <col min="774" max="774" width="9.85546875" bestFit="1" customWidth="1"/>
    <col min="1025" max="1025" width="3.5703125" bestFit="1" customWidth="1"/>
    <col min="1026" max="1026" width="10.85546875" bestFit="1" customWidth="1"/>
    <col min="1028" max="1028" width="18.85546875" bestFit="1" customWidth="1"/>
    <col min="1029" max="1029" width="11.5703125" customWidth="1"/>
    <col min="1030" max="1030" width="9.85546875" bestFit="1" customWidth="1"/>
    <col min="1281" max="1281" width="3.5703125" bestFit="1" customWidth="1"/>
    <col min="1282" max="1282" width="10.85546875" bestFit="1" customWidth="1"/>
    <col min="1284" max="1284" width="18.85546875" bestFit="1" customWidth="1"/>
    <col min="1285" max="1285" width="11.5703125" customWidth="1"/>
    <col min="1286" max="1286" width="9.85546875" bestFit="1" customWidth="1"/>
    <col min="1537" max="1537" width="3.5703125" bestFit="1" customWidth="1"/>
    <col min="1538" max="1538" width="10.85546875" bestFit="1" customWidth="1"/>
    <col min="1540" max="1540" width="18.85546875" bestFit="1" customWidth="1"/>
    <col min="1541" max="1541" width="11.5703125" customWidth="1"/>
    <col min="1542" max="1542" width="9.85546875" bestFit="1" customWidth="1"/>
    <col min="1793" max="1793" width="3.5703125" bestFit="1" customWidth="1"/>
    <col min="1794" max="1794" width="10.85546875" bestFit="1" customWidth="1"/>
    <col min="1796" max="1796" width="18.85546875" bestFit="1" customWidth="1"/>
    <col min="1797" max="1797" width="11.5703125" customWidth="1"/>
    <col min="1798" max="1798" width="9.85546875" bestFit="1" customWidth="1"/>
    <col min="2049" max="2049" width="3.5703125" bestFit="1" customWidth="1"/>
    <col min="2050" max="2050" width="10.85546875" bestFit="1" customWidth="1"/>
    <col min="2052" max="2052" width="18.85546875" bestFit="1" customWidth="1"/>
    <col min="2053" max="2053" width="11.5703125" customWidth="1"/>
    <col min="2054" max="2054" width="9.85546875" bestFit="1" customWidth="1"/>
    <col min="2305" max="2305" width="3.5703125" bestFit="1" customWidth="1"/>
    <col min="2306" max="2306" width="10.85546875" bestFit="1" customWidth="1"/>
    <col min="2308" max="2308" width="18.85546875" bestFit="1" customWidth="1"/>
    <col min="2309" max="2309" width="11.5703125" customWidth="1"/>
    <col min="2310" max="2310" width="9.85546875" bestFit="1" customWidth="1"/>
    <col min="2561" max="2561" width="3.5703125" bestFit="1" customWidth="1"/>
    <col min="2562" max="2562" width="10.85546875" bestFit="1" customWidth="1"/>
    <col min="2564" max="2564" width="18.85546875" bestFit="1" customWidth="1"/>
    <col min="2565" max="2565" width="11.5703125" customWidth="1"/>
    <col min="2566" max="2566" width="9.85546875" bestFit="1" customWidth="1"/>
    <col min="2817" max="2817" width="3.5703125" bestFit="1" customWidth="1"/>
    <col min="2818" max="2818" width="10.85546875" bestFit="1" customWidth="1"/>
    <col min="2820" max="2820" width="18.85546875" bestFit="1" customWidth="1"/>
    <col min="2821" max="2821" width="11.5703125" customWidth="1"/>
    <col min="2822" max="2822" width="9.85546875" bestFit="1" customWidth="1"/>
    <col min="3073" max="3073" width="3.5703125" bestFit="1" customWidth="1"/>
    <col min="3074" max="3074" width="10.85546875" bestFit="1" customWidth="1"/>
    <col min="3076" max="3076" width="18.85546875" bestFit="1" customWidth="1"/>
    <col min="3077" max="3077" width="11.5703125" customWidth="1"/>
    <col min="3078" max="3078" width="9.85546875" bestFit="1" customWidth="1"/>
    <col min="3329" max="3329" width="3.5703125" bestFit="1" customWidth="1"/>
    <col min="3330" max="3330" width="10.85546875" bestFit="1" customWidth="1"/>
    <col min="3332" max="3332" width="18.85546875" bestFit="1" customWidth="1"/>
    <col min="3333" max="3333" width="11.5703125" customWidth="1"/>
    <col min="3334" max="3334" width="9.85546875" bestFit="1" customWidth="1"/>
    <col min="3585" max="3585" width="3.5703125" bestFit="1" customWidth="1"/>
    <col min="3586" max="3586" width="10.85546875" bestFit="1" customWidth="1"/>
    <col min="3588" max="3588" width="18.85546875" bestFit="1" customWidth="1"/>
    <col min="3589" max="3589" width="11.5703125" customWidth="1"/>
    <col min="3590" max="3590" width="9.85546875" bestFit="1" customWidth="1"/>
    <col min="3841" max="3841" width="3.5703125" bestFit="1" customWidth="1"/>
    <col min="3842" max="3842" width="10.85546875" bestFit="1" customWidth="1"/>
    <col min="3844" max="3844" width="18.85546875" bestFit="1" customWidth="1"/>
    <col min="3845" max="3845" width="11.5703125" customWidth="1"/>
    <col min="3846" max="3846" width="9.85546875" bestFit="1" customWidth="1"/>
    <col min="4097" max="4097" width="3.5703125" bestFit="1" customWidth="1"/>
    <col min="4098" max="4098" width="10.85546875" bestFit="1" customWidth="1"/>
    <col min="4100" max="4100" width="18.85546875" bestFit="1" customWidth="1"/>
    <col min="4101" max="4101" width="11.5703125" customWidth="1"/>
    <col min="4102" max="4102" width="9.85546875" bestFit="1" customWidth="1"/>
    <col min="4353" max="4353" width="3.5703125" bestFit="1" customWidth="1"/>
    <col min="4354" max="4354" width="10.85546875" bestFit="1" customWidth="1"/>
    <col min="4356" max="4356" width="18.85546875" bestFit="1" customWidth="1"/>
    <col min="4357" max="4357" width="11.5703125" customWidth="1"/>
    <col min="4358" max="4358" width="9.85546875" bestFit="1" customWidth="1"/>
    <col min="4609" max="4609" width="3.5703125" bestFit="1" customWidth="1"/>
    <col min="4610" max="4610" width="10.85546875" bestFit="1" customWidth="1"/>
    <col min="4612" max="4612" width="18.85546875" bestFit="1" customWidth="1"/>
    <col min="4613" max="4613" width="11.5703125" customWidth="1"/>
    <col min="4614" max="4614" width="9.85546875" bestFit="1" customWidth="1"/>
    <col min="4865" max="4865" width="3.5703125" bestFit="1" customWidth="1"/>
    <col min="4866" max="4866" width="10.85546875" bestFit="1" customWidth="1"/>
    <col min="4868" max="4868" width="18.85546875" bestFit="1" customWidth="1"/>
    <col min="4869" max="4869" width="11.5703125" customWidth="1"/>
    <col min="4870" max="4870" width="9.85546875" bestFit="1" customWidth="1"/>
    <col min="5121" max="5121" width="3.5703125" bestFit="1" customWidth="1"/>
    <col min="5122" max="5122" width="10.85546875" bestFit="1" customWidth="1"/>
    <col min="5124" max="5124" width="18.85546875" bestFit="1" customWidth="1"/>
    <col min="5125" max="5125" width="11.5703125" customWidth="1"/>
    <col min="5126" max="5126" width="9.85546875" bestFit="1" customWidth="1"/>
    <col min="5377" max="5377" width="3.5703125" bestFit="1" customWidth="1"/>
    <col min="5378" max="5378" width="10.85546875" bestFit="1" customWidth="1"/>
    <col min="5380" max="5380" width="18.85546875" bestFit="1" customWidth="1"/>
    <col min="5381" max="5381" width="11.5703125" customWidth="1"/>
    <col min="5382" max="5382" width="9.85546875" bestFit="1" customWidth="1"/>
    <col min="5633" max="5633" width="3.5703125" bestFit="1" customWidth="1"/>
    <col min="5634" max="5634" width="10.85546875" bestFit="1" customWidth="1"/>
    <col min="5636" max="5636" width="18.85546875" bestFit="1" customWidth="1"/>
    <col min="5637" max="5637" width="11.5703125" customWidth="1"/>
    <col min="5638" max="5638" width="9.85546875" bestFit="1" customWidth="1"/>
    <col min="5889" max="5889" width="3.5703125" bestFit="1" customWidth="1"/>
    <col min="5890" max="5890" width="10.85546875" bestFit="1" customWidth="1"/>
    <col min="5892" max="5892" width="18.85546875" bestFit="1" customWidth="1"/>
    <col min="5893" max="5893" width="11.5703125" customWidth="1"/>
    <col min="5894" max="5894" width="9.85546875" bestFit="1" customWidth="1"/>
    <col min="6145" max="6145" width="3.5703125" bestFit="1" customWidth="1"/>
    <col min="6146" max="6146" width="10.85546875" bestFit="1" customWidth="1"/>
    <col min="6148" max="6148" width="18.85546875" bestFit="1" customWidth="1"/>
    <col min="6149" max="6149" width="11.5703125" customWidth="1"/>
    <col min="6150" max="6150" width="9.85546875" bestFit="1" customWidth="1"/>
    <col min="6401" max="6401" width="3.5703125" bestFit="1" customWidth="1"/>
    <col min="6402" max="6402" width="10.85546875" bestFit="1" customWidth="1"/>
    <col min="6404" max="6404" width="18.85546875" bestFit="1" customWidth="1"/>
    <col min="6405" max="6405" width="11.5703125" customWidth="1"/>
    <col min="6406" max="6406" width="9.85546875" bestFit="1" customWidth="1"/>
    <col min="6657" max="6657" width="3.5703125" bestFit="1" customWidth="1"/>
    <col min="6658" max="6658" width="10.85546875" bestFit="1" customWidth="1"/>
    <col min="6660" max="6660" width="18.85546875" bestFit="1" customWidth="1"/>
    <col min="6661" max="6661" width="11.5703125" customWidth="1"/>
    <col min="6662" max="6662" width="9.85546875" bestFit="1" customWidth="1"/>
    <col min="6913" max="6913" width="3.5703125" bestFit="1" customWidth="1"/>
    <col min="6914" max="6914" width="10.85546875" bestFit="1" customWidth="1"/>
    <col min="6916" max="6916" width="18.85546875" bestFit="1" customWidth="1"/>
    <col min="6917" max="6917" width="11.5703125" customWidth="1"/>
    <col min="6918" max="6918" width="9.85546875" bestFit="1" customWidth="1"/>
    <col min="7169" max="7169" width="3.5703125" bestFit="1" customWidth="1"/>
    <col min="7170" max="7170" width="10.85546875" bestFit="1" customWidth="1"/>
    <col min="7172" max="7172" width="18.85546875" bestFit="1" customWidth="1"/>
    <col min="7173" max="7173" width="11.5703125" customWidth="1"/>
    <col min="7174" max="7174" width="9.85546875" bestFit="1" customWidth="1"/>
    <col min="7425" max="7425" width="3.5703125" bestFit="1" customWidth="1"/>
    <col min="7426" max="7426" width="10.85546875" bestFit="1" customWidth="1"/>
    <col min="7428" max="7428" width="18.85546875" bestFit="1" customWidth="1"/>
    <col min="7429" max="7429" width="11.5703125" customWidth="1"/>
    <col min="7430" max="7430" width="9.85546875" bestFit="1" customWidth="1"/>
    <col min="7681" max="7681" width="3.5703125" bestFit="1" customWidth="1"/>
    <col min="7682" max="7682" width="10.85546875" bestFit="1" customWidth="1"/>
    <col min="7684" max="7684" width="18.85546875" bestFit="1" customWidth="1"/>
    <col min="7685" max="7685" width="11.5703125" customWidth="1"/>
    <col min="7686" max="7686" width="9.85546875" bestFit="1" customWidth="1"/>
    <col min="7937" max="7937" width="3.5703125" bestFit="1" customWidth="1"/>
    <col min="7938" max="7938" width="10.85546875" bestFit="1" customWidth="1"/>
    <col min="7940" max="7940" width="18.85546875" bestFit="1" customWidth="1"/>
    <col min="7941" max="7941" width="11.5703125" customWidth="1"/>
    <col min="7942" max="7942" width="9.85546875" bestFit="1" customWidth="1"/>
    <col min="8193" max="8193" width="3.5703125" bestFit="1" customWidth="1"/>
    <col min="8194" max="8194" width="10.85546875" bestFit="1" customWidth="1"/>
    <col min="8196" max="8196" width="18.85546875" bestFit="1" customWidth="1"/>
    <col min="8197" max="8197" width="11.5703125" customWidth="1"/>
    <col min="8198" max="8198" width="9.85546875" bestFit="1" customWidth="1"/>
    <col min="8449" max="8449" width="3.5703125" bestFit="1" customWidth="1"/>
    <col min="8450" max="8450" width="10.85546875" bestFit="1" customWidth="1"/>
    <col min="8452" max="8452" width="18.85546875" bestFit="1" customWidth="1"/>
    <col min="8453" max="8453" width="11.5703125" customWidth="1"/>
    <col min="8454" max="8454" width="9.85546875" bestFit="1" customWidth="1"/>
    <col min="8705" max="8705" width="3.5703125" bestFit="1" customWidth="1"/>
    <col min="8706" max="8706" width="10.85546875" bestFit="1" customWidth="1"/>
    <col min="8708" max="8708" width="18.85546875" bestFit="1" customWidth="1"/>
    <col min="8709" max="8709" width="11.5703125" customWidth="1"/>
    <col min="8710" max="8710" width="9.85546875" bestFit="1" customWidth="1"/>
    <col min="8961" max="8961" width="3.5703125" bestFit="1" customWidth="1"/>
    <col min="8962" max="8962" width="10.85546875" bestFit="1" customWidth="1"/>
    <col min="8964" max="8964" width="18.85546875" bestFit="1" customWidth="1"/>
    <col min="8965" max="8965" width="11.5703125" customWidth="1"/>
    <col min="8966" max="8966" width="9.85546875" bestFit="1" customWidth="1"/>
    <col min="9217" max="9217" width="3.5703125" bestFit="1" customWidth="1"/>
    <col min="9218" max="9218" width="10.85546875" bestFit="1" customWidth="1"/>
    <col min="9220" max="9220" width="18.85546875" bestFit="1" customWidth="1"/>
    <col min="9221" max="9221" width="11.5703125" customWidth="1"/>
    <col min="9222" max="9222" width="9.85546875" bestFit="1" customWidth="1"/>
    <col min="9473" max="9473" width="3.5703125" bestFit="1" customWidth="1"/>
    <col min="9474" max="9474" width="10.85546875" bestFit="1" customWidth="1"/>
    <col min="9476" max="9476" width="18.85546875" bestFit="1" customWidth="1"/>
    <col min="9477" max="9477" width="11.5703125" customWidth="1"/>
    <col min="9478" max="9478" width="9.85546875" bestFit="1" customWidth="1"/>
    <col min="9729" max="9729" width="3.5703125" bestFit="1" customWidth="1"/>
    <col min="9730" max="9730" width="10.85546875" bestFit="1" customWidth="1"/>
    <col min="9732" max="9732" width="18.85546875" bestFit="1" customWidth="1"/>
    <col min="9733" max="9733" width="11.5703125" customWidth="1"/>
    <col min="9734" max="9734" width="9.85546875" bestFit="1" customWidth="1"/>
    <col min="9985" max="9985" width="3.5703125" bestFit="1" customWidth="1"/>
    <col min="9986" max="9986" width="10.85546875" bestFit="1" customWidth="1"/>
    <col min="9988" max="9988" width="18.85546875" bestFit="1" customWidth="1"/>
    <col min="9989" max="9989" width="11.5703125" customWidth="1"/>
    <col min="9990" max="9990" width="9.85546875" bestFit="1" customWidth="1"/>
    <col min="10241" max="10241" width="3.5703125" bestFit="1" customWidth="1"/>
    <col min="10242" max="10242" width="10.85546875" bestFit="1" customWidth="1"/>
    <col min="10244" max="10244" width="18.85546875" bestFit="1" customWidth="1"/>
    <col min="10245" max="10245" width="11.5703125" customWidth="1"/>
    <col min="10246" max="10246" width="9.85546875" bestFit="1" customWidth="1"/>
    <col min="10497" max="10497" width="3.5703125" bestFit="1" customWidth="1"/>
    <col min="10498" max="10498" width="10.85546875" bestFit="1" customWidth="1"/>
    <col min="10500" max="10500" width="18.85546875" bestFit="1" customWidth="1"/>
    <col min="10501" max="10501" width="11.5703125" customWidth="1"/>
    <col min="10502" max="10502" width="9.85546875" bestFit="1" customWidth="1"/>
    <col min="10753" max="10753" width="3.5703125" bestFit="1" customWidth="1"/>
    <col min="10754" max="10754" width="10.85546875" bestFit="1" customWidth="1"/>
    <col min="10756" max="10756" width="18.85546875" bestFit="1" customWidth="1"/>
    <col min="10757" max="10757" width="11.5703125" customWidth="1"/>
    <col min="10758" max="10758" width="9.85546875" bestFit="1" customWidth="1"/>
    <col min="11009" max="11009" width="3.5703125" bestFit="1" customWidth="1"/>
    <col min="11010" max="11010" width="10.85546875" bestFit="1" customWidth="1"/>
    <col min="11012" max="11012" width="18.85546875" bestFit="1" customWidth="1"/>
    <col min="11013" max="11013" width="11.5703125" customWidth="1"/>
    <col min="11014" max="11014" width="9.85546875" bestFit="1" customWidth="1"/>
    <col min="11265" max="11265" width="3.5703125" bestFit="1" customWidth="1"/>
    <col min="11266" max="11266" width="10.85546875" bestFit="1" customWidth="1"/>
    <col min="11268" max="11268" width="18.85546875" bestFit="1" customWidth="1"/>
    <col min="11269" max="11269" width="11.5703125" customWidth="1"/>
    <col min="11270" max="11270" width="9.85546875" bestFit="1" customWidth="1"/>
    <col min="11521" max="11521" width="3.5703125" bestFit="1" customWidth="1"/>
    <col min="11522" max="11522" width="10.85546875" bestFit="1" customWidth="1"/>
    <col min="11524" max="11524" width="18.85546875" bestFit="1" customWidth="1"/>
    <col min="11525" max="11525" width="11.5703125" customWidth="1"/>
    <col min="11526" max="11526" width="9.85546875" bestFit="1" customWidth="1"/>
    <col min="11777" max="11777" width="3.5703125" bestFit="1" customWidth="1"/>
    <col min="11778" max="11778" width="10.85546875" bestFit="1" customWidth="1"/>
    <col min="11780" max="11780" width="18.85546875" bestFit="1" customWidth="1"/>
    <col min="11781" max="11781" width="11.5703125" customWidth="1"/>
    <col min="11782" max="11782" width="9.85546875" bestFit="1" customWidth="1"/>
    <col min="12033" max="12033" width="3.5703125" bestFit="1" customWidth="1"/>
    <col min="12034" max="12034" width="10.85546875" bestFit="1" customWidth="1"/>
    <col min="12036" max="12036" width="18.85546875" bestFit="1" customWidth="1"/>
    <col min="12037" max="12037" width="11.5703125" customWidth="1"/>
    <col min="12038" max="12038" width="9.85546875" bestFit="1" customWidth="1"/>
    <col min="12289" max="12289" width="3.5703125" bestFit="1" customWidth="1"/>
    <col min="12290" max="12290" width="10.85546875" bestFit="1" customWidth="1"/>
    <col min="12292" max="12292" width="18.85546875" bestFit="1" customWidth="1"/>
    <col min="12293" max="12293" width="11.5703125" customWidth="1"/>
    <col min="12294" max="12294" width="9.85546875" bestFit="1" customWidth="1"/>
    <col min="12545" max="12545" width="3.5703125" bestFit="1" customWidth="1"/>
    <col min="12546" max="12546" width="10.85546875" bestFit="1" customWidth="1"/>
    <col min="12548" max="12548" width="18.85546875" bestFit="1" customWidth="1"/>
    <col min="12549" max="12549" width="11.5703125" customWidth="1"/>
    <col min="12550" max="12550" width="9.85546875" bestFit="1" customWidth="1"/>
    <col min="12801" max="12801" width="3.5703125" bestFit="1" customWidth="1"/>
    <col min="12802" max="12802" width="10.85546875" bestFit="1" customWidth="1"/>
    <col min="12804" max="12804" width="18.85546875" bestFit="1" customWidth="1"/>
    <col min="12805" max="12805" width="11.5703125" customWidth="1"/>
    <col min="12806" max="12806" width="9.85546875" bestFit="1" customWidth="1"/>
    <col min="13057" max="13057" width="3.5703125" bestFit="1" customWidth="1"/>
    <col min="13058" max="13058" width="10.85546875" bestFit="1" customWidth="1"/>
    <col min="13060" max="13060" width="18.85546875" bestFit="1" customWidth="1"/>
    <col min="13061" max="13061" width="11.5703125" customWidth="1"/>
    <col min="13062" max="13062" width="9.85546875" bestFit="1" customWidth="1"/>
    <col min="13313" max="13313" width="3.5703125" bestFit="1" customWidth="1"/>
    <col min="13314" max="13314" width="10.85546875" bestFit="1" customWidth="1"/>
    <col min="13316" max="13316" width="18.85546875" bestFit="1" customWidth="1"/>
    <col min="13317" max="13317" width="11.5703125" customWidth="1"/>
    <col min="13318" max="13318" width="9.85546875" bestFit="1" customWidth="1"/>
    <col min="13569" max="13569" width="3.5703125" bestFit="1" customWidth="1"/>
    <col min="13570" max="13570" width="10.85546875" bestFit="1" customWidth="1"/>
    <col min="13572" max="13572" width="18.85546875" bestFit="1" customWidth="1"/>
    <col min="13573" max="13573" width="11.5703125" customWidth="1"/>
    <col min="13574" max="13574" width="9.85546875" bestFit="1" customWidth="1"/>
    <col min="13825" max="13825" width="3.5703125" bestFit="1" customWidth="1"/>
    <col min="13826" max="13826" width="10.85546875" bestFit="1" customWidth="1"/>
    <col min="13828" max="13828" width="18.85546875" bestFit="1" customWidth="1"/>
    <col min="13829" max="13829" width="11.5703125" customWidth="1"/>
    <col min="13830" max="13830" width="9.85546875" bestFit="1" customWidth="1"/>
    <col min="14081" max="14081" width="3.5703125" bestFit="1" customWidth="1"/>
    <col min="14082" max="14082" width="10.85546875" bestFit="1" customWidth="1"/>
    <col min="14084" max="14084" width="18.85546875" bestFit="1" customWidth="1"/>
    <col min="14085" max="14085" width="11.5703125" customWidth="1"/>
    <col min="14086" max="14086" width="9.85546875" bestFit="1" customWidth="1"/>
    <col min="14337" max="14337" width="3.5703125" bestFit="1" customWidth="1"/>
    <col min="14338" max="14338" width="10.85546875" bestFit="1" customWidth="1"/>
    <col min="14340" max="14340" width="18.85546875" bestFit="1" customWidth="1"/>
    <col min="14341" max="14341" width="11.5703125" customWidth="1"/>
    <col min="14342" max="14342" width="9.85546875" bestFit="1" customWidth="1"/>
    <col min="14593" max="14593" width="3.5703125" bestFit="1" customWidth="1"/>
    <col min="14594" max="14594" width="10.85546875" bestFit="1" customWidth="1"/>
    <col min="14596" max="14596" width="18.85546875" bestFit="1" customWidth="1"/>
    <col min="14597" max="14597" width="11.5703125" customWidth="1"/>
    <col min="14598" max="14598" width="9.85546875" bestFit="1" customWidth="1"/>
    <col min="14849" max="14849" width="3.5703125" bestFit="1" customWidth="1"/>
    <col min="14850" max="14850" width="10.85546875" bestFit="1" customWidth="1"/>
    <col min="14852" max="14852" width="18.85546875" bestFit="1" customWidth="1"/>
    <col min="14853" max="14853" width="11.5703125" customWidth="1"/>
    <col min="14854" max="14854" width="9.85546875" bestFit="1" customWidth="1"/>
    <col min="15105" max="15105" width="3.5703125" bestFit="1" customWidth="1"/>
    <col min="15106" max="15106" width="10.85546875" bestFit="1" customWidth="1"/>
    <col min="15108" max="15108" width="18.85546875" bestFit="1" customWidth="1"/>
    <col min="15109" max="15109" width="11.5703125" customWidth="1"/>
    <col min="15110" max="15110" width="9.85546875" bestFit="1" customWidth="1"/>
    <col min="15361" max="15361" width="3.5703125" bestFit="1" customWidth="1"/>
    <col min="15362" max="15362" width="10.85546875" bestFit="1" customWidth="1"/>
    <col min="15364" max="15364" width="18.85546875" bestFit="1" customWidth="1"/>
    <col min="15365" max="15365" width="11.5703125" customWidth="1"/>
    <col min="15366" max="15366" width="9.85546875" bestFit="1" customWidth="1"/>
    <col min="15617" max="15617" width="3.5703125" bestFit="1" customWidth="1"/>
    <col min="15618" max="15618" width="10.85546875" bestFit="1" customWidth="1"/>
    <col min="15620" max="15620" width="18.85546875" bestFit="1" customWidth="1"/>
    <col min="15621" max="15621" width="11.5703125" customWidth="1"/>
    <col min="15622" max="15622" width="9.85546875" bestFit="1" customWidth="1"/>
    <col min="15873" max="15873" width="3.5703125" bestFit="1" customWidth="1"/>
    <col min="15874" max="15874" width="10.85546875" bestFit="1" customWidth="1"/>
    <col min="15876" max="15876" width="18.85546875" bestFit="1" customWidth="1"/>
    <col min="15877" max="15877" width="11.5703125" customWidth="1"/>
    <col min="15878" max="15878" width="9.85546875" bestFit="1" customWidth="1"/>
    <col min="16129" max="16129" width="3.5703125" bestFit="1" customWidth="1"/>
    <col min="16130" max="16130" width="10.85546875" bestFit="1" customWidth="1"/>
    <col min="16132" max="16132" width="18.85546875" bestFit="1" customWidth="1"/>
    <col min="16133" max="16133" width="11.5703125" customWidth="1"/>
    <col min="16134" max="16134" width="9.85546875" bestFit="1" customWidth="1"/>
  </cols>
  <sheetData>
    <row r="1" spans="1:11" ht="30" x14ac:dyDescent="0.25">
      <c r="A1" s="97" t="s">
        <v>326</v>
      </c>
      <c r="B1" s="98"/>
      <c r="C1" s="98"/>
      <c r="D1" s="98"/>
      <c r="E1" s="99"/>
    </row>
    <row r="2" spans="1:11" x14ac:dyDescent="0.25">
      <c r="D2" s="26" t="s">
        <v>327</v>
      </c>
      <c r="E2" s="26">
        <v>0.05</v>
      </c>
    </row>
    <row r="3" spans="1:11" x14ac:dyDescent="0.25">
      <c r="A3" s="100" t="s">
        <v>328</v>
      </c>
      <c r="B3" s="100" t="s">
        <v>329</v>
      </c>
      <c r="D3" s="26" t="s">
        <v>330</v>
      </c>
      <c r="E3" s="30">
        <f>COUNT(B4:B40)</f>
        <v>37</v>
      </c>
    </row>
    <row r="4" spans="1:11" x14ac:dyDescent="0.25">
      <c r="A4" s="26">
        <v>1</v>
      </c>
      <c r="B4" s="101">
        <v>1020</v>
      </c>
      <c r="D4" s="26" t="s">
        <v>331</v>
      </c>
      <c r="E4" s="30">
        <f>E3*E2</f>
        <v>1.85</v>
      </c>
    </row>
    <row r="5" spans="1:11" x14ac:dyDescent="0.25">
      <c r="A5" s="26">
        <v>2</v>
      </c>
      <c r="B5" s="102">
        <v>1030</v>
      </c>
      <c r="D5" s="26" t="s">
        <v>332</v>
      </c>
      <c r="E5" s="30">
        <f>ROUNDUP(E4,0)</f>
        <v>2</v>
      </c>
    </row>
    <row r="6" spans="1:11" x14ac:dyDescent="0.25">
      <c r="A6" s="26">
        <v>3</v>
      </c>
      <c r="B6" s="102">
        <v>2150</v>
      </c>
      <c r="D6" s="97" t="s">
        <v>333</v>
      </c>
      <c r="E6" s="99"/>
    </row>
    <row r="7" spans="1:11" x14ac:dyDescent="0.25">
      <c r="A7" s="26">
        <v>4</v>
      </c>
      <c r="B7" s="102">
        <v>2861</v>
      </c>
      <c r="D7" s="26" t="s">
        <v>334</v>
      </c>
      <c r="E7" s="44">
        <f>AVERAGE(B6:B38)</f>
        <v>3540.969696969697</v>
      </c>
      <c r="G7" t="s">
        <v>1120</v>
      </c>
    </row>
    <row r="8" spans="1:11" x14ac:dyDescent="0.25">
      <c r="A8" s="26">
        <v>5</v>
      </c>
      <c r="B8" s="102">
        <v>2864</v>
      </c>
    </row>
    <row r="9" spans="1:11" x14ac:dyDescent="0.25">
      <c r="A9" s="26">
        <v>6</v>
      </c>
      <c r="B9" s="102">
        <v>2964</v>
      </c>
    </row>
    <row r="10" spans="1:11" x14ac:dyDescent="0.25">
      <c r="A10" s="26">
        <v>7</v>
      </c>
      <c r="B10" s="102">
        <v>2983</v>
      </c>
      <c r="D10" s="97" t="s">
        <v>1123</v>
      </c>
      <c r="E10" s="99"/>
    </row>
    <row r="11" spans="1:11" x14ac:dyDescent="0.25">
      <c r="A11" s="26">
        <v>8</v>
      </c>
      <c r="B11" s="102">
        <v>3087</v>
      </c>
      <c r="D11" s="26" t="s">
        <v>334</v>
      </c>
      <c r="E11" s="44">
        <f ca="1">AVERAGE(OFFSET(B4,E5,,E3-E5*2))</f>
        <v>3540.969696969697</v>
      </c>
      <c r="G11" t="s">
        <v>1122</v>
      </c>
    </row>
    <row r="12" spans="1:11" x14ac:dyDescent="0.25">
      <c r="A12" s="26">
        <v>9</v>
      </c>
      <c r="B12" s="102">
        <v>3167</v>
      </c>
    </row>
    <row r="13" spans="1:11" x14ac:dyDescent="0.25">
      <c r="A13" s="26">
        <v>10</v>
      </c>
      <c r="B13" s="102">
        <v>3222</v>
      </c>
      <c r="D13" t="s">
        <v>1133</v>
      </c>
    </row>
    <row r="14" spans="1:11" x14ac:dyDescent="0.25">
      <c r="A14" s="26">
        <v>11</v>
      </c>
      <c r="B14" s="102">
        <v>3234</v>
      </c>
      <c r="D14" s="97" t="s">
        <v>1121</v>
      </c>
      <c r="E14" s="99"/>
      <c r="J14" s="100" t="str">
        <f>E2&amp;"*"&amp;E3</f>
        <v>0.05*37</v>
      </c>
    </row>
    <row r="15" spans="1:11" x14ac:dyDescent="0.25">
      <c r="A15" s="26">
        <v>12</v>
      </c>
      <c r="B15" s="102">
        <v>3267</v>
      </c>
      <c r="D15" s="26" t="s">
        <v>334</v>
      </c>
      <c r="E15" s="44">
        <f>TRIMMEAN(B4:B40,E2)</f>
        <v>3636.2702702702704</v>
      </c>
      <c r="G15" t="s">
        <v>1124</v>
      </c>
      <c r="J15" s="30">
        <f>E2*E3</f>
        <v>1.85</v>
      </c>
      <c r="K15" t="s">
        <v>1134</v>
      </c>
    </row>
    <row r="16" spans="1:11" x14ac:dyDescent="0.25">
      <c r="A16" s="26">
        <v>13</v>
      </c>
      <c r="B16" s="102">
        <v>3275</v>
      </c>
      <c r="K16" s="262" t="s">
        <v>1135</v>
      </c>
    </row>
    <row r="17" spans="1:8" x14ac:dyDescent="0.25">
      <c r="A17" s="26">
        <v>14</v>
      </c>
      <c r="B17" s="102">
        <v>3283</v>
      </c>
      <c r="D17" t="s">
        <v>1125</v>
      </c>
      <c r="F17" s="103"/>
    </row>
    <row r="18" spans="1:8" x14ac:dyDescent="0.25">
      <c r="A18" s="26">
        <v>15</v>
      </c>
      <c r="B18" s="102">
        <v>3334</v>
      </c>
      <c r="D18" t="s">
        <v>1126</v>
      </c>
    </row>
    <row r="19" spans="1:8" x14ac:dyDescent="0.25">
      <c r="A19" s="26">
        <v>16</v>
      </c>
      <c r="B19" s="102">
        <v>3336</v>
      </c>
    </row>
    <row r="20" spans="1:8" x14ac:dyDescent="0.25">
      <c r="A20" s="26">
        <v>17</v>
      </c>
      <c r="B20" s="102">
        <v>3337</v>
      </c>
      <c r="H20" t="s">
        <v>1127</v>
      </c>
    </row>
    <row r="21" spans="1:8" x14ac:dyDescent="0.25">
      <c r="A21" s="26">
        <v>18</v>
      </c>
      <c r="B21" s="102">
        <v>3440</v>
      </c>
      <c r="D21" s="103">
        <f>AVERAGE(B5:B39)</f>
        <v>3573.7714285714287</v>
      </c>
      <c r="E21" s="103">
        <f>AVERAGE(B6:B38)</f>
        <v>3540.969696969697</v>
      </c>
      <c r="F21" s="103">
        <f>AVERAGE(B5:B38)</f>
        <v>3467.1176470588234</v>
      </c>
      <c r="G21" s="103">
        <f>AVERAGE(B6:B39)</f>
        <v>3648.5882352941176</v>
      </c>
      <c r="H21" s="44">
        <f>AVERAGE(B4:B40)</f>
        <v>3636.2702702702704</v>
      </c>
    </row>
    <row r="22" spans="1:8" x14ac:dyDescent="0.25">
      <c r="A22" s="26">
        <v>19</v>
      </c>
      <c r="B22" s="102">
        <v>3442</v>
      </c>
      <c r="D22" t="s">
        <v>1128</v>
      </c>
    </row>
    <row r="23" spans="1:8" x14ac:dyDescent="0.25">
      <c r="A23" s="26">
        <v>20</v>
      </c>
      <c r="B23" s="102">
        <v>3480</v>
      </c>
      <c r="D23" t="s">
        <v>1129</v>
      </c>
    </row>
    <row r="24" spans="1:8" x14ac:dyDescent="0.25">
      <c r="A24" s="26">
        <v>21</v>
      </c>
      <c r="B24" s="102">
        <v>3485</v>
      </c>
      <c r="D24" t="s">
        <v>1130</v>
      </c>
    </row>
    <row r="25" spans="1:8" x14ac:dyDescent="0.25">
      <c r="A25" s="26">
        <v>22</v>
      </c>
      <c r="B25" s="102">
        <v>3509</v>
      </c>
      <c r="D25" t="s">
        <v>1131</v>
      </c>
    </row>
    <row r="26" spans="1:8" x14ac:dyDescent="0.25">
      <c r="A26" s="26">
        <v>23</v>
      </c>
      <c r="B26" s="102">
        <v>3546</v>
      </c>
      <c r="D26" t="s">
        <v>1132</v>
      </c>
    </row>
    <row r="27" spans="1:8" x14ac:dyDescent="0.25">
      <c r="A27" s="26">
        <v>24</v>
      </c>
      <c r="B27" s="102">
        <v>3609</v>
      </c>
    </row>
    <row r="28" spans="1:8" x14ac:dyDescent="0.25">
      <c r="A28" s="26">
        <v>25</v>
      </c>
      <c r="B28" s="102">
        <v>3626</v>
      </c>
    </row>
    <row r="29" spans="1:8" x14ac:dyDescent="0.25">
      <c r="A29" s="26">
        <v>26</v>
      </c>
      <c r="B29" s="102">
        <v>3628</v>
      </c>
    </row>
    <row r="30" spans="1:8" x14ac:dyDescent="0.25">
      <c r="A30" s="26">
        <v>27</v>
      </c>
      <c r="B30" s="102">
        <v>3633</v>
      </c>
    </row>
    <row r="31" spans="1:8" x14ac:dyDescent="0.25">
      <c r="A31" s="26">
        <v>28</v>
      </c>
      <c r="B31" s="102">
        <v>3658</v>
      </c>
    </row>
    <row r="32" spans="1:8" x14ac:dyDescent="0.25">
      <c r="A32" s="26">
        <v>29</v>
      </c>
      <c r="B32" s="102">
        <v>3796</v>
      </c>
    </row>
    <row r="33" spans="1:2" x14ac:dyDescent="0.25">
      <c r="A33" s="26">
        <v>30</v>
      </c>
      <c r="B33" s="102">
        <v>3814</v>
      </c>
    </row>
    <row r="34" spans="1:2" x14ac:dyDescent="0.25">
      <c r="A34" s="26">
        <v>31</v>
      </c>
      <c r="B34" s="102">
        <v>3875</v>
      </c>
    </row>
    <row r="35" spans="1:2" x14ac:dyDescent="0.25">
      <c r="A35" s="26">
        <v>32</v>
      </c>
      <c r="B35" s="102">
        <v>3901</v>
      </c>
    </row>
    <row r="36" spans="1:2" x14ac:dyDescent="0.25">
      <c r="A36" s="26">
        <v>33</v>
      </c>
      <c r="B36" s="102">
        <v>3946</v>
      </c>
    </row>
    <row r="37" spans="1:2" x14ac:dyDescent="0.25">
      <c r="A37" s="26">
        <v>34</v>
      </c>
      <c r="B37" s="102">
        <v>5900</v>
      </c>
    </row>
    <row r="38" spans="1:2" x14ac:dyDescent="0.25">
      <c r="A38" s="26">
        <v>35</v>
      </c>
      <c r="B38" s="102">
        <v>6200</v>
      </c>
    </row>
    <row r="39" spans="1:2" x14ac:dyDescent="0.25">
      <c r="A39" s="26">
        <v>36</v>
      </c>
      <c r="B39" s="102">
        <v>7200</v>
      </c>
    </row>
    <row r="40" spans="1:2" x14ac:dyDescent="0.25">
      <c r="A40" s="26">
        <v>37</v>
      </c>
      <c r="B40" s="102">
        <v>8440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rgb="FF0000FF"/>
  </sheetPr>
  <dimension ref="A12:L69"/>
  <sheetViews>
    <sheetView zoomScale="92" zoomScaleNormal="92" workbookViewId="0"/>
  </sheetViews>
  <sheetFormatPr defaultRowHeight="15" x14ac:dyDescent="0.25"/>
  <cols>
    <col min="1" max="1" width="12.140625" customWidth="1"/>
    <col min="2" max="2" width="10.42578125" customWidth="1"/>
    <col min="3" max="3" width="19" customWidth="1"/>
    <col min="4" max="4" width="17.28515625" customWidth="1"/>
    <col min="6" max="6" width="27.5703125" customWidth="1"/>
    <col min="7" max="7" width="15.7109375" customWidth="1"/>
    <col min="8" max="8" width="13.7109375" customWidth="1"/>
    <col min="9" max="9" width="20.85546875" customWidth="1"/>
    <col min="10" max="10" width="11.42578125" customWidth="1"/>
    <col min="11" max="11" width="40.42578125" customWidth="1"/>
    <col min="12" max="12" width="18" bestFit="1" customWidth="1"/>
    <col min="13" max="13" width="11.42578125" customWidth="1"/>
  </cols>
  <sheetData>
    <row r="12" spans="9:12" x14ac:dyDescent="0.25">
      <c r="I12" s="61" t="s">
        <v>245</v>
      </c>
      <c r="J12" s="26" t="s">
        <v>199</v>
      </c>
      <c r="K12" s="26" t="s">
        <v>405</v>
      </c>
      <c r="L12" s="26" t="s">
        <v>404</v>
      </c>
    </row>
    <row r="13" spans="9:12" x14ac:dyDescent="0.25">
      <c r="I13" s="61" t="s">
        <v>244</v>
      </c>
      <c r="J13" s="26" t="s">
        <v>199</v>
      </c>
      <c r="K13" s="26" t="s">
        <v>414</v>
      </c>
      <c r="L13" s="26" t="s">
        <v>413</v>
      </c>
    </row>
    <row r="14" spans="9:12" x14ac:dyDescent="0.25">
      <c r="I14" s="61" t="s">
        <v>206</v>
      </c>
      <c r="J14" s="26" t="s">
        <v>199</v>
      </c>
      <c r="K14" s="26" t="s">
        <v>407</v>
      </c>
      <c r="L14" s="26" t="s">
        <v>207</v>
      </c>
    </row>
    <row r="15" spans="9:12" x14ac:dyDescent="0.25">
      <c r="I15" s="61" t="s">
        <v>406</v>
      </c>
      <c r="J15" s="26" t="s">
        <v>199</v>
      </c>
      <c r="K15" s="26" t="s">
        <v>408</v>
      </c>
      <c r="L15" s="26" t="s">
        <v>409</v>
      </c>
    </row>
    <row r="16" spans="9:12" x14ac:dyDescent="0.25">
      <c r="I16" s="61" t="s">
        <v>412</v>
      </c>
      <c r="J16" s="26" t="s">
        <v>199</v>
      </c>
      <c r="K16" s="26" t="s">
        <v>411</v>
      </c>
      <c r="L16" s="26" t="s">
        <v>410</v>
      </c>
    </row>
    <row r="28" spans="1:10" x14ac:dyDescent="0.25">
      <c r="I28" s="62" t="s">
        <v>935</v>
      </c>
      <c r="J28" s="26" t="s">
        <v>935</v>
      </c>
    </row>
    <row r="29" spans="1:10" x14ac:dyDescent="0.25">
      <c r="A29" s="82" t="s">
        <v>236</v>
      </c>
      <c r="B29" s="83"/>
      <c r="I29" s="62" t="s">
        <v>936</v>
      </c>
      <c r="J29" s="26" t="s">
        <v>940</v>
      </c>
    </row>
    <row r="30" spans="1:10" x14ac:dyDescent="0.25">
      <c r="I30" s="62" t="s">
        <v>937</v>
      </c>
      <c r="J30" s="26" t="s">
        <v>939</v>
      </c>
    </row>
    <row r="31" spans="1:10" ht="30" x14ac:dyDescent="0.25">
      <c r="A31" s="62" t="s">
        <v>192</v>
      </c>
      <c r="B31" s="62" t="s">
        <v>235</v>
      </c>
      <c r="C31" s="62" t="s">
        <v>239</v>
      </c>
      <c r="D31" s="61" t="s">
        <v>336</v>
      </c>
      <c r="F31" s="62" t="s">
        <v>246</v>
      </c>
      <c r="G31" s="70">
        <f>B45</f>
        <v>36.409999999999997</v>
      </c>
      <c r="I31" s="62" t="s">
        <v>938</v>
      </c>
      <c r="J31" s="26" t="s">
        <v>206</v>
      </c>
    </row>
    <row r="32" spans="1:10" x14ac:dyDescent="0.25">
      <c r="A32" s="237">
        <v>42006</v>
      </c>
      <c r="B32" s="26">
        <v>46.23</v>
      </c>
      <c r="C32" s="75"/>
      <c r="D32" s="75"/>
      <c r="F32" s="62" t="s">
        <v>247</v>
      </c>
      <c r="G32" s="70">
        <f>B32</f>
        <v>46.23</v>
      </c>
    </row>
    <row r="33" spans="1:9" x14ac:dyDescent="0.25">
      <c r="A33" s="237">
        <v>41974</v>
      </c>
      <c r="B33" s="26">
        <v>46.45</v>
      </c>
      <c r="C33" s="75"/>
      <c r="D33" s="75"/>
      <c r="F33" s="61" t="s">
        <v>85</v>
      </c>
      <c r="G33" s="75"/>
    </row>
    <row r="34" spans="1:9" x14ac:dyDescent="0.25">
      <c r="A34" s="237">
        <v>41946</v>
      </c>
      <c r="B34" s="26">
        <v>47.81</v>
      </c>
      <c r="C34" s="75"/>
      <c r="D34" s="75"/>
      <c r="F34" s="61" t="s">
        <v>241</v>
      </c>
      <c r="G34" s="30"/>
    </row>
    <row r="35" spans="1:9" x14ac:dyDescent="0.25">
      <c r="A35" s="237">
        <v>41913</v>
      </c>
      <c r="B35" s="26">
        <v>46.66</v>
      </c>
      <c r="C35" s="75"/>
      <c r="D35" s="75"/>
      <c r="F35" s="61" t="s">
        <v>237</v>
      </c>
      <c r="G35" s="44"/>
      <c r="H35" s="85" t="str">
        <f>IF(ISNUMBER(G35),"Incorrect!","")</f>
        <v/>
      </c>
      <c r="I35" t="s">
        <v>240</v>
      </c>
    </row>
    <row r="36" spans="1:9" x14ac:dyDescent="0.25">
      <c r="A36" s="237">
        <v>41884</v>
      </c>
      <c r="B36" s="26">
        <v>46.07</v>
      </c>
      <c r="C36" s="75"/>
      <c r="D36" s="75"/>
      <c r="H36" t="s">
        <v>242</v>
      </c>
    </row>
    <row r="37" spans="1:9" x14ac:dyDescent="0.25">
      <c r="A37" s="237">
        <v>41852</v>
      </c>
      <c r="B37" s="26">
        <v>45.15</v>
      </c>
      <c r="C37" s="75"/>
      <c r="D37" s="75"/>
      <c r="H37" t="s">
        <v>397</v>
      </c>
    </row>
    <row r="38" spans="1:9" x14ac:dyDescent="0.25">
      <c r="A38" s="237">
        <v>41821</v>
      </c>
      <c r="B38" s="26">
        <v>42.62</v>
      </c>
      <c r="C38" s="75"/>
      <c r="D38" s="75"/>
      <c r="H38" t="s">
        <v>243</v>
      </c>
    </row>
    <row r="39" spans="1:9" ht="18" x14ac:dyDescent="0.35">
      <c r="A39" s="237">
        <v>41792</v>
      </c>
      <c r="B39" s="26">
        <v>41.18</v>
      </c>
      <c r="C39" s="75"/>
      <c r="D39" s="75"/>
      <c r="F39" t="s">
        <v>248</v>
      </c>
    </row>
    <row r="40" spans="1:9" x14ac:dyDescent="0.25">
      <c r="A40" s="237">
        <v>41760</v>
      </c>
      <c r="B40" s="26">
        <v>40.43</v>
      </c>
      <c r="C40" s="75"/>
      <c r="D40" s="75"/>
      <c r="F40" s="61" t="s">
        <v>335</v>
      </c>
      <c r="G40" s="30"/>
      <c r="I40" t="s">
        <v>244</v>
      </c>
    </row>
    <row r="41" spans="1:9" x14ac:dyDescent="0.25">
      <c r="A41" s="237">
        <v>41730</v>
      </c>
      <c r="B41" s="26">
        <v>39.619999999999997</v>
      </c>
      <c r="C41" s="75"/>
      <c r="D41" s="75"/>
      <c r="F41" s="61" t="s">
        <v>335</v>
      </c>
      <c r="G41" s="238"/>
      <c r="I41" t="s">
        <v>245</v>
      </c>
    </row>
    <row r="42" spans="1:9" x14ac:dyDescent="0.25">
      <c r="A42" s="237">
        <v>41701</v>
      </c>
      <c r="B42" s="26">
        <v>40.200000000000003</v>
      </c>
      <c r="C42" s="75"/>
      <c r="D42" s="75"/>
      <c r="F42" s="61" t="s">
        <v>241</v>
      </c>
      <c r="G42" s="30"/>
      <c r="I42" t="s">
        <v>343</v>
      </c>
    </row>
    <row r="43" spans="1:9" x14ac:dyDescent="0.25">
      <c r="A43" s="237">
        <v>41673</v>
      </c>
      <c r="B43" s="26">
        <v>37.57</v>
      </c>
      <c r="C43" s="75"/>
      <c r="D43" s="75"/>
      <c r="F43" s="61" t="s">
        <v>237</v>
      </c>
      <c r="G43" s="44"/>
      <c r="H43" s="85" t="str">
        <f>IF(ISNUMBER(G43),"Correct!","")</f>
        <v/>
      </c>
      <c r="I43" t="s">
        <v>240</v>
      </c>
    </row>
    <row r="44" spans="1:9" x14ac:dyDescent="0.25">
      <c r="A44" s="237">
        <v>41641</v>
      </c>
      <c r="B44" s="26">
        <v>36.83</v>
      </c>
      <c r="C44" s="75"/>
      <c r="D44" s="75"/>
      <c r="I44" t="s">
        <v>503</v>
      </c>
    </row>
    <row r="45" spans="1:9" x14ac:dyDescent="0.25">
      <c r="A45" s="237">
        <v>41610</v>
      </c>
      <c r="B45" s="26">
        <v>36.409999999999997</v>
      </c>
      <c r="C45" s="26"/>
      <c r="D45" s="26"/>
      <c r="F45" t="s">
        <v>249</v>
      </c>
      <c r="I45" t="s">
        <v>504</v>
      </c>
    </row>
    <row r="46" spans="1:9" x14ac:dyDescent="0.25">
      <c r="F46" s="62" t="s">
        <v>246</v>
      </c>
      <c r="G46" s="70">
        <f>G31</f>
        <v>36.409999999999997</v>
      </c>
    </row>
    <row r="47" spans="1:9" x14ac:dyDescent="0.25">
      <c r="F47" s="62" t="s">
        <v>247</v>
      </c>
      <c r="G47" s="70">
        <f>G32</f>
        <v>46.23</v>
      </c>
    </row>
    <row r="48" spans="1:9" x14ac:dyDescent="0.25">
      <c r="F48" s="61" t="s">
        <v>346</v>
      </c>
      <c r="G48" s="60"/>
    </row>
    <row r="49" spans="6:9" x14ac:dyDescent="0.25">
      <c r="F49" s="61" t="s">
        <v>347</v>
      </c>
      <c r="G49" s="60"/>
      <c r="I49" t="s">
        <v>344</v>
      </c>
    </row>
    <row r="50" spans="6:9" x14ac:dyDescent="0.25">
      <c r="F50" s="61" t="s">
        <v>347</v>
      </c>
      <c r="G50" s="60"/>
    </row>
    <row r="53" spans="6:9" ht="18" x14ac:dyDescent="0.35">
      <c r="F53" t="s">
        <v>248</v>
      </c>
    </row>
    <row r="54" spans="6:9" ht="30" x14ac:dyDescent="0.25">
      <c r="F54" s="61" t="s">
        <v>345</v>
      </c>
      <c r="G54" s="60">
        <f t="array" ref="G54">GEOMEAN(B32:B44/B33:B45)-1</f>
        <v>1.8537844943960158E-2</v>
      </c>
      <c r="I54" s="5" t="s">
        <v>418</v>
      </c>
    </row>
    <row r="56" spans="6:9" x14ac:dyDescent="0.25">
      <c r="F56" s="62" t="s">
        <v>348</v>
      </c>
      <c r="G56" s="62" t="s">
        <v>933</v>
      </c>
    </row>
    <row r="57" spans="6:9" x14ac:dyDescent="0.25">
      <c r="F57" s="26">
        <v>1999</v>
      </c>
      <c r="G57" s="70">
        <v>2500</v>
      </c>
    </row>
    <row r="58" spans="6:9" x14ac:dyDescent="0.25">
      <c r="F58" s="26">
        <v>2014</v>
      </c>
      <c r="G58" s="70">
        <f>G57*(1+0.067)^(F58-F57)</f>
        <v>6613.1184265048369</v>
      </c>
    </row>
    <row r="60" spans="6:9" x14ac:dyDescent="0.25">
      <c r="F60" s="62" t="s">
        <v>934</v>
      </c>
      <c r="G60" s="30"/>
      <c r="I60" t="s">
        <v>249</v>
      </c>
    </row>
    <row r="63" spans="6:9" x14ac:dyDescent="0.25">
      <c r="F63" s="1" t="s">
        <v>941</v>
      </c>
      <c r="G63" s="1" t="s">
        <v>348</v>
      </c>
      <c r="H63" s="1" t="s">
        <v>943</v>
      </c>
    </row>
    <row r="64" spans="6:9" x14ac:dyDescent="0.25">
      <c r="F64" s="26">
        <v>0.01</v>
      </c>
      <c r="G64" s="26">
        <v>2004</v>
      </c>
      <c r="H64" s="30"/>
    </row>
    <row r="65" spans="6:8" x14ac:dyDescent="0.25">
      <c r="F65" s="26">
        <v>5.0000000000000001E-3</v>
      </c>
      <c r="G65" s="26">
        <v>2005</v>
      </c>
      <c r="H65" s="30"/>
    </row>
    <row r="66" spans="6:8" x14ac:dyDescent="0.25">
      <c r="F66" s="26">
        <v>0.02</v>
      </c>
      <c r="G66" s="26">
        <v>2006</v>
      </c>
      <c r="H66" s="30"/>
    </row>
    <row r="67" spans="6:8" x14ac:dyDescent="0.25">
      <c r="F67" s="26">
        <v>2.5000000000000001E-2</v>
      </c>
      <c r="G67" s="26">
        <v>2007</v>
      </c>
      <c r="H67" s="30"/>
    </row>
    <row r="69" spans="6:8" x14ac:dyDescent="0.25">
      <c r="F69" s="62" t="s">
        <v>942</v>
      </c>
      <c r="G69" s="30"/>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rgb="FFFF0000"/>
  </sheetPr>
  <dimension ref="A12:L69"/>
  <sheetViews>
    <sheetView zoomScale="92" zoomScaleNormal="92" workbookViewId="0">
      <selection activeCell="G15" sqref="G15"/>
    </sheetView>
  </sheetViews>
  <sheetFormatPr defaultRowHeight="15" x14ac:dyDescent="0.25"/>
  <cols>
    <col min="1" max="1" width="12.140625" customWidth="1"/>
    <col min="2" max="2" width="10.42578125" customWidth="1"/>
    <col min="3" max="3" width="19" customWidth="1"/>
    <col min="4" max="4" width="17.28515625" customWidth="1"/>
    <col min="6" max="6" width="27.5703125" customWidth="1"/>
    <col min="7" max="7" width="15.7109375" customWidth="1"/>
    <col min="8" max="8" width="13.7109375" customWidth="1"/>
    <col min="9" max="9" width="20.85546875" customWidth="1"/>
    <col min="10" max="10" width="11.42578125" customWidth="1"/>
    <col min="11" max="11" width="40.42578125" customWidth="1"/>
    <col min="12" max="12" width="18" bestFit="1" customWidth="1"/>
    <col min="13" max="13" width="11.42578125" customWidth="1"/>
  </cols>
  <sheetData>
    <row r="12" spans="9:12" x14ac:dyDescent="0.25">
      <c r="I12" s="61" t="s">
        <v>245</v>
      </c>
      <c r="J12" s="26" t="s">
        <v>199</v>
      </c>
      <c r="K12" s="26" t="s">
        <v>405</v>
      </c>
      <c r="L12" s="26" t="s">
        <v>404</v>
      </c>
    </row>
    <row r="13" spans="9:12" x14ac:dyDescent="0.25">
      <c r="I13" s="61" t="s">
        <v>244</v>
      </c>
      <c r="J13" s="26" t="s">
        <v>199</v>
      </c>
      <c r="K13" s="26" t="s">
        <v>414</v>
      </c>
      <c r="L13" s="26" t="s">
        <v>413</v>
      </c>
    </row>
    <row r="14" spans="9:12" x14ac:dyDescent="0.25">
      <c r="I14" s="61" t="s">
        <v>206</v>
      </c>
      <c r="J14" s="26" t="s">
        <v>199</v>
      </c>
      <c r="K14" s="26" t="s">
        <v>407</v>
      </c>
      <c r="L14" s="26" t="s">
        <v>207</v>
      </c>
    </row>
    <row r="15" spans="9:12" x14ac:dyDescent="0.25">
      <c r="I15" s="61" t="s">
        <v>406</v>
      </c>
      <c r="J15" s="26" t="s">
        <v>199</v>
      </c>
      <c r="K15" s="26" t="s">
        <v>408</v>
      </c>
      <c r="L15" s="26" t="s">
        <v>409</v>
      </c>
    </row>
    <row r="16" spans="9:12" x14ac:dyDescent="0.25">
      <c r="I16" s="61" t="s">
        <v>412</v>
      </c>
      <c r="J16" s="26" t="s">
        <v>199</v>
      </c>
      <c r="K16" s="26" t="s">
        <v>411</v>
      </c>
      <c r="L16" s="26" t="s">
        <v>410</v>
      </c>
    </row>
    <row r="28" spans="1:10" x14ac:dyDescent="0.25">
      <c r="I28" s="62" t="s">
        <v>935</v>
      </c>
      <c r="J28" s="26" t="s">
        <v>935</v>
      </c>
    </row>
    <row r="29" spans="1:10" x14ac:dyDescent="0.25">
      <c r="A29" s="82" t="s">
        <v>236</v>
      </c>
      <c r="B29" s="83"/>
      <c r="I29" s="62" t="s">
        <v>936</v>
      </c>
      <c r="J29" s="26" t="s">
        <v>940</v>
      </c>
    </row>
    <row r="30" spans="1:10" x14ac:dyDescent="0.25">
      <c r="I30" s="62" t="s">
        <v>937</v>
      </c>
      <c r="J30" s="26" t="s">
        <v>939</v>
      </c>
    </row>
    <row r="31" spans="1:10" ht="30" x14ac:dyDescent="0.25">
      <c r="A31" s="62" t="s">
        <v>192</v>
      </c>
      <c r="B31" s="62" t="s">
        <v>235</v>
      </c>
      <c r="C31" s="62" t="s">
        <v>239</v>
      </c>
      <c r="D31" s="61" t="s">
        <v>336</v>
      </c>
      <c r="F31" s="62" t="s">
        <v>246</v>
      </c>
      <c r="G31" s="70">
        <f>B45</f>
        <v>36.409999999999997</v>
      </c>
      <c r="I31" s="62" t="s">
        <v>938</v>
      </c>
      <c r="J31" s="26" t="s">
        <v>206</v>
      </c>
    </row>
    <row r="32" spans="1:10" x14ac:dyDescent="0.25">
      <c r="A32" s="237">
        <v>42006</v>
      </c>
      <c r="B32" s="26">
        <v>46.23</v>
      </c>
      <c r="C32" s="75">
        <f t="shared" ref="C32:C43" si="0">B32/B33-1</f>
        <v>-4.7362755651239041E-3</v>
      </c>
      <c r="D32" s="75">
        <f>1+C32</f>
        <v>0.9952637244348761</v>
      </c>
      <c r="F32" s="62" t="s">
        <v>247</v>
      </c>
      <c r="G32" s="70">
        <f>B32</f>
        <v>46.23</v>
      </c>
    </row>
    <row r="33" spans="1:9" x14ac:dyDescent="0.25">
      <c r="A33" s="237">
        <v>41974</v>
      </c>
      <c r="B33" s="26">
        <v>46.45</v>
      </c>
      <c r="C33" s="75">
        <f t="shared" si="0"/>
        <v>-2.8445931813428138E-2</v>
      </c>
      <c r="D33" s="75">
        <f t="shared" ref="D33:D44" si="1">1+C33</f>
        <v>0.97155406818657186</v>
      </c>
      <c r="F33" s="61" t="s">
        <v>85</v>
      </c>
      <c r="G33" s="75">
        <f>AVERAGE(C32:C44)</f>
        <v>1.8859595090217122E-2</v>
      </c>
    </row>
    <row r="34" spans="1:9" x14ac:dyDescent="0.25">
      <c r="A34" s="237">
        <v>41946</v>
      </c>
      <c r="B34" s="26">
        <v>47.81</v>
      </c>
      <c r="C34" s="75">
        <f t="shared" si="0"/>
        <v>2.4646378054007823E-2</v>
      </c>
      <c r="D34" s="75">
        <f t="shared" si="1"/>
        <v>1.0246463780540078</v>
      </c>
      <c r="F34" s="61" t="s">
        <v>241</v>
      </c>
      <c r="G34" s="30">
        <f>COUNT(C32:C44)</f>
        <v>13</v>
      </c>
    </row>
    <row r="35" spans="1:9" x14ac:dyDescent="0.25">
      <c r="A35" s="237">
        <v>41913</v>
      </c>
      <c r="B35" s="26">
        <v>46.66</v>
      </c>
      <c r="C35" s="75">
        <f t="shared" si="0"/>
        <v>1.2806598654221846E-2</v>
      </c>
      <c r="D35" s="75">
        <f t="shared" si="1"/>
        <v>1.0128065986542218</v>
      </c>
      <c r="F35" s="61" t="s">
        <v>237</v>
      </c>
      <c r="G35" s="44">
        <f>G31*(1+G33)^G34</f>
        <v>46.420209475578403</v>
      </c>
      <c r="H35" s="85" t="str">
        <f>IF(ISNUMBER(G35),"Incorrect!","")</f>
        <v>Incorrect!</v>
      </c>
      <c r="I35" t="s">
        <v>240</v>
      </c>
    </row>
    <row r="36" spans="1:9" x14ac:dyDescent="0.25">
      <c r="A36" s="237">
        <v>41884</v>
      </c>
      <c r="B36" s="26">
        <v>46.07</v>
      </c>
      <c r="C36" s="75">
        <f t="shared" si="0"/>
        <v>2.0376522702104216E-2</v>
      </c>
      <c r="D36" s="75">
        <f t="shared" si="1"/>
        <v>1.0203765227021042</v>
      </c>
      <c r="H36" t="s">
        <v>242</v>
      </c>
    </row>
    <row r="37" spans="1:9" x14ac:dyDescent="0.25">
      <c r="A37" s="237">
        <v>41852</v>
      </c>
      <c r="B37" s="26">
        <v>45.15</v>
      </c>
      <c r="C37" s="75">
        <f t="shared" si="0"/>
        <v>5.9361801970905681E-2</v>
      </c>
      <c r="D37" s="75">
        <f t="shared" si="1"/>
        <v>1.0593618019709057</v>
      </c>
      <c r="H37" t="s">
        <v>397</v>
      </c>
    </row>
    <row r="38" spans="1:9" x14ac:dyDescent="0.25">
      <c r="A38" s="237">
        <v>41821</v>
      </c>
      <c r="B38" s="26">
        <v>42.62</v>
      </c>
      <c r="C38" s="75">
        <f t="shared" si="0"/>
        <v>3.4968431277319079E-2</v>
      </c>
      <c r="D38" s="75">
        <f t="shared" si="1"/>
        <v>1.0349684312773191</v>
      </c>
      <c r="H38" t="s">
        <v>243</v>
      </c>
    </row>
    <row r="39" spans="1:9" ht="18" x14ac:dyDescent="0.35">
      <c r="A39" s="237">
        <v>41792</v>
      </c>
      <c r="B39" s="26">
        <v>41.18</v>
      </c>
      <c r="C39" s="75">
        <f t="shared" si="0"/>
        <v>1.855058125154585E-2</v>
      </c>
      <c r="D39" s="75">
        <f t="shared" si="1"/>
        <v>1.0185505812515459</v>
      </c>
      <c r="F39" t="s">
        <v>248</v>
      </c>
    </row>
    <row r="40" spans="1:9" x14ac:dyDescent="0.25">
      <c r="A40" s="237">
        <v>41760</v>
      </c>
      <c r="B40" s="26">
        <v>40.43</v>
      </c>
      <c r="C40" s="75">
        <f t="shared" si="0"/>
        <v>2.0444220090863219E-2</v>
      </c>
      <c r="D40" s="75">
        <f t="shared" si="1"/>
        <v>1.0204442200908632</v>
      </c>
      <c r="F40" s="61" t="s">
        <v>335</v>
      </c>
      <c r="G40" s="30">
        <f>GEOMEAN(D32:D44)</f>
        <v>1.0185378449439602</v>
      </c>
      <c r="I40" t="s">
        <v>244</v>
      </c>
    </row>
    <row r="41" spans="1:9" x14ac:dyDescent="0.25">
      <c r="A41" s="237">
        <v>41730</v>
      </c>
      <c r="B41" s="26">
        <v>39.619999999999997</v>
      </c>
      <c r="C41" s="75">
        <f t="shared" si="0"/>
        <v>-1.442786069651758E-2</v>
      </c>
      <c r="D41" s="75">
        <f t="shared" si="1"/>
        <v>0.98557213930348242</v>
      </c>
      <c r="F41" s="61" t="s">
        <v>335</v>
      </c>
      <c r="G41" s="238">
        <f>GEOMEAN(D32:D44)-1</f>
        <v>1.8537844943960158E-2</v>
      </c>
      <c r="I41" t="s">
        <v>245</v>
      </c>
    </row>
    <row r="42" spans="1:9" x14ac:dyDescent="0.25">
      <c r="A42" s="237">
        <v>41701</v>
      </c>
      <c r="B42" s="26">
        <v>40.200000000000003</v>
      </c>
      <c r="C42" s="75">
        <f t="shared" si="0"/>
        <v>7.0002661698163493E-2</v>
      </c>
      <c r="D42" s="75">
        <f t="shared" si="1"/>
        <v>1.0700026616981635</v>
      </c>
      <c r="F42" s="61" t="s">
        <v>241</v>
      </c>
      <c r="G42" s="30">
        <f>COUNT(C32:C44)</f>
        <v>13</v>
      </c>
      <c r="I42" t="s">
        <v>343</v>
      </c>
    </row>
    <row r="43" spans="1:9" x14ac:dyDescent="0.25">
      <c r="A43" s="237">
        <v>41673</v>
      </c>
      <c r="B43" s="26">
        <v>37.57</v>
      </c>
      <c r="C43" s="75">
        <f t="shared" si="0"/>
        <v>2.0092316046701031E-2</v>
      </c>
      <c r="D43" s="75">
        <f t="shared" si="1"/>
        <v>1.020092316046701</v>
      </c>
      <c r="F43" s="61" t="s">
        <v>237</v>
      </c>
      <c r="G43" s="44">
        <f>G31*(1+G41)^G42</f>
        <v>46.23</v>
      </c>
      <c r="H43" s="85" t="str">
        <f>IF(ISNUMBER(G43),"Correct!","")</f>
        <v>Correct!</v>
      </c>
      <c r="I43" t="s">
        <v>240</v>
      </c>
    </row>
    <row r="44" spans="1:9" x14ac:dyDescent="0.25">
      <c r="A44" s="237">
        <v>41641</v>
      </c>
      <c r="B44" s="26">
        <v>36.83</v>
      </c>
      <c r="C44" s="75">
        <f>B44/B45-1</f>
        <v>1.1535292502059979E-2</v>
      </c>
      <c r="D44" s="75">
        <f t="shared" si="1"/>
        <v>1.01153529250206</v>
      </c>
      <c r="I44" t="s">
        <v>503</v>
      </c>
    </row>
    <row r="45" spans="1:9" x14ac:dyDescent="0.25">
      <c r="A45" s="237">
        <v>41610</v>
      </c>
      <c r="B45" s="26">
        <v>36.409999999999997</v>
      </c>
      <c r="C45" s="26"/>
      <c r="D45" s="26"/>
      <c r="F45" t="s">
        <v>249</v>
      </c>
      <c r="I45" t="s">
        <v>504</v>
      </c>
    </row>
    <row r="46" spans="1:9" x14ac:dyDescent="0.25">
      <c r="F46" s="62" t="s">
        <v>246</v>
      </c>
      <c r="G46" s="70">
        <f>G31</f>
        <v>36.409999999999997</v>
      </c>
    </row>
    <row r="47" spans="1:9" x14ac:dyDescent="0.25">
      <c r="F47" s="62" t="s">
        <v>247</v>
      </c>
      <c r="G47" s="70">
        <f>G32</f>
        <v>46.23</v>
      </c>
    </row>
    <row r="48" spans="1:9" x14ac:dyDescent="0.25">
      <c r="F48" s="61" t="s">
        <v>346</v>
      </c>
      <c r="G48" s="60">
        <f>(G47/G46)^(1/G42)</f>
        <v>1.0185378449439602</v>
      </c>
    </row>
    <row r="49" spans="6:9" x14ac:dyDescent="0.25">
      <c r="F49" s="61" t="s">
        <v>347</v>
      </c>
      <c r="G49" s="60">
        <f>(G47/G46)^(1/G42)-1</f>
        <v>1.8537844943960158E-2</v>
      </c>
      <c r="I49" t="s">
        <v>344</v>
      </c>
    </row>
    <row r="50" spans="6:9" x14ac:dyDescent="0.25">
      <c r="F50" s="61" t="s">
        <v>347</v>
      </c>
      <c r="G50" s="60">
        <f>_xlfn.RRI(G42,G46,G47)</f>
        <v>1.8537844943960158E-2</v>
      </c>
    </row>
    <row r="53" spans="6:9" ht="18" x14ac:dyDescent="0.35">
      <c r="F53" t="s">
        <v>248</v>
      </c>
    </row>
    <row r="54" spans="6:9" ht="30" x14ac:dyDescent="0.25">
      <c r="F54" s="61" t="s">
        <v>345</v>
      </c>
      <c r="G54" s="60">
        <f t="array" ref="G54">GEOMEAN(B32:B44/B33:B45)-1</f>
        <v>1.8537844943960158E-2</v>
      </c>
      <c r="I54" s="5" t="s">
        <v>418</v>
      </c>
    </row>
    <row r="56" spans="6:9" x14ac:dyDescent="0.25">
      <c r="F56" s="62" t="s">
        <v>348</v>
      </c>
      <c r="G56" s="62" t="s">
        <v>933</v>
      </c>
    </row>
    <row r="57" spans="6:9" x14ac:dyDescent="0.25">
      <c r="F57" s="26">
        <v>1999</v>
      </c>
      <c r="G57" s="70">
        <v>2500</v>
      </c>
    </row>
    <row r="58" spans="6:9" x14ac:dyDescent="0.25">
      <c r="F58" s="26">
        <v>2014</v>
      </c>
      <c r="G58" s="70">
        <f>G57*(1+0.067)^(F58-F57)</f>
        <v>6613.1184265048369</v>
      </c>
    </row>
    <row r="60" spans="6:9" x14ac:dyDescent="0.25">
      <c r="F60" s="62" t="s">
        <v>934</v>
      </c>
      <c r="G60" s="30">
        <f>_xlfn.RRI(F58-F57,G57,G58)</f>
        <v>6.6999999999999948E-2</v>
      </c>
      <c r="I60" t="s">
        <v>249</v>
      </c>
    </row>
    <row r="63" spans="6:9" x14ac:dyDescent="0.25">
      <c r="F63" s="1" t="s">
        <v>941</v>
      </c>
      <c r="G63" s="1" t="s">
        <v>348</v>
      </c>
      <c r="H63" s="1" t="s">
        <v>943</v>
      </c>
    </row>
    <row r="64" spans="6:9" x14ac:dyDescent="0.25">
      <c r="F64" s="26">
        <v>0.01</v>
      </c>
      <c r="G64" s="26">
        <v>2004</v>
      </c>
      <c r="H64" s="30">
        <f>1+F64</f>
        <v>1.01</v>
      </c>
    </row>
    <row r="65" spans="6:8" x14ac:dyDescent="0.25">
      <c r="F65" s="26">
        <v>5.0000000000000001E-3</v>
      </c>
      <c r="G65" s="26">
        <v>2005</v>
      </c>
      <c r="H65" s="30">
        <f t="shared" ref="H65:H67" si="2">1+F65</f>
        <v>1.0049999999999999</v>
      </c>
    </row>
    <row r="66" spans="6:8" x14ac:dyDescent="0.25">
      <c r="F66" s="26">
        <v>0.02</v>
      </c>
      <c r="G66" s="26">
        <v>2006</v>
      </c>
      <c r="H66" s="30">
        <f t="shared" si="2"/>
        <v>1.02</v>
      </c>
    </row>
    <row r="67" spans="6:8" x14ac:dyDescent="0.25">
      <c r="F67" s="26">
        <v>2.5000000000000001E-2</v>
      </c>
      <c r="G67" s="26">
        <v>2007</v>
      </c>
      <c r="H67" s="30">
        <f t="shared" si="2"/>
        <v>1.0249999999999999</v>
      </c>
    </row>
    <row r="69" spans="6:8" x14ac:dyDescent="0.25">
      <c r="F69" s="62" t="s">
        <v>942</v>
      </c>
      <c r="G69" s="30">
        <f>GEOMEAN(H64:H67)-1</f>
        <v>1.4969211019458584E-2</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0000FF"/>
  </sheetPr>
  <dimension ref="A21:M619"/>
  <sheetViews>
    <sheetView topLeftCell="A16" zoomScale="112" zoomScaleNormal="112" workbookViewId="0">
      <selection activeCell="F22" sqref="F22"/>
    </sheetView>
  </sheetViews>
  <sheetFormatPr defaultRowHeight="15" x14ac:dyDescent="0.25"/>
  <cols>
    <col min="2" max="2" width="12" customWidth="1"/>
    <col min="3" max="3" width="14.5703125" customWidth="1"/>
    <col min="4" max="4" width="2.28515625" customWidth="1"/>
    <col min="5" max="5" width="56.5703125" customWidth="1"/>
    <col min="7" max="7" width="11.140625" customWidth="1"/>
    <col min="12" max="12" width="20.42578125" customWidth="1"/>
  </cols>
  <sheetData>
    <row r="21" spans="1:8" ht="30" x14ac:dyDescent="0.25">
      <c r="A21" s="62" t="s">
        <v>2</v>
      </c>
      <c r="B21" s="62" t="s">
        <v>256</v>
      </c>
      <c r="C21" s="62" t="s">
        <v>254</v>
      </c>
      <c r="H21">
        <f>14/18</f>
        <v>0.77777777777777779</v>
      </c>
    </row>
    <row r="22" spans="1:8" x14ac:dyDescent="0.25">
      <c r="A22" s="26">
        <v>1</v>
      </c>
      <c r="B22" s="26" t="s">
        <v>257</v>
      </c>
      <c r="C22" s="26">
        <v>12</v>
      </c>
      <c r="E22" s="62" t="s">
        <v>279</v>
      </c>
      <c r="F22" s="86">
        <v>0.75</v>
      </c>
    </row>
    <row r="23" spans="1:8" x14ac:dyDescent="0.25">
      <c r="A23" s="26">
        <v>2</v>
      </c>
      <c r="B23" s="26" t="s">
        <v>258</v>
      </c>
      <c r="C23" s="26">
        <v>54</v>
      </c>
      <c r="E23" s="62" t="s">
        <v>241</v>
      </c>
      <c r="F23" s="30"/>
      <c r="H23" s="22" t="s">
        <v>90</v>
      </c>
    </row>
    <row r="24" spans="1:8" x14ac:dyDescent="0.25">
      <c r="A24" s="26">
        <v>3</v>
      </c>
      <c r="B24" s="26" t="s">
        <v>262</v>
      </c>
      <c r="C24" s="26">
        <v>56</v>
      </c>
      <c r="E24" s="62" t="s">
        <v>275</v>
      </c>
      <c r="F24" s="30"/>
      <c r="H24" t="s">
        <v>276</v>
      </c>
    </row>
    <row r="25" spans="1:8" x14ac:dyDescent="0.25">
      <c r="A25" s="26">
        <v>4</v>
      </c>
      <c r="B25" s="26" t="s">
        <v>263</v>
      </c>
      <c r="C25" s="26">
        <v>62</v>
      </c>
      <c r="E25" s="62" t="str">
        <f>"How far between "&amp;INDEX(A22:A39,MATCH(_xlfn.PERCENTILE.EXC(C22:C39,F22),C22:C39))&amp;" &amp; "&amp;INDEX(A22:A39,MATCH(_xlfn.PERCENTILE.EXC(C22:C39,F22),C22:C39))+1&amp;"?"</f>
        <v>How far between 14 &amp; 15?</v>
      </c>
      <c r="F25" s="30"/>
      <c r="H25" s="85" t="str">
        <f>IF(ISNUMBER(F25),"&lt;&lt;== "&amp;TEXT(F25,"0.00%")&amp;" of the way through the interval","")</f>
        <v/>
      </c>
    </row>
    <row r="26" spans="1:8" x14ac:dyDescent="0.25">
      <c r="A26" s="26">
        <v>5</v>
      </c>
      <c r="B26" s="26" t="s">
        <v>264</v>
      </c>
      <c r="C26" s="26">
        <v>69</v>
      </c>
      <c r="E26" s="62" t="str">
        <f>"Difference between "&amp;INDEX(A22:A39,MATCH(_xlfn.PERCENTILE.EXC(C22:C39,F22),C22:C39))&amp;" &amp; "&amp;INDEX(A22:A39,MATCH(_xlfn.PERCENTILE.EXC(C22:C39,F22),C22:C39))+1</f>
        <v>Difference between 14 &amp; 15</v>
      </c>
      <c r="F26" s="30"/>
      <c r="H26" s="85"/>
    </row>
    <row r="27" spans="1:8" x14ac:dyDescent="0.25">
      <c r="A27" s="26">
        <v>6</v>
      </c>
      <c r="B27" s="26" t="s">
        <v>265</v>
      </c>
      <c r="C27" s="26">
        <v>72</v>
      </c>
      <c r="E27" s="62" t="str">
        <f>"How far from "&amp;INDEX(A22:A39,MATCH(_xlfn.PERCENTILE.EXC(C22:C39,F22),C22:C39))&amp;"?"</f>
        <v>How far from 14?</v>
      </c>
      <c r="F27" s="30"/>
      <c r="H27" s="85" t="str">
        <f>IF(ISNUMBER(F27),"&lt;&lt;== Actually how far through interval","")</f>
        <v/>
      </c>
    </row>
    <row r="28" spans="1:8" x14ac:dyDescent="0.25">
      <c r="A28" s="26">
        <v>7</v>
      </c>
      <c r="B28" s="26" t="s">
        <v>266</v>
      </c>
      <c r="C28" s="26">
        <v>73</v>
      </c>
      <c r="E28" s="62" t="s">
        <v>277</v>
      </c>
      <c r="F28" s="30"/>
      <c r="H28" s="85" t="str">
        <f>IF(ISNUMBER(F28),"&lt;&lt;== "&amp;F28&amp;" marks the point at which approx. ","")</f>
        <v/>
      </c>
    </row>
    <row r="29" spans="1:8" x14ac:dyDescent="0.25">
      <c r="A29" s="26">
        <v>8</v>
      </c>
      <c r="B29" s="26" t="s">
        <v>267</v>
      </c>
      <c r="C29" s="26">
        <v>74</v>
      </c>
      <c r="E29" s="62" t="s">
        <v>278</v>
      </c>
      <c r="F29" s="30"/>
      <c r="H29" s="85" t="str">
        <f>IF(ISNUMBER(F28),"        approx. "&amp;TEXT(F22,"0.00%")&amp;" of the values are below  and","")</f>
        <v/>
      </c>
    </row>
    <row r="30" spans="1:8" x14ac:dyDescent="0.25">
      <c r="A30" s="26">
        <v>9</v>
      </c>
      <c r="B30" s="26" t="s">
        <v>268</v>
      </c>
      <c r="C30" s="26">
        <v>78</v>
      </c>
      <c r="H30" s="85" t="str">
        <f>IF(ISNUMBER(F28),"        approx. "&amp;TEXT(1-F22,"0.00%")&amp;" of the values are above.","")</f>
        <v/>
      </c>
    </row>
    <row r="31" spans="1:8" x14ac:dyDescent="0.25">
      <c r="A31" s="26">
        <v>10</v>
      </c>
      <c r="B31" s="26" t="s">
        <v>269</v>
      </c>
      <c r="C31" s="26">
        <v>82</v>
      </c>
      <c r="E31" s="62" t="s">
        <v>280</v>
      </c>
      <c r="F31" s="34">
        <v>3</v>
      </c>
    </row>
    <row r="32" spans="1:8" x14ac:dyDescent="0.25">
      <c r="A32" s="26">
        <v>11</v>
      </c>
      <c r="B32" s="26" t="s">
        <v>270</v>
      </c>
      <c r="C32" s="26">
        <v>83</v>
      </c>
      <c r="E32" s="62" t="s">
        <v>284</v>
      </c>
      <c r="F32" s="30"/>
    </row>
    <row r="33" spans="1:8" x14ac:dyDescent="0.25">
      <c r="A33" s="26">
        <v>12</v>
      </c>
      <c r="B33" s="26" t="s">
        <v>271</v>
      </c>
      <c r="C33" s="26">
        <v>87</v>
      </c>
    </row>
    <row r="34" spans="1:8" x14ac:dyDescent="0.25">
      <c r="A34" s="26">
        <v>13</v>
      </c>
      <c r="B34" s="26" t="s">
        <v>272</v>
      </c>
      <c r="C34" s="26">
        <v>88</v>
      </c>
      <c r="E34" s="62" t="s">
        <v>255</v>
      </c>
      <c r="F34" s="26">
        <v>89</v>
      </c>
    </row>
    <row r="35" spans="1:8" x14ac:dyDescent="0.25">
      <c r="A35" s="26">
        <v>14</v>
      </c>
      <c r="B35" s="26" t="s">
        <v>261</v>
      </c>
      <c r="C35" s="26">
        <v>88</v>
      </c>
      <c r="E35" s="62" t="s">
        <v>281</v>
      </c>
      <c r="F35" s="30"/>
    </row>
    <row r="36" spans="1:8" x14ac:dyDescent="0.25">
      <c r="A36" s="26">
        <v>15</v>
      </c>
      <c r="B36" s="26" t="s">
        <v>260</v>
      </c>
      <c r="C36" s="26">
        <v>91</v>
      </c>
      <c r="E36" s="85" t="str">
        <f>IF(ISNUMBER(F35),"Reverse: you give it value and it calculates percentile","")</f>
        <v/>
      </c>
      <c r="F36" s="85"/>
    </row>
    <row r="37" spans="1:8" x14ac:dyDescent="0.25">
      <c r="A37" s="26">
        <v>16</v>
      </c>
      <c r="B37" s="26" t="s">
        <v>274</v>
      </c>
      <c r="C37" s="26">
        <v>92</v>
      </c>
    </row>
    <row r="38" spans="1:8" x14ac:dyDescent="0.25">
      <c r="A38" s="26">
        <v>17</v>
      </c>
      <c r="B38" s="26" t="s">
        <v>259</v>
      </c>
      <c r="C38" s="26">
        <v>95</v>
      </c>
    </row>
    <row r="39" spans="1:8" x14ac:dyDescent="0.25">
      <c r="A39" s="26">
        <v>18</v>
      </c>
      <c r="B39" s="26" t="s">
        <v>273</v>
      </c>
      <c r="C39" s="26">
        <v>100</v>
      </c>
    </row>
    <row r="41" spans="1:8" ht="30" x14ac:dyDescent="0.25">
      <c r="A41" s="62" t="s">
        <v>2</v>
      </c>
      <c r="B41" s="62" t="s">
        <v>256</v>
      </c>
      <c r="C41" s="62" t="s">
        <v>254</v>
      </c>
    </row>
    <row r="42" spans="1:8" x14ac:dyDescent="0.25">
      <c r="A42" s="26">
        <v>1</v>
      </c>
      <c r="B42" s="26" t="s">
        <v>257</v>
      </c>
      <c r="C42" s="26">
        <v>12</v>
      </c>
      <c r="E42" s="62" t="s">
        <v>279</v>
      </c>
      <c r="F42" s="86">
        <v>0.5</v>
      </c>
      <c r="G42">
        <f>9/18</f>
        <v>0.5</v>
      </c>
    </row>
    <row r="43" spans="1:8" x14ac:dyDescent="0.25">
      <c r="A43" s="26">
        <v>2</v>
      </c>
      <c r="B43" s="26" t="s">
        <v>258</v>
      </c>
      <c r="C43" s="26">
        <v>54</v>
      </c>
      <c r="E43" s="62" t="s">
        <v>278</v>
      </c>
      <c r="F43" s="30"/>
      <c r="H43" s="85" t="str">
        <f>IF(ISNUMBER(F43),"&lt;&lt;== "&amp;F43&amp;" marks the point at which approx. ","")</f>
        <v/>
      </c>
    </row>
    <row r="44" spans="1:8" x14ac:dyDescent="0.25">
      <c r="A44" s="26">
        <v>3</v>
      </c>
      <c r="B44" s="26" t="s">
        <v>262</v>
      </c>
      <c r="C44" s="26">
        <v>56</v>
      </c>
      <c r="E44" s="62" t="s">
        <v>282</v>
      </c>
      <c r="F44" s="30"/>
      <c r="H44" s="85" t="str">
        <f>IF(ISNUMBER(F43),"        approx. "&amp;TEXT(F42,"0.00%")&amp;" of the values are below  and","")</f>
        <v/>
      </c>
    </row>
    <row r="45" spans="1:8" x14ac:dyDescent="0.25">
      <c r="A45" s="26">
        <v>4</v>
      </c>
      <c r="B45" s="26" t="s">
        <v>263</v>
      </c>
      <c r="C45" s="26">
        <v>62</v>
      </c>
      <c r="E45" s="62" t="s">
        <v>283</v>
      </c>
      <c r="F45" s="30"/>
      <c r="H45" s="85" t="str">
        <f>IF(ISNUMBER(F43),"        approx. "&amp;TEXT(1-F42,"0.00%")&amp;" of the values are above.","")</f>
        <v/>
      </c>
    </row>
    <row r="46" spans="1:8" x14ac:dyDescent="0.25">
      <c r="A46" s="26">
        <v>5</v>
      </c>
      <c r="B46" s="26" t="s">
        <v>264</v>
      </c>
      <c r="C46" s="26">
        <v>69</v>
      </c>
    </row>
    <row r="47" spans="1:8" x14ac:dyDescent="0.25">
      <c r="A47" s="26">
        <v>6</v>
      </c>
      <c r="B47" s="26" t="s">
        <v>265</v>
      </c>
      <c r="C47" s="26">
        <v>72</v>
      </c>
      <c r="H47" s="89" t="s">
        <v>300</v>
      </c>
    </row>
    <row r="48" spans="1:8" x14ac:dyDescent="0.25">
      <c r="A48" s="26">
        <v>7</v>
      </c>
      <c r="B48" s="26" t="s">
        <v>266</v>
      </c>
      <c r="C48" s="26">
        <v>73</v>
      </c>
      <c r="E48" s="62" t="s">
        <v>285</v>
      </c>
      <c r="F48" s="30"/>
      <c r="H48" s="26">
        <v>1</v>
      </c>
    </row>
    <row r="49" spans="1:8" x14ac:dyDescent="0.25">
      <c r="A49" s="26">
        <v>8</v>
      </c>
      <c r="B49" s="26" t="s">
        <v>267</v>
      </c>
      <c r="C49" s="26">
        <v>74</v>
      </c>
      <c r="E49" s="62" t="s">
        <v>286</v>
      </c>
      <c r="F49" s="30"/>
      <c r="H49" s="26">
        <v>2</v>
      </c>
    </row>
    <row r="50" spans="1:8" x14ac:dyDescent="0.25">
      <c r="A50" s="26">
        <v>9</v>
      </c>
      <c r="B50" s="26" t="s">
        <v>268</v>
      </c>
      <c r="C50" s="26">
        <v>78</v>
      </c>
      <c r="E50" s="62" t="s">
        <v>287</v>
      </c>
      <c r="F50" s="30"/>
      <c r="H50" s="26">
        <v>3</v>
      </c>
    </row>
    <row r="51" spans="1:8" x14ac:dyDescent="0.25">
      <c r="A51" s="26">
        <v>10</v>
      </c>
      <c r="B51" s="26" t="s">
        <v>269</v>
      </c>
      <c r="C51" s="26">
        <v>82</v>
      </c>
    </row>
    <row r="52" spans="1:8" x14ac:dyDescent="0.25">
      <c r="A52" s="26">
        <v>11</v>
      </c>
      <c r="B52" s="26" t="s">
        <v>270</v>
      </c>
      <c r="C52" s="26">
        <v>83</v>
      </c>
    </row>
    <row r="53" spans="1:8" x14ac:dyDescent="0.25">
      <c r="A53" s="26">
        <v>12</v>
      </c>
      <c r="B53" s="26" t="s">
        <v>271</v>
      </c>
      <c r="C53" s="26">
        <v>87</v>
      </c>
    </row>
    <row r="54" spans="1:8" x14ac:dyDescent="0.25">
      <c r="A54" s="26">
        <v>13</v>
      </c>
      <c r="B54" s="26" t="s">
        <v>272</v>
      </c>
      <c r="C54" s="26">
        <v>88</v>
      </c>
    </row>
    <row r="55" spans="1:8" x14ac:dyDescent="0.25">
      <c r="A55" s="26">
        <v>14</v>
      </c>
      <c r="B55" s="26" t="s">
        <v>261</v>
      </c>
      <c r="C55" s="26">
        <v>88</v>
      </c>
    </row>
    <row r="56" spans="1:8" x14ac:dyDescent="0.25">
      <c r="A56" s="26">
        <v>15</v>
      </c>
      <c r="B56" s="26" t="s">
        <v>260</v>
      </c>
      <c r="C56" s="26">
        <v>91</v>
      </c>
    </row>
    <row r="57" spans="1:8" x14ac:dyDescent="0.25">
      <c r="A57" s="26">
        <v>16</v>
      </c>
      <c r="B57" s="26" t="s">
        <v>274</v>
      </c>
      <c r="C57" s="26">
        <v>92</v>
      </c>
    </row>
    <row r="58" spans="1:8" x14ac:dyDescent="0.25">
      <c r="A58" s="26">
        <v>17</v>
      </c>
      <c r="B58" s="26" t="s">
        <v>259</v>
      </c>
      <c r="C58" s="26">
        <v>95</v>
      </c>
    </row>
    <row r="59" spans="1:8" x14ac:dyDescent="0.25">
      <c r="A59" s="26">
        <v>18</v>
      </c>
      <c r="B59" s="26" t="s">
        <v>273</v>
      </c>
      <c r="C59" s="26">
        <v>100</v>
      </c>
    </row>
    <row r="61" spans="1:8" ht="30" x14ac:dyDescent="0.25">
      <c r="A61" s="62" t="s">
        <v>2</v>
      </c>
      <c r="B61" s="62" t="s">
        <v>256</v>
      </c>
      <c r="C61" s="62" t="s">
        <v>254</v>
      </c>
      <c r="E61" s="91" t="s">
        <v>303</v>
      </c>
      <c r="H61" s="89" t="s">
        <v>299</v>
      </c>
    </row>
    <row r="62" spans="1:8" x14ac:dyDescent="0.25">
      <c r="A62" s="26">
        <v>1</v>
      </c>
      <c r="B62" s="26" t="s">
        <v>257</v>
      </c>
      <c r="C62" s="26">
        <v>12</v>
      </c>
      <c r="E62" s="90" t="s">
        <v>304</v>
      </c>
      <c r="F62" s="30"/>
      <c r="H62" s="26">
        <v>0.2</v>
      </c>
    </row>
    <row r="63" spans="1:8" x14ac:dyDescent="0.25">
      <c r="A63" s="26">
        <v>2</v>
      </c>
      <c r="B63" s="26" t="s">
        <v>258</v>
      </c>
      <c r="C63" s="26">
        <v>54</v>
      </c>
      <c r="E63" s="61" t="s">
        <v>305</v>
      </c>
      <c r="F63" s="30"/>
      <c r="H63" s="26">
        <v>0.4</v>
      </c>
    </row>
    <row r="64" spans="1:8" x14ac:dyDescent="0.25">
      <c r="A64" s="26">
        <v>3</v>
      </c>
      <c r="B64" s="26" t="s">
        <v>262</v>
      </c>
      <c r="C64" s="26">
        <v>56</v>
      </c>
      <c r="E64" s="61" t="s">
        <v>306</v>
      </c>
      <c r="F64" s="30"/>
      <c r="H64" s="26">
        <v>0.6</v>
      </c>
    </row>
    <row r="65" spans="1:8" x14ac:dyDescent="0.25">
      <c r="A65" s="26">
        <v>4</v>
      </c>
      <c r="B65" s="26" t="s">
        <v>263</v>
      </c>
      <c r="C65" s="26">
        <v>62</v>
      </c>
      <c r="E65" s="61" t="s">
        <v>307</v>
      </c>
      <c r="F65" s="30"/>
      <c r="H65" s="26">
        <v>0.8</v>
      </c>
    </row>
    <row r="66" spans="1:8" x14ac:dyDescent="0.25">
      <c r="A66" s="26">
        <v>5</v>
      </c>
      <c r="B66" s="26" t="s">
        <v>264</v>
      </c>
      <c r="C66" s="26">
        <v>69</v>
      </c>
    </row>
    <row r="67" spans="1:8" x14ac:dyDescent="0.25">
      <c r="A67" s="26">
        <v>6</v>
      </c>
      <c r="B67" s="26" t="s">
        <v>265</v>
      </c>
      <c r="C67" s="26">
        <v>72</v>
      </c>
      <c r="E67" s="91" t="s">
        <v>949</v>
      </c>
      <c r="H67" s="89" t="s">
        <v>299</v>
      </c>
    </row>
    <row r="68" spans="1:8" x14ac:dyDescent="0.25">
      <c r="A68" s="26">
        <v>7</v>
      </c>
      <c r="B68" s="26" t="s">
        <v>266</v>
      </c>
      <c r="C68" s="26">
        <v>73</v>
      </c>
      <c r="E68" s="90" t="s">
        <v>304</v>
      </c>
      <c r="F68" s="30"/>
      <c r="H68" s="26">
        <v>0.1</v>
      </c>
    </row>
    <row r="69" spans="1:8" x14ac:dyDescent="0.25">
      <c r="A69" s="26">
        <v>8</v>
      </c>
      <c r="B69" s="26" t="s">
        <v>267</v>
      </c>
      <c r="C69" s="26">
        <v>74</v>
      </c>
      <c r="E69" s="61" t="s">
        <v>305</v>
      </c>
      <c r="F69" s="30"/>
      <c r="H69" s="26">
        <v>0.2</v>
      </c>
    </row>
    <row r="70" spans="1:8" x14ac:dyDescent="0.25">
      <c r="A70" s="26">
        <v>9</v>
      </c>
      <c r="B70" s="26" t="s">
        <v>268</v>
      </c>
      <c r="C70" s="26">
        <v>78</v>
      </c>
      <c r="E70" s="61" t="s">
        <v>306</v>
      </c>
      <c r="F70" s="30"/>
      <c r="H70" s="26">
        <v>0.3</v>
      </c>
    </row>
    <row r="71" spans="1:8" x14ac:dyDescent="0.25">
      <c r="A71" s="26">
        <v>10</v>
      </c>
      <c r="B71" s="26" t="s">
        <v>269</v>
      </c>
      <c r="C71" s="26">
        <v>82</v>
      </c>
      <c r="E71" s="61" t="s">
        <v>307</v>
      </c>
      <c r="F71" s="30"/>
      <c r="H71" s="26">
        <v>0.4</v>
      </c>
    </row>
    <row r="72" spans="1:8" x14ac:dyDescent="0.25">
      <c r="A72" s="26">
        <v>11</v>
      </c>
      <c r="B72" s="26" t="s">
        <v>270</v>
      </c>
      <c r="C72" s="26">
        <v>83</v>
      </c>
      <c r="E72" s="61" t="s">
        <v>308</v>
      </c>
      <c r="F72" s="30"/>
      <c r="H72" s="26">
        <v>0.5</v>
      </c>
    </row>
    <row r="73" spans="1:8" x14ac:dyDescent="0.25">
      <c r="A73" s="26">
        <v>12</v>
      </c>
      <c r="B73" s="26" t="s">
        <v>271</v>
      </c>
      <c r="C73" s="26">
        <v>87</v>
      </c>
      <c r="E73" s="61" t="s">
        <v>309</v>
      </c>
      <c r="F73" s="30"/>
      <c r="H73" s="26">
        <v>0.6</v>
      </c>
    </row>
    <row r="74" spans="1:8" x14ac:dyDescent="0.25">
      <c r="A74" s="26">
        <v>13</v>
      </c>
      <c r="B74" s="26" t="s">
        <v>272</v>
      </c>
      <c r="C74" s="26">
        <v>88</v>
      </c>
      <c r="E74" s="61" t="s">
        <v>310</v>
      </c>
      <c r="F74" s="30"/>
      <c r="H74" s="26">
        <v>0.7</v>
      </c>
    </row>
    <row r="75" spans="1:8" x14ac:dyDescent="0.25">
      <c r="A75" s="26">
        <v>14</v>
      </c>
      <c r="B75" s="26" t="s">
        <v>261</v>
      </c>
      <c r="C75" s="26">
        <v>88</v>
      </c>
      <c r="E75" s="61" t="s">
        <v>311</v>
      </c>
      <c r="F75" s="30"/>
      <c r="H75" s="26">
        <v>0.8</v>
      </c>
    </row>
    <row r="76" spans="1:8" x14ac:dyDescent="0.25">
      <c r="A76" s="26">
        <v>15</v>
      </c>
      <c r="B76" s="26" t="s">
        <v>260</v>
      </c>
      <c r="C76" s="26">
        <v>91</v>
      </c>
      <c r="E76" s="61" t="s">
        <v>312</v>
      </c>
      <c r="F76" s="30"/>
      <c r="H76" s="26">
        <v>0.9</v>
      </c>
    </row>
    <row r="77" spans="1:8" x14ac:dyDescent="0.25">
      <c r="A77" s="26">
        <v>16</v>
      </c>
      <c r="B77" s="26" t="s">
        <v>274</v>
      </c>
      <c r="C77" s="26">
        <v>92</v>
      </c>
    </row>
    <row r="78" spans="1:8" x14ac:dyDescent="0.25">
      <c r="A78" s="26">
        <v>17</v>
      </c>
      <c r="B78" s="26" t="s">
        <v>259</v>
      </c>
      <c r="C78" s="26">
        <v>95</v>
      </c>
    </row>
    <row r="79" spans="1:8" x14ac:dyDescent="0.25">
      <c r="A79" s="26">
        <v>18</v>
      </c>
      <c r="B79" s="26" t="s">
        <v>273</v>
      </c>
      <c r="C79" s="26">
        <v>100</v>
      </c>
    </row>
    <row r="81" spans="1:7" ht="30" x14ac:dyDescent="0.25">
      <c r="A81" s="62" t="s">
        <v>2</v>
      </c>
      <c r="B81" s="62" t="s">
        <v>256</v>
      </c>
      <c r="C81" s="62" t="s">
        <v>254</v>
      </c>
      <c r="E81" s="62" t="s">
        <v>92</v>
      </c>
    </row>
    <row r="82" spans="1:7" x14ac:dyDescent="0.25">
      <c r="A82" s="26">
        <v>1</v>
      </c>
      <c r="B82" s="26" t="s">
        <v>257</v>
      </c>
      <c r="C82" s="26">
        <v>12</v>
      </c>
      <c r="E82" s="87">
        <f>_xlfn.PERCENTRANK.EXC($C$82:$C$99,C82)</f>
        <v>5.1999999999999998E-2</v>
      </c>
    </row>
    <row r="83" spans="1:7" x14ac:dyDescent="0.25">
      <c r="A83" s="26">
        <v>2</v>
      </c>
      <c r="B83" s="26" t="s">
        <v>258</v>
      </c>
      <c r="C83" s="26">
        <v>54</v>
      </c>
      <c r="E83" s="87">
        <f t="shared" ref="E83:E99" si="0">_xlfn.PERCENTRANK.EXC($C$82:$C$99,C83)</f>
        <v>0.105</v>
      </c>
    </row>
    <row r="84" spans="1:7" x14ac:dyDescent="0.25">
      <c r="A84" s="26">
        <v>3</v>
      </c>
      <c r="B84" s="26" t="s">
        <v>262</v>
      </c>
      <c r="C84" s="26">
        <v>56</v>
      </c>
      <c r="E84" s="87">
        <f t="shared" si="0"/>
        <v>0.157</v>
      </c>
    </row>
    <row r="85" spans="1:7" x14ac:dyDescent="0.25">
      <c r="A85" s="26">
        <v>4</v>
      </c>
      <c r="B85" s="26" t="s">
        <v>263</v>
      </c>
      <c r="C85" s="26">
        <v>62</v>
      </c>
      <c r="E85" s="87">
        <f t="shared" si="0"/>
        <v>0.21</v>
      </c>
    </row>
    <row r="86" spans="1:7" x14ac:dyDescent="0.25">
      <c r="A86" s="26">
        <v>5</v>
      </c>
      <c r="B86" s="26" t="s">
        <v>264</v>
      </c>
      <c r="C86" s="26">
        <v>69</v>
      </c>
      <c r="E86" s="87">
        <f t="shared" si="0"/>
        <v>0.26300000000000001</v>
      </c>
    </row>
    <row r="87" spans="1:7" x14ac:dyDescent="0.25">
      <c r="A87" s="26">
        <v>6</v>
      </c>
      <c r="B87" s="26" t="s">
        <v>265</v>
      </c>
      <c r="C87" s="26">
        <v>72</v>
      </c>
      <c r="E87" s="87">
        <f t="shared" si="0"/>
        <v>0.315</v>
      </c>
    </row>
    <row r="88" spans="1:7" x14ac:dyDescent="0.25">
      <c r="A88" s="26">
        <v>7</v>
      </c>
      <c r="B88" s="26" t="s">
        <v>266</v>
      </c>
      <c r="C88" s="26">
        <v>73</v>
      </c>
      <c r="E88" s="87">
        <f t="shared" si="0"/>
        <v>0.36799999999999999</v>
      </c>
    </row>
    <row r="89" spans="1:7" x14ac:dyDescent="0.25">
      <c r="A89" s="26">
        <v>8</v>
      </c>
      <c r="B89" s="26" t="s">
        <v>267</v>
      </c>
      <c r="C89" s="26">
        <v>74</v>
      </c>
      <c r="E89" s="87">
        <f t="shared" si="0"/>
        <v>0.42099999999999999</v>
      </c>
    </row>
    <row r="90" spans="1:7" x14ac:dyDescent="0.25">
      <c r="A90" s="26">
        <v>9</v>
      </c>
      <c r="B90" s="26" t="s">
        <v>268</v>
      </c>
      <c r="C90" s="26">
        <v>78</v>
      </c>
      <c r="E90" s="87">
        <f t="shared" si="0"/>
        <v>0.47299999999999998</v>
      </c>
    </row>
    <row r="91" spans="1:7" x14ac:dyDescent="0.25">
      <c r="A91" s="26">
        <v>10</v>
      </c>
      <c r="B91" s="26" t="s">
        <v>269</v>
      </c>
      <c r="C91" s="26">
        <v>82</v>
      </c>
      <c r="E91" s="87">
        <f t="shared" si="0"/>
        <v>0.52600000000000002</v>
      </c>
    </row>
    <row r="92" spans="1:7" x14ac:dyDescent="0.25">
      <c r="A92" s="26">
        <v>11</v>
      </c>
      <c r="B92" s="26" t="s">
        <v>270</v>
      </c>
      <c r="C92" s="26">
        <v>83</v>
      </c>
      <c r="E92" s="87">
        <f t="shared" si="0"/>
        <v>0.57799999999999996</v>
      </c>
    </row>
    <row r="93" spans="1:7" x14ac:dyDescent="0.25">
      <c r="A93" s="26">
        <v>12</v>
      </c>
      <c r="B93" s="26" t="s">
        <v>271</v>
      </c>
      <c r="C93" s="26">
        <v>87</v>
      </c>
      <c r="E93" s="87">
        <f t="shared" si="0"/>
        <v>0.63100000000000001</v>
      </c>
    </row>
    <row r="94" spans="1:7" x14ac:dyDescent="0.25">
      <c r="A94" s="26">
        <v>13</v>
      </c>
      <c r="B94" s="26" t="s">
        <v>272</v>
      </c>
      <c r="C94" s="26">
        <v>88</v>
      </c>
      <c r="E94" s="87">
        <f t="shared" si="0"/>
        <v>0.68400000000000005</v>
      </c>
      <c r="G94" s="239"/>
    </row>
    <row r="95" spans="1:7" x14ac:dyDescent="0.25">
      <c r="A95" s="26">
        <v>14</v>
      </c>
      <c r="B95" s="26" t="s">
        <v>261</v>
      </c>
      <c r="C95" s="26">
        <v>88</v>
      </c>
      <c r="E95" s="87">
        <f t="shared" si="0"/>
        <v>0.68400000000000005</v>
      </c>
    </row>
    <row r="96" spans="1:7" x14ac:dyDescent="0.25">
      <c r="A96" s="26">
        <v>15</v>
      </c>
      <c r="B96" s="26" t="s">
        <v>260</v>
      </c>
      <c r="C96" s="26">
        <v>91</v>
      </c>
      <c r="E96" s="87">
        <f t="shared" si="0"/>
        <v>0.78900000000000003</v>
      </c>
    </row>
    <row r="97" spans="1:13" x14ac:dyDescent="0.25">
      <c r="A97" s="26">
        <v>16</v>
      </c>
      <c r="B97" s="26" t="s">
        <v>274</v>
      </c>
      <c r="C97" s="26">
        <v>92</v>
      </c>
      <c r="E97" s="87">
        <f t="shared" si="0"/>
        <v>0.84199999999999997</v>
      </c>
    </row>
    <row r="98" spans="1:13" x14ac:dyDescent="0.25">
      <c r="A98" s="26">
        <v>17</v>
      </c>
      <c r="B98" s="26" t="s">
        <v>259</v>
      </c>
      <c r="C98" s="26">
        <v>95</v>
      </c>
      <c r="E98" s="87">
        <f t="shared" si="0"/>
        <v>0.89400000000000002</v>
      </c>
    </row>
    <row r="99" spans="1:13" x14ac:dyDescent="0.25">
      <c r="A99" s="26">
        <v>18</v>
      </c>
      <c r="B99" s="26" t="s">
        <v>273</v>
      </c>
      <c r="C99" s="26">
        <v>100</v>
      </c>
      <c r="E99" s="87">
        <f t="shared" si="0"/>
        <v>0.94699999999999995</v>
      </c>
    </row>
    <row r="103" spans="1:13" ht="30" x14ac:dyDescent="0.25">
      <c r="A103" s="62" t="s">
        <v>2</v>
      </c>
      <c r="B103" s="62" t="s">
        <v>256</v>
      </c>
      <c r="C103" s="62" t="s">
        <v>254</v>
      </c>
    </row>
    <row r="104" spans="1:13" x14ac:dyDescent="0.25">
      <c r="A104" s="26">
        <v>1</v>
      </c>
      <c r="B104" s="26" t="s">
        <v>257</v>
      </c>
      <c r="C104" s="26">
        <v>12</v>
      </c>
      <c r="E104" s="62" t="s">
        <v>288</v>
      </c>
      <c r="F104" s="84">
        <v>0.75</v>
      </c>
      <c r="H104" t="s">
        <v>251</v>
      </c>
    </row>
    <row r="105" spans="1:13" x14ac:dyDescent="0.25">
      <c r="A105" s="26">
        <v>2</v>
      </c>
      <c r="B105" s="26" t="s">
        <v>258</v>
      </c>
      <c r="C105" s="26">
        <v>54</v>
      </c>
      <c r="E105" s="26" t="s">
        <v>289</v>
      </c>
      <c r="F105" s="88"/>
      <c r="H105" s="54" t="s">
        <v>252</v>
      </c>
    </row>
    <row r="106" spans="1:13" x14ac:dyDescent="0.25">
      <c r="A106" s="26">
        <v>3</v>
      </c>
      <c r="B106" s="26" t="s">
        <v>262</v>
      </c>
      <c r="C106" s="26">
        <v>56</v>
      </c>
      <c r="E106" s="26" t="s">
        <v>417</v>
      </c>
      <c r="F106" s="88"/>
      <c r="H106" s="54" t="s">
        <v>253</v>
      </c>
    </row>
    <row r="107" spans="1:13" x14ac:dyDescent="0.25">
      <c r="A107" s="26">
        <v>4</v>
      </c>
      <c r="B107" s="26" t="s">
        <v>263</v>
      </c>
      <c r="C107" s="26">
        <v>62</v>
      </c>
      <c r="E107" t="s">
        <v>945</v>
      </c>
    </row>
    <row r="108" spans="1:13" x14ac:dyDescent="0.25">
      <c r="A108" s="26">
        <v>5</v>
      </c>
      <c r="B108" s="26" t="s">
        <v>264</v>
      </c>
      <c r="C108" s="26">
        <v>69</v>
      </c>
      <c r="F108" s="82" t="s">
        <v>294</v>
      </c>
      <c r="G108" s="83"/>
      <c r="I108" s="82" t="s">
        <v>293</v>
      </c>
      <c r="J108" s="83"/>
      <c r="L108" s="82" t="s">
        <v>294</v>
      </c>
      <c r="M108" s="83"/>
    </row>
    <row r="109" spans="1:13" x14ac:dyDescent="0.25">
      <c r="A109" s="26">
        <v>6</v>
      </c>
      <c r="B109" s="26" t="s">
        <v>265</v>
      </c>
      <c r="C109" s="26">
        <v>72</v>
      </c>
      <c r="E109" s="22" t="s">
        <v>302</v>
      </c>
      <c r="F109" s="61" t="s">
        <v>301</v>
      </c>
      <c r="G109" s="62" t="s">
        <v>299</v>
      </c>
      <c r="I109" s="61" t="s">
        <v>301</v>
      </c>
      <c r="J109" s="62" t="s">
        <v>299</v>
      </c>
      <c r="L109" s="61" t="s">
        <v>946</v>
      </c>
    </row>
    <row r="110" spans="1:13" x14ac:dyDescent="0.25">
      <c r="A110" s="26">
        <v>7</v>
      </c>
      <c r="B110" s="26" t="s">
        <v>266</v>
      </c>
      <c r="C110" s="26">
        <v>73</v>
      </c>
      <c r="F110" s="30"/>
      <c r="G110" s="26">
        <v>0</v>
      </c>
      <c r="I110" s="30"/>
      <c r="J110" s="26">
        <v>0</v>
      </c>
      <c r="L110" s="60">
        <f>F104*COUNT($C$104:$C$121)+(1-F104)</f>
        <v>13.75</v>
      </c>
      <c r="M110" t="s">
        <v>947</v>
      </c>
    </row>
    <row r="111" spans="1:13" x14ac:dyDescent="0.25">
      <c r="A111" s="26">
        <v>8</v>
      </c>
      <c r="B111" s="26" t="s">
        <v>267</v>
      </c>
      <c r="C111" s="26">
        <v>74</v>
      </c>
      <c r="F111" s="30"/>
      <c r="G111" s="26">
        <v>0.25</v>
      </c>
      <c r="I111" s="30"/>
      <c r="J111" s="26">
        <v>0.25</v>
      </c>
      <c r="L111" s="60">
        <f>C116+(C117-C116)*MOD(L110,1)</f>
        <v>88</v>
      </c>
      <c r="M111" t="s">
        <v>948</v>
      </c>
    </row>
    <row r="112" spans="1:13" x14ac:dyDescent="0.25">
      <c r="A112" s="26">
        <v>9</v>
      </c>
      <c r="B112" s="26" t="s">
        <v>268</v>
      </c>
      <c r="C112" s="26">
        <v>78</v>
      </c>
      <c r="F112" s="30"/>
      <c r="G112" s="26">
        <v>0.5</v>
      </c>
      <c r="I112" s="30"/>
      <c r="J112" s="26">
        <v>0.5</v>
      </c>
    </row>
    <row r="113" spans="1:10" x14ac:dyDescent="0.25">
      <c r="A113" s="26">
        <v>10</v>
      </c>
      <c r="B113" s="26" t="s">
        <v>269</v>
      </c>
      <c r="C113" s="26">
        <v>82</v>
      </c>
      <c r="F113" s="30"/>
      <c r="G113" s="26">
        <v>0.75</v>
      </c>
      <c r="I113" s="30"/>
      <c r="J113" s="26">
        <v>0.75</v>
      </c>
    </row>
    <row r="114" spans="1:10" x14ac:dyDescent="0.25">
      <c r="A114" s="26">
        <v>11</v>
      </c>
      <c r="B114" s="26" t="s">
        <v>270</v>
      </c>
      <c r="C114" s="26">
        <v>83</v>
      </c>
      <c r="F114" s="30"/>
      <c r="G114" s="26">
        <v>1</v>
      </c>
      <c r="I114" s="30"/>
      <c r="J114" s="26">
        <v>1</v>
      </c>
    </row>
    <row r="115" spans="1:10" x14ac:dyDescent="0.25">
      <c r="A115" s="26">
        <v>12</v>
      </c>
      <c r="B115" s="26" t="s">
        <v>271</v>
      </c>
      <c r="C115" s="26">
        <v>87</v>
      </c>
    </row>
    <row r="116" spans="1:10" x14ac:dyDescent="0.25">
      <c r="A116" s="26">
        <v>13</v>
      </c>
      <c r="B116" s="26" t="s">
        <v>272</v>
      </c>
      <c r="C116" s="26">
        <v>88</v>
      </c>
      <c r="F116" s="61" t="s">
        <v>301</v>
      </c>
      <c r="G116" s="62" t="s">
        <v>300</v>
      </c>
    </row>
    <row r="117" spans="1:10" x14ac:dyDescent="0.25">
      <c r="A117" s="26">
        <v>14</v>
      </c>
      <c r="B117" s="26" t="s">
        <v>261</v>
      </c>
      <c r="C117" s="26">
        <v>88</v>
      </c>
      <c r="F117" s="30"/>
      <c r="G117" s="26">
        <v>0</v>
      </c>
    </row>
    <row r="118" spans="1:10" x14ac:dyDescent="0.25">
      <c r="A118" s="26">
        <v>15</v>
      </c>
      <c r="B118" s="26" t="s">
        <v>260</v>
      </c>
      <c r="C118" s="26">
        <v>91</v>
      </c>
      <c r="F118" s="30"/>
      <c r="G118" s="26">
        <v>1</v>
      </c>
    </row>
    <row r="119" spans="1:10" x14ac:dyDescent="0.25">
      <c r="A119" s="26">
        <v>16</v>
      </c>
      <c r="B119" s="26" t="s">
        <v>274</v>
      </c>
      <c r="C119" s="26">
        <v>92</v>
      </c>
      <c r="F119" s="30"/>
      <c r="G119" s="26">
        <v>2</v>
      </c>
    </row>
    <row r="120" spans="1:10" x14ac:dyDescent="0.25">
      <c r="A120" s="26">
        <v>17</v>
      </c>
      <c r="B120" s="26" t="s">
        <v>259</v>
      </c>
      <c r="C120" s="26">
        <v>95</v>
      </c>
      <c r="F120" s="30"/>
      <c r="G120" s="26">
        <v>3</v>
      </c>
    </row>
    <row r="121" spans="1:10" x14ac:dyDescent="0.25">
      <c r="A121" s="26">
        <v>18</v>
      </c>
      <c r="B121" s="26" t="s">
        <v>273</v>
      </c>
      <c r="C121" s="26">
        <v>100</v>
      </c>
      <c r="F121" s="30"/>
      <c r="G121" s="26">
        <v>4</v>
      </c>
    </row>
    <row r="124" spans="1:10" ht="45" x14ac:dyDescent="0.25">
      <c r="A124" s="33" t="s">
        <v>254</v>
      </c>
      <c r="E124" s="1" t="s">
        <v>290</v>
      </c>
      <c r="F124" s="1" t="s">
        <v>291</v>
      </c>
      <c r="G124" s="1" t="s">
        <v>292</v>
      </c>
    </row>
    <row r="125" spans="1:10" x14ac:dyDescent="0.25">
      <c r="A125" s="26">
        <v>32</v>
      </c>
      <c r="E125" s="26" t="s">
        <v>293</v>
      </c>
      <c r="F125" s="26">
        <v>0.75</v>
      </c>
      <c r="G125" s="30"/>
    </row>
    <row r="126" spans="1:10" x14ac:dyDescent="0.25">
      <c r="A126" s="26">
        <v>43</v>
      </c>
      <c r="E126" s="26" t="s">
        <v>294</v>
      </c>
      <c r="F126" s="26">
        <v>0.75</v>
      </c>
      <c r="G126" s="30"/>
    </row>
    <row r="127" spans="1:10" x14ac:dyDescent="0.25">
      <c r="A127" s="26">
        <v>86</v>
      </c>
      <c r="E127" s="26" t="s">
        <v>295</v>
      </c>
      <c r="F127" s="26">
        <v>3</v>
      </c>
      <c r="G127" s="30"/>
    </row>
    <row r="128" spans="1:10" x14ac:dyDescent="0.25">
      <c r="A128" s="26">
        <v>63</v>
      </c>
      <c r="E128" s="26" t="s">
        <v>296</v>
      </c>
      <c r="F128" s="26">
        <v>3</v>
      </c>
      <c r="G128" s="30"/>
    </row>
    <row r="129" spans="1:7" x14ac:dyDescent="0.25">
      <c r="A129" s="26">
        <v>36</v>
      </c>
      <c r="E129" s="26" t="s">
        <v>297</v>
      </c>
      <c r="F129" s="56">
        <v>74</v>
      </c>
      <c r="G129" s="30"/>
    </row>
    <row r="130" spans="1:7" x14ac:dyDescent="0.25">
      <c r="A130" s="26">
        <v>36</v>
      </c>
      <c r="E130" s="26" t="s">
        <v>298</v>
      </c>
      <c r="F130" s="56">
        <v>74</v>
      </c>
      <c r="G130" s="30"/>
    </row>
    <row r="131" spans="1:7" x14ac:dyDescent="0.25">
      <c r="A131" s="26">
        <v>52</v>
      </c>
    </row>
    <row r="132" spans="1:7" x14ac:dyDescent="0.25">
      <c r="A132" s="26">
        <v>88</v>
      </c>
    </row>
    <row r="133" spans="1:7" x14ac:dyDescent="0.25">
      <c r="A133" s="26">
        <v>51</v>
      </c>
    </row>
    <row r="134" spans="1:7" x14ac:dyDescent="0.25">
      <c r="A134" s="26">
        <v>89</v>
      </c>
    </row>
    <row r="135" spans="1:7" x14ac:dyDescent="0.25">
      <c r="A135" s="26">
        <v>44</v>
      </c>
    </row>
    <row r="136" spans="1:7" x14ac:dyDescent="0.25">
      <c r="A136" s="26">
        <v>39</v>
      </c>
    </row>
    <row r="137" spans="1:7" x14ac:dyDescent="0.25">
      <c r="A137" s="26">
        <v>10</v>
      </c>
    </row>
    <row r="138" spans="1:7" x14ac:dyDescent="0.25">
      <c r="A138" s="26">
        <v>74</v>
      </c>
    </row>
    <row r="139" spans="1:7" x14ac:dyDescent="0.25">
      <c r="A139" s="26">
        <v>82</v>
      </c>
    </row>
    <row r="140" spans="1:7" x14ac:dyDescent="0.25">
      <c r="A140" s="26">
        <v>20</v>
      </c>
    </row>
    <row r="141" spans="1:7" x14ac:dyDescent="0.25">
      <c r="A141" s="26">
        <v>14</v>
      </c>
    </row>
    <row r="142" spans="1:7" x14ac:dyDescent="0.25">
      <c r="A142" s="26">
        <v>43</v>
      </c>
    </row>
    <row r="143" spans="1:7" x14ac:dyDescent="0.25">
      <c r="A143" s="26">
        <v>10</v>
      </c>
    </row>
    <row r="144" spans="1:7" x14ac:dyDescent="0.25">
      <c r="A144" s="26">
        <v>41</v>
      </c>
    </row>
    <row r="145" spans="1:1" x14ac:dyDescent="0.25">
      <c r="A145" s="26">
        <v>44</v>
      </c>
    </row>
    <row r="146" spans="1:1" x14ac:dyDescent="0.25">
      <c r="A146" s="26">
        <v>86</v>
      </c>
    </row>
    <row r="147" spans="1:1" x14ac:dyDescent="0.25">
      <c r="A147" s="26">
        <v>89</v>
      </c>
    </row>
    <row r="148" spans="1:1" x14ac:dyDescent="0.25">
      <c r="A148" s="26">
        <v>78</v>
      </c>
    </row>
    <row r="149" spans="1:1" x14ac:dyDescent="0.25">
      <c r="A149" s="26">
        <v>30</v>
      </c>
    </row>
    <row r="150" spans="1:1" x14ac:dyDescent="0.25">
      <c r="A150" s="26">
        <v>8</v>
      </c>
    </row>
    <row r="151" spans="1:1" x14ac:dyDescent="0.25">
      <c r="A151" s="26">
        <v>13</v>
      </c>
    </row>
    <row r="152" spans="1:1" x14ac:dyDescent="0.25">
      <c r="A152" s="26">
        <v>4</v>
      </c>
    </row>
    <row r="153" spans="1:1" x14ac:dyDescent="0.25">
      <c r="A153" s="26">
        <v>38</v>
      </c>
    </row>
    <row r="154" spans="1:1" x14ac:dyDescent="0.25">
      <c r="A154" s="26">
        <v>83</v>
      </c>
    </row>
    <row r="155" spans="1:1" x14ac:dyDescent="0.25">
      <c r="A155" s="26">
        <v>70</v>
      </c>
    </row>
    <row r="156" spans="1:1" x14ac:dyDescent="0.25">
      <c r="A156" s="26">
        <v>37</v>
      </c>
    </row>
    <row r="157" spans="1:1" x14ac:dyDescent="0.25">
      <c r="A157" s="26">
        <v>69</v>
      </c>
    </row>
    <row r="158" spans="1:1" x14ac:dyDescent="0.25">
      <c r="A158" s="26">
        <v>86</v>
      </c>
    </row>
    <row r="159" spans="1:1" x14ac:dyDescent="0.25">
      <c r="A159" s="26">
        <v>63</v>
      </c>
    </row>
    <row r="160" spans="1:1" x14ac:dyDescent="0.25">
      <c r="A160" s="26">
        <v>23</v>
      </c>
    </row>
    <row r="161" spans="1:1" x14ac:dyDescent="0.25">
      <c r="A161" s="26">
        <v>20</v>
      </c>
    </row>
    <row r="162" spans="1:1" x14ac:dyDescent="0.25">
      <c r="A162" s="26">
        <v>23</v>
      </c>
    </row>
    <row r="163" spans="1:1" x14ac:dyDescent="0.25">
      <c r="A163" s="26">
        <v>61</v>
      </c>
    </row>
    <row r="164" spans="1:1" x14ac:dyDescent="0.25">
      <c r="A164" s="26">
        <v>60</v>
      </c>
    </row>
    <row r="165" spans="1:1" x14ac:dyDescent="0.25">
      <c r="A165" s="26">
        <v>93</v>
      </c>
    </row>
    <row r="166" spans="1:1" x14ac:dyDescent="0.25">
      <c r="A166" s="26">
        <v>75</v>
      </c>
    </row>
    <row r="167" spans="1:1" x14ac:dyDescent="0.25">
      <c r="A167" s="26">
        <v>29</v>
      </c>
    </row>
    <row r="168" spans="1:1" x14ac:dyDescent="0.25">
      <c r="A168" s="26">
        <v>11</v>
      </c>
    </row>
    <row r="169" spans="1:1" x14ac:dyDescent="0.25">
      <c r="A169" s="26">
        <v>29</v>
      </c>
    </row>
    <row r="170" spans="1:1" x14ac:dyDescent="0.25">
      <c r="A170" s="26">
        <v>2</v>
      </c>
    </row>
    <row r="171" spans="1:1" x14ac:dyDescent="0.25">
      <c r="A171" s="26">
        <v>25</v>
      </c>
    </row>
    <row r="172" spans="1:1" x14ac:dyDescent="0.25">
      <c r="A172" s="26">
        <v>94</v>
      </c>
    </row>
    <row r="173" spans="1:1" x14ac:dyDescent="0.25">
      <c r="A173" s="26">
        <v>73</v>
      </c>
    </row>
    <row r="174" spans="1:1" x14ac:dyDescent="0.25">
      <c r="A174" s="26">
        <v>56</v>
      </c>
    </row>
    <row r="175" spans="1:1" x14ac:dyDescent="0.25">
      <c r="A175" s="26">
        <v>6</v>
      </c>
    </row>
    <row r="176" spans="1:1" x14ac:dyDescent="0.25">
      <c r="A176" s="26">
        <v>33</v>
      </c>
    </row>
    <row r="177" spans="1:1" x14ac:dyDescent="0.25">
      <c r="A177" s="26">
        <v>27</v>
      </c>
    </row>
    <row r="178" spans="1:1" x14ac:dyDescent="0.25">
      <c r="A178" s="26">
        <v>64</v>
      </c>
    </row>
    <row r="179" spans="1:1" x14ac:dyDescent="0.25">
      <c r="A179" s="26">
        <v>5</v>
      </c>
    </row>
    <row r="180" spans="1:1" x14ac:dyDescent="0.25">
      <c r="A180" s="26">
        <v>72</v>
      </c>
    </row>
    <row r="181" spans="1:1" x14ac:dyDescent="0.25">
      <c r="A181" s="26">
        <v>87</v>
      </c>
    </row>
    <row r="182" spans="1:1" x14ac:dyDescent="0.25">
      <c r="A182" s="26">
        <v>2</v>
      </c>
    </row>
    <row r="183" spans="1:1" x14ac:dyDescent="0.25">
      <c r="A183" s="26">
        <v>33</v>
      </c>
    </row>
    <row r="184" spans="1:1" x14ac:dyDescent="0.25">
      <c r="A184" s="26">
        <v>48</v>
      </c>
    </row>
    <row r="185" spans="1:1" x14ac:dyDescent="0.25">
      <c r="A185" s="26">
        <v>12</v>
      </c>
    </row>
    <row r="186" spans="1:1" x14ac:dyDescent="0.25">
      <c r="A186" s="26">
        <v>57</v>
      </c>
    </row>
    <row r="187" spans="1:1" x14ac:dyDescent="0.25">
      <c r="A187" s="26">
        <v>42</v>
      </c>
    </row>
    <row r="188" spans="1:1" x14ac:dyDescent="0.25">
      <c r="A188" s="26">
        <v>41</v>
      </c>
    </row>
    <row r="189" spans="1:1" x14ac:dyDescent="0.25">
      <c r="A189" s="26">
        <v>89</v>
      </c>
    </row>
    <row r="190" spans="1:1" x14ac:dyDescent="0.25">
      <c r="A190" s="26">
        <v>63</v>
      </c>
    </row>
    <row r="191" spans="1:1" x14ac:dyDescent="0.25">
      <c r="A191" s="26">
        <v>26</v>
      </c>
    </row>
    <row r="192" spans="1:1" x14ac:dyDescent="0.25">
      <c r="A192" s="26">
        <v>78</v>
      </c>
    </row>
    <row r="193" spans="1:1" x14ac:dyDescent="0.25">
      <c r="A193" s="26">
        <v>86</v>
      </c>
    </row>
    <row r="194" spans="1:1" x14ac:dyDescent="0.25">
      <c r="A194" s="26">
        <v>60</v>
      </c>
    </row>
    <row r="195" spans="1:1" x14ac:dyDescent="0.25">
      <c r="A195" s="26">
        <v>34</v>
      </c>
    </row>
    <row r="196" spans="1:1" x14ac:dyDescent="0.25">
      <c r="A196" s="26">
        <v>7</v>
      </c>
    </row>
    <row r="197" spans="1:1" x14ac:dyDescent="0.25">
      <c r="A197" s="26">
        <v>39</v>
      </c>
    </row>
    <row r="198" spans="1:1" x14ac:dyDescent="0.25">
      <c r="A198" s="26">
        <v>10</v>
      </c>
    </row>
    <row r="199" spans="1:1" x14ac:dyDescent="0.25">
      <c r="A199" s="26">
        <v>94</v>
      </c>
    </row>
    <row r="200" spans="1:1" x14ac:dyDescent="0.25">
      <c r="A200" s="26">
        <v>47</v>
      </c>
    </row>
    <row r="201" spans="1:1" x14ac:dyDescent="0.25">
      <c r="A201" s="26">
        <v>71</v>
      </c>
    </row>
    <row r="202" spans="1:1" x14ac:dyDescent="0.25">
      <c r="A202" s="26">
        <v>29</v>
      </c>
    </row>
    <row r="203" spans="1:1" x14ac:dyDescent="0.25">
      <c r="A203" s="26">
        <v>16</v>
      </c>
    </row>
    <row r="204" spans="1:1" x14ac:dyDescent="0.25">
      <c r="A204" s="26">
        <v>72</v>
      </c>
    </row>
    <row r="205" spans="1:1" x14ac:dyDescent="0.25">
      <c r="A205" s="26">
        <v>45</v>
      </c>
    </row>
    <row r="206" spans="1:1" x14ac:dyDescent="0.25">
      <c r="A206" s="26">
        <v>1</v>
      </c>
    </row>
    <row r="207" spans="1:1" x14ac:dyDescent="0.25">
      <c r="A207" s="26">
        <v>10</v>
      </c>
    </row>
    <row r="208" spans="1:1" x14ac:dyDescent="0.25">
      <c r="A208" s="26">
        <v>81</v>
      </c>
    </row>
    <row r="209" spans="1:1" x14ac:dyDescent="0.25">
      <c r="A209" s="26">
        <v>51</v>
      </c>
    </row>
    <row r="210" spans="1:1" x14ac:dyDescent="0.25">
      <c r="A210" s="26">
        <v>78</v>
      </c>
    </row>
    <row r="211" spans="1:1" x14ac:dyDescent="0.25">
      <c r="A211" s="26">
        <v>20</v>
      </c>
    </row>
    <row r="212" spans="1:1" x14ac:dyDescent="0.25">
      <c r="A212" s="26">
        <v>32</v>
      </c>
    </row>
    <row r="213" spans="1:1" x14ac:dyDescent="0.25">
      <c r="A213" s="26">
        <v>60</v>
      </c>
    </row>
    <row r="214" spans="1:1" x14ac:dyDescent="0.25">
      <c r="A214" s="26">
        <v>82</v>
      </c>
    </row>
    <row r="215" spans="1:1" x14ac:dyDescent="0.25">
      <c r="A215" s="26">
        <v>64</v>
      </c>
    </row>
    <row r="216" spans="1:1" x14ac:dyDescent="0.25">
      <c r="A216" s="26">
        <v>77</v>
      </c>
    </row>
    <row r="217" spans="1:1" x14ac:dyDescent="0.25">
      <c r="A217" s="26">
        <v>68</v>
      </c>
    </row>
    <row r="218" spans="1:1" x14ac:dyDescent="0.25">
      <c r="A218" s="26">
        <v>43</v>
      </c>
    </row>
    <row r="219" spans="1:1" x14ac:dyDescent="0.25">
      <c r="A219" s="26">
        <v>8</v>
      </c>
    </row>
    <row r="220" spans="1:1" x14ac:dyDescent="0.25">
      <c r="A220" s="26">
        <v>83</v>
      </c>
    </row>
    <row r="221" spans="1:1" x14ac:dyDescent="0.25">
      <c r="A221" s="26">
        <v>15</v>
      </c>
    </row>
    <row r="222" spans="1:1" x14ac:dyDescent="0.25">
      <c r="A222" s="26">
        <v>79</v>
      </c>
    </row>
    <row r="223" spans="1:1" x14ac:dyDescent="0.25">
      <c r="A223" s="26">
        <v>65</v>
      </c>
    </row>
    <row r="224" spans="1:1" x14ac:dyDescent="0.25">
      <c r="A224" s="26">
        <v>74</v>
      </c>
    </row>
    <row r="225" spans="1:1" x14ac:dyDescent="0.25">
      <c r="A225" s="26">
        <v>2</v>
      </c>
    </row>
    <row r="226" spans="1:1" x14ac:dyDescent="0.25">
      <c r="A226" s="26">
        <v>78</v>
      </c>
    </row>
    <row r="227" spans="1:1" x14ac:dyDescent="0.25">
      <c r="A227" s="26">
        <v>59</v>
      </c>
    </row>
    <row r="228" spans="1:1" x14ac:dyDescent="0.25">
      <c r="A228" s="26">
        <v>79</v>
      </c>
    </row>
    <row r="229" spans="1:1" x14ac:dyDescent="0.25">
      <c r="A229" s="26">
        <v>91</v>
      </c>
    </row>
    <row r="230" spans="1:1" x14ac:dyDescent="0.25">
      <c r="A230" s="26">
        <v>83</v>
      </c>
    </row>
    <row r="231" spans="1:1" x14ac:dyDescent="0.25">
      <c r="A231" s="26">
        <v>62</v>
      </c>
    </row>
    <row r="232" spans="1:1" x14ac:dyDescent="0.25">
      <c r="A232" s="26">
        <v>61</v>
      </c>
    </row>
    <row r="233" spans="1:1" x14ac:dyDescent="0.25">
      <c r="A233" s="26">
        <v>59</v>
      </c>
    </row>
    <row r="234" spans="1:1" x14ac:dyDescent="0.25">
      <c r="A234" s="26">
        <v>45</v>
      </c>
    </row>
    <row r="235" spans="1:1" x14ac:dyDescent="0.25">
      <c r="A235" s="26">
        <v>62</v>
      </c>
    </row>
    <row r="236" spans="1:1" x14ac:dyDescent="0.25">
      <c r="A236" s="26">
        <v>27</v>
      </c>
    </row>
    <row r="237" spans="1:1" x14ac:dyDescent="0.25">
      <c r="A237" s="26">
        <v>65</v>
      </c>
    </row>
    <row r="238" spans="1:1" x14ac:dyDescent="0.25">
      <c r="A238" s="26">
        <v>82</v>
      </c>
    </row>
    <row r="239" spans="1:1" x14ac:dyDescent="0.25">
      <c r="A239" s="26">
        <v>48</v>
      </c>
    </row>
    <row r="240" spans="1:1" x14ac:dyDescent="0.25">
      <c r="A240" s="26">
        <v>70</v>
      </c>
    </row>
    <row r="241" spans="1:1" x14ac:dyDescent="0.25">
      <c r="A241" s="26">
        <v>91</v>
      </c>
    </row>
    <row r="242" spans="1:1" x14ac:dyDescent="0.25">
      <c r="A242" s="26">
        <v>71</v>
      </c>
    </row>
    <row r="243" spans="1:1" x14ac:dyDescent="0.25">
      <c r="A243" s="26">
        <v>92</v>
      </c>
    </row>
    <row r="244" spans="1:1" x14ac:dyDescent="0.25">
      <c r="A244" s="26">
        <v>71</v>
      </c>
    </row>
    <row r="245" spans="1:1" x14ac:dyDescent="0.25">
      <c r="A245" s="26">
        <v>56</v>
      </c>
    </row>
    <row r="246" spans="1:1" x14ac:dyDescent="0.25">
      <c r="A246" s="26">
        <v>60</v>
      </c>
    </row>
    <row r="247" spans="1:1" x14ac:dyDescent="0.25">
      <c r="A247" s="26">
        <v>71</v>
      </c>
    </row>
    <row r="248" spans="1:1" x14ac:dyDescent="0.25">
      <c r="A248" s="26">
        <v>96</v>
      </c>
    </row>
    <row r="249" spans="1:1" x14ac:dyDescent="0.25">
      <c r="A249" s="26">
        <v>66</v>
      </c>
    </row>
    <row r="250" spans="1:1" x14ac:dyDescent="0.25">
      <c r="A250" s="26">
        <v>55</v>
      </c>
    </row>
    <row r="251" spans="1:1" x14ac:dyDescent="0.25">
      <c r="A251" s="26">
        <v>69</v>
      </c>
    </row>
    <row r="252" spans="1:1" x14ac:dyDescent="0.25">
      <c r="A252" s="26">
        <v>78</v>
      </c>
    </row>
    <row r="253" spans="1:1" x14ac:dyDescent="0.25">
      <c r="A253" s="26">
        <v>12</v>
      </c>
    </row>
    <row r="254" spans="1:1" x14ac:dyDescent="0.25">
      <c r="A254" s="26">
        <v>57</v>
      </c>
    </row>
    <row r="255" spans="1:1" x14ac:dyDescent="0.25">
      <c r="A255" s="26">
        <v>71</v>
      </c>
    </row>
    <row r="256" spans="1:1" x14ac:dyDescent="0.25">
      <c r="A256" s="26">
        <v>75</v>
      </c>
    </row>
    <row r="257" spans="1:1" x14ac:dyDescent="0.25">
      <c r="A257" s="26">
        <v>45</v>
      </c>
    </row>
    <row r="258" spans="1:1" x14ac:dyDescent="0.25">
      <c r="A258" s="26">
        <v>69</v>
      </c>
    </row>
    <row r="259" spans="1:1" x14ac:dyDescent="0.25">
      <c r="A259" s="26">
        <v>68</v>
      </c>
    </row>
    <row r="260" spans="1:1" x14ac:dyDescent="0.25">
      <c r="A260" s="26">
        <v>36</v>
      </c>
    </row>
    <row r="261" spans="1:1" x14ac:dyDescent="0.25">
      <c r="A261" s="26">
        <v>67</v>
      </c>
    </row>
    <row r="262" spans="1:1" x14ac:dyDescent="0.25">
      <c r="A262" s="26">
        <v>69</v>
      </c>
    </row>
    <row r="263" spans="1:1" x14ac:dyDescent="0.25">
      <c r="A263" s="26">
        <v>70</v>
      </c>
    </row>
    <row r="264" spans="1:1" x14ac:dyDescent="0.25">
      <c r="A264" s="26">
        <v>69</v>
      </c>
    </row>
    <row r="265" spans="1:1" x14ac:dyDescent="0.25">
      <c r="A265" s="26">
        <v>24</v>
      </c>
    </row>
    <row r="266" spans="1:1" x14ac:dyDescent="0.25">
      <c r="A266" s="26">
        <v>13</v>
      </c>
    </row>
    <row r="267" spans="1:1" x14ac:dyDescent="0.25">
      <c r="A267" s="26">
        <v>88</v>
      </c>
    </row>
    <row r="268" spans="1:1" x14ac:dyDescent="0.25">
      <c r="A268" s="26">
        <v>68</v>
      </c>
    </row>
    <row r="269" spans="1:1" x14ac:dyDescent="0.25">
      <c r="A269" s="26">
        <v>96</v>
      </c>
    </row>
    <row r="270" spans="1:1" x14ac:dyDescent="0.25">
      <c r="A270" s="26">
        <v>9</v>
      </c>
    </row>
    <row r="271" spans="1:1" x14ac:dyDescent="0.25">
      <c r="A271" s="26">
        <v>85</v>
      </c>
    </row>
    <row r="272" spans="1:1" x14ac:dyDescent="0.25">
      <c r="A272" s="26">
        <v>69</v>
      </c>
    </row>
    <row r="273" spans="1:1" x14ac:dyDescent="0.25">
      <c r="A273" s="26">
        <v>18</v>
      </c>
    </row>
    <row r="274" spans="1:1" x14ac:dyDescent="0.25">
      <c r="A274" s="26">
        <v>72</v>
      </c>
    </row>
    <row r="275" spans="1:1" x14ac:dyDescent="0.25">
      <c r="A275" s="26">
        <v>74</v>
      </c>
    </row>
    <row r="276" spans="1:1" x14ac:dyDescent="0.25">
      <c r="A276" s="26">
        <v>91</v>
      </c>
    </row>
    <row r="277" spans="1:1" x14ac:dyDescent="0.25">
      <c r="A277" s="26">
        <v>74</v>
      </c>
    </row>
    <row r="278" spans="1:1" x14ac:dyDescent="0.25">
      <c r="A278" s="26">
        <v>93</v>
      </c>
    </row>
    <row r="279" spans="1:1" x14ac:dyDescent="0.25">
      <c r="A279" s="26">
        <v>83</v>
      </c>
    </row>
    <row r="280" spans="1:1" x14ac:dyDescent="0.25">
      <c r="A280" s="26">
        <v>80</v>
      </c>
    </row>
    <row r="281" spans="1:1" x14ac:dyDescent="0.25">
      <c r="A281" s="26">
        <v>87</v>
      </c>
    </row>
    <row r="282" spans="1:1" x14ac:dyDescent="0.25">
      <c r="A282" s="26">
        <v>78</v>
      </c>
    </row>
    <row r="283" spans="1:1" x14ac:dyDescent="0.25">
      <c r="A283" s="26">
        <v>61</v>
      </c>
    </row>
    <row r="284" spans="1:1" x14ac:dyDescent="0.25">
      <c r="A284" s="26">
        <v>71</v>
      </c>
    </row>
    <row r="285" spans="1:1" x14ac:dyDescent="0.25">
      <c r="A285" s="26">
        <v>51</v>
      </c>
    </row>
    <row r="286" spans="1:1" x14ac:dyDescent="0.25">
      <c r="A286" s="26">
        <v>69</v>
      </c>
    </row>
    <row r="287" spans="1:1" x14ac:dyDescent="0.25">
      <c r="A287" s="26">
        <v>36</v>
      </c>
    </row>
    <row r="288" spans="1:1" x14ac:dyDescent="0.25">
      <c r="A288" s="26">
        <v>73</v>
      </c>
    </row>
    <row r="289" spans="1:1" x14ac:dyDescent="0.25">
      <c r="A289" s="26">
        <v>71</v>
      </c>
    </row>
    <row r="290" spans="1:1" x14ac:dyDescent="0.25">
      <c r="A290" s="26">
        <v>73</v>
      </c>
    </row>
    <row r="291" spans="1:1" x14ac:dyDescent="0.25">
      <c r="A291" s="26">
        <v>74</v>
      </c>
    </row>
    <row r="292" spans="1:1" x14ac:dyDescent="0.25">
      <c r="A292" s="26">
        <v>41</v>
      </c>
    </row>
    <row r="293" spans="1:1" x14ac:dyDescent="0.25">
      <c r="A293" s="26">
        <v>40</v>
      </c>
    </row>
    <row r="294" spans="1:1" x14ac:dyDescent="0.25">
      <c r="A294" s="26">
        <v>86</v>
      </c>
    </row>
    <row r="295" spans="1:1" x14ac:dyDescent="0.25">
      <c r="A295" s="26">
        <v>74</v>
      </c>
    </row>
    <row r="296" spans="1:1" x14ac:dyDescent="0.25">
      <c r="A296" s="26">
        <v>92</v>
      </c>
    </row>
    <row r="297" spans="1:1" x14ac:dyDescent="0.25">
      <c r="A297" s="26">
        <v>52</v>
      </c>
    </row>
    <row r="298" spans="1:1" x14ac:dyDescent="0.25">
      <c r="A298" s="26">
        <v>76</v>
      </c>
    </row>
    <row r="299" spans="1:1" x14ac:dyDescent="0.25">
      <c r="A299" s="26">
        <v>64</v>
      </c>
    </row>
    <row r="300" spans="1:1" x14ac:dyDescent="0.25">
      <c r="A300" s="26">
        <v>85</v>
      </c>
    </row>
    <row r="301" spans="1:1" x14ac:dyDescent="0.25">
      <c r="A301" s="26">
        <v>96</v>
      </c>
    </row>
    <row r="302" spans="1:1" x14ac:dyDescent="0.25">
      <c r="A302" s="26">
        <v>81</v>
      </c>
    </row>
    <row r="303" spans="1:1" x14ac:dyDescent="0.25">
      <c r="A303" s="26">
        <v>75</v>
      </c>
    </row>
    <row r="304" spans="1:1" x14ac:dyDescent="0.25">
      <c r="A304" s="26">
        <v>73</v>
      </c>
    </row>
    <row r="305" spans="1:1" x14ac:dyDescent="0.25">
      <c r="A305" s="26">
        <v>66</v>
      </c>
    </row>
    <row r="306" spans="1:1" x14ac:dyDescent="0.25">
      <c r="A306" s="26">
        <v>79</v>
      </c>
    </row>
    <row r="307" spans="1:1" x14ac:dyDescent="0.25">
      <c r="A307" s="26">
        <v>65</v>
      </c>
    </row>
    <row r="308" spans="1:1" x14ac:dyDescent="0.25">
      <c r="A308" s="26">
        <v>78</v>
      </c>
    </row>
    <row r="309" spans="1:1" x14ac:dyDescent="0.25">
      <c r="A309" s="26">
        <v>77</v>
      </c>
    </row>
    <row r="310" spans="1:1" x14ac:dyDescent="0.25">
      <c r="A310" s="26">
        <v>76</v>
      </c>
    </row>
    <row r="311" spans="1:1" x14ac:dyDescent="0.25">
      <c r="A311" s="26">
        <v>44</v>
      </c>
    </row>
    <row r="312" spans="1:1" x14ac:dyDescent="0.25">
      <c r="A312" s="26">
        <v>52</v>
      </c>
    </row>
    <row r="313" spans="1:1" x14ac:dyDescent="0.25">
      <c r="A313" s="26">
        <v>65</v>
      </c>
    </row>
    <row r="314" spans="1:1" x14ac:dyDescent="0.25">
      <c r="A314" s="26">
        <v>65</v>
      </c>
    </row>
    <row r="315" spans="1:1" x14ac:dyDescent="0.25">
      <c r="A315" s="26">
        <v>74</v>
      </c>
    </row>
    <row r="316" spans="1:1" x14ac:dyDescent="0.25">
      <c r="A316" s="26">
        <v>36</v>
      </c>
    </row>
    <row r="317" spans="1:1" x14ac:dyDescent="0.25">
      <c r="A317" s="26">
        <v>37</v>
      </c>
    </row>
    <row r="318" spans="1:1" x14ac:dyDescent="0.25">
      <c r="A318" s="26">
        <v>62</v>
      </c>
    </row>
    <row r="319" spans="1:1" x14ac:dyDescent="0.25">
      <c r="A319" s="26">
        <v>38</v>
      </c>
    </row>
    <row r="320" spans="1:1" x14ac:dyDescent="0.25">
      <c r="A320" s="26">
        <v>76</v>
      </c>
    </row>
    <row r="321" spans="1:1" x14ac:dyDescent="0.25">
      <c r="A321" s="26">
        <v>52</v>
      </c>
    </row>
    <row r="322" spans="1:1" x14ac:dyDescent="0.25">
      <c r="A322" s="26">
        <v>65</v>
      </c>
    </row>
    <row r="323" spans="1:1" x14ac:dyDescent="0.25">
      <c r="A323" s="26">
        <v>38</v>
      </c>
    </row>
    <row r="324" spans="1:1" x14ac:dyDescent="0.25">
      <c r="A324" s="26">
        <v>43</v>
      </c>
    </row>
    <row r="325" spans="1:1" x14ac:dyDescent="0.25">
      <c r="A325" s="26">
        <v>78</v>
      </c>
    </row>
    <row r="326" spans="1:1" x14ac:dyDescent="0.25">
      <c r="A326" s="26">
        <v>72</v>
      </c>
    </row>
    <row r="327" spans="1:1" x14ac:dyDescent="0.25">
      <c r="A327" s="26">
        <v>63</v>
      </c>
    </row>
    <row r="328" spans="1:1" x14ac:dyDescent="0.25">
      <c r="A328" s="26">
        <v>57</v>
      </c>
    </row>
    <row r="329" spans="1:1" x14ac:dyDescent="0.25">
      <c r="A329" s="26">
        <v>86</v>
      </c>
    </row>
    <row r="330" spans="1:1" x14ac:dyDescent="0.25">
      <c r="A330" s="26">
        <v>4</v>
      </c>
    </row>
    <row r="331" spans="1:1" x14ac:dyDescent="0.25">
      <c r="A331" s="26">
        <v>77</v>
      </c>
    </row>
    <row r="332" spans="1:1" x14ac:dyDescent="0.25">
      <c r="A332" s="26">
        <v>77</v>
      </c>
    </row>
    <row r="333" spans="1:1" x14ac:dyDescent="0.25">
      <c r="A333" s="26">
        <v>59</v>
      </c>
    </row>
    <row r="334" spans="1:1" x14ac:dyDescent="0.25">
      <c r="A334" s="26">
        <v>70</v>
      </c>
    </row>
    <row r="335" spans="1:1" x14ac:dyDescent="0.25">
      <c r="A335" s="26">
        <v>61</v>
      </c>
    </row>
    <row r="336" spans="1:1" x14ac:dyDescent="0.25">
      <c r="A336" s="26">
        <v>81</v>
      </c>
    </row>
    <row r="337" spans="1:1" x14ac:dyDescent="0.25">
      <c r="A337" s="26">
        <v>94</v>
      </c>
    </row>
    <row r="338" spans="1:1" x14ac:dyDescent="0.25">
      <c r="A338" s="26">
        <v>84</v>
      </c>
    </row>
    <row r="339" spans="1:1" x14ac:dyDescent="0.25">
      <c r="A339" s="26">
        <v>69</v>
      </c>
    </row>
    <row r="340" spans="1:1" x14ac:dyDescent="0.25">
      <c r="A340" s="26">
        <v>78</v>
      </c>
    </row>
    <row r="341" spans="1:1" x14ac:dyDescent="0.25">
      <c r="A341" s="26">
        <v>2</v>
      </c>
    </row>
    <row r="342" spans="1:1" x14ac:dyDescent="0.25">
      <c r="A342" s="26">
        <v>69</v>
      </c>
    </row>
    <row r="343" spans="1:1" x14ac:dyDescent="0.25">
      <c r="A343" s="26">
        <v>80</v>
      </c>
    </row>
    <row r="344" spans="1:1" x14ac:dyDescent="0.25">
      <c r="A344" s="26">
        <v>83</v>
      </c>
    </row>
    <row r="345" spans="1:1" x14ac:dyDescent="0.25">
      <c r="A345" s="26">
        <v>68</v>
      </c>
    </row>
    <row r="346" spans="1:1" x14ac:dyDescent="0.25">
      <c r="A346" s="26">
        <v>68</v>
      </c>
    </row>
    <row r="347" spans="1:1" x14ac:dyDescent="0.25">
      <c r="A347" s="26">
        <v>76</v>
      </c>
    </row>
    <row r="348" spans="1:1" x14ac:dyDescent="0.25">
      <c r="A348" s="26">
        <v>73</v>
      </c>
    </row>
    <row r="349" spans="1:1" x14ac:dyDescent="0.25">
      <c r="A349" s="26">
        <v>38</v>
      </c>
    </row>
    <row r="350" spans="1:1" x14ac:dyDescent="0.25">
      <c r="A350" s="26">
        <v>28</v>
      </c>
    </row>
    <row r="351" spans="1:1" x14ac:dyDescent="0.25">
      <c r="A351" s="26">
        <v>97</v>
      </c>
    </row>
    <row r="352" spans="1:1" x14ac:dyDescent="0.25">
      <c r="A352" s="26">
        <v>50</v>
      </c>
    </row>
    <row r="353" spans="1:1" x14ac:dyDescent="0.25">
      <c r="A353" s="26">
        <v>48</v>
      </c>
    </row>
    <row r="354" spans="1:1" x14ac:dyDescent="0.25">
      <c r="A354" s="26">
        <v>66</v>
      </c>
    </row>
    <row r="355" spans="1:1" x14ac:dyDescent="0.25">
      <c r="A355" s="26">
        <v>66</v>
      </c>
    </row>
    <row r="356" spans="1:1" x14ac:dyDescent="0.25">
      <c r="A356" s="26">
        <v>10</v>
      </c>
    </row>
    <row r="357" spans="1:1" x14ac:dyDescent="0.25">
      <c r="A357" s="26">
        <v>72</v>
      </c>
    </row>
    <row r="358" spans="1:1" x14ac:dyDescent="0.25">
      <c r="A358" s="26">
        <v>100</v>
      </c>
    </row>
    <row r="359" spans="1:1" x14ac:dyDescent="0.25">
      <c r="A359" s="26">
        <v>73</v>
      </c>
    </row>
    <row r="360" spans="1:1" x14ac:dyDescent="0.25">
      <c r="A360" s="26">
        <v>68</v>
      </c>
    </row>
    <row r="361" spans="1:1" x14ac:dyDescent="0.25">
      <c r="A361" s="26">
        <v>71</v>
      </c>
    </row>
    <row r="362" spans="1:1" x14ac:dyDescent="0.25">
      <c r="A362" s="26">
        <v>73</v>
      </c>
    </row>
    <row r="363" spans="1:1" x14ac:dyDescent="0.25">
      <c r="A363" s="26">
        <v>85</v>
      </c>
    </row>
    <row r="364" spans="1:1" x14ac:dyDescent="0.25">
      <c r="A364" s="26">
        <v>75</v>
      </c>
    </row>
    <row r="365" spans="1:1" x14ac:dyDescent="0.25">
      <c r="A365" s="26">
        <v>82</v>
      </c>
    </row>
    <row r="366" spans="1:1" x14ac:dyDescent="0.25">
      <c r="A366" s="26">
        <v>73</v>
      </c>
    </row>
    <row r="367" spans="1:1" x14ac:dyDescent="0.25">
      <c r="A367" s="26">
        <v>67</v>
      </c>
    </row>
    <row r="368" spans="1:1" x14ac:dyDescent="0.25">
      <c r="A368" s="26">
        <v>37</v>
      </c>
    </row>
    <row r="369" spans="1:1" x14ac:dyDescent="0.25">
      <c r="A369" s="26">
        <v>79</v>
      </c>
    </row>
    <row r="370" spans="1:1" x14ac:dyDescent="0.25">
      <c r="A370" s="26">
        <v>9</v>
      </c>
    </row>
    <row r="371" spans="1:1" x14ac:dyDescent="0.25">
      <c r="A371" s="26">
        <v>73</v>
      </c>
    </row>
    <row r="372" spans="1:1" x14ac:dyDescent="0.25">
      <c r="A372" s="26">
        <v>59</v>
      </c>
    </row>
    <row r="373" spans="1:1" x14ac:dyDescent="0.25">
      <c r="A373" s="26">
        <v>18</v>
      </c>
    </row>
    <row r="374" spans="1:1" x14ac:dyDescent="0.25">
      <c r="A374" s="26">
        <v>32</v>
      </c>
    </row>
    <row r="375" spans="1:1" x14ac:dyDescent="0.25">
      <c r="A375" s="26">
        <v>75</v>
      </c>
    </row>
    <row r="376" spans="1:1" x14ac:dyDescent="0.25">
      <c r="A376" s="26">
        <v>79</v>
      </c>
    </row>
    <row r="377" spans="1:1" x14ac:dyDescent="0.25">
      <c r="A377" s="26">
        <v>87</v>
      </c>
    </row>
    <row r="378" spans="1:1" x14ac:dyDescent="0.25">
      <c r="A378" s="26">
        <v>41</v>
      </c>
    </row>
    <row r="379" spans="1:1" x14ac:dyDescent="0.25">
      <c r="A379" s="26">
        <v>69</v>
      </c>
    </row>
    <row r="380" spans="1:1" x14ac:dyDescent="0.25">
      <c r="A380" s="26">
        <v>65</v>
      </c>
    </row>
    <row r="381" spans="1:1" x14ac:dyDescent="0.25">
      <c r="A381" s="26">
        <v>81</v>
      </c>
    </row>
    <row r="382" spans="1:1" x14ac:dyDescent="0.25">
      <c r="A382" s="26">
        <v>44</v>
      </c>
    </row>
    <row r="383" spans="1:1" x14ac:dyDescent="0.25">
      <c r="A383" s="26">
        <v>1</v>
      </c>
    </row>
    <row r="384" spans="1:1" x14ac:dyDescent="0.25">
      <c r="A384" s="26">
        <v>70</v>
      </c>
    </row>
    <row r="385" spans="1:1" x14ac:dyDescent="0.25">
      <c r="A385" s="26">
        <v>45</v>
      </c>
    </row>
    <row r="386" spans="1:1" x14ac:dyDescent="0.25">
      <c r="A386" s="26">
        <v>68</v>
      </c>
    </row>
    <row r="387" spans="1:1" x14ac:dyDescent="0.25">
      <c r="A387" s="26">
        <v>67</v>
      </c>
    </row>
    <row r="388" spans="1:1" x14ac:dyDescent="0.25">
      <c r="A388" s="26">
        <v>73</v>
      </c>
    </row>
    <row r="389" spans="1:1" x14ac:dyDescent="0.25">
      <c r="A389" s="26">
        <v>56</v>
      </c>
    </row>
    <row r="390" spans="1:1" x14ac:dyDescent="0.25">
      <c r="A390" s="26">
        <v>46</v>
      </c>
    </row>
    <row r="391" spans="1:1" x14ac:dyDescent="0.25">
      <c r="A391" s="26">
        <v>76</v>
      </c>
    </row>
    <row r="392" spans="1:1" x14ac:dyDescent="0.25">
      <c r="A392" s="26">
        <v>70</v>
      </c>
    </row>
    <row r="393" spans="1:1" x14ac:dyDescent="0.25">
      <c r="A393" s="26">
        <v>35</v>
      </c>
    </row>
    <row r="394" spans="1:1" x14ac:dyDescent="0.25">
      <c r="A394" s="26">
        <v>65</v>
      </c>
    </row>
    <row r="395" spans="1:1" x14ac:dyDescent="0.25">
      <c r="A395" s="26">
        <v>71</v>
      </c>
    </row>
    <row r="396" spans="1:1" x14ac:dyDescent="0.25">
      <c r="A396" s="26">
        <v>94</v>
      </c>
    </row>
    <row r="397" spans="1:1" x14ac:dyDescent="0.25">
      <c r="A397" s="26">
        <v>3</v>
      </c>
    </row>
    <row r="398" spans="1:1" x14ac:dyDescent="0.25">
      <c r="A398" s="26">
        <v>9</v>
      </c>
    </row>
    <row r="399" spans="1:1" x14ac:dyDescent="0.25">
      <c r="A399" s="26">
        <v>75</v>
      </c>
    </row>
    <row r="400" spans="1:1" x14ac:dyDescent="0.25">
      <c r="A400" s="26">
        <v>51</v>
      </c>
    </row>
    <row r="401" spans="1:1" x14ac:dyDescent="0.25">
      <c r="A401" s="26">
        <v>2</v>
      </c>
    </row>
    <row r="402" spans="1:1" x14ac:dyDescent="0.25">
      <c r="A402" s="26">
        <v>71</v>
      </c>
    </row>
    <row r="403" spans="1:1" x14ac:dyDescent="0.25">
      <c r="A403" s="26">
        <v>51</v>
      </c>
    </row>
    <row r="404" spans="1:1" x14ac:dyDescent="0.25">
      <c r="A404" s="26">
        <v>81</v>
      </c>
    </row>
    <row r="405" spans="1:1" x14ac:dyDescent="0.25">
      <c r="A405" s="26">
        <v>66</v>
      </c>
    </row>
    <row r="406" spans="1:1" x14ac:dyDescent="0.25">
      <c r="A406" s="26">
        <v>77</v>
      </c>
    </row>
    <row r="407" spans="1:1" x14ac:dyDescent="0.25">
      <c r="A407" s="26">
        <v>43</v>
      </c>
    </row>
    <row r="408" spans="1:1" x14ac:dyDescent="0.25">
      <c r="A408" s="26">
        <v>68</v>
      </c>
    </row>
    <row r="409" spans="1:1" x14ac:dyDescent="0.25">
      <c r="A409" s="26">
        <v>77</v>
      </c>
    </row>
    <row r="410" spans="1:1" x14ac:dyDescent="0.25">
      <c r="A410" s="26">
        <v>74</v>
      </c>
    </row>
    <row r="411" spans="1:1" x14ac:dyDescent="0.25">
      <c r="A411" s="26">
        <v>4</v>
      </c>
    </row>
    <row r="412" spans="1:1" x14ac:dyDescent="0.25">
      <c r="A412" s="26">
        <v>80</v>
      </c>
    </row>
    <row r="413" spans="1:1" x14ac:dyDescent="0.25">
      <c r="A413" s="26">
        <v>39</v>
      </c>
    </row>
    <row r="414" spans="1:1" x14ac:dyDescent="0.25">
      <c r="A414" s="26">
        <v>69</v>
      </c>
    </row>
    <row r="415" spans="1:1" x14ac:dyDescent="0.25">
      <c r="A415" s="26">
        <v>73</v>
      </c>
    </row>
    <row r="416" spans="1:1" x14ac:dyDescent="0.25">
      <c r="A416" s="26">
        <v>66</v>
      </c>
    </row>
    <row r="417" spans="1:1" x14ac:dyDescent="0.25">
      <c r="A417" s="26">
        <v>69</v>
      </c>
    </row>
    <row r="418" spans="1:1" x14ac:dyDescent="0.25">
      <c r="A418" s="26">
        <v>61</v>
      </c>
    </row>
    <row r="419" spans="1:1" x14ac:dyDescent="0.25">
      <c r="A419" s="26">
        <v>62</v>
      </c>
    </row>
    <row r="420" spans="1:1" x14ac:dyDescent="0.25">
      <c r="A420" s="26">
        <v>33</v>
      </c>
    </row>
    <row r="421" spans="1:1" x14ac:dyDescent="0.25">
      <c r="A421" s="26">
        <v>36</v>
      </c>
    </row>
    <row r="422" spans="1:1" x14ac:dyDescent="0.25">
      <c r="A422" s="26">
        <v>89</v>
      </c>
    </row>
    <row r="423" spans="1:1" x14ac:dyDescent="0.25">
      <c r="A423" s="26">
        <v>63</v>
      </c>
    </row>
    <row r="424" spans="1:1" x14ac:dyDescent="0.25">
      <c r="A424" s="26">
        <v>70</v>
      </c>
    </row>
    <row r="425" spans="1:1" x14ac:dyDescent="0.25">
      <c r="A425" s="26">
        <v>28</v>
      </c>
    </row>
    <row r="426" spans="1:1" x14ac:dyDescent="0.25">
      <c r="A426" s="26">
        <v>54</v>
      </c>
    </row>
    <row r="427" spans="1:1" x14ac:dyDescent="0.25">
      <c r="A427" s="26">
        <v>48</v>
      </c>
    </row>
    <row r="428" spans="1:1" x14ac:dyDescent="0.25">
      <c r="A428" s="26">
        <v>71</v>
      </c>
    </row>
    <row r="429" spans="1:1" x14ac:dyDescent="0.25">
      <c r="A429" s="26">
        <v>82</v>
      </c>
    </row>
    <row r="430" spans="1:1" x14ac:dyDescent="0.25">
      <c r="A430" s="26">
        <v>64</v>
      </c>
    </row>
    <row r="431" spans="1:1" x14ac:dyDescent="0.25">
      <c r="A431" s="26">
        <v>58</v>
      </c>
    </row>
    <row r="432" spans="1:1" x14ac:dyDescent="0.25">
      <c r="A432" s="26">
        <v>27</v>
      </c>
    </row>
    <row r="433" spans="1:1" x14ac:dyDescent="0.25">
      <c r="A433" s="26">
        <v>74</v>
      </c>
    </row>
    <row r="434" spans="1:1" x14ac:dyDescent="0.25">
      <c r="A434" s="26">
        <v>71</v>
      </c>
    </row>
    <row r="435" spans="1:1" x14ac:dyDescent="0.25">
      <c r="A435" s="26">
        <v>81</v>
      </c>
    </row>
    <row r="436" spans="1:1" x14ac:dyDescent="0.25">
      <c r="A436" s="26">
        <v>62</v>
      </c>
    </row>
    <row r="437" spans="1:1" x14ac:dyDescent="0.25">
      <c r="A437" s="26">
        <v>68</v>
      </c>
    </row>
    <row r="438" spans="1:1" x14ac:dyDescent="0.25">
      <c r="A438" s="26">
        <v>16</v>
      </c>
    </row>
    <row r="439" spans="1:1" x14ac:dyDescent="0.25">
      <c r="A439" s="26">
        <v>72</v>
      </c>
    </row>
    <row r="440" spans="1:1" x14ac:dyDescent="0.25">
      <c r="A440" s="26">
        <v>52</v>
      </c>
    </row>
    <row r="441" spans="1:1" x14ac:dyDescent="0.25">
      <c r="A441" s="26">
        <v>51</v>
      </c>
    </row>
    <row r="442" spans="1:1" x14ac:dyDescent="0.25">
      <c r="A442" s="26">
        <v>60</v>
      </c>
    </row>
    <row r="443" spans="1:1" x14ac:dyDescent="0.25">
      <c r="A443" s="26">
        <v>69</v>
      </c>
    </row>
    <row r="444" spans="1:1" x14ac:dyDescent="0.25">
      <c r="A444" s="26">
        <v>46</v>
      </c>
    </row>
    <row r="445" spans="1:1" x14ac:dyDescent="0.25">
      <c r="A445" s="26">
        <v>79</v>
      </c>
    </row>
    <row r="446" spans="1:1" x14ac:dyDescent="0.25">
      <c r="A446" s="26">
        <v>88</v>
      </c>
    </row>
    <row r="447" spans="1:1" x14ac:dyDescent="0.25">
      <c r="A447" s="26">
        <v>72</v>
      </c>
    </row>
    <row r="448" spans="1:1" x14ac:dyDescent="0.25">
      <c r="A448" s="26">
        <v>63</v>
      </c>
    </row>
    <row r="449" spans="1:1" x14ac:dyDescent="0.25">
      <c r="A449" s="26">
        <v>14</v>
      </c>
    </row>
    <row r="450" spans="1:1" x14ac:dyDescent="0.25">
      <c r="A450" s="26">
        <v>35</v>
      </c>
    </row>
    <row r="451" spans="1:1" x14ac:dyDescent="0.25">
      <c r="A451" s="26">
        <v>72</v>
      </c>
    </row>
    <row r="452" spans="1:1" x14ac:dyDescent="0.25">
      <c r="A452" s="26">
        <v>71</v>
      </c>
    </row>
    <row r="453" spans="1:1" x14ac:dyDescent="0.25">
      <c r="A453" s="26">
        <v>73</v>
      </c>
    </row>
    <row r="454" spans="1:1" x14ac:dyDescent="0.25">
      <c r="A454" s="26">
        <v>76</v>
      </c>
    </row>
    <row r="455" spans="1:1" x14ac:dyDescent="0.25">
      <c r="A455" s="26">
        <v>72</v>
      </c>
    </row>
    <row r="456" spans="1:1" x14ac:dyDescent="0.25">
      <c r="A456" s="26">
        <v>93</v>
      </c>
    </row>
    <row r="457" spans="1:1" x14ac:dyDescent="0.25">
      <c r="A457" s="26">
        <v>10</v>
      </c>
    </row>
    <row r="458" spans="1:1" x14ac:dyDescent="0.25">
      <c r="A458" s="26">
        <v>73</v>
      </c>
    </row>
    <row r="459" spans="1:1" x14ac:dyDescent="0.25">
      <c r="A459" s="26">
        <v>45</v>
      </c>
    </row>
    <row r="460" spans="1:1" x14ac:dyDescent="0.25">
      <c r="A460" s="26">
        <v>58</v>
      </c>
    </row>
    <row r="461" spans="1:1" x14ac:dyDescent="0.25">
      <c r="A461" s="26">
        <v>43</v>
      </c>
    </row>
    <row r="462" spans="1:1" x14ac:dyDescent="0.25">
      <c r="A462" s="26">
        <v>19</v>
      </c>
    </row>
    <row r="463" spans="1:1" x14ac:dyDescent="0.25">
      <c r="A463" s="26">
        <v>45</v>
      </c>
    </row>
    <row r="464" spans="1:1" x14ac:dyDescent="0.25">
      <c r="A464" s="26">
        <v>74</v>
      </c>
    </row>
    <row r="465" spans="1:1" x14ac:dyDescent="0.25">
      <c r="A465" s="26">
        <v>49</v>
      </c>
    </row>
    <row r="466" spans="1:1" x14ac:dyDescent="0.25">
      <c r="A466" s="26">
        <v>38</v>
      </c>
    </row>
    <row r="467" spans="1:1" x14ac:dyDescent="0.25">
      <c r="A467" s="26">
        <v>45</v>
      </c>
    </row>
    <row r="468" spans="1:1" x14ac:dyDescent="0.25">
      <c r="A468" s="26">
        <v>77</v>
      </c>
    </row>
    <row r="469" spans="1:1" x14ac:dyDescent="0.25">
      <c r="A469" s="26">
        <v>66</v>
      </c>
    </row>
    <row r="470" spans="1:1" x14ac:dyDescent="0.25">
      <c r="A470" s="26">
        <v>75</v>
      </c>
    </row>
    <row r="471" spans="1:1" x14ac:dyDescent="0.25">
      <c r="A471" s="26">
        <v>79</v>
      </c>
    </row>
    <row r="472" spans="1:1" x14ac:dyDescent="0.25">
      <c r="A472" s="26">
        <v>50</v>
      </c>
    </row>
    <row r="473" spans="1:1" x14ac:dyDescent="0.25">
      <c r="A473" s="26">
        <v>93</v>
      </c>
    </row>
    <row r="474" spans="1:1" x14ac:dyDescent="0.25">
      <c r="A474" s="26">
        <v>64</v>
      </c>
    </row>
    <row r="475" spans="1:1" x14ac:dyDescent="0.25">
      <c r="A475" s="26">
        <v>82</v>
      </c>
    </row>
    <row r="476" spans="1:1" x14ac:dyDescent="0.25">
      <c r="A476" s="26">
        <v>87</v>
      </c>
    </row>
    <row r="477" spans="1:1" x14ac:dyDescent="0.25">
      <c r="A477" s="26">
        <v>73</v>
      </c>
    </row>
    <row r="478" spans="1:1" x14ac:dyDescent="0.25">
      <c r="A478" s="26">
        <v>15</v>
      </c>
    </row>
    <row r="479" spans="1:1" x14ac:dyDescent="0.25">
      <c r="A479" s="26">
        <v>13</v>
      </c>
    </row>
    <row r="480" spans="1:1" x14ac:dyDescent="0.25">
      <c r="A480" s="26">
        <v>58</v>
      </c>
    </row>
    <row r="481" spans="1:1" x14ac:dyDescent="0.25">
      <c r="A481" s="26">
        <v>79</v>
      </c>
    </row>
    <row r="482" spans="1:1" x14ac:dyDescent="0.25">
      <c r="A482" s="26">
        <v>82</v>
      </c>
    </row>
    <row r="483" spans="1:1" x14ac:dyDescent="0.25">
      <c r="A483" s="26">
        <v>36</v>
      </c>
    </row>
    <row r="484" spans="1:1" x14ac:dyDescent="0.25">
      <c r="A484" s="26">
        <v>75</v>
      </c>
    </row>
    <row r="485" spans="1:1" x14ac:dyDescent="0.25">
      <c r="A485" s="26">
        <v>31</v>
      </c>
    </row>
    <row r="486" spans="1:1" x14ac:dyDescent="0.25">
      <c r="A486" s="26">
        <v>72</v>
      </c>
    </row>
    <row r="487" spans="1:1" x14ac:dyDescent="0.25">
      <c r="A487" s="26">
        <v>39</v>
      </c>
    </row>
    <row r="488" spans="1:1" x14ac:dyDescent="0.25">
      <c r="A488" s="26">
        <v>74</v>
      </c>
    </row>
    <row r="489" spans="1:1" x14ac:dyDescent="0.25">
      <c r="A489" s="26">
        <v>15</v>
      </c>
    </row>
    <row r="490" spans="1:1" x14ac:dyDescent="0.25">
      <c r="A490" s="26">
        <v>65</v>
      </c>
    </row>
    <row r="491" spans="1:1" x14ac:dyDescent="0.25">
      <c r="A491" s="26">
        <v>41</v>
      </c>
    </row>
    <row r="492" spans="1:1" x14ac:dyDescent="0.25">
      <c r="A492" s="26">
        <v>77</v>
      </c>
    </row>
    <row r="493" spans="1:1" x14ac:dyDescent="0.25">
      <c r="A493" s="26">
        <v>87</v>
      </c>
    </row>
    <row r="494" spans="1:1" x14ac:dyDescent="0.25">
      <c r="A494" s="26">
        <v>75</v>
      </c>
    </row>
    <row r="495" spans="1:1" x14ac:dyDescent="0.25">
      <c r="A495" s="26">
        <v>86</v>
      </c>
    </row>
    <row r="496" spans="1:1" x14ac:dyDescent="0.25">
      <c r="A496" s="26">
        <v>77</v>
      </c>
    </row>
    <row r="497" spans="1:1" x14ac:dyDescent="0.25">
      <c r="A497" s="26">
        <v>75</v>
      </c>
    </row>
    <row r="498" spans="1:1" x14ac:dyDescent="0.25">
      <c r="A498" s="26">
        <v>75</v>
      </c>
    </row>
    <row r="499" spans="1:1" x14ac:dyDescent="0.25">
      <c r="A499" s="26">
        <v>70</v>
      </c>
    </row>
    <row r="500" spans="1:1" x14ac:dyDescent="0.25">
      <c r="A500" s="26">
        <v>72</v>
      </c>
    </row>
    <row r="501" spans="1:1" x14ac:dyDescent="0.25">
      <c r="A501" s="26">
        <v>59</v>
      </c>
    </row>
    <row r="502" spans="1:1" x14ac:dyDescent="0.25">
      <c r="A502" s="26">
        <v>16</v>
      </c>
    </row>
    <row r="503" spans="1:1" x14ac:dyDescent="0.25">
      <c r="A503" s="26">
        <v>36</v>
      </c>
    </row>
    <row r="504" spans="1:1" x14ac:dyDescent="0.25">
      <c r="A504" s="26">
        <v>37</v>
      </c>
    </row>
    <row r="505" spans="1:1" x14ac:dyDescent="0.25">
      <c r="A505" s="26">
        <v>65</v>
      </c>
    </row>
    <row r="506" spans="1:1" x14ac:dyDescent="0.25">
      <c r="A506" s="26">
        <v>44</v>
      </c>
    </row>
    <row r="507" spans="1:1" x14ac:dyDescent="0.25">
      <c r="A507" s="26">
        <v>56</v>
      </c>
    </row>
    <row r="508" spans="1:1" x14ac:dyDescent="0.25">
      <c r="A508" s="26">
        <v>79</v>
      </c>
    </row>
    <row r="509" spans="1:1" x14ac:dyDescent="0.25">
      <c r="A509" s="26">
        <v>64</v>
      </c>
    </row>
    <row r="510" spans="1:1" x14ac:dyDescent="0.25">
      <c r="A510" s="26">
        <v>74</v>
      </c>
    </row>
    <row r="511" spans="1:1" x14ac:dyDescent="0.25">
      <c r="A511" s="26">
        <v>70</v>
      </c>
    </row>
    <row r="512" spans="1:1" x14ac:dyDescent="0.25">
      <c r="A512" s="26">
        <v>27</v>
      </c>
    </row>
    <row r="513" spans="1:1" x14ac:dyDescent="0.25">
      <c r="A513" s="26">
        <v>23</v>
      </c>
    </row>
    <row r="514" spans="1:1" x14ac:dyDescent="0.25">
      <c r="A514" s="26">
        <v>20</v>
      </c>
    </row>
    <row r="515" spans="1:1" x14ac:dyDescent="0.25">
      <c r="A515" s="26">
        <v>72</v>
      </c>
    </row>
    <row r="516" spans="1:1" x14ac:dyDescent="0.25">
      <c r="A516" s="26">
        <v>48</v>
      </c>
    </row>
    <row r="517" spans="1:1" x14ac:dyDescent="0.25">
      <c r="A517" s="26">
        <v>65</v>
      </c>
    </row>
    <row r="518" spans="1:1" x14ac:dyDescent="0.25">
      <c r="A518" s="26">
        <v>63</v>
      </c>
    </row>
    <row r="519" spans="1:1" x14ac:dyDescent="0.25">
      <c r="A519" s="26">
        <v>90</v>
      </c>
    </row>
    <row r="520" spans="1:1" x14ac:dyDescent="0.25">
      <c r="A520" s="26">
        <v>58</v>
      </c>
    </row>
    <row r="521" spans="1:1" x14ac:dyDescent="0.25">
      <c r="A521" s="26">
        <v>49</v>
      </c>
    </row>
    <row r="522" spans="1:1" x14ac:dyDescent="0.25">
      <c r="A522" s="26">
        <v>78</v>
      </c>
    </row>
    <row r="523" spans="1:1" x14ac:dyDescent="0.25">
      <c r="A523" s="26">
        <v>72</v>
      </c>
    </row>
    <row r="524" spans="1:1" x14ac:dyDescent="0.25">
      <c r="A524" s="26">
        <v>71</v>
      </c>
    </row>
    <row r="525" spans="1:1" x14ac:dyDescent="0.25">
      <c r="A525" s="26">
        <v>70</v>
      </c>
    </row>
    <row r="526" spans="1:1" x14ac:dyDescent="0.25">
      <c r="A526" s="26">
        <v>62</v>
      </c>
    </row>
    <row r="527" spans="1:1" x14ac:dyDescent="0.25">
      <c r="A527" s="26">
        <v>78</v>
      </c>
    </row>
    <row r="528" spans="1:1" x14ac:dyDescent="0.25">
      <c r="A528" s="26">
        <v>51</v>
      </c>
    </row>
    <row r="529" spans="1:1" x14ac:dyDescent="0.25">
      <c r="A529" s="26">
        <v>81</v>
      </c>
    </row>
    <row r="530" spans="1:1" x14ac:dyDescent="0.25">
      <c r="A530" s="26">
        <v>36</v>
      </c>
    </row>
    <row r="531" spans="1:1" x14ac:dyDescent="0.25">
      <c r="A531" s="26">
        <v>63</v>
      </c>
    </row>
    <row r="532" spans="1:1" x14ac:dyDescent="0.25">
      <c r="A532" s="26">
        <v>74</v>
      </c>
    </row>
    <row r="533" spans="1:1" x14ac:dyDescent="0.25">
      <c r="A533" s="26">
        <v>38</v>
      </c>
    </row>
    <row r="534" spans="1:1" x14ac:dyDescent="0.25">
      <c r="A534" s="26">
        <v>71</v>
      </c>
    </row>
    <row r="535" spans="1:1" x14ac:dyDescent="0.25">
      <c r="A535" s="26">
        <v>41</v>
      </c>
    </row>
    <row r="536" spans="1:1" x14ac:dyDescent="0.25">
      <c r="A536" s="26">
        <v>56</v>
      </c>
    </row>
    <row r="537" spans="1:1" x14ac:dyDescent="0.25">
      <c r="A537" s="26">
        <v>72</v>
      </c>
    </row>
    <row r="538" spans="1:1" x14ac:dyDescent="0.25">
      <c r="A538" s="26">
        <v>92</v>
      </c>
    </row>
    <row r="539" spans="1:1" x14ac:dyDescent="0.25">
      <c r="A539" s="26">
        <v>86</v>
      </c>
    </row>
    <row r="540" spans="1:1" x14ac:dyDescent="0.25">
      <c r="A540" s="26">
        <v>83</v>
      </c>
    </row>
    <row r="541" spans="1:1" x14ac:dyDescent="0.25">
      <c r="A541" s="26">
        <v>87</v>
      </c>
    </row>
    <row r="542" spans="1:1" x14ac:dyDescent="0.25">
      <c r="A542" s="26">
        <v>82</v>
      </c>
    </row>
    <row r="543" spans="1:1" x14ac:dyDescent="0.25">
      <c r="A543" s="26">
        <v>86</v>
      </c>
    </row>
    <row r="544" spans="1:1" x14ac:dyDescent="0.25">
      <c r="A544" s="26">
        <v>67</v>
      </c>
    </row>
    <row r="545" spans="1:1" x14ac:dyDescent="0.25">
      <c r="A545" s="26">
        <v>71</v>
      </c>
    </row>
    <row r="546" spans="1:1" x14ac:dyDescent="0.25">
      <c r="A546" s="26">
        <v>75</v>
      </c>
    </row>
    <row r="547" spans="1:1" x14ac:dyDescent="0.25">
      <c r="A547" s="26">
        <v>57</v>
      </c>
    </row>
    <row r="548" spans="1:1" x14ac:dyDescent="0.25">
      <c r="A548" s="26">
        <v>61</v>
      </c>
    </row>
    <row r="549" spans="1:1" x14ac:dyDescent="0.25">
      <c r="A549" s="26">
        <v>81</v>
      </c>
    </row>
    <row r="550" spans="1:1" x14ac:dyDescent="0.25">
      <c r="A550" s="26">
        <v>47</v>
      </c>
    </row>
    <row r="551" spans="1:1" x14ac:dyDescent="0.25">
      <c r="A551" s="26">
        <v>72</v>
      </c>
    </row>
    <row r="552" spans="1:1" x14ac:dyDescent="0.25">
      <c r="A552" s="26">
        <v>9</v>
      </c>
    </row>
    <row r="553" spans="1:1" x14ac:dyDescent="0.25">
      <c r="A553" s="26">
        <v>37</v>
      </c>
    </row>
    <row r="554" spans="1:1" x14ac:dyDescent="0.25">
      <c r="A554" s="26">
        <v>99</v>
      </c>
    </row>
    <row r="555" spans="1:1" x14ac:dyDescent="0.25">
      <c r="A555" s="26">
        <v>57</v>
      </c>
    </row>
    <row r="556" spans="1:1" x14ac:dyDescent="0.25">
      <c r="A556" s="26">
        <v>76</v>
      </c>
    </row>
    <row r="557" spans="1:1" x14ac:dyDescent="0.25">
      <c r="A557" s="26">
        <v>72</v>
      </c>
    </row>
    <row r="558" spans="1:1" x14ac:dyDescent="0.25">
      <c r="A558" s="26">
        <v>73</v>
      </c>
    </row>
    <row r="559" spans="1:1" x14ac:dyDescent="0.25">
      <c r="A559" s="26">
        <v>72</v>
      </c>
    </row>
    <row r="560" spans="1:1" x14ac:dyDescent="0.25">
      <c r="A560" s="26">
        <v>84</v>
      </c>
    </row>
    <row r="561" spans="1:1" x14ac:dyDescent="0.25">
      <c r="A561" s="26">
        <v>56</v>
      </c>
    </row>
    <row r="562" spans="1:1" x14ac:dyDescent="0.25">
      <c r="A562" s="26">
        <v>87</v>
      </c>
    </row>
    <row r="563" spans="1:1" x14ac:dyDescent="0.25">
      <c r="A563" s="26">
        <v>76</v>
      </c>
    </row>
    <row r="564" spans="1:1" x14ac:dyDescent="0.25">
      <c r="A564" s="26">
        <v>81</v>
      </c>
    </row>
    <row r="565" spans="1:1" x14ac:dyDescent="0.25">
      <c r="A565" s="26">
        <v>48</v>
      </c>
    </row>
    <row r="566" spans="1:1" x14ac:dyDescent="0.25">
      <c r="A566" s="26">
        <v>59</v>
      </c>
    </row>
    <row r="567" spans="1:1" x14ac:dyDescent="0.25">
      <c r="A567" s="26">
        <v>88</v>
      </c>
    </row>
    <row r="568" spans="1:1" x14ac:dyDescent="0.25">
      <c r="A568" s="26">
        <v>82</v>
      </c>
    </row>
    <row r="569" spans="1:1" x14ac:dyDescent="0.25">
      <c r="A569" s="26">
        <v>26</v>
      </c>
    </row>
    <row r="570" spans="1:1" x14ac:dyDescent="0.25">
      <c r="A570" s="26">
        <v>80</v>
      </c>
    </row>
    <row r="571" spans="1:1" x14ac:dyDescent="0.25">
      <c r="A571" s="26">
        <v>67</v>
      </c>
    </row>
    <row r="572" spans="1:1" x14ac:dyDescent="0.25">
      <c r="A572" s="26">
        <v>77</v>
      </c>
    </row>
    <row r="573" spans="1:1" x14ac:dyDescent="0.25">
      <c r="A573" s="26">
        <v>38</v>
      </c>
    </row>
    <row r="574" spans="1:1" x14ac:dyDescent="0.25">
      <c r="A574" s="26">
        <v>47</v>
      </c>
    </row>
    <row r="575" spans="1:1" x14ac:dyDescent="0.25">
      <c r="A575" s="26">
        <v>88</v>
      </c>
    </row>
    <row r="576" spans="1:1" x14ac:dyDescent="0.25">
      <c r="A576" s="26">
        <v>11</v>
      </c>
    </row>
    <row r="577" spans="1:1" x14ac:dyDescent="0.25">
      <c r="A577" s="26">
        <v>36</v>
      </c>
    </row>
    <row r="578" spans="1:1" x14ac:dyDescent="0.25">
      <c r="A578" s="26">
        <v>7</v>
      </c>
    </row>
    <row r="579" spans="1:1" x14ac:dyDescent="0.25">
      <c r="A579" s="26">
        <v>80</v>
      </c>
    </row>
    <row r="580" spans="1:1" x14ac:dyDescent="0.25">
      <c r="A580" s="26">
        <v>68</v>
      </c>
    </row>
    <row r="581" spans="1:1" x14ac:dyDescent="0.25">
      <c r="A581" s="26">
        <v>82</v>
      </c>
    </row>
    <row r="582" spans="1:1" x14ac:dyDescent="0.25">
      <c r="A582" s="26">
        <v>37</v>
      </c>
    </row>
    <row r="583" spans="1:1" x14ac:dyDescent="0.25">
      <c r="A583" s="26">
        <v>58</v>
      </c>
    </row>
    <row r="584" spans="1:1" x14ac:dyDescent="0.25">
      <c r="A584" s="26">
        <v>71</v>
      </c>
    </row>
    <row r="585" spans="1:1" x14ac:dyDescent="0.25">
      <c r="A585" s="26">
        <v>54</v>
      </c>
    </row>
    <row r="586" spans="1:1" x14ac:dyDescent="0.25">
      <c r="A586" s="26">
        <v>31</v>
      </c>
    </row>
    <row r="587" spans="1:1" x14ac:dyDescent="0.25">
      <c r="A587" s="26">
        <v>50</v>
      </c>
    </row>
    <row r="588" spans="1:1" x14ac:dyDescent="0.25">
      <c r="A588" s="26">
        <v>73</v>
      </c>
    </row>
    <row r="589" spans="1:1" x14ac:dyDescent="0.25">
      <c r="A589" s="26">
        <v>97</v>
      </c>
    </row>
    <row r="590" spans="1:1" x14ac:dyDescent="0.25">
      <c r="A590" s="26">
        <v>49</v>
      </c>
    </row>
    <row r="591" spans="1:1" x14ac:dyDescent="0.25">
      <c r="A591" s="26">
        <v>38</v>
      </c>
    </row>
    <row r="592" spans="1:1" x14ac:dyDescent="0.25">
      <c r="A592" s="26">
        <v>50</v>
      </c>
    </row>
    <row r="593" spans="1:1" x14ac:dyDescent="0.25">
      <c r="A593" s="26">
        <v>40</v>
      </c>
    </row>
    <row r="594" spans="1:1" x14ac:dyDescent="0.25">
      <c r="A594" s="26">
        <v>41</v>
      </c>
    </row>
    <row r="595" spans="1:1" x14ac:dyDescent="0.25">
      <c r="A595" s="26">
        <v>48</v>
      </c>
    </row>
    <row r="596" spans="1:1" x14ac:dyDescent="0.25">
      <c r="A596" s="26">
        <v>80</v>
      </c>
    </row>
    <row r="597" spans="1:1" x14ac:dyDescent="0.25">
      <c r="A597" s="26">
        <v>43</v>
      </c>
    </row>
    <row r="598" spans="1:1" x14ac:dyDescent="0.25">
      <c r="A598" s="26">
        <v>16</v>
      </c>
    </row>
    <row r="599" spans="1:1" x14ac:dyDescent="0.25">
      <c r="A599" s="26">
        <v>76</v>
      </c>
    </row>
    <row r="600" spans="1:1" x14ac:dyDescent="0.25">
      <c r="A600" s="26">
        <v>77</v>
      </c>
    </row>
    <row r="601" spans="1:1" x14ac:dyDescent="0.25">
      <c r="A601" s="26">
        <v>65</v>
      </c>
    </row>
    <row r="602" spans="1:1" x14ac:dyDescent="0.25">
      <c r="A602" s="26">
        <v>75</v>
      </c>
    </row>
    <row r="603" spans="1:1" x14ac:dyDescent="0.25">
      <c r="A603" s="26">
        <v>66</v>
      </c>
    </row>
    <row r="604" spans="1:1" x14ac:dyDescent="0.25">
      <c r="A604" s="26">
        <v>73</v>
      </c>
    </row>
    <row r="605" spans="1:1" x14ac:dyDescent="0.25">
      <c r="A605" s="26">
        <v>26</v>
      </c>
    </row>
    <row r="606" spans="1:1" x14ac:dyDescent="0.25">
      <c r="A606" s="26">
        <v>70</v>
      </c>
    </row>
    <row r="607" spans="1:1" x14ac:dyDescent="0.25">
      <c r="A607" s="26">
        <v>75</v>
      </c>
    </row>
    <row r="608" spans="1:1" x14ac:dyDescent="0.25">
      <c r="A608" s="26">
        <v>78</v>
      </c>
    </row>
    <row r="609" spans="1:1" x14ac:dyDescent="0.25">
      <c r="A609" s="26">
        <v>70</v>
      </c>
    </row>
    <row r="610" spans="1:1" x14ac:dyDescent="0.25">
      <c r="A610" s="26">
        <v>88</v>
      </c>
    </row>
    <row r="611" spans="1:1" x14ac:dyDescent="0.25">
      <c r="A611" s="26">
        <v>67</v>
      </c>
    </row>
    <row r="612" spans="1:1" x14ac:dyDescent="0.25">
      <c r="A612" s="26">
        <v>87</v>
      </c>
    </row>
    <row r="613" spans="1:1" x14ac:dyDescent="0.25">
      <c r="A613" s="26">
        <v>73</v>
      </c>
    </row>
    <row r="614" spans="1:1" x14ac:dyDescent="0.25">
      <c r="A614" s="26">
        <v>76</v>
      </c>
    </row>
    <row r="618" spans="1:1" x14ac:dyDescent="0.25">
      <c r="A618" s="22" t="s">
        <v>950</v>
      </c>
    </row>
    <row r="619" spans="1:1" x14ac:dyDescent="0.25">
      <c r="A619">
        <f t="shared" ref="A619" ca="1" si="1">CHOOSE(RANDBETWEEN(1,3),ROUND(_xlfn.NORM.INV(RAND(),73,5),0),RANDBETWEEN(35,88),RANDBETWEEN(0,100))</f>
        <v>34</v>
      </c>
    </row>
  </sheetData>
  <sortState xmlns:xlrd2="http://schemas.microsoft.com/office/spreadsheetml/2017/richdata2" ref="C15:C31">
    <sortCondition ref="C15"/>
  </sortState>
  <conditionalFormatting sqref="A22:C39">
    <cfRule type="expression" dxfId="28" priority="7">
      <formula>AND($C22&lt;=_xlfn.PERCENTILE.EXC($C$22:$C$39,$F$22),ISNUMBER($F$24))</formula>
    </cfRule>
    <cfRule type="expression" dxfId="27" priority="8">
      <formula>AND($C22&gt;=_xlfn.PERCENTILE.EXC($C$22:$C$39,$F$22),ISNUMBER($F$24))</formula>
    </cfRule>
  </conditionalFormatting>
  <conditionalFormatting sqref="A42:C59">
    <cfRule type="expression" dxfId="26" priority="9">
      <formula>AND($C42&lt;=_xlfn.PERCENTILE.EXC($C$42:$C$59,$F$42),ISNUMBER($F$43))</formula>
    </cfRule>
    <cfRule type="expression" dxfId="25" priority="10">
      <formula>AND($C42&gt;=_xlfn.PERCENTILE.EXC($C$42:$C$59,$F$42),ISNUMBER($F$43))</formula>
    </cfRule>
  </conditionalFormatting>
  <hyperlinks>
    <hyperlink ref="H105" r:id="rId1" xr:uid="{00000000-0004-0000-1900-000000000000}"/>
    <hyperlink ref="H106" r:id="rId2" xr:uid="{00000000-0004-0000-1900-000001000000}"/>
  </hyperlinks>
  <pageMargins left="0.7" right="0.7" top="0.75" bottom="0.75" header="0.3" footer="0.3"/>
  <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FF0000"/>
  </sheetPr>
  <dimension ref="A21:M619"/>
  <sheetViews>
    <sheetView zoomScale="112" zoomScaleNormal="112" workbookViewId="0"/>
  </sheetViews>
  <sheetFormatPr defaultRowHeight="15" x14ac:dyDescent="0.25"/>
  <cols>
    <col min="2" max="2" width="12" customWidth="1"/>
    <col min="3" max="3" width="14.5703125" customWidth="1"/>
    <col min="4" max="4" width="2.28515625" customWidth="1"/>
    <col min="5" max="5" width="56.5703125" customWidth="1"/>
    <col min="7" max="7" width="25" customWidth="1"/>
    <col min="12" max="12" width="20.42578125" customWidth="1"/>
  </cols>
  <sheetData>
    <row r="21" spans="1:8" ht="30" x14ac:dyDescent="0.25">
      <c r="A21" s="62" t="s">
        <v>2</v>
      </c>
      <c r="B21" s="62" t="s">
        <v>256</v>
      </c>
      <c r="C21" s="62" t="s">
        <v>254</v>
      </c>
    </row>
    <row r="22" spans="1:8" x14ac:dyDescent="0.25">
      <c r="A22" s="26">
        <v>1</v>
      </c>
      <c r="B22" s="26" t="s">
        <v>257</v>
      </c>
      <c r="C22" s="26">
        <v>12</v>
      </c>
      <c r="E22" s="62" t="s">
        <v>279</v>
      </c>
      <c r="F22" s="86">
        <v>0.75</v>
      </c>
      <c r="G22">
        <f>14/18</f>
        <v>0.77777777777777779</v>
      </c>
    </row>
    <row r="23" spans="1:8" x14ac:dyDescent="0.25">
      <c r="A23" s="26">
        <v>2</v>
      </c>
      <c r="B23" s="26" t="s">
        <v>258</v>
      </c>
      <c r="C23" s="26">
        <v>54</v>
      </c>
      <c r="E23" s="62" t="s">
        <v>241</v>
      </c>
      <c r="F23" s="30">
        <f>COUNT(C22:C39)</f>
        <v>18</v>
      </c>
      <c r="H23" s="22" t="s">
        <v>90</v>
      </c>
    </row>
    <row r="24" spans="1:8" x14ac:dyDescent="0.25">
      <c r="A24" s="26">
        <v>3</v>
      </c>
      <c r="B24" s="26" t="s">
        <v>262</v>
      </c>
      <c r="C24" s="26">
        <v>56</v>
      </c>
      <c r="E24" s="62" t="s">
        <v>275</v>
      </c>
      <c r="F24" s="30">
        <f>F22*(F23+1)</f>
        <v>14.25</v>
      </c>
      <c r="H24" t="s">
        <v>276</v>
      </c>
    </row>
    <row r="25" spans="1:8" x14ac:dyDescent="0.25">
      <c r="A25" s="26">
        <v>4</v>
      </c>
      <c r="B25" s="26" t="s">
        <v>263</v>
      </c>
      <c r="C25" s="26">
        <v>62</v>
      </c>
      <c r="E25" s="62" t="str">
        <f>"How far between "&amp;INDEX(A22:A39,MATCH(_xlfn.PERCENTILE.EXC(C22:C39,F22),C22:C39))&amp;" &amp; "&amp;INDEX(A22:A39,MATCH(_xlfn.PERCENTILE.EXC(C22:C39,F22),C22:C39))+1&amp;"?"</f>
        <v>How far between 14 &amp; 15?</v>
      </c>
      <c r="F25" s="30">
        <f>MOD(F24,1)</f>
        <v>0.25</v>
      </c>
      <c r="H25" s="85" t="str">
        <f>IF(ISNUMBER(F25),"&lt;&lt;== "&amp;TEXT(F25,"0.00%")&amp;" of the way through the interval","")</f>
        <v>&lt;&lt;== 25.00% of the way through the interval</v>
      </c>
    </row>
    <row r="26" spans="1:8" x14ac:dyDescent="0.25">
      <c r="A26" s="26">
        <v>5</v>
      </c>
      <c r="B26" s="26" t="s">
        <v>264</v>
      </c>
      <c r="C26" s="26">
        <v>69</v>
      </c>
      <c r="E26" s="62" t="str">
        <f>"Difference between "&amp;INDEX(A22:A39,MATCH(_xlfn.PERCENTILE.EXC(C22:C39,F22),C22:C39))&amp;" &amp; "&amp;INDEX(A22:A39,MATCH(_xlfn.PERCENTILE.EXC(C22:C39,F22),C22:C39))+1</f>
        <v>Difference between 14 &amp; 15</v>
      </c>
      <c r="F26" s="30">
        <f>C36-C35</f>
        <v>3</v>
      </c>
      <c r="H26" s="85"/>
    </row>
    <row r="27" spans="1:8" x14ac:dyDescent="0.25">
      <c r="A27" s="26">
        <v>6</v>
      </c>
      <c r="B27" s="26" t="s">
        <v>265</v>
      </c>
      <c r="C27" s="26">
        <v>72</v>
      </c>
      <c r="E27" s="62" t="str">
        <f>"How far from "&amp;INDEX(A22:A39,MATCH(_xlfn.PERCENTILE.EXC(C22:C39,F22),C22:C39))&amp;"?"</f>
        <v>How far from 14?</v>
      </c>
      <c r="F27" s="30">
        <f>F26*F25</f>
        <v>0.75</v>
      </c>
      <c r="H27" s="85" t="str">
        <f>IF(ISNUMBER(F27),"&lt;&lt;== Actually how far through interval","")</f>
        <v>&lt;&lt;== Actually how far through interval</v>
      </c>
    </row>
    <row r="28" spans="1:8" x14ac:dyDescent="0.25">
      <c r="A28" s="26">
        <v>7</v>
      </c>
      <c r="B28" s="26" t="s">
        <v>266</v>
      </c>
      <c r="C28" s="26">
        <v>73</v>
      </c>
      <c r="E28" s="62" t="s">
        <v>277</v>
      </c>
      <c r="F28" s="30">
        <f>C35+F27</f>
        <v>88.75</v>
      </c>
      <c r="H28" s="85" t="str">
        <f>IF(ISNUMBER(F28),"&lt;&lt;== "&amp;F28&amp;" marks the point at which approx. ","")</f>
        <v xml:space="preserve">&lt;&lt;== 88.75 marks the point at which approx. </v>
      </c>
    </row>
    <row r="29" spans="1:8" x14ac:dyDescent="0.25">
      <c r="A29" s="26">
        <v>8</v>
      </c>
      <c r="B29" s="26" t="s">
        <v>267</v>
      </c>
      <c r="C29" s="26">
        <v>74</v>
      </c>
      <c r="E29" s="62" t="s">
        <v>278</v>
      </c>
      <c r="F29" s="30">
        <f>_xlfn.PERCENTILE.EXC(C22:C39,F22)</f>
        <v>88.75</v>
      </c>
      <c r="H29" s="85" t="str">
        <f>IF(ISNUMBER(F28),"        approx. "&amp;TEXT(F22,"0.00%")&amp;" of the values are below  and","")</f>
        <v xml:space="preserve">        approx. 75.00% of the values are below  and</v>
      </c>
    </row>
    <row r="30" spans="1:8" x14ac:dyDescent="0.25">
      <c r="A30" s="26">
        <v>9</v>
      </c>
      <c r="B30" s="26" t="s">
        <v>268</v>
      </c>
      <c r="C30" s="26">
        <v>78</v>
      </c>
      <c r="H30" s="85" t="str">
        <f>IF(ISNUMBER(F28),"        approx. "&amp;TEXT(1-F22,"0.00%")&amp;" of the values are above.","")</f>
        <v xml:space="preserve">        approx. 25.00% of the values are above.</v>
      </c>
    </row>
    <row r="31" spans="1:8" x14ac:dyDescent="0.25">
      <c r="A31" s="26">
        <v>10</v>
      </c>
      <c r="B31" s="26" t="s">
        <v>269</v>
      </c>
      <c r="C31" s="26">
        <v>82</v>
      </c>
      <c r="E31" s="62" t="s">
        <v>280</v>
      </c>
      <c r="F31" s="34">
        <v>3</v>
      </c>
    </row>
    <row r="32" spans="1:8" x14ac:dyDescent="0.25">
      <c r="A32" s="26">
        <v>11</v>
      </c>
      <c r="B32" s="26" t="s">
        <v>270</v>
      </c>
      <c r="C32" s="26">
        <v>83</v>
      </c>
      <c r="E32" s="62" t="s">
        <v>284</v>
      </c>
      <c r="F32" s="30">
        <f>_xlfn.QUARTILE.EXC(C22:C39,F31)</f>
        <v>88.75</v>
      </c>
    </row>
    <row r="33" spans="1:8" x14ac:dyDescent="0.25">
      <c r="A33" s="26">
        <v>12</v>
      </c>
      <c r="B33" s="26" t="s">
        <v>271</v>
      </c>
      <c r="C33" s="26">
        <v>87</v>
      </c>
    </row>
    <row r="34" spans="1:8" x14ac:dyDescent="0.25">
      <c r="A34" s="26">
        <v>13</v>
      </c>
      <c r="B34" s="26" t="s">
        <v>272</v>
      </c>
      <c r="C34" s="26">
        <v>88</v>
      </c>
      <c r="E34" s="62" t="s">
        <v>255</v>
      </c>
      <c r="F34" s="26">
        <v>89</v>
      </c>
    </row>
    <row r="35" spans="1:8" x14ac:dyDescent="0.25">
      <c r="A35" s="26">
        <v>14</v>
      </c>
      <c r="B35" s="26" t="s">
        <v>261</v>
      </c>
      <c r="C35" s="26">
        <v>88</v>
      </c>
      <c r="E35" s="62" t="s">
        <v>281</v>
      </c>
      <c r="F35" s="30">
        <f>_xlfn.PERCENTRANK.EXC(C22:C39,F34)</f>
        <v>0.754</v>
      </c>
    </row>
    <row r="36" spans="1:8" x14ac:dyDescent="0.25">
      <c r="A36" s="26">
        <v>15</v>
      </c>
      <c r="B36" s="26" t="s">
        <v>260</v>
      </c>
      <c r="C36" s="26">
        <v>91</v>
      </c>
      <c r="E36" s="85" t="str">
        <f>IF(ISNUMBER(F35),"Reverse: you give it value and it calculates percentile","")</f>
        <v>Reverse: you give it value and it calculates percentile</v>
      </c>
      <c r="F36" s="85"/>
    </row>
    <row r="37" spans="1:8" x14ac:dyDescent="0.25">
      <c r="A37" s="26">
        <v>16</v>
      </c>
      <c r="B37" s="26" t="s">
        <v>274</v>
      </c>
      <c r="C37" s="26">
        <v>92</v>
      </c>
    </row>
    <row r="38" spans="1:8" x14ac:dyDescent="0.25">
      <c r="A38" s="26">
        <v>17</v>
      </c>
      <c r="B38" s="26" t="s">
        <v>259</v>
      </c>
      <c r="C38" s="26">
        <v>95</v>
      </c>
    </row>
    <row r="39" spans="1:8" x14ac:dyDescent="0.25">
      <c r="A39" s="26">
        <v>18</v>
      </c>
      <c r="B39" s="26" t="s">
        <v>273</v>
      </c>
      <c r="C39" s="26">
        <v>100</v>
      </c>
    </row>
    <row r="41" spans="1:8" ht="30" x14ac:dyDescent="0.25">
      <c r="A41" s="62" t="s">
        <v>2</v>
      </c>
      <c r="B41" s="62" t="s">
        <v>256</v>
      </c>
      <c r="C41" s="62" t="s">
        <v>254</v>
      </c>
    </row>
    <row r="42" spans="1:8" x14ac:dyDescent="0.25">
      <c r="A42" s="26">
        <v>1</v>
      </c>
      <c r="B42" s="26" t="s">
        <v>257</v>
      </c>
      <c r="C42" s="26">
        <v>12</v>
      </c>
      <c r="E42" s="62" t="s">
        <v>279</v>
      </c>
      <c r="F42" s="86">
        <v>0.5</v>
      </c>
      <c r="G42">
        <f>9/18</f>
        <v>0.5</v>
      </c>
    </row>
    <row r="43" spans="1:8" x14ac:dyDescent="0.25">
      <c r="A43" s="26">
        <v>2</v>
      </c>
      <c r="B43" s="26" t="s">
        <v>258</v>
      </c>
      <c r="C43" s="26">
        <v>54</v>
      </c>
      <c r="E43" s="62" t="s">
        <v>278</v>
      </c>
      <c r="F43" s="30">
        <f>_xlfn.PERCENTILE.EXC(C42:C59,F42)</f>
        <v>80</v>
      </c>
      <c r="H43" s="85" t="str">
        <f>IF(ISNUMBER(F43),"&lt;&lt;== "&amp;F43&amp;" marks the point at which approx. ","")</f>
        <v xml:space="preserve">&lt;&lt;== 80 marks the point at which approx. </v>
      </c>
    </row>
    <row r="44" spans="1:8" x14ac:dyDescent="0.25">
      <c r="A44" s="26">
        <v>3</v>
      </c>
      <c r="B44" s="26" t="s">
        <v>262</v>
      </c>
      <c r="C44" s="26">
        <v>56</v>
      </c>
      <c r="E44" s="62" t="s">
        <v>282</v>
      </c>
      <c r="F44" s="30">
        <f>MEDIAN(C42:C59)</f>
        <v>80</v>
      </c>
      <c r="H44" s="85" t="str">
        <f>IF(ISNUMBER(F43),"        approx. "&amp;TEXT(F42,"0.00%")&amp;" of the values are below  and","")</f>
        <v xml:space="preserve">        approx. 50.00% of the values are below  and</v>
      </c>
    </row>
    <row r="45" spans="1:8" x14ac:dyDescent="0.25">
      <c r="A45" s="26">
        <v>4</v>
      </c>
      <c r="B45" s="26" t="s">
        <v>263</v>
      </c>
      <c r="C45" s="26">
        <v>62</v>
      </c>
      <c r="E45" s="62" t="s">
        <v>283</v>
      </c>
      <c r="F45" s="30">
        <f>AVERAGE(C50:C51)</f>
        <v>80</v>
      </c>
      <c r="H45" s="85" t="str">
        <f>IF(ISNUMBER(F43),"        approx. "&amp;TEXT(1-F42,"0.00%")&amp;" of the values are above.","")</f>
        <v xml:space="preserve">        approx. 50.00% of the values are above.</v>
      </c>
    </row>
    <row r="46" spans="1:8" x14ac:dyDescent="0.25">
      <c r="A46" s="26">
        <v>5</v>
      </c>
      <c r="B46" s="26" t="s">
        <v>264</v>
      </c>
      <c r="C46" s="26">
        <v>69</v>
      </c>
    </row>
    <row r="47" spans="1:8" x14ac:dyDescent="0.25">
      <c r="A47" s="26">
        <v>6</v>
      </c>
      <c r="B47" s="26" t="s">
        <v>265</v>
      </c>
      <c r="C47" s="26">
        <v>72</v>
      </c>
      <c r="H47" s="89" t="s">
        <v>300</v>
      </c>
    </row>
    <row r="48" spans="1:8" x14ac:dyDescent="0.25">
      <c r="A48" s="26">
        <v>7</v>
      </c>
      <c r="B48" s="26" t="s">
        <v>266</v>
      </c>
      <c r="C48" s="26">
        <v>73</v>
      </c>
      <c r="E48" s="62" t="s">
        <v>285</v>
      </c>
      <c r="F48" s="30">
        <f>_xlfn.QUARTILE.EXC($C$42:$C$59,H48)</f>
        <v>67.25</v>
      </c>
      <c r="H48" s="26">
        <v>1</v>
      </c>
    </row>
    <row r="49" spans="1:8" x14ac:dyDescent="0.25">
      <c r="A49" s="26">
        <v>8</v>
      </c>
      <c r="B49" s="26" t="s">
        <v>267</v>
      </c>
      <c r="C49" s="26">
        <v>74</v>
      </c>
      <c r="E49" s="62" t="s">
        <v>286</v>
      </c>
      <c r="F49" s="30">
        <f t="shared" ref="F49:F50" si="0">_xlfn.QUARTILE.EXC($C$42:$C$59,H49)</f>
        <v>80</v>
      </c>
      <c r="H49" s="26">
        <v>2</v>
      </c>
    </row>
    <row r="50" spans="1:8" x14ac:dyDescent="0.25">
      <c r="A50" s="26">
        <v>9</v>
      </c>
      <c r="B50" s="26" t="s">
        <v>268</v>
      </c>
      <c r="C50" s="26">
        <v>78</v>
      </c>
      <c r="E50" s="62" t="s">
        <v>287</v>
      </c>
      <c r="F50" s="30">
        <f t="shared" si="0"/>
        <v>88.75</v>
      </c>
      <c r="H50" s="26">
        <v>3</v>
      </c>
    </row>
    <row r="51" spans="1:8" x14ac:dyDescent="0.25">
      <c r="A51" s="26">
        <v>10</v>
      </c>
      <c r="B51" s="26" t="s">
        <v>269</v>
      </c>
      <c r="C51" s="26">
        <v>82</v>
      </c>
    </row>
    <row r="52" spans="1:8" x14ac:dyDescent="0.25">
      <c r="A52" s="26">
        <v>11</v>
      </c>
      <c r="B52" s="26" t="s">
        <v>270</v>
      </c>
      <c r="C52" s="26">
        <v>83</v>
      </c>
    </row>
    <row r="53" spans="1:8" x14ac:dyDescent="0.25">
      <c r="A53" s="26">
        <v>12</v>
      </c>
      <c r="B53" s="26" t="s">
        <v>271</v>
      </c>
      <c r="C53" s="26">
        <v>87</v>
      </c>
    </row>
    <row r="54" spans="1:8" x14ac:dyDescent="0.25">
      <c r="A54" s="26">
        <v>13</v>
      </c>
      <c r="B54" s="26" t="s">
        <v>272</v>
      </c>
      <c r="C54" s="26">
        <v>88</v>
      </c>
    </row>
    <row r="55" spans="1:8" x14ac:dyDescent="0.25">
      <c r="A55" s="26">
        <v>14</v>
      </c>
      <c r="B55" s="26" t="s">
        <v>261</v>
      </c>
      <c r="C55" s="26">
        <v>88</v>
      </c>
    </row>
    <row r="56" spans="1:8" x14ac:dyDescent="0.25">
      <c r="A56" s="26">
        <v>15</v>
      </c>
      <c r="B56" s="26" t="s">
        <v>260</v>
      </c>
      <c r="C56" s="26">
        <v>91</v>
      </c>
    </row>
    <row r="57" spans="1:8" x14ac:dyDescent="0.25">
      <c r="A57" s="26">
        <v>16</v>
      </c>
      <c r="B57" s="26" t="s">
        <v>274</v>
      </c>
      <c r="C57" s="26">
        <v>92</v>
      </c>
    </row>
    <row r="58" spans="1:8" x14ac:dyDescent="0.25">
      <c r="A58" s="26">
        <v>17</v>
      </c>
      <c r="B58" s="26" t="s">
        <v>259</v>
      </c>
      <c r="C58" s="26">
        <v>95</v>
      </c>
    </row>
    <row r="59" spans="1:8" x14ac:dyDescent="0.25">
      <c r="A59" s="26">
        <v>18</v>
      </c>
      <c r="B59" s="26" t="s">
        <v>273</v>
      </c>
      <c r="C59" s="26">
        <v>100</v>
      </c>
    </row>
    <row r="61" spans="1:8" ht="30" x14ac:dyDescent="0.25">
      <c r="A61" s="62" t="s">
        <v>2</v>
      </c>
      <c r="B61" s="62" t="s">
        <v>256</v>
      </c>
      <c r="C61" s="62" t="s">
        <v>254</v>
      </c>
      <c r="E61" s="91" t="s">
        <v>303</v>
      </c>
      <c r="H61" s="89" t="s">
        <v>299</v>
      </c>
    </row>
    <row r="62" spans="1:8" x14ac:dyDescent="0.25">
      <c r="A62" s="26">
        <v>1</v>
      </c>
      <c r="B62" s="26" t="s">
        <v>257</v>
      </c>
      <c r="C62" s="26">
        <v>12</v>
      </c>
      <c r="E62" s="90" t="s">
        <v>304</v>
      </c>
      <c r="F62" s="30">
        <f>_xlfn.PERCENTILE.EXC($C$62:$C$79,H62)</f>
        <v>60.800000000000004</v>
      </c>
      <c r="H62" s="26">
        <v>0.2</v>
      </c>
    </row>
    <row r="63" spans="1:8" x14ac:dyDescent="0.25">
      <c r="A63" s="26">
        <v>2</v>
      </c>
      <c r="B63" s="26" t="s">
        <v>258</v>
      </c>
      <c r="C63" s="26">
        <v>54</v>
      </c>
      <c r="E63" s="61" t="s">
        <v>305</v>
      </c>
      <c r="F63" s="30">
        <f t="shared" ref="F63:F65" si="1">_xlfn.PERCENTILE.EXC($C$62:$C$79,H63)</f>
        <v>73.599999999999994</v>
      </c>
      <c r="H63" s="26">
        <v>0.4</v>
      </c>
    </row>
    <row r="64" spans="1:8" x14ac:dyDescent="0.25">
      <c r="A64" s="26">
        <v>3</v>
      </c>
      <c r="B64" s="26" t="s">
        <v>262</v>
      </c>
      <c r="C64" s="26">
        <v>56</v>
      </c>
      <c r="E64" s="61" t="s">
        <v>306</v>
      </c>
      <c r="F64" s="30">
        <f t="shared" si="1"/>
        <v>84.6</v>
      </c>
      <c r="H64" s="26">
        <v>0.6</v>
      </c>
    </row>
    <row r="65" spans="1:8" x14ac:dyDescent="0.25">
      <c r="A65" s="26">
        <v>4</v>
      </c>
      <c r="B65" s="26" t="s">
        <v>263</v>
      </c>
      <c r="C65" s="26">
        <v>62</v>
      </c>
      <c r="E65" s="61" t="s">
        <v>307</v>
      </c>
      <c r="F65" s="30">
        <f t="shared" si="1"/>
        <v>91.2</v>
      </c>
      <c r="H65" s="26">
        <v>0.8</v>
      </c>
    </row>
    <row r="66" spans="1:8" x14ac:dyDescent="0.25">
      <c r="A66" s="26">
        <v>5</v>
      </c>
      <c r="B66" s="26" t="s">
        <v>264</v>
      </c>
      <c r="C66" s="26">
        <v>69</v>
      </c>
    </row>
    <row r="67" spans="1:8" x14ac:dyDescent="0.25">
      <c r="A67" s="26">
        <v>6</v>
      </c>
      <c r="B67" s="26" t="s">
        <v>265</v>
      </c>
      <c r="C67" s="26">
        <v>72</v>
      </c>
      <c r="E67" s="91" t="s">
        <v>949</v>
      </c>
      <c r="H67" s="89" t="s">
        <v>299</v>
      </c>
    </row>
    <row r="68" spans="1:8" x14ac:dyDescent="0.25">
      <c r="A68" s="26">
        <v>7</v>
      </c>
      <c r="B68" s="26" t="s">
        <v>266</v>
      </c>
      <c r="C68" s="26">
        <v>73</v>
      </c>
      <c r="E68" s="90" t="s">
        <v>304</v>
      </c>
      <c r="F68" s="30">
        <f>_xlfn.PERCENTILE.EXC($C$62:$C$79,H68)</f>
        <v>49.800000000000004</v>
      </c>
      <c r="H68" s="26">
        <v>0.1</v>
      </c>
    </row>
    <row r="69" spans="1:8" x14ac:dyDescent="0.25">
      <c r="A69" s="26">
        <v>8</v>
      </c>
      <c r="B69" s="26" t="s">
        <v>267</v>
      </c>
      <c r="C69" s="26">
        <v>74</v>
      </c>
      <c r="E69" s="61" t="s">
        <v>305</v>
      </c>
      <c r="F69" s="30">
        <f t="shared" ref="F69:F76" si="2">_xlfn.PERCENTILE.EXC($C$62:$C$79,H69)</f>
        <v>60.800000000000004</v>
      </c>
      <c r="H69" s="26">
        <v>0.2</v>
      </c>
    </row>
    <row r="70" spans="1:8" x14ac:dyDescent="0.25">
      <c r="A70" s="26">
        <v>9</v>
      </c>
      <c r="B70" s="26" t="s">
        <v>268</v>
      </c>
      <c r="C70" s="26">
        <v>78</v>
      </c>
      <c r="E70" s="61" t="s">
        <v>306</v>
      </c>
      <c r="F70" s="30">
        <f t="shared" si="2"/>
        <v>71.099999999999994</v>
      </c>
      <c r="H70" s="26">
        <v>0.3</v>
      </c>
    </row>
    <row r="71" spans="1:8" x14ac:dyDescent="0.25">
      <c r="A71" s="26">
        <v>10</v>
      </c>
      <c r="B71" s="26" t="s">
        <v>269</v>
      </c>
      <c r="C71" s="26">
        <v>82</v>
      </c>
      <c r="E71" s="61" t="s">
        <v>307</v>
      </c>
      <c r="F71" s="30">
        <f t="shared" si="2"/>
        <v>73.599999999999994</v>
      </c>
      <c r="H71" s="26">
        <v>0.4</v>
      </c>
    </row>
    <row r="72" spans="1:8" x14ac:dyDescent="0.25">
      <c r="A72" s="26">
        <v>11</v>
      </c>
      <c r="B72" s="26" t="s">
        <v>270</v>
      </c>
      <c r="C72" s="26">
        <v>83</v>
      </c>
      <c r="E72" s="61" t="s">
        <v>308</v>
      </c>
      <c r="F72" s="30">
        <f t="shared" si="2"/>
        <v>80</v>
      </c>
      <c r="H72" s="26">
        <v>0.5</v>
      </c>
    </row>
    <row r="73" spans="1:8" x14ac:dyDescent="0.25">
      <c r="A73" s="26">
        <v>12</v>
      </c>
      <c r="B73" s="26" t="s">
        <v>271</v>
      </c>
      <c r="C73" s="26">
        <v>87</v>
      </c>
      <c r="E73" s="61" t="s">
        <v>309</v>
      </c>
      <c r="F73" s="30">
        <f t="shared" si="2"/>
        <v>84.6</v>
      </c>
      <c r="H73" s="26">
        <v>0.6</v>
      </c>
    </row>
    <row r="74" spans="1:8" x14ac:dyDescent="0.25">
      <c r="A74" s="26">
        <v>13</v>
      </c>
      <c r="B74" s="26" t="s">
        <v>272</v>
      </c>
      <c r="C74" s="26">
        <v>88</v>
      </c>
      <c r="E74" s="61" t="s">
        <v>310</v>
      </c>
      <c r="F74" s="30">
        <f t="shared" si="2"/>
        <v>88</v>
      </c>
      <c r="H74" s="26">
        <v>0.7</v>
      </c>
    </row>
    <row r="75" spans="1:8" x14ac:dyDescent="0.25">
      <c r="A75" s="26">
        <v>14</v>
      </c>
      <c r="B75" s="26" t="s">
        <v>261</v>
      </c>
      <c r="C75" s="26">
        <v>88</v>
      </c>
      <c r="E75" s="61" t="s">
        <v>311</v>
      </c>
      <c r="F75" s="30">
        <f t="shared" si="2"/>
        <v>91.2</v>
      </c>
      <c r="H75" s="26">
        <v>0.8</v>
      </c>
    </row>
    <row r="76" spans="1:8" x14ac:dyDescent="0.25">
      <c r="A76" s="26">
        <v>15</v>
      </c>
      <c r="B76" s="26" t="s">
        <v>260</v>
      </c>
      <c r="C76" s="26">
        <v>91</v>
      </c>
      <c r="E76" s="61" t="s">
        <v>312</v>
      </c>
      <c r="F76" s="30">
        <f t="shared" si="2"/>
        <v>95.5</v>
      </c>
      <c r="H76" s="26">
        <v>0.9</v>
      </c>
    </row>
    <row r="77" spans="1:8" x14ac:dyDescent="0.25">
      <c r="A77" s="26">
        <v>16</v>
      </c>
      <c r="B77" s="26" t="s">
        <v>274</v>
      </c>
      <c r="C77" s="26">
        <v>92</v>
      </c>
    </row>
    <row r="78" spans="1:8" x14ac:dyDescent="0.25">
      <c r="A78" s="26">
        <v>17</v>
      </c>
      <c r="B78" s="26" t="s">
        <v>259</v>
      </c>
      <c r="C78" s="26">
        <v>95</v>
      </c>
    </row>
    <row r="79" spans="1:8" x14ac:dyDescent="0.25">
      <c r="A79" s="26">
        <v>18</v>
      </c>
      <c r="B79" s="26" t="s">
        <v>273</v>
      </c>
      <c r="C79" s="26">
        <v>100</v>
      </c>
    </row>
    <row r="81" spans="1:7" ht="30" x14ac:dyDescent="0.25">
      <c r="A81" s="62" t="s">
        <v>2</v>
      </c>
      <c r="B81" s="62" t="s">
        <v>256</v>
      </c>
      <c r="C81" s="62" t="s">
        <v>254</v>
      </c>
      <c r="E81" s="62" t="s">
        <v>92</v>
      </c>
    </row>
    <row r="82" spans="1:7" x14ac:dyDescent="0.25">
      <c r="A82" s="26">
        <v>1</v>
      </c>
      <c r="B82" s="26" t="s">
        <v>257</v>
      </c>
      <c r="C82" s="26">
        <v>12</v>
      </c>
      <c r="E82" s="87">
        <f>_xlfn.PERCENTRANK.EXC($C$82:$C$99,C82)</f>
        <v>5.1999999999999998E-2</v>
      </c>
    </row>
    <row r="83" spans="1:7" x14ac:dyDescent="0.25">
      <c r="A83" s="26">
        <v>2</v>
      </c>
      <c r="B83" s="26" t="s">
        <v>258</v>
      </c>
      <c r="C83" s="26">
        <v>54</v>
      </c>
      <c r="E83" s="87">
        <f t="shared" ref="E83:E99" si="3">_xlfn.PERCENTRANK.EXC($C$82:$C$99,C83)</f>
        <v>0.105</v>
      </c>
    </row>
    <row r="84" spans="1:7" x14ac:dyDescent="0.25">
      <c r="A84" s="26">
        <v>3</v>
      </c>
      <c r="B84" s="26" t="s">
        <v>262</v>
      </c>
      <c r="C84" s="26">
        <v>56</v>
      </c>
      <c r="E84" s="87">
        <f t="shared" si="3"/>
        <v>0.157</v>
      </c>
    </row>
    <row r="85" spans="1:7" x14ac:dyDescent="0.25">
      <c r="A85" s="26">
        <v>4</v>
      </c>
      <c r="B85" s="26" t="s">
        <v>263</v>
      </c>
      <c r="C85" s="26">
        <v>62</v>
      </c>
      <c r="E85" s="87">
        <f t="shared" si="3"/>
        <v>0.21</v>
      </c>
    </row>
    <row r="86" spans="1:7" x14ac:dyDescent="0.25">
      <c r="A86" s="26">
        <v>5</v>
      </c>
      <c r="B86" s="26" t="s">
        <v>264</v>
      </c>
      <c r="C86" s="26">
        <v>69</v>
      </c>
      <c r="E86" s="87">
        <f t="shared" si="3"/>
        <v>0.26300000000000001</v>
      </c>
    </row>
    <row r="87" spans="1:7" x14ac:dyDescent="0.25">
      <c r="A87" s="26">
        <v>6</v>
      </c>
      <c r="B87" s="26" t="s">
        <v>265</v>
      </c>
      <c r="C87" s="26">
        <v>72</v>
      </c>
      <c r="E87" s="87">
        <f t="shared" si="3"/>
        <v>0.315</v>
      </c>
    </row>
    <row r="88" spans="1:7" x14ac:dyDescent="0.25">
      <c r="A88" s="26">
        <v>7</v>
      </c>
      <c r="B88" s="26" t="s">
        <v>266</v>
      </c>
      <c r="C88" s="26">
        <v>73</v>
      </c>
      <c r="E88" s="87">
        <f t="shared" si="3"/>
        <v>0.36799999999999999</v>
      </c>
    </row>
    <row r="89" spans="1:7" x14ac:dyDescent="0.25">
      <c r="A89" s="26">
        <v>8</v>
      </c>
      <c r="B89" s="26" t="s">
        <v>267</v>
      </c>
      <c r="C89" s="26">
        <v>74</v>
      </c>
      <c r="E89" s="87">
        <f t="shared" si="3"/>
        <v>0.42099999999999999</v>
      </c>
    </row>
    <row r="90" spans="1:7" x14ac:dyDescent="0.25">
      <c r="A90" s="26">
        <v>9</v>
      </c>
      <c r="B90" s="26" t="s">
        <v>268</v>
      </c>
      <c r="C90" s="26">
        <v>78</v>
      </c>
      <c r="E90" s="87">
        <f t="shared" si="3"/>
        <v>0.47299999999999998</v>
      </c>
    </row>
    <row r="91" spans="1:7" x14ac:dyDescent="0.25">
      <c r="A91" s="26">
        <v>10</v>
      </c>
      <c r="B91" s="26" t="s">
        <v>269</v>
      </c>
      <c r="C91" s="26">
        <v>82</v>
      </c>
      <c r="E91" s="87">
        <f t="shared" si="3"/>
        <v>0.52600000000000002</v>
      </c>
    </row>
    <row r="92" spans="1:7" x14ac:dyDescent="0.25">
      <c r="A92" s="26">
        <v>11</v>
      </c>
      <c r="B92" s="26" t="s">
        <v>270</v>
      </c>
      <c r="C92" s="26">
        <v>83</v>
      </c>
      <c r="E92" s="87">
        <f t="shared" si="3"/>
        <v>0.57799999999999996</v>
      </c>
    </row>
    <row r="93" spans="1:7" x14ac:dyDescent="0.25">
      <c r="A93" s="26">
        <v>12</v>
      </c>
      <c r="B93" s="26" t="s">
        <v>271</v>
      </c>
      <c r="C93" s="26">
        <v>87</v>
      </c>
      <c r="E93" s="87">
        <f t="shared" si="3"/>
        <v>0.63100000000000001</v>
      </c>
    </row>
    <row r="94" spans="1:7" x14ac:dyDescent="0.25">
      <c r="A94" s="26">
        <v>13</v>
      </c>
      <c r="B94" s="26" t="s">
        <v>272</v>
      </c>
      <c r="C94" s="26">
        <v>88</v>
      </c>
      <c r="E94" s="87">
        <f t="shared" si="3"/>
        <v>0.68400000000000005</v>
      </c>
      <c r="G94" s="239"/>
    </row>
    <row r="95" spans="1:7" x14ac:dyDescent="0.25">
      <c r="A95" s="26">
        <v>14</v>
      </c>
      <c r="B95" s="26" t="s">
        <v>261</v>
      </c>
      <c r="C95" s="26">
        <v>88</v>
      </c>
      <c r="E95" s="87">
        <f t="shared" si="3"/>
        <v>0.68400000000000005</v>
      </c>
    </row>
    <row r="96" spans="1:7" x14ac:dyDescent="0.25">
      <c r="A96" s="26">
        <v>15</v>
      </c>
      <c r="B96" s="26" t="s">
        <v>260</v>
      </c>
      <c r="C96" s="26">
        <v>91</v>
      </c>
      <c r="E96" s="87">
        <f t="shared" si="3"/>
        <v>0.78900000000000003</v>
      </c>
    </row>
    <row r="97" spans="1:13" x14ac:dyDescent="0.25">
      <c r="A97" s="26">
        <v>16</v>
      </c>
      <c r="B97" s="26" t="s">
        <v>274</v>
      </c>
      <c r="C97" s="26">
        <v>92</v>
      </c>
      <c r="E97" s="87">
        <f t="shared" si="3"/>
        <v>0.84199999999999997</v>
      </c>
    </row>
    <row r="98" spans="1:13" x14ac:dyDescent="0.25">
      <c r="A98" s="26">
        <v>17</v>
      </c>
      <c r="B98" s="26" t="s">
        <v>259</v>
      </c>
      <c r="C98" s="26">
        <v>95</v>
      </c>
      <c r="E98" s="87">
        <f t="shared" si="3"/>
        <v>0.89400000000000002</v>
      </c>
    </row>
    <row r="99" spans="1:13" x14ac:dyDescent="0.25">
      <c r="A99" s="26">
        <v>18</v>
      </c>
      <c r="B99" s="26" t="s">
        <v>273</v>
      </c>
      <c r="C99" s="26">
        <v>100</v>
      </c>
      <c r="E99" s="87">
        <f t="shared" si="3"/>
        <v>0.94699999999999995</v>
      </c>
    </row>
    <row r="103" spans="1:13" ht="30" x14ac:dyDescent="0.25">
      <c r="A103" s="62" t="s">
        <v>2</v>
      </c>
      <c r="B103" s="62" t="s">
        <v>256</v>
      </c>
      <c r="C103" s="62" t="s">
        <v>254</v>
      </c>
    </row>
    <row r="104" spans="1:13" x14ac:dyDescent="0.25">
      <c r="A104" s="26">
        <v>1</v>
      </c>
      <c r="B104" s="26" t="s">
        <v>257</v>
      </c>
      <c r="C104" s="26">
        <v>12</v>
      </c>
      <c r="E104" s="62" t="s">
        <v>288</v>
      </c>
      <c r="F104" s="84">
        <v>0.75</v>
      </c>
      <c r="H104" t="s">
        <v>251</v>
      </c>
    </row>
    <row r="105" spans="1:13" x14ac:dyDescent="0.25">
      <c r="A105" s="26">
        <v>2</v>
      </c>
      <c r="B105" s="26" t="s">
        <v>258</v>
      </c>
      <c r="C105" s="26">
        <v>54</v>
      </c>
      <c r="E105" s="26" t="s">
        <v>289</v>
      </c>
      <c r="F105" s="88">
        <f>_xlfn.PERCENTILE.EXC(C104:C121,F104)</f>
        <v>88.75</v>
      </c>
      <c r="H105" s="54" t="s">
        <v>252</v>
      </c>
    </row>
    <row r="106" spans="1:13" x14ac:dyDescent="0.25">
      <c r="A106" s="26">
        <v>3</v>
      </c>
      <c r="B106" s="26" t="s">
        <v>262</v>
      </c>
      <c r="C106" s="26">
        <v>56</v>
      </c>
      <c r="E106" s="26" t="s">
        <v>417</v>
      </c>
      <c r="F106" s="88">
        <f>_xlfn.PERCENTILE.INC(C104:C121,F104)</f>
        <v>88</v>
      </c>
      <c r="H106" s="54" t="s">
        <v>253</v>
      </c>
    </row>
    <row r="107" spans="1:13" x14ac:dyDescent="0.25">
      <c r="A107" s="26">
        <v>4</v>
      </c>
      <c r="B107" s="26" t="s">
        <v>263</v>
      </c>
      <c r="C107" s="26">
        <v>62</v>
      </c>
      <c r="E107" t="s">
        <v>945</v>
      </c>
    </row>
    <row r="108" spans="1:13" x14ac:dyDescent="0.25">
      <c r="A108" s="26">
        <v>5</v>
      </c>
      <c r="B108" s="26" t="s">
        <v>264</v>
      </c>
      <c r="C108" s="26">
        <v>69</v>
      </c>
      <c r="F108" s="82" t="s">
        <v>294</v>
      </c>
      <c r="G108" s="83"/>
      <c r="I108" s="82" t="s">
        <v>293</v>
      </c>
      <c r="J108" s="83"/>
      <c r="L108" s="82" t="s">
        <v>294</v>
      </c>
      <c r="M108" s="83"/>
    </row>
    <row r="109" spans="1:13" x14ac:dyDescent="0.25">
      <c r="A109" s="26">
        <v>6</v>
      </c>
      <c r="B109" s="26" t="s">
        <v>265</v>
      </c>
      <c r="C109" s="26">
        <v>72</v>
      </c>
      <c r="E109" s="22" t="s">
        <v>302</v>
      </c>
      <c r="F109" s="61" t="s">
        <v>301</v>
      </c>
      <c r="G109" s="62" t="s">
        <v>299</v>
      </c>
      <c r="I109" s="61" t="s">
        <v>301</v>
      </c>
      <c r="J109" s="62" t="s">
        <v>299</v>
      </c>
      <c r="L109" s="61" t="s">
        <v>946</v>
      </c>
    </row>
    <row r="110" spans="1:13" x14ac:dyDescent="0.25">
      <c r="A110" s="26">
        <v>7</v>
      </c>
      <c r="B110" s="26" t="s">
        <v>266</v>
      </c>
      <c r="C110" s="26">
        <v>73</v>
      </c>
      <c r="F110" s="30">
        <f>_xlfn.PERCENTILE.INC($C$104:$C$121,G110)</f>
        <v>12</v>
      </c>
      <c r="G110" s="26">
        <v>0</v>
      </c>
      <c r="I110" s="30" t="e">
        <f>_xlfn.PERCENTILE.EXC($C$104:$C$121,J110)</f>
        <v>#NUM!</v>
      </c>
      <c r="J110" s="26">
        <v>0</v>
      </c>
      <c r="L110" s="60">
        <f>F104*COUNT($C$104:$C$121)+(1-F104)</f>
        <v>13.75</v>
      </c>
      <c r="M110" t="s">
        <v>947</v>
      </c>
    </row>
    <row r="111" spans="1:13" x14ac:dyDescent="0.25">
      <c r="A111" s="26">
        <v>8</v>
      </c>
      <c r="B111" s="26" t="s">
        <v>267</v>
      </c>
      <c r="C111" s="26">
        <v>74</v>
      </c>
      <c r="F111" s="30">
        <f t="shared" ref="F111:F114" si="4">_xlfn.PERCENTILE.INC($C$104:$C$121,G111)</f>
        <v>69.75</v>
      </c>
      <c r="G111" s="26">
        <v>0.25</v>
      </c>
      <c r="I111" s="30">
        <f t="shared" ref="I111:I114" si="5">_xlfn.PERCENTILE.EXC($C$104:$C$121,J111)</f>
        <v>67.25</v>
      </c>
      <c r="J111" s="26">
        <v>0.25</v>
      </c>
      <c r="L111" s="60">
        <f>C116+(C117-C116)*MOD(L110,1)</f>
        <v>88</v>
      </c>
      <c r="M111" t="s">
        <v>948</v>
      </c>
    </row>
    <row r="112" spans="1:13" x14ac:dyDescent="0.25">
      <c r="A112" s="26">
        <v>9</v>
      </c>
      <c r="B112" s="26" t="s">
        <v>268</v>
      </c>
      <c r="C112" s="26">
        <v>78</v>
      </c>
      <c r="F112" s="30">
        <f t="shared" si="4"/>
        <v>80</v>
      </c>
      <c r="G112" s="26">
        <v>0.5</v>
      </c>
      <c r="I112" s="30">
        <f t="shared" si="5"/>
        <v>80</v>
      </c>
      <c r="J112" s="26">
        <v>0.5</v>
      </c>
    </row>
    <row r="113" spans="1:10" x14ac:dyDescent="0.25">
      <c r="A113" s="26">
        <v>10</v>
      </c>
      <c r="B113" s="26" t="s">
        <v>269</v>
      </c>
      <c r="C113" s="26">
        <v>82</v>
      </c>
      <c r="F113" s="30">
        <f t="shared" si="4"/>
        <v>88</v>
      </c>
      <c r="G113" s="26">
        <v>0.75</v>
      </c>
      <c r="I113" s="30">
        <f t="shared" si="5"/>
        <v>88.75</v>
      </c>
      <c r="J113" s="26">
        <v>0.75</v>
      </c>
    </row>
    <row r="114" spans="1:10" x14ac:dyDescent="0.25">
      <c r="A114" s="26">
        <v>11</v>
      </c>
      <c r="B114" s="26" t="s">
        <v>270</v>
      </c>
      <c r="C114" s="26">
        <v>83</v>
      </c>
      <c r="F114" s="30">
        <f t="shared" si="4"/>
        <v>100</v>
      </c>
      <c r="G114" s="26">
        <v>1</v>
      </c>
      <c r="I114" s="30" t="e">
        <f t="shared" si="5"/>
        <v>#NUM!</v>
      </c>
      <c r="J114" s="26">
        <v>1</v>
      </c>
    </row>
    <row r="115" spans="1:10" x14ac:dyDescent="0.25">
      <c r="A115" s="26">
        <v>12</v>
      </c>
      <c r="B115" s="26" t="s">
        <v>271</v>
      </c>
      <c r="C115" s="26">
        <v>87</v>
      </c>
    </row>
    <row r="116" spans="1:10" x14ac:dyDescent="0.25">
      <c r="A116" s="26">
        <v>13</v>
      </c>
      <c r="B116" s="26" t="s">
        <v>272</v>
      </c>
      <c r="C116" s="26">
        <v>88</v>
      </c>
      <c r="F116" s="61" t="s">
        <v>301</v>
      </c>
      <c r="G116" s="62" t="s">
        <v>300</v>
      </c>
    </row>
    <row r="117" spans="1:10" x14ac:dyDescent="0.25">
      <c r="A117" s="26">
        <v>14</v>
      </c>
      <c r="B117" s="26" t="s">
        <v>261</v>
      </c>
      <c r="C117" s="26">
        <v>88</v>
      </c>
      <c r="F117" s="30">
        <f>_xlfn.QUARTILE.INC($C$104:$C$121,G117)</f>
        <v>12</v>
      </c>
      <c r="G117" s="26">
        <v>0</v>
      </c>
    </row>
    <row r="118" spans="1:10" x14ac:dyDescent="0.25">
      <c r="A118" s="26">
        <v>15</v>
      </c>
      <c r="B118" s="26" t="s">
        <v>260</v>
      </c>
      <c r="C118" s="26">
        <v>91</v>
      </c>
      <c r="F118" s="30">
        <f t="shared" ref="F118:F121" si="6">_xlfn.QUARTILE.INC($C$104:$C$121,G118)</f>
        <v>69.75</v>
      </c>
      <c r="G118" s="26">
        <v>1</v>
      </c>
    </row>
    <row r="119" spans="1:10" x14ac:dyDescent="0.25">
      <c r="A119" s="26">
        <v>16</v>
      </c>
      <c r="B119" s="26" t="s">
        <v>274</v>
      </c>
      <c r="C119" s="26">
        <v>92</v>
      </c>
      <c r="F119" s="30">
        <f t="shared" si="6"/>
        <v>80</v>
      </c>
      <c r="G119" s="26">
        <v>2</v>
      </c>
    </row>
    <row r="120" spans="1:10" x14ac:dyDescent="0.25">
      <c r="A120" s="26">
        <v>17</v>
      </c>
      <c r="B120" s="26" t="s">
        <v>259</v>
      </c>
      <c r="C120" s="26">
        <v>95</v>
      </c>
      <c r="F120" s="30">
        <f t="shared" si="6"/>
        <v>88</v>
      </c>
      <c r="G120" s="26">
        <v>3</v>
      </c>
    </row>
    <row r="121" spans="1:10" x14ac:dyDescent="0.25">
      <c r="A121" s="26">
        <v>18</v>
      </c>
      <c r="B121" s="26" t="s">
        <v>273</v>
      </c>
      <c r="C121" s="26">
        <v>100</v>
      </c>
      <c r="F121" s="30">
        <f t="shared" si="6"/>
        <v>100</v>
      </c>
      <c r="G121" s="26">
        <v>4</v>
      </c>
    </row>
    <row r="124" spans="1:10" ht="45" x14ac:dyDescent="0.25">
      <c r="A124" s="33" t="s">
        <v>254</v>
      </c>
      <c r="E124" s="1" t="s">
        <v>290</v>
      </c>
      <c r="F124" s="1" t="s">
        <v>291</v>
      </c>
      <c r="G124" s="1" t="s">
        <v>292</v>
      </c>
    </row>
    <row r="125" spans="1:10" x14ac:dyDescent="0.25">
      <c r="A125" s="26">
        <v>32</v>
      </c>
      <c r="E125" s="26" t="s">
        <v>293</v>
      </c>
      <c r="F125" s="26">
        <v>0.75</v>
      </c>
      <c r="G125" s="30">
        <f>_xlfn.PERCENTILE.EXC($A$125:$A$614,F125)</f>
        <v>76</v>
      </c>
    </row>
    <row r="126" spans="1:10" x14ac:dyDescent="0.25">
      <c r="A126" s="26">
        <v>43</v>
      </c>
      <c r="E126" s="26" t="s">
        <v>294</v>
      </c>
      <c r="F126" s="26">
        <v>0.75</v>
      </c>
      <c r="G126" s="30">
        <f>_xlfn.PERCENTILE.INC($A$125:$A$614,F126)</f>
        <v>76</v>
      </c>
    </row>
    <row r="127" spans="1:10" x14ac:dyDescent="0.25">
      <c r="A127" s="26">
        <v>86</v>
      </c>
      <c r="E127" s="26" t="s">
        <v>295</v>
      </c>
      <c r="F127" s="26">
        <v>3</v>
      </c>
      <c r="G127" s="30">
        <f>_xlfn.QUARTILE.EXC($A$125:$A$614,F127)</f>
        <v>76</v>
      </c>
    </row>
    <row r="128" spans="1:10" x14ac:dyDescent="0.25">
      <c r="A128" s="26">
        <v>63</v>
      </c>
      <c r="E128" s="26" t="s">
        <v>296</v>
      </c>
      <c r="F128" s="26">
        <v>3</v>
      </c>
      <c r="G128" s="30">
        <f>_xlfn.QUARTILE.INC($A$125:$A$614,F128)</f>
        <v>76</v>
      </c>
    </row>
    <row r="129" spans="1:7" x14ac:dyDescent="0.25">
      <c r="A129" s="26">
        <v>36</v>
      </c>
      <c r="E129" s="26" t="s">
        <v>297</v>
      </c>
      <c r="F129" s="56">
        <v>74</v>
      </c>
      <c r="G129" s="30">
        <f>_xlfn.PERCENTRANK.EXC($A$125:$A$614,F129)</f>
        <v>0.68600000000000005</v>
      </c>
    </row>
    <row r="130" spans="1:7" x14ac:dyDescent="0.25">
      <c r="A130" s="26">
        <v>36</v>
      </c>
      <c r="E130" s="26" t="s">
        <v>298</v>
      </c>
      <c r="F130" s="56">
        <v>74</v>
      </c>
      <c r="G130" s="30">
        <f>_xlfn.PERCENTRANK.INC($A$125:$A$614,F130)</f>
        <v>0.68700000000000006</v>
      </c>
    </row>
    <row r="131" spans="1:7" x14ac:dyDescent="0.25">
      <c r="A131" s="26">
        <v>52</v>
      </c>
    </row>
    <row r="132" spans="1:7" x14ac:dyDescent="0.25">
      <c r="A132" s="26">
        <v>88</v>
      </c>
    </row>
    <row r="133" spans="1:7" x14ac:dyDescent="0.25">
      <c r="A133" s="26">
        <v>51</v>
      </c>
    </row>
    <row r="134" spans="1:7" x14ac:dyDescent="0.25">
      <c r="A134" s="26">
        <v>89</v>
      </c>
    </row>
    <row r="135" spans="1:7" x14ac:dyDescent="0.25">
      <c r="A135" s="26">
        <v>44</v>
      </c>
    </row>
    <row r="136" spans="1:7" x14ac:dyDescent="0.25">
      <c r="A136" s="26">
        <v>39</v>
      </c>
    </row>
    <row r="137" spans="1:7" x14ac:dyDescent="0.25">
      <c r="A137" s="26">
        <v>10</v>
      </c>
    </row>
    <row r="138" spans="1:7" x14ac:dyDescent="0.25">
      <c r="A138" s="26">
        <v>74</v>
      </c>
    </row>
    <row r="139" spans="1:7" x14ac:dyDescent="0.25">
      <c r="A139" s="26">
        <v>82</v>
      </c>
    </row>
    <row r="140" spans="1:7" x14ac:dyDescent="0.25">
      <c r="A140" s="26">
        <v>20</v>
      </c>
    </row>
    <row r="141" spans="1:7" x14ac:dyDescent="0.25">
      <c r="A141" s="26">
        <v>14</v>
      </c>
    </row>
    <row r="142" spans="1:7" x14ac:dyDescent="0.25">
      <c r="A142" s="26">
        <v>43</v>
      </c>
    </row>
    <row r="143" spans="1:7" x14ac:dyDescent="0.25">
      <c r="A143" s="26">
        <v>10</v>
      </c>
    </row>
    <row r="144" spans="1:7" x14ac:dyDescent="0.25">
      <c r="A144" s="26">
        <v>41</v>
      </c>
    </row>
    <row r="145" spans="1:1" x14ac:dyDescent="0.25">
      <c r="A145" s="26">
        <v>44</v>
      </c>
    </row>
    <row r="146" spans="1:1" x14ac:dyDescent="0.25">
      <c r="A146" s="26">
        <v>86</v>
      </c>
    </row>
    <row r="147" spans="1:1" x14ac:dyDescent="0.25">
      <c r="A147" s="26">
        <v>89</v>
      </c>
    </row>
    <row r="148" spans="1:1" x14ac:dyDescent="0.25">
      <c r="A148" s="26">
        <v>78</v>
      </c>
    </row>
    <row r="149" spans="1:1" x14ac:dyDescent="0.25">
      <c r="A149" s="26">
        <v>30</v>
      </c>
    </row>
    <row r="150" spans="1:1" x14ac:dyDescent="0.25">
      <c r="A150" s="26">
        <v>8</v>
      </c>
    </row>
    <row r="151" spans="1:1" x14ac:dyDescent="0.25">
      <c r="A151" s="26">
        <v>13</v>
      </c>
    </row>
    <row r="152" spans="1:1" x14ac:dyDescent="0.25">
      <c r="A152" s="26">
        <v>4</v>
      </c>
    </row>
    <row r="153" spans="1:1" x14ac:dyDescent="0.25">
      <c r="A153" s="26">
        <v>38</v>
      </c>
    </row>
    <row r="154" spans="1:1" x14ac:dyDescent="0.25">
      <c r="A154" s="26">
        <v>83</v>
      </c>
    </row>
    <row r="155" spans="1:1" x14ac:dyDescent="0.25">
      <c r="A155" s="26">
        <v>70</v>
      </c>
    </row>
    <row r="156" spans="1:1" x14ac:dyDescent="0.25">
      <c r="A156" s="26">
        <v>37</v>
      </c>
    </row>
    <row r="157" spans="1:1" x14ac:dyDescent="0.25">
      <c r="A157" s="26">
        <v>69</v>
      </c>
    </row>
    <row r="158" spans="1:1" x14ac:dyDescent="0.25">
      <c r="A158" s="26">
        <v>86</v>
      </c>
    </row>
    <row r="159" spans="1:1" x14ac:dyDescent="0.25">
      <c r="A159" s="26">
        <v>63</v>
      </c>
    </row>
    <row r="160" spans="1:1" x14ac:dyDescent="0.25">
      <c r="A160" s="26">
        <v>23</v>
      </c>
    </row>
    <row r="161" spans="1:1" x14ac:dyDescent="0.25">
      <c r="A161" s="26">
        <v>20</v>
      </c>
    </row>
    <row r="162" spans="1:1" x14ac:dyDescent="0.25">
      <c r="A162" s="26">
        <v>23</v>
      </c>
    </row>
    <row r="163" spans="1:1" x14ac:dyDescent="0.25">
      <c r="A163" s="26">
        <v>61</v>
      </c>
    </row>
    <row r="164" spans="1:1" x14ac:dyDescent="0.25">
      <c r="A164" s="26">
        <v>60</v>
      </c>
    </row>
    <row r="165" spans="1:1" x14ac:dyDescent="0.25">
      <c r="A165" s="26">
        <v>93</v>
      </c>
    </row>
    <row r="166" spans="1:1" x14ac:dyDescent="0.25">
      <c r="A166" s="26">
        <v>75</v>
      </c>
    </row>
    <row r="167" spans="1:1" x14ac:dyDescent="0.25">
      <c r="A167" s="26">
        <v>29</v>
      </c>
    </row>
    <row r="168" spans="1:1" x14ac:dyDescent="0.25">
      <c r="A168" s="26">
        <v>11</v>
      </c>
    </row>
    <row r="169" spans="1:1" x14ac:dyDescent="0.25">
      <c r="A169" s="26">
        <v>29</v>
      </c>
    </row>
    <row r="170" spans="1:1" x14ac:dyDescent="0.25">
      <c r="A170" s="26">
        <v>2</v>
      </c>
    </row>
    <row r="171" spans="1:1" x14ac:dyDescent="0.25">
      <c r="A171" s="26">
        <v>25</v>
      </c>
    </row>
    <row r="172" spans="1:1" x14ac:dyDescent="0.25">
      <c r="A172" s="26">
        <v>94</v>
      </c>
    </row>
    <row r="173" spans="1:1" x14ac:dyDescent="0.25">
      <c r="A173" s="26">
        <v>73</v>
      </c>
    </row>
    <row r="174" spans="1:1" x14ac:dyDescent="0.25">
      <c r="A174" s="26">
        <v>56</v>
      </c>
    </row>
    <row r="175" spans="1:1" x14ac:dyDescent="0.25">
      <c r="A175" s="26">
        <v>6</v>
      </c>
    </row>
    <row r="176" spans="1:1" x14ac:dyDescent="0.25">
      <c r="A176" s="26">
        <v>33</v>
      </c>
    </row>
    <row r="177" spans="1:1" x14ac:dyDescent="0.25">
      <c r="A177" s="26">
        <v>27</v>
      </c>
    </row>
    <row r="178" spans="1:1" x14ac:dyDescent="0.25">
      <c r="A178" s="26">
        <v>64</v>
      </c>
    </row>
    <row r="179" spans="1:1" x14ac:dyDescent="0.25">
      <c r="A179" s="26">
        <v>5</v>
      </c>
    </row>
    <row r="180" spans="1:1" x14ac:dyDescent="0.25">
      <c r="A180" s="26">
        <v>72</v>
      </c>
    </row>
    <row r="181" spans="1:1" x14ac:dyDescent="0.25">
      <c r="A181" s="26">
        <v>87</v>
      </c>
    </row>
    <row r="182" spans="1:1" x14ac:dyDescent="0.25">
      <c r="A182" s="26">
        <v>2</v>
      </c>
    </row>
    <row r="183" spans="1:1" x14ac:dyDescent="0.25">
      <c r="A183" s="26">
        <v>33</v>
      </c>
    </row>
    <row r="184" spans="1:1" x14ac:dyDescent="0.25">
      <c r="A184" s="26">
        <v>48</v>
      </c>
    </row>
    <row r="185" spans="1:1" x14ac:dyDescent="0.25">
      <c r="A185" s="26">
        <v>12</v>
      </c>
    </row>
    <row r="186" spans="1:1" x14ac:dyDescent="0.25">
      <c r="A186" s="26">
        <v>57</v>
      </c>
    </row>
    <row r="187" spans="1:1" x14ac:dyDescent="0.25">
      <c r="A187" s="26">
        <v>42</v>
      </c>
    </row>
    <row r="188" spans="1:1" x14ac:dyDescent="0.25">
      <c r="A188" s="26">
        <v>41</v>
      </c>
    </row>
    <row r="189" spans="1:1" x14ac:dyDescent="0.25">
      <c r="A189" s="26">
        <v>89</v>
      </c>
    </row>
    <row r="190" spans="1:1" x14ac:dyDescent="0.25">
      <c r="A190" s="26">
        <v>63</v>
      </c>
    </row>
    <row r="191" spans="1:1" x14ac:dyDescent="0.25">
      <c r="A191" s="26">
        <v>26</v>
      </c>
    </row>
    <row r="192" spans="1:1" x14ac:dyDescent="0.25">
      <c r="A192" s="26">
        <v>78</v>
      </c>
    </row>
    <row r="193" spans="1:1" x14ac:dyDescent="0.25">
      <c r="A193" s="26">
        <v>86</v>
      </c>
    </row>
    <row r="194" spans="1:1" x14ac:dyDescent="0.25">
      <c r="A194" s="26">
        <v>60</v>
      </c>
    </row>
    <row r="195" spans="1:1" x14ac:dyDescent="0.25">
      <c r="A195" s="26">
        <v>34</v>
      </c>
    </row>
    <row r="196" spans="1:1" x14ac:dyDescent="0.25">
      <c r="A196" s="26">
        <v>7</v>
      </c>
    </row>
    <row r="197" spans="1:1" x14ac:dyDescent="0.25">
      <c r="A197" s="26">
        <v>39</v>
      </c>
    </row>
    <row r="198" spans="1:1" x14ac:dyDescent="0.25">
      <c r="A198" s="26">
        <v>10</v>
      </c>
    </row>
    <row r="199" spans="1:1" x14ac:dyDescent="0.25">
      <c r="A199" s="26">
        <v>94</v>
      </c>
    </row>
    <row r="200" spans="1:1" x14ac:dyDescent="0.25">
      <c r="A200" s="26">
        <v>47</v>
      </c>
    </row>
    <row r="201" spans="1:1" x14ac:dyDescent="0.25">
      <c r="A201" s="26">
        <v>71</v>
      </c>
    </row>
    <row r="202" spans="1:1" x14ac:dyDescent="0.25">
      <c r="A202" s="26">
        <v>29</v>
      </c>
    </row>
    <row r="203" spans="1:1" x14ac:dyDescent="0.25">
      <c r="A203" s="26">
        <v>16</v>
      </c>
    </row>
    <row r="204" spans="1:1" x14ac:dyDescent="0.25">
      <c r="A204" s="26">
        <v>72</v>
      </c>
    </row>
    <row r="205" spans="1:1" x14ac:dyDescent="0.25">
      <c r="A205" s="26">
        <v>45</v>
      </c>
    </row>
    <row r="206" spans="1:1" x14ac:dyDescent="0.25">
      <c r="A206" s="26">
        <v>1</v>
      </c>
    </row>
    <row r="207" spans="1:1" x14ac:dyDescent="0.25">
      <c r="A207" s="26">
        <v>10</v>
      </c>
    </row>
    <row r="208" spans="1:1" x14ac:dyDescent="0.25">
      <c r="A208" s="26">
        <v>81</v>
      </c>
    </row>
    <row r="209" spans="1:1" x14ac:dyDescent="0.25">
      <c r="A209" s="26">
        <v>51</v>
      </c>
    </row>
    <row r="210" spans="1:1" x14ac:dyDescent="0.25">
      <c r="A210" s="26">
        <v>78</v>
      </c>
    </row>
    <row r="211" spans="1:1" x14ac:dyDescent="0.25">
      <c r="A211" s="26">
        <v>20</v>
      </c>
    </row>
    <row r="212" spans="1:1" x14ac:dyDescent="0.25">
      <c r="A212" s="26">
        <v>32</v>
      </c>
    </row>
    <row r="213" spans="1:1" x14ac:dyDescent="0.25">
      <c r="A213" s="26">
        <v>60</v>
      </c>
    </row>
    <row r="214" spans="1:1" x14ac:dyDescent="0.25">
      <c r="A214" s="26">
        <v>82</v>
      </c>
    </row>
    <row r="215" spans="1:1" x14ac:dyDescent="0.25">
      <c r="A215" s="26">
        <v>64</v>
      </c>
    </row>
    <row r="216" spans="1:1" x14ac:dyDescent="0.25">
      <c r="A216" s="26">
        <v>77</v>
      </c>
    </row>
    <row r="217" spans="1:1" x14ac:dyDescent="0.25">
      <c r="A217" s="26">
        <v>68</v>
      </c>
    </row>
    <row r="218" spans="1:1" x14ac:dyDescent="0.25">
      <c r="A218" s="26">
        <v>43</v>
      </c>
    </row>
    <row r="219" spans="1:1" x14ac:dyDescent="0.25">
      <c r="A219" s="26">
        <v>8</v>
      </c>
    </row>
    <row r="220" spans="1:1" x14ac:dyDescent="0.25">
      <c r="A220" s="26">
        <v>83</v>
      </c>
    </row>
    <row r="221" spans="1:1" x14ac:dyDescent="0.25">
      <c r="A221" s="26">
        <v>15</v>
      </c>
    </row>
    <row r="222" spans="1:1" x14ac:dyDescent="0.25">
      <c r="A222" s="26">
        <v>79</v>
      </c>
    </row>
    <row r="223" spans="1:1" x14ac:dyDescent="0.25">
      <c r="A223" s="26">
        <v>65</v>
      </c>
    </row>
    <row r="224" spans="1:1" x14ac:dyDescent="0.25">
      <c r="A224" s="26">
        <v>74</v>
      </c>
    </row>
    <row r="225" spans="1:1" x14ac:dyDescent="0.25">
      <c r="A225" s="26">
        <v>2</v>
      </c>
    </row>
    <row r="226" spans="1:1" x14ac:dyDescent="0.25">
      <c r="A226" s="26">
        <v>78</v>
      </c>
    </row>
    <row r="227" spans="1:1" x14ac:dyDescent="0.25">
      <c r="A227" s="26">
        <v>59</v>
      </c>
    </row>
    <row r="228" spans="1:1" x14ac:dyDescent="0.25">
      <c r="A228" s="26">
        <v>79</v>
      </c>
    </row>
    <row r="229" spans="1:1" x14ac:dyDescent="0.25">
      <c r="A229" s="26">
        <v>91</v>
      </c>
    </row>
    <row r="230" spans="1:1" x14ac:dyDescent="0.25">
      <c r="A230" s="26">
        <v>83</v>
      </c>
    </row>
    <row r="231" spans="1:1" x14ac:dyDescent="0.25">
      <c r="A231" s="26">
        <v>62</v>
      </c>
    </row>
    <row r="232" spans="1:1" x14ac:dyDescent="0.25">
      <c r="A232" s="26">
        <v>61</v>
      </c>
    </row>
    <row r="233" spans="1:1" x14ac:dyDescent="0.25">
      <c r="A233" s="26">
        <v>59</v>
      </c>
    </row>
    <row r="234" spans="1:1" x14ac:dyDescent="0.25">
      <c r="A234" s="26">
        <v>45</v>
      </c>
    </row>
    <row r="235" spans="1:1" x14ac:dyDescent="0.25">
      <c r="A235" s="26">
        <v>62</v>
      </c>
    </row>
    <row r="236" spans="1:1" x14ac:dyDescent="0.25">
      <c r="A236" s="26">
        <v>27</v>
      </c>
    </row>
    <row r="237" spans="1:1" x14ac:dyDescent="0.25">
      <c r="A237" s="26">
        <v>65</v>
      </c>
    </row>
    <row r="238" spans="1:1" x14ac:dyDescent="0.25">
      <c r="A238" s="26">
        <v>82</v>
      </c>
    </row>
    <row r="239" spans="1:1" x14ac:dyDescent="0.25">
      <c r="A239" s="26">
        <v>48</v>
      </c>
    </row>
    <row r="240" spans="1:1" x14ac:dyDescent="0.25">
      <c r="A240" s="26">
        <v>70</v>
      </c>
    </row>
    <row r="241" spans="1:1" x14ac:dyDescent="0.25">
      <c r="A241" s="26">
        <v>91</v>
      </c>
    </row>
    <row r="242" spans="1:1" x14ac:dyDescent="0.25">
      <c r="A242" s="26">
        <v>71</v>
      </c>
    </row>
    <row r="243" spans="1:1" x14ac:dyDescent="0.25">
      <c r="A243" s="26">
        <v>92</v>
      </c>
    </row>
    <row r="244" spans="1:1" x14ac:dyDescent="0.25">
      <c r="A244" s="26">
        <v>71</v>
      </c>
    </row>
    <row r="245" spans="1:1" x14ac:dyDescent="0.25">
      <c r="A245" s="26">
        <v>56</v>
      </c>
    </row>
    <row r="246" spans="1:1" x14ac:dyDescent="0.25">
      <c r="A246" s="26">
        <v>60</v>
      </c>
    </row>
    <row r="247" spans="1:1" x14ac:dyDescent="0.25">
      <c r="A247" s="26">
        <v>71</v>
      </c>
    </row>
    <row r="248" spans="1:1" x14ac:dyDescent="0.25">
      <c r="A248" s="26">
        <v>96</v>
      </c>
    </row>
    <row r="249" spans="1:1" x14ac:dyDescent="0.25">
      <c r="A249" s="26">
        <v>66</v>
      </c>
    </row>
    <row r="250" spans="1:1" x14ac:dyDescent="0.25">
      <c r="A250" s="26">
        <v>55</v>
      </c>
    </row>
    <row r="251" spans="1:1" x14ac:dyDescent="0.25">
      <c r="A251" s="26">
        <v>69</v>
      </c>
    </row>
    <row r="252" spans="1:1" x14ac:dyDescent="0.25">
      <c r="A252" s="26">
        <v>78</v>
      </c>
    </row>
    <row r="253" spans="1:1" x14ac:dyDescent="0.25">
      <c r="A253" s="26">
        <v>12</v>
      </c>
    </row>
    <row r="254" spans="1:1" x14ac:dyDescent="0.25">
      <c r="A254" s="26">
        <v>57</v>
      </c>
    </row>
    <row r="255" spans="1:1" x14ac:dyDescent="0.25">
      <c r="A255" s="26">
        <v>71</v>
      </c>
    </row>
    <row r="256" spans="1:1" x14ac:dyDescent="0.25">
      <c r="A256" s="26">
        <v>75</v>
      </c>
    </row>
    <row r="257" spans="1:1" x14ac:dyDescent="0.25">
      <c r="A257" s="26">
        <v>45</v>
      </c>
    </row>
    <row r="258" spans="1:1" x14ac:dyDescent="0.25">
      <c r="A258" s="26">
        <v>69</v>
      </c>
    </row>
    <row r="259" spans="1:1" x14ac:dyDescent="0.25">
      <c r="A259" s="26">
        <v>68</v>
      </c>
    </row>
    <row r="260" spans="1:1" x14ac:dyDescent="0.25">
      <c r="A260" s="26">
        <v>36</v>
      </c>
    </row>
    <row r="261" spans="1:1" x14ac:dyDescent="0.25">
      <c r="A261" s="26">
        <v>67</v>
      </c>
    </row>
    <row r="262" spans="1:1" x14ac:dyDescent="0.25">
      <c r="A262" s="26">
        <v>69</v>
      </c>
    </row>
    <row r="263" spans="1:1" x14ac:dyDescent="0.25">
      <c r="A263" s="26">
        <v>70</v>
      </c>
    </row>
    <row r="264" spans="1:1" x14ac:dyDescent="0.25">
      <c r="A264" s="26">
        <v>69</v>
      </c>
    </row>
    <row r="265" spans="1:1" x14ac:dyDescent="0.25">
      <c r="A265" s="26">
        <v>24</v>
      </c>
    </row>
    <row r="266" spans="1:1" x14ac:dyDescent="0.25">
      <c r="A266" s="26">
        <v>13</v>
      </c>
    </row>
    <row r="267" spans="1:1" x14ac:dyDescent="0.25">
      <c r="A267" s="26">
        <v>88</v>
      </c>
    </row>
    <row r="268" spans="1:1" x14ac:dyDescent="0.25">
      <c r="A268" s="26">
        <v>68</v>
      </c>
    </row>
    <row r="269" spans="1:1" x14ac:dyDescent="0.25">
      <c r="A269" s="26">
        <v>96</v>
      </c>
    </row>
    <row r="270" spans="1:1" x14ac:dyDescent="0.25">
      <c r="A270" s="26">
        <v>9</v>
      </c>
    </row>
    <row r="271" spans="1:1" x14ac:dyDescent="0.25">
      <c r="A271" s="26">
        <v>85</v>
      </c>
    </row>
    <row r="272" spans="1:1" x14ac:dyDescent="0.25">
      <c r="A272" s="26">
        <v>69</v>
      </c>
    </row>
    <row r="273" spans="1:1" x14ac:dyDescent="0.25">
      <c r="A273" s="26">
        <v>18</v>
      </c>
    </row>
    <row r="274" spans="1:1" x14ac:dyDescent="0.25">
      <c r="A274" s="26">
        <v>72</v>
      </c>
    </row>
    <row r="275" spans="1:1" x14ac:dyDescent="0.25">
      <c r="A275" s="26">
        <v>74</v>
      </c>
    </row>
    <row r="276" spans="1:1" x14ac:dyDescent="0.25">
      <c r="A276" s="26">
        <v>91</v>
      </c>
    </row>
    <row r="277" spans="1:1" x14ac:dyDescent="0.25">
      <c r="A277" s="26">
        <v>74</v>
      </c>
    </row>
    <row r="278" spans="1:1" x14ac:dyDescent="0.25">
      <c r="A278" s="26">
        <v>93</v>
      </c>
    </row>
    <row r="279" spans="1:1" x14ac:dyDescent="0.25">
      <c r="A279" s="26">
        <v>83</v>
      </c>
    </row>
    <row r="280" spans="1:1" x14ac:dyDescent="0.25">
      <c r="A280" s="26">
        <v>80</v>
      </c>
    </row>
    <row r="281" spans="1:1" x14ac:dyDescent="0.25">
      <c r="A281" s="26">
        <v>87</v>
      </c>
    </row>
    <row r="282" spans="1:1" x14ac:dyDescent="0.25">
      <c r="A282" s="26">
        <v>78</v>
      </c>
    </row>
    <row r="283" spans="1:1" x14ac:dyDescent="0.25">
      <c r="A283" s="26">
        <v>61</v>
      </c>
    </row>
    <row r="284" spans="1:1" x14ac:dyDescent="0.25">
      <c r="A284" s="26">
        <v>71</v>
      </c>
    </row>
    <row r="285" spans="1:1" x14ac:dyDescent="0.25">
      <c r="A285" s="26">
        <v>51</v>
      </c>
    </row>
    <row r="286" spans="1:1" x14ac:dyDescent="0.25">
      <c r="A286" s="26">
        <v>69</v>
      </c>
    </row>
    <row r="287" spans="1:1" x14ac:dyDescent="0.25">
      <c r="A287" s="26">
        <v>36</v>
      </c>
    </row>
    <row r="288" spans="1:1" x14ac:dyDescent="0.25">
      <c r="A288" s="26">
        <v>73</v>
      </c>
    </row>
    <row r="289" spans="1:1" x14ac:dyDescent="0.25">
      <c r="A289" s="26">
        <v>71</v>
      </c>
    </row>
    <row r="290" spans="1:1" x14ac:dyDescent="0.25">
      <c r="A290" s="26">
        <v>73</v>
      </c>
    </row>
    <row r="291" spans="1:1" x14ac:dyDescent="0.25">
      <c r="A291" s="26">
        <v>74</v>
      </c>
    </row>
    <row r="292" spans="1:1" x14ac:dyDescent="0.25">
      <c r="A292" s="26">
        <v>41</v>
      </c>
    </row>
    <row r="293" spans="1:1" x14ac:dyDescent="0.25">
      <c r="A293" s="26">
        <v>40</v>
      </c>
    </row>
    <row r="294" spans="1:1" x14ac:dyDescent="0.25">
      <c r="A294" s="26">
        <v>86</v>
      </c>
    </row>
    <row r="295" spans="1:1" x14ac:dyDescent="0.25">
      <c r="A295" s="26">
        <v>74</v>
      </c>
    </row>
    <row r="296" spans="1:1" x14ac:dyDescent="0.25">
      <c r="A296" s="26">
        <v>92</v>
      </c>
    </row>
    <row r="297" spans="1:1" x14ac:dyDescent="0.25">
      <c r="A297" s="26">
        <v>52</v>
      </c>
    </row>
    <row r="298" spans="1:1" x14ac:dyDescent="0.25">
      <c r="A298" s="26">
        <v>76</v>
      </c>
    </row>
    <row r="299" spans="1:1" x14ac:dyDescent="0.25">
      <c r="A299" s="26">
        <v>64</v>
      </c>
    </row>
    <row r="300" spans="1:1" x14ac:dyDescent="0.25">
      <c r="A300" s="26">
        <v>85</v>
      </c>
    </row>
    <row r="301" spans="1:1" x14ac:dyDescent="0.25">
      <c r="A301" s="26">
        <v>96</v>
      </c>
    </row>
    <row r="302" spans="1:1" x14ac:dyDescent="0.25">
      <c r="A302" s="26">
        <v>81</v>
      </c>
    </row>
    <row r="303" spans="1:1" x14ac:dyDescent="0.25">
      <c r="A303" s="26">
        <v>75</v>
      </c>
    </row>
    <row r="304" spans="1:1" x14ac:dyDescent="0.25">
      <c r="A304" s="26">
        <v>73</v>
      </c>
    </row>
    <row r="305" spans="1:1" x14ac:dyDescent="0.25">
      <c r="A305" s="26">
        <v>66</v>
      </c>
    </row>
    <row r="306" spans="1:1" x14ac:dyDescent="0.25">
      <c r="A306" s="26">
        <v>79</v>
      </c>
    </row>
    <row r="307" spans="1:1" x14ac:dyDescent="0.25">
      <c r="A307" s="26">
        <v>65</v>
      </c>
    </row>
    <row r="308" spans="1:1" x14ac:dyDescent="0.25">
      <c r="A308" s="26">
        <v>78</v>
      </c>
    </row>
    <row r="309" spans="1:1" x14ac:dyDescent="0.25">
      <c r="A309" s="26">
        <v>77</v>
      </c>
    </row>
    <row r="310" spans="1:1" x14ac:dyDescent="0.25">
      <c r="A310" s="26">
        <v>76</v>
      </c>
    </row>
    <row r="311" spans="1:1" x14ac:dyDescent="0.25">
      <c r="A311" s="26">
        <v>44</v>
      </c>
    </row>
    <row r="312" spans="1:1" x14ac:dyDescent="0.25">
      <c r="A312" s="26">
        <v>52</v>
      </c>
    </row>
    <row r="313" spans="1:1" x14ac:dyDescent="0.25">
      <c r="A313" s="26">
        <v>65</v>
      </c>
    </row>
    <row r="314" spans="1:1" x14ac:dyDescent="0.25">
      <c r="A314" s="26">
        <v>65</v>
      </c>
    </row>
    <row r="315" spans="1:1" x14ac:dyDescent="0.25">
      <c r="A315" s="26">
        <v>74</v>
      </c>
    </row>
    <row r="316" spans="1:1" x14ac:dyDescent="0.25">
      <c r="A316" s="26">
        <v>36</v>
      </c>
    </row>
    <row r="317" spans="1:1" x14ac:dyDescent="0.25">
      <c r="A317" s="26">
        <v>37</v>
      </c>
    </row>
    <row r="318" spans="1:1" x14ac:dyDescent="0.25">
      <c r="A318" s="26">
        <v>62</v>
      </c>
    </row>
    <row r="319" spans="1:1" x14ac:dyDescent="0.25">
      <c r="A319" s="26">
        <v>38</v>
      </c>
    </row>
    <row r="320" spans="1:1" x14ac:dyDescent="0.25">
      <c r="A320" s="26">
        <v>76</v>
      </c>
    </row>
    <row r="321" spans="1:1" x14ac:dyDescent="0.25">
      <c r="A321" s="26">
        <v>52</v>
      </c>
    </row>
    <row r="322" spans="1:1" x14ac:dyDescent="0.25">
      <c r="A322" s="26">
        <v>65</v>
      </c>
    </row>
    <row r="323" spans="1:1" x14ac:dyDescent="0.25">
      <c r="A323" s="26">
        <v>38</v>
      </c>
    </row>
    <row r="324" spans="1:1" x14ac:dyDescent="0.25">
      <c r="A324" s="26">
        <v>43</v>
      </c>
    </row>
    <row r="325" spans="1:1" x14ac:dyDescent="0.25">
      <c r="A325" s="26">
        <v>78</v>
      </c>
    </row>
    <row r="326" spans="1:1" x14ac:dyDescent="0.25">
      <c r="A326" s="26">
        <v>72</v>
      </c>
    </row>
    <row r="327" spans="1:1" x14ac:dyDescent="0.25">
      <c r="A327" s="26">
        <v>63</v>
      </c>
    </row>
    <row r="328" spans="1:1" x14ac:dyDescent="0.25">
      <c r="A328" s="26">
        <v>57</v>
      </c>
    </row>
    <row r="329" spans="1:1" x14ac:dyDescent="0.25">
      <c r="A329" s="26">
        <v>86</v>
      </c>
    </row>
    <row r="330" spans="1:1" x14ac:dyDescent="0.25">
      <c r="A330" s="26">
        <v>4</v>
      </c>
    </row>
    <row r="331" spans="1:1" x14ac:dyDescent="0.25">
      <c r="A331" s="26">
        <v>77</v>
      </c>
    </row>
    <row r="332" spans="1:1" x14ac:dyDescent="0.25">
      <c r="A332" s="26">
        <v>77</v>
      </c>
    </row>
    <row r="333" spans="1:1" x14ac:dyDescent="0.25">
      <c r="A333" s="26">
        <v>59</v>
      </c>
    </row>
    <row r="334" spans="1:1" x14ac:dyDescent="0.25">
      <c r="A334" s="26">
        <v>70</v>
      </c>
    </row>
    <row r="335" spans="1:1" x14ac:dyDescent="0.25">
      <c r="A335" s="26">
        <v>61</v>
      </c>
    </row>
    <row r="336" spans="1:1" x14ac:dyDescent="0.25">
      <c r="A336" s="26">
        <v>81</v>
      </c>
    </row>
    <row r="337" spans="1:1" x14ac:dyDescent="0.25">
      <c r="A337" s="26">
        <v>94</v>
      </c>
    </row>
    <row r="338" spans="1:1" x14ac:dyDescent="0.25">
      <c r="A338" s="26">
        <v>84</v>
      </c>
    </row>
    <row r="339" spans="1:1" x14ac:dyDescent="0.25">
      <c r="A339" s="26">
        <v>69</v>
      </c>
    </row>
    <row r="340" spans="1:1" x14ac:dyDescent="0.25">
      <c r="A340" s="26">
        <v>78</v>
      </c>
    </row>
    <row r="341" spans="1:1" x14ac:dyDescent="0.25">
      <c r="A341" s="26">
        <v>2</v>
      </c>
    </row>
    <row r="342" spans="1:1" x14ac:dyDescent="0.25">
      <c r="A342" s="26">
        <v>69</v>
      </c>
    </row>
    <row r="343" spans="1:1" x14ac:dyDescent="0.25">
      <c r="A343" s="26">
        <v>80</v>
      </c>
    </row>
    <row r="344" spans="1:1" x14ac:dyDescent="0.25">
      <c r="A344" s="26">
        <v>83</v>
      </c>
    </row>
    <row r="345" spans="1:1" x14ac:dyDescent="0.25">
      <c r="A345" s="26">
        <v>68</v>
      </c>
    </row>
    <row r="346" spans="1:1" x14ac:dyDescent="0.25">
      <c r="A346" s="26">
        <v>68</v>
      </c>
    </row>
    <row r="347" spans="1:1" x14ac:dyDescent="0.25">
      <c r="A347" s="26">
        <v>76</v>
      </c>
    </row>
    <row r="348" spans="1:1" x14ac:dyDescent="0.25">
      <c r="A348" s="26">
        <v>73</v>
      </c>
    </row>
    <row r="349" spans="1:1" x14ac:dyDescent="0.25">
      <c r="A349" s="26">
        <v>38</v>
      </c>
    </row>
    <row r="350" spans="1:1" x14ac:dyDescent="0.25">
      <c r="A350" s="26">
        <v>28</v>
      </c>
    </row>
    <row r="351" spans="1:1" x14ac:dyDescent="0.25">
      <c r="A351" s="26">
        <v>97</v>
      </c>
    </row>
    <row r="352" spans="1:1" x14ac:dyDescent="0.25">
      <c r="A352" s="26">
        <v>50</v>
      </c>
    </row>
    <row r="353" spans="1:1" x14ac:dyDescent="0.25">
      <c r="A353" s="26">
        <v>48</v>
      </c>
    </row>
    <row r="354" spans="1:1" x14ac:dyDescent="0.25">
      <c r="A354" s="26">
        <v>66</v>
      </c>
    </row>
    <row r="355" spans="1:1" x14ac:dyDescent="0.25">
      <c r="A355" s="26">
        <v>66</v>
      </c>
    </row>
    <row r="356" spans="1:1" x14ac:dyDescent="0.25">
      <c r="A356" s="26">
        <v>10</v>
      </c>
    </row>
    <row r="357" spans="1:1" x14ac:dyDescent="0.25">
      <c r="A357" s="26">
        <v>72</v>
      </c>
    </row>
    <row r="358" spans="1:1" x14ac:dyDescent="0.25">
      <c r="A358" s="26">
        <v>100</v>
      </c>
    </row>
    <row r="359" spans="1:1" x14ac:dyDescent="0.25">
      <c r="A359" s="26">
        <v>73</v>
      </c>
    </row>
    <row r="360" spans="1:1" x14ac:dyDescent="0.25">
      <c r="A360" s="26">
        <v>68</v>
      </c>
    </row>
    <row r="361" spans="1:1" x14ac:dyDescent="0.25">
      <c r="A361" s="26">
        <v>71</v>
      </c>
    </row>
    <row r="362" spans="1:1" x14ac:dyDescent="0.25">
      <c r="A362" s="26">
        <v>73</v>
      </c>
    </row>
    <row r="363" spans="1:1" x14ac:dyDescent="0.25">
      <c r="A363" s="26">
        <v>85</v>
      </c>
    </row>
    <row r="364" spans="1:1" x14ac:dyDescent="0.25">
      <c r="A364" s="26">
        <v>75</v>
      </c>
    </row>
    <row r="365" spans="1:1" x14ac:dyDescent="0.25">
      <c r="A365" s="26">
        <v>82</v>
      </c>
    </row>
    <row r="366" spans="1:1" x14ac:dyDescent="0.25">
      <c r="A366" s="26">
        <v>73</v>
      </c>
    </row>
    <row r="367" spans="1:1" x14ac:dyDescent="0.25">
      <c r="A367" s="26">
        <v>67</v>
      </c>
    </row>
    <row r="368" spans="1:1" x14ac:dyDescent="0.25">
      <c r="A368" s="26">
        <v>37</v>
      </c>
    </row>
    <row r="369" spans="1:1" x14ac:dyDescent="0.25">
      <c r="A369" s="26">
        <v>79</v>
      </c>
    </row>
    <row r="370" spans="1:1" x14ac:dyDescent="0.25">
      <c r="A370" s="26">
        <v>9</v>
      </c>
    </row>
    <row r="371" spans="1:1" x14ac:dyDescent="0.25">
      <c r="A371" s="26">
        <v>73</v>
      </c>
    </row>
    <row r="372" spans="1:1" x14ac:dyDescent="0.25">
      <c r="A372" s="26">
        <v>59</v>
      </c>
    </row>
    <row r="373" spans="1:1" x14ac:dyDescent="0.25">
      <c r="A373" s="26">
        <v>18</v>
      </c>
    </row>
    <row r="374" spans="1:1" x14ac:dyDescent="0.25">
      <c r="A374" s="26">
        <v>32</v>
      </c>
    </row>
    <row r="375" spans="1:1" x14ac:dyDescent="0.25">
      <c r="A375" s="26">
        <v>75</v>
      </c>
    </row>
    <row r="376" spans="1:1" x14ac:dyDescent="0.25">
      <c r="A376" s="26">
        <v>79</v>
      </c>
    </row>
    <row r="377" spans="1:1" x14ac:dyDescent="0.25">
      <c r="A377" s="26">
        <v>87</v>
      </c>
    </row>
    <row r="378" spans="1:1" x14ac:dyDescent="0.25">
      <c r="A378" s="26">
        <v>41</v>
      </c>
    </row>
    <row r="379" spans="1:1" x14ac:dyDescent="0.25">
      <c r="A379" s="26">
        <v>69</v>
      </c>
    </row>
    <row r="380" spans="1:1" x14ac:dyDescent="0.25">
      <c r="A380" s="26">
        <v>65</v>
      </c>
    </row>
    <row r="381" spans="1:1" x14ac:dyDescent="0.25">
      <c r="A381" s="26">
        <v>81</v>
      </c>
    </row>
    <row r="382" spans="1:1" x14ac:dyDescent="0.25">
      <c r="A382" s="26">
        <v>44</v>
      </c>
    </row>
    <row r="383" spans="1:1" x14ac:dyDescent="0.25">
      <c r="A383" s="26">
        <v>1</v>
      </c>
    </row>
    <row r="384" spans="1:1" x14ac:dyDescent="0.25">
      <c r="A384" s="26">
        <v>70</v>
      </c>
    </row>
    <row r="385" spans="1:1" x14ac:dyDescent="0.25">
      <c r="A385" s="26">
        <v>45</v>
      </c>
    </row>
    <row r="386" spans="1:1" x14ac:dyDescent="0.25">
      <c r="A386" s="26">
        <v>68</v>
      </c>
    </row>
    <row r="387" spans="1:1" x14ac:dyDescent="0.25">
      <c r="A387" s="26">
        <v>67</v>
      </c>
    </row>
    <row r="388" spans="1:1" x14ac:dyDescent="0.25">
      <c r="A388" s="26">
        <v>73</v>
      </c>
    </row>
    <row r="389" spans="1:1" x14ac:dyDescent="0.25">
      <c r="A389" s="26">
        <v>56</v>
      </c>
    </row>
    <row r="390" spans="1:1" x14ac:dyDescent="0.25">
      <c r="A390" s="26">
        <v>46</v>
      </c>
    </row>
    <row r="391" spans="1:1" x14ac:dyDescent="0.25">
      <c r="A391" s="26">
        <v>76</v>
      </c>
    </row>
    <row r="392" spans="1:1" x14ac:dyDescent="0.25">
      <c r="A392" s="26">
        <v>70</v>
      </c>
    </row>
    <row r="393" spans="1:1" x14ac:dyDescent="0.25">
      <c r="A393" s="26">
        <v>35</v>
      </c>
    </row>
    <row r="394" spans="1:1" x14ac:dyDescent="0.25">
      <c r="A394" s="26">
        <v>65</v>
      </c>
    </row>
    <row r="395" spans="1:1" x14ac:dyDescent="0.25">
      <c r="A395" s="26">
        <v>71</v>
      </c>
    </row>
    <row r="396" spans="1:1" x14ac:dyDescent="0.25">
      <c r="A396" s="26">
        <v>94</v>
      </c>
    </row>
    <row r="397" spans="1:1" x14ac:dyDescent="0.25">
      <c r="A397" s="26">
        <v>3</v>
      </c>
    </row>
    <row r="398" spans="1:1" x14ac:dyDescent="0.25">
      <c r="A398" s="26">
        <v>9</v>
      </c>
    </row>
    <row r="399" spans="1:1" x14ac:dyDescent="0.25">
      <c r="A399" s="26">
        <v>75</v>
      </c>
    </row>
    <row r="400" spans="1:1" x14ac:dyDescent="0.25">
      <c r="A400" s="26">
        <v>51</v>
      </c>
    </row>
    <row r="401" spans="1:1" x14ac:dyDescent="0.25">
      <c r="A401" s="26">
        <v>2</v>
      </c>
    </row>
    <row r="402" spans="1:1" x14ac:dyDescent="0.25">
      <c r="A402" s="26">
        <v>71</v>
      </c>
    </row>
    <row r="403" spans="1:1" x14ac:dyDescent="0.25">
      <c r="A403" s="26">
        <v>51</v>
      </c>
    </row>
    <row r="404" spans="1:1" x14ac:dyDescent="0.25">
      <c r="A404" s="26">
        <v>81</v>
      </c>
    </row>
    <row r="405" spans="1:1" x14ac:dyDescent="0.25">
      <c r="A405" s="26">
        <v>66</v>
      </c>
    </row>
    <row r="406" spans="1:1" x14ac:dyDescent="0.25">
      <c r="A406" s="26">
        <v>77</v>
      </c>
    </row>
    <row r="407" spans="1:1" x14ac:dyDescent="0.25">
      <c r="A407" s="26">
        <v>43</v>
      </c>
    </row>
    <row r="408" spans="1:1" x14ac:dyDescent="0.25">
      <c r="A408" s="26">
        <v>68</v>
      </c>
    </row>
    <row r="409" spans="1:1" x14ac:dyDescent="0.25">
      <c r="A409" s="26">
        <v>77</v>
      </c>
    </row>
    <row r="410" spans="1:1" x14ac:dyDescent="0.25">
      <c r="A410" s="26">
        <v>74</v>
      </c>
    </row>
    <row r="411" spans="1:1" x14ac:dyDescent="0.25">
      <c r="A411" s="26">
        <v>4</v>
      </c>
    </row>
    <row r="412" spans="1:1" x14ac:dyDescent="0.25">
      <c r="A412" s="26">
        <v>80</v>
      </c>
    </row>
    <row r="413" spans="1:1" x14ac:dyDescent="0.25">
      <c r="A413" s="26">
        <v>39</v>
      </c>
    </row>
    <row r="414" spans="1:1" x14ac:dyDescent="0.25">
      <c r="A414" s="26">
        <v>69</v>
      </c>
    </row>
    <row r="415" spans="1:1" x14ac:dyDescent="0.25">
      <c r="A415" s="26">
        <v>73</v>
      </c>
    </row>
    <row r="416" spans="1:1" x14ac:dyDescent="0.25">
      <c r="A416" s="26">
        <v>66</v>
      </c>
    </row>
    <row r="417" spans="1:1" x14ac:dyDescent="0.25">
      <c r="A417" s="26">
        <v>69</v>
      </c>
    </row>
    <row r="418" spans="1:1" x14ac:dyDescent="0.25">
      <c r="A418" s="26">
        <v>61</v>
      </c>
    </row>
    <row r="419" spans="1:1" x14ac:dyDescent="0.25">
      <c r="A419" s="26">
        <v>62</v>
      </c>
    </row>
    <row r="420" spans="1:1" x14ac:dyDescent="0.25">
      <c r="A420" s="26">
        <v>33</v>
      </c>
    </row>
    <row r="421" spans="1:1" x14ac:dyDescent="0.25">
      <c r="A421" s="26">
        <v>36</v>
      </c>
    </row>
    <row r="422" spans="1:1" x14ac:dyDescent="0.25">
      <c r="A422" s="26">
        <v>89</v>
      </c>
    </row>
    <row r="423" spans="1:1" x14ac:dyDescent="0.25">
      <c r="A423" s="26">
        <v>63</v>
      </c>
    </row>
    <row r="424" spans="1:1" x14ac:dyDescent="0.25">
      <c r="A424" s="26">
        <v>70</v>
      </c>
    </row>
    <row r="425" spans="1:1" x14ac:dyDescent="0.25">
      <c r="A425" s="26">
        <v>28</v>
      </c>
    </row>
    <row r="426" spans="1:1" x14ac:dyDescent="0.25">
      <c r="A426" s="26">
        <v>54</v>
      </c>
    </row>
    <row r="427" spans="1:1" x14ac:dyDescent="0.25">
      <c r="A427" s="26">
        <v>48</v>
      </c>
    </row>
    <row r="428" spans="1:1" x14ac:dyDescent="0.25">
      <c r="A428" s="26">
        <v>71</v>
      </c>
    </row>
    <row r="429" spans="1:1" x14ac:dyDescent="0.25">
      <c r="A429" s="26">
        <v>82</v>
      </c>
    </row>
    <row r="430" spans="1:1" x14ac:dyDescent="0.25">
      <c r="A430" s="26">
        <v>64</v>
      </c>
    </row>
    <row r="431" spans="1:1" x14ac:dyDescent="0.25">
      <c r="A431" s="26">
        <v>58</v>
      </c>
    </row>
    <row r="432" spans="1:1" x14ac:dyDescent="0.25">
      <c r="A432" s="26">
        <v>27</v>
      </c>
    </row>
    <row r="433" spans="1:1" x14ac:dyDescent="0.25">
      <c r="A433" s="26">
        <v>74</v>
      </c>
    </row>
    <row r="434" spans="1:1" x14ac:dyDescent="0.25">
      <c r="A434" s="26">
        <v>71</v>
      </c>
    </row>
    <row r="435" spans="1:1" x14ac:dyDescent="0.25">
      <c r="A435" s="26">
        <v>81</v>
      </c>
    </row>
    <row r="436" spans="1:1" x14ac:dyDescent="0.25">
      <c r="A436" s="26">
        <v>62</v>
      </c>
    </row>
    <row r="437" spans="1:1" x14ac:dyDescent="0.25">
      <c r="A437" s="26">
        <v>68</v>
      </c>
    </row>
    <row r="438" spans="1:1" x14ac:dyDescent="0.25">
      <c r="A438" s="26">
        <v>16</v>
      </c>
    </row>
    <row r="439" spans="1:1" x14ac:dyDescent="0.25">
      <c r="A439" s="26">
        <v>72</v>
      </c>
    </row>
    <row r="440" spans="1:1" x14ac:dyDescent="0.25">
      <c r="A440" s="26">
        <v>52</v>
      </c>
    </row>
    <row r="441" spans="1:1" x14ac:dyDescent="0.25">
      <c r="A441" s="26">
        <v>51</v>
      </c>
    </row>
    <row r="442" spans="1:1" x14ac:dyDescent="0.25">
      <c r="A442" s="26">
        <v>60</v>
      </c>
    </row>
    <row r="443" spans="1:1" x14ac:dyDescent="0.25">
      <c r="A443" s="26">
        <v>69</v>
      </c>
    </row>
    <row r="444" spans="1:1" x14ac:dyDescent="0.25">
      <c r="A444" s="26">
        <v>46</v>
      </c>
    </row>
    <row r="445" spans="1:1" x14ac:dyDescent="0.25">
      <c r="A445" s="26">
        <v>79</v>
      </c>
    </row>
    <row r="446" spans="1:1" x14ac:dyDescent="0.25">
      <c r="A446" s="26">
        <v>88</v>
      </c>
    </row>
    <row r="447" spans="1:1" x14ac:dyDescent="0.25">
      <c r="A447" s="26">
        <v>72</v>
      </c>
    </row>
    <row r="448" spans="1:1" x14ac:dyDescent="0.25">
      <c r="A448" s="26">
        <v>63</v>
      </c>
    </row>
    <row r="449" spans="1:1" x14ac:dyDescent="0.25">
      <c r="A449" s="26">
        <v>14</v>
      </c>
    </row>
    <row r="450" spans="1:1" x14ac:dyDescent="0.25">
      <c r="A450" s="26">
        <v>35</v>
      </c>
    </row>
    <row r="451" spans="1:1" x14ac:dyDescent="0.25">
      <c r="A451" s="26">
        <v>72</v>
      </c>
    </row>
    <row r="452" spans="1:1" x14ac:dyDescent="0.25">
      <c r="A452" s="26">
        <v>71</v>
      </c>
    </row>
    <row r="453" spans="1:1" x14ac:dyDescent="0.25">
      <c r="A453" s="26">
        <v>73</v>
      </c>
    </row>
    <row r="454" spans="1:1" x14ac:dyDescent="0.25">
      <c r="A454" s="26">
        <v>76</v>
      </c>
    </row>
    <row r="455" spans="1:1" x14ac:dyDescent="0.25">
      <c r="A455" s="26">
        <v>72</v>
      </c>
    </row>
    <row r="456" spans="1:1" x14ac:dyDescent="0.25">
      <c r="A456" s="26">
        <v>93</v>
      </c>
    </row>
    <row r="457" spans="1:1" x14ac:dyDescent="0.25">
      <c r="A457" s="26">
        <v>10</v>
      </c>
    </row>
    <row r="458" spans="1:1" x14ac:dyDescent="0.25">
      <c r="A458" s="26">
        <v>73</v>
      </c>
    </row>
    <row r="459" spans="1:1" x14ac:dyDescent="0.25">
      <c r="A459" s="26">
        <v>45</v>
      </c>
    </row>
    <row r="460" spans="1:1" x14ac:dyDescent="0.25">
      <c r="A460" s="26">
        <v>58</v>
      </c>
    </row>
    <row r="461" spans="1:1" x14ac:dyDescent="0.25">
      <c r="A461" s="26">
        <v>43</v>
      </c>
    </row>
    <row r="462" spans="1:1" x14ac:dyDescent="0.25">
      <c r="A462" s="26">
        <v>19</v>
      </c>
    </row>
    <row r="463" spans="1:1" x14ac:dyDescent="0.25">
      <c r="A463" s="26">
        <v>45</v>
      </c>
    </row>
    <row r="464" spans="1:1" x14ac:dyDescent="0.25">
      <c r="A464" s="26">
        <v>74</v>
      </c>
    </row>
    <row r="465" spans="1:1" x14ac:dyDescent="0.25">
      <c r="A465" s="26">
        <v>49</v>
      </c>
    </row>
    <row r="466" spans="1:1" x14ac:dyDescent="0.25">
      <c r="A466" s="26">
        <v>38</v>
      </c>
    </row>
    <row r="467" spans="1:1" x14ac:dyDescent="0.25">
      <c r="A467" s="26">
        <v>45</v>
      </c>
    </row>
    <row r="468" spans="1:1" x14ac:dyDescent="0.25">
      <c r="A468" s="26">
        <v>77</v>
      </c>
    </row>
    <row r="469" spans="1:1" x14ac:dyDescent="0.25">
      <c r="A469" s="26">
        <v>66</v>
      </c>
    </row>
    <row r="470" spans="1:1" x14ac:dyDescent="0.25">
      <c r="A470" s="26">
        <v>75</v>
      </c>
    </row>
    <row r="471" spans="1:1" x14ac:dyDescent="0.25">
      <c r="A471" s="26">
        <v>79</v>
      </c>
    </row>
    <row r="472" spans="1:1" x14ac:dyDescent="0.25">
      <c r="A472" s="26">
        <v>50</v>
      </c>
    </row>
    <row r="473" spans="1:1" x14ac:dyDescent="0.25">
      <c r="A473" s="26">
        <v>93</v>
      </c>
    </row>
    <row r="474" spans="1:1" x14ac:dyDescent="0.25">
      <c r="A474" s="26">
        <v>64</v>
      </c>
    </row>
    <row r="475" spans="1:1" x14ac:dyDescent="0.25">
      <c r="A475" s="26">
        <v>82</v>
      </c>
    </row>
    <row r="476" spans="1:1" x14ac:dyDescent="0.25">
      <c r="A476" s="26">
        <v>87</v>
      </c>
    </row>
    <row r="477" spans="1:1" x14ac:dyDescent="0.25">
      <c r="A477" s="26">
        <v>73</v>
      </c>
    </row>
    <row r="478" spans="1:1" x14ac:dyDescent="0.25">
      <c r="A478" s="26">
        <v>15</v>
      </c>
    </row>
    <row r="479" spans="1:1" x14ac:dyDescent="0.25">
      <c r="A479" s="26">
        <v>13</v>
      </c>
    </row>
    <row r="480" spans="1:1" x14ac:dyDescent="0.25">
      <c r="A480" s="26">
        <v>58</v>
      </c>
    </row>
    <row r="481" spans="1:1" x14ac:dyDescent="0.25">
      <c r="A481" s="26">
        <v>79</v>
      </c>
    </row>
    <row r="482" spans="1:1" x14ac:dyDescent="0.25">
      <c r="A482" s="26">
        <v>82</v>
      </c>
    </row>
    <row r="483" spans="1:1" x14ac:dyDescent="0.25">
      <c r="A483" s="26">
        <v>36</v>
      </c>
    </row>
    <row r="484" spans="1:1" x14ac:dyDescent="0.25">
      <c r="A484" s="26">
        <v>75</v>
      </c>
    </row>
    <row r="485" spans="1:1" x14ac:dyDescent="0.25">
      <c r="A485" s="26">
        <v>31</v>
      </c>
    </row>
    <row r="486" spans="1:1" x14ac:dyDescent="0.25">
      <c r="A486" s="26">
        <v>72</v>
      </c>
    </row>
    <row r="487" spans="1:1" x14ac:dyDescent="0.25">
      <c r="A487" s="26">
        <v>39</v>
      </c>
    </row>
    <row r="488" spans="1:1" x14ac:dyDescent="0.25">
      <c r="A488" s="26">
        <v>74</v>
      </c>
    </row>
    <row r="489" spans="1:1" x14ac:dyDescent="0.25">
      <c r="A489" s="26">
        <v>15</v>
      </c>
    </row>
    <row r="490" spans="1:1" x14ac:dyDescent="0.25">
      <c r="A490" s="26">
        <v>65</v>
      </c>
    </row>
    <row r="491" spans="1:1" x14ac:dyDescent="0.25">
      <c r="A491" s="26">
        <v>41</v>
      </c>
    </row>
    <row r="492" spans="1:1" x14ac:dyDescent="0.25">
      <c r="A492" s="26">
        <v>77</v>
      </c>
    </row>
    <row r="493" spans="1:1" x14ac:dyDescent="0.25">
      <c r="A493" s="26">
        <v>87</v>
      </c>
    </row>
    <row r="494" spans="1:1" x14ac:dyDescent="0.25">
      <c r="A494" s="26">
        <v>75</v>
      </c>
    </row>
    <row r="495" spans="1:1" x14ac:dyDescent="0.25">
      <c r="A495" s="26">
        <v>86</v>
      </c>
    </row>
    <row r="496" spans="1:1" x14ac:dyDescent="0.25">
      <c r="A496" s="26">
        <v>77</v>
      </c>
    </row>
    <row r="497" spans="1:1" x14ac:dyDescent="0.25">
      <c r="A497" s="26">
        <v>75</v>
      </c>
    </row>
    <row r="498" spans="1:1" x14ac:dyDescent="0.25">
      <c r="A498" s="26">
        <v>75</v>
      </c>
    </row>
    <row r="499" spans="1:1" x14ac:dyDescent="0.25">
      <c r="A499" s="26">
        <v>70</v>
      </c>
    </row>
    <row r="500" spans="1:1" x14ac:dyDescent="0.25">
      <c r="A500" s="26">
        <v>72</v>
      </c>
    </row>
    <row r="501" spans="1:1" x14ac:dyDescent="0.25">
      <c r="A501" s="26">
        <v>59</v>
      </c>
    </row>
    <row r="502" spans="1:1" x14ac:dyDescent="0.25">
      <c r="A502" s="26">
        <v>16</v>
      </c>
    </row>
    <row r="503" spans="1:1" x14ac:dyDescent="0.25">
      <c r="A503" s="26">
        <v>36</v>
      </c>
    </row>
    <row r="504" spans="1:1" x14ac:dyDescent="0.25">
      <c r="A504" s="26">
        <v>37</v>
      </c>
    </row>
    <row r="505" spans="1:1" x14ac:dyDescent="0.25">
      <c r="A505" s="26">
        <v>65</v>
      </c>
    </row>
    <row r="506" spans="1:1" x14ac:dyDescent="0.25">
      <c r="A506" s="26">
        <v>44</v>
      </c>
    </row>
    <row r="507" spans="1:1" x14ac:dyDescent="0.25">
      <c r="A507" s="26">
        <v>56</v>
      </c>
    </row>
    <row r="508" spans="1:1" x14ac:dyDescent="0.25">
      <c r="A508" s="26">
        <v>79</v>
      </c>
    </row>
    <row r="509" spans="1:1" x14ac:dyDescent="0.25">
      <c r="A509" s="26">
        <v>64</v>
      </c>
    </row>
    <row r="510" spans="1:1" x14ac:dyDescent="0.25">
      <c r="A510" s="26">
        <v>74</v>
      </c>
    </row>
    <row r="511" spans="1:1" x14ac:dyDescent="0.25">
      <c r="A511" s="26">
        <v>70</v>
      </c>
    </row>
    <row r="512" spans="1:1" x14ac:dyDescent="0.25">
      <c r="A512" s="26">
        <v>27</v>
      </c>
    </row>
    <row r="513" spans="1:1" x14ac:dyDescent="0.25">
      <c r="A513" s="26">
        <v>23</v>
      </c>
    </row>
    <row r="514" spans="1:1" x14ac:dyDescent="0.25">
      <c r="A514" s="26">
        <v>20</v>
      </c>
    </row>
    <row r="515" spans="1:1" x14ac:dyDescent="0.25">
      <c r="A515" s="26">
        <v>72</v>
      </c>
    </row>
    <row r="516" spans="1:1" x14ac:dyDescent="0.25">
      <c r="A516" s="26">
        <v>48</v>
      </c>
    </row>
    <row r="517" spans="1:1" x14ac:dyDescent="0.25">
      <c r="A517" s="26">
        <v>65</v>
      </c>
    </row>
    <row r="518" spans="1:1" x14ac:dyDescent="0.25">
      <c r="A518" s="26">
        <v>63</v>
      </c>
    </row>
    <row r="519" spans="1:1" x14ac:dyDescent="0.25">
      <c r="A519" s="26">
        <v>90</v>
      </c>
    </row>
    <row r="520" spans="1:1" x14ac:dyDescent="0.25">
      <c r="A520" s="26">
        <v>58</v>
      </c>
    </row>
    <row r="521" spans="1:1" x14ac:dyDescent="0.25">
      <c r="A521" s="26">
        <v>49</v>
      </c>
    </row>
    <row r="522" spans="1:1" x14ac:dyDescent="0.25">
      <c r="A522" s="26">
        <v>78</v>
      </c>
    </row>
    <row r="523" spans="1:1" x14ac:dyDescent="0.25">
      <c r="A523" s="26">
        <v>72</v>
      </c>
    </row>
    <row r="524" spans="1:1" x14ac:dyDescent="0.25">
      <c r="A524" s="26">
        <v>71</v>
      </c>
    </row>
    <row r="525" spans="1:1" x14ac:dyDescent="0.25">
      <c r="A525" s="26">
        <v>70</v>
      </c>
    </row>
    <row r="526" spans="1:1" x14ac:dyDescent="0.25">
      <c r="A526" s="26">
        <v>62</v>
      </c>
    </row>
    <row r="527" spans="1:1" x14ac:dyDescent="0.25">
      <c r="A527" s="26">
        <v>78</v>
      </c>
    </row>
    <row r="528" spans="1:1" x14ac:dyDescent="0.25">
      <c r="A528" s="26">
        <v>51</v>
      </c>
    </row>
    <row r="529" spans="1:1" x14ac:dyDescent="0.25">
      <c r="A529" s="26">
        <v>81</v>
      </c>
    </row>
    <row r="530" spans="1:1" x14ac:dyDescent="0.25">
      <c r="A530" s="26">
        <v>36</v>
      </c>
    </row>
    <row r="531" spans="1:1" x14ac:dyDescent="0.25">
      <c r="A531" s="26">
        <v>63</v>
      </c>
    </row>
    <row r="532" spans="1:1" x14ac:dyDescent="0.25">
      <c r="A532" s="26">
        <v>74</v>
      </c>
    </row>
    <row r="533" spans="1:1" x14ac:dyDescent="0.25">
      <c r="A533" s="26">
        <v>38</v>
      </c>
    </row>
    <row r="534" spans="1:1" x14ac:dyDescent="0.25">
      <c r="A534" s="26">
        <v>71</v>
      </c>
    </row>
    <row r="535" spans="1:1" x14ac:dyDescent="0.25">
      <c r="A535" s="26">
        <v>41</v>
      </c>
    </row>
    <row r="536" spans="1:1" x14ac:dyDescent="0.25">
      <c r="A536" s="26">
        <v>56</v>
      </c>
    </row>
    <row r="537" spans="1:1" x14ac:dyDescent="0.25">
      <c r="A537" s="26">
        <v>72</v>
      </c>
    </row>
    <row r="538" spans="1:1" x14ac:dyDescent="0.25">
      <c r="A538" s="26">
        <v>92</v>
      </c>
    </row>
    <row r="539" spans="1:1" x14ac:dyDescent="0.25">
      <c r="A539" s="26">
        <v>86</v>
      </c>
    </row>
    <row r="540" spans="1:1" x14ac:dyDescent="0.25">
      <c r="A540" s="26">
        <v>83</v>
      </c>
    </row>
    <row r="541" spans="1:1" x14ac:dyDescent="0.25">
      <c r="A541" s="26">
        <v>87</v>
      </c>
    </row>
    <row r="542" spans="1:1" x14ac:dyDescent="0.25">
      <c r="A542" s="26">
        <v>82</v>
      </c>
    </row>
    <row r="543" spans="1:1" x14ac:dyDescent="0.25">
      <c r="A543" s="26">
        <v>86</v>
      </c>
    </row>
    <row r="544" spans="1:1" x14ac:dyDescent="0.25">
      <c r="A544" s="26">
        <v>67</v>
      </c>
    </row>
    <row r="545" spans="1:1" x14ac:dyDescent="0.25">
      <c r="A545" s="26">
        <v>71</v>
      </c>
    </row>
    <row r="546" spans="1:1" x14ac:dyDescent="0.25">
      <c r="A546" s="26">
        <v>75</v>
      </c>
    </row>
    <row r="547" spans="1:1" x14ac:dyDescent="0.25">
      <c r="A547" s="26">
        <v>57</v>
      </c>
    </row>
    <row r="548" spans="1:1" x14ac:dyDescent="0.25">
      <c r="A548" s="26">
        <v>61</v>
      </c>
    </row>
    <row r="549" spans="1:1" x14ac:dyDescent="0.25">
      <c r="A549" s="26">
        <v>81</v>
      </c>
    </row>
    <row r="550" spans="1:1" x14ac:dyDescent="0.25">
      <c r="A550" s="26">
        <v>47</v>
      </c>
    </row>
    <row r="551" spans="1:1" x14ac:dyDescent="0.25">
      <c r="A551" s="26">
        <v>72</v>
      </c>
    </row>
    <row r="552" spans="1:1" x14ac:dyDescent="0.25">
      <c r="A552" s="26">
        <v>9</v>
      </c>
    </row>
    <row r="553" spans="1:1" x14ac:dyDescent="0.25">
      <c r="A553" s="26">
        <v>37</v>
      </c>
    </row>
    <row r="554" spans="1:1" x14ac:dyDescent="0.25">
      <c r="A554" s="26">
        <v>99</v>
      </c>
    </row>
    <row r="555" spans="1:1" x14ac:dyDescent="0.25">
      <c r="A555" s="26">
        <v>57</v>
      </c>
    </row>
    <row r="556" spans="1:1" x14ac:dyDescent="0.25">
      <c r="A556" s="26">
        <v>76</v>
      </c>
    </row>
    <row r="557" spans="1:1" x14ac:dyDescent="0.25">
      <c r="A557" s="26">
        <v>72</v>
      </c>
    </row>
    <row r="558" spans="1:1" x14ac:dyDescent="0.25">
      <c r="A558" s="26">
        <v>73</v>
      </c>
    </row>
    <row r="559" spans="1:1" x14ac:dyDescent="0.25">
      <c r="A559" s="26">
        <v>72</v>
      </c>
    </row>
    <row r="560" spans="1:1" x14ac:dyDescent="0.25">
      <c r="A560" s="26">
        <v>84</v>
      </c>
    </row>
    <row r="561" spans="1:1" x14ac:dyDescent="0.25">
      <c r="A561" s="26">
        <v>56</v>
      </c>
    </row>
    <row r="562" spans="1:1" x14ac:dyDescent="0.25">
      <c r="A562" s="26">
        <v>87</v>
      </c>
    </row>
    <row r="563" spans="1:1" x14ac:dyDescent="0.25">
      <c r="A563" s="26">
        <v>76</v>
      </c>
    </row>
    <row r="564" spans="1:1" x14ac:dyDescent="0.25">
      <c r="A564" s="26">
        <v>81</v>
      </c>
    </row>
    <row r="565" spans="1:1" x14ac:dyDescent="0.25">
      <c r="A565" s="26">
        <v>48</v>
      </c>
    </row>
    <row r="566" spans="1:1" x14ac:dyDescent="0.25">
      <c r="A566" s="26">
        <v>59</v>
      </c>
    </row>
    <row r="567" spans="1:1" x14ac:dyDescent="0.25">
      <c r="A567" s="26">
        <v>88</v>
      </c>
    </row>
    <row r="568" spans="1:1" x14ac:dyDescent="0.25">
      <c r="A568" s="26">
        <v>82</v>
      </c>
    </row>
    <row r="569" spans="1:1" x14ac:dyDescent="0.25">
      <c r="A569" s="26">
        <v>26</v>
      </c>
    </row>
    <row r="570" spans="1:1" x14ac:dyDescent="0.25">
      <c r="A570" s="26">
        <v>80</v>
      </c>
    </row>
    <row r="571" spans="1:1" x14ac:dyDescent="0.25">
      <c r="A571" s="26">
        <v>67</v>
      </c>
    </row>
    <row r="572" spans="1:1" x14ac:dyDescent="0.25">
      <c r="A572" s="26">
        <v>77</v>
      </c>
    </row>
    <row r="573" spans="1:1" x14ac:dyDescent="0.25">
      <c r="A573" s="26">
        <v>38</v>
      </c>
    </row>
    <row r="574" spans="1:1" x14ac:dyDescent="0.25">
      <c r="A574" s="26">
        <v>47</v>
      </c>
    </row>
    <row r="575" spans="1:1" x14ac:dyDescent="0.25">
      <c r="A575" s="26">
        <v>88</v>
      </c>
    </row>
    <row r="576" spans="1:1" x14ac:dyDescent="0.25">
      <c r="A576" s="26">
        <v>11</v>
      </c>
    </row>
    <row r="577" spans="1:1" x14ac:dyDescent="0.25">
      <c r="A577" s="26">
        <v>36</v>
      </c>
    </row>
    <row r="578" spans="1:1" x14ac:dyDescent="0.25">
      <c r="A578" s="26">
        <v>7</v>
      </c>
    </row>
    <row r="579" spans="1:1" x14ac:dyDescent="0.25">
      <c r="A579" s="26">
        <v>80</v>
      </c>
    </row>
    <row r="580" spans="1:1" x14ac:dyDescent="0.25">
      <c r="A580" s="26">
        <v>68</v>
      </c>
    </row>
    <row r="581" spans="1:1" x14ac:dyDescent="0.25">
      <c r="A581" s="26">
        <v>82</v>
      </c>
    </row>
    <row r="582" spans="1:1" x14ac:dyDescent="0.25">
      <c r="A582" s="26">
        <v>37</v>
      </c>
    </row>
    <row r="583" spans="1:1" x14ac:dyDescent="0.25">
      <c r="A583" s="26">
        <v>58</v>
      </c>
    </row>
    <row r="584" spans="1:1" x14ac:dyDescent="0.25">
      <c r="A584" s="26">
        <v>71</v>
      </c>
    </row>
    <row r="585" spans="1:1" x14ac:dyDescent="0.25">
      <c r="A585" s="26">
        <v>54</v>
      </c>
    </row>
    <row r="586" spans="1:1" x14ac:dyDescent="0.25">
      <c r="A586" s="26">
        <v>31</v>
      </c>
    </row>
    <row r="587" spans="1:1" x14ac:dyDescent="0.25">
      <c r="A587" s="26">
        <v>50</v>
      </c>
    </row>
    <row r="588" spans="1:1" x14ac:dyDescent="0.25">
      <c r="A588" s="26">
        <v>73</v>
      </c>
    </row>
    <row r="589" spans="1:1" x14ac:dyDescent="0.25">
      <c r="A589" s="26">
        <v>97</v>
      </c>
    </row>
    <row r="590" spans="1:1" x14ac:dyDescent="0.25">
      <c r="A590" s="26">
        <v>49</v>
      </c>
    </row>
    <row r="591" spans="1:1" x14ac:dyDescent="0.25">
      <c r="A591" s="26">
        <v>38</v>
      </c>
    </row>
    <row r="592" spans="1:1" x14ac:dyDescent="0.25">
      <c r="A592" s="26">
        <v>50</v>
      </c>
    </row>
    <row r="593" spans="1:1" x14ac:dyDescent="0.25">
      <c r="A593" s="26">
        <v>40</v>
      </c>
    </row>
    <row r="594" spans="1:1" x14ac:dyDescent="0.25">
      <c r="A594" s="26">
        <v>41</v>
      </c>
    </row>
    <row r="595" spans="1:1" x14ac:dyDescent="0.25">
      <c r="A595" s="26">
        <v>48</v>
      </c>
    </row>
    <row r="596" spans="1:1" x14ac:dyDescent="0.25">
      <c r="A596" s="26">
        <v>80</v>
      </c>
    </row>
    <row r="597" spans="1:1" x14ac:dyDescent="0.25">
      <c r="A597" s="26">
        <v>43</v>
      </c>
    </row>
    <row r="598" spans="1:1" x14ac:dyDescent="0.25">
      <c r="A598" s="26">
        <v>16</v>
      </c>
    </row>
    <row r="599" spans="1:1" x14ac:dyDescent="0.25">
      <c r="A599" s="26">
        <v>76</v>
      </c>
    </row>
    <row r="600" spans="1:1" x14ac:dyDescent="0.25">
      <c r="A600" s="26">
        <v>77</v>
      </c>
    </row>
    <row r="601" spans="1:1" x14ac:dyDescent="0.25">
      <c r="A601" s="26">
        <v>65</v>
      </c>
    </row>
    <row r="602" spans="1:1" x14ac:dyDescent="0.25">
      <c r="A602" s="26">
        <v>75</v>
      </c>
    </row>
    <row r="603" spans="1:1" x14ac:dyDescent="0.25">
      <c r="A603" s="26">
        <v>66</v>
      </c>
    </row>
    <row r="604" spans="1:1" x14ac:dyDescent="0.25">
      <c r="A604" s="26">
        <v>73</v>
      </c>
    </row>
    <row r="605" spans="1:1" x14ac:dyDescent="0.25">
      <c r="A605" s="26">
        <v>26</v>
      </c>
    </row>
    <row r="606" spans="1:1" x14ac:dyDescent="0.25">
      <c r="A606" s="26">
        <v>70</v>
      </c>
    </row>
    <row r="607" spans="1:1" x14ac:dyDescent="0.25">
      <c r="A607" s="26">
        <v>75</v>
      </c>
    </row>
    <row r="608" spans="1:1" x14ac:dyDescent="0.25">
      <c r="A608" s="26">
        <v>78</v>
      </c>
    </row>
    <row r="609" spans="1:1" x14ac:dyDescent="0.25">
      <c r="A609" s="26">
        <v>70</v>
      </c>
    </row>
    <row r="610" spans="1:1" x14ac:dyDescent="0.25">
      <c r="A610" s="26">
        <v>88</v>
      </c>
    </row>
    <row r="611" spans="1:1" x14ac:dyDescent="0.25">
      <c r="A611" s="26">
        <v>67</v>
      </c>
    </row>
    <row r="612" spans="1:1" x14ac:dyDescent="0.25">
      <c r="A612" s="26">
        <v>87</v>
      </c>
    </row>
    <row r="613" spans="1:1" x14ac:dyDescent="0.25">
      <c r="A613" s="26">
        <v>73</v>
      </c>
    </row>
    <row r="614" spans="1:1" x14ac:dyDescent="0.25">
      <c r="A614" s="26">
        <v>76</v>
      </c>
    </row>
    <row r="618" spans="1:1" x14ac:dyDescent="0.25">
      <c r="A618" s="22" t="s">
        <v>950</v>
      </c>
    </row>
    <row r="619" spans="1:1" x14ac:dyDescent="0.25">
      <c r="A619">
        <f t="shared" ref="A619" ca="1" si="7">CHOOSE(RANDBETWEEN(1,3),ROUND(_xlfn.NORM.INV(RAND(),73,5),0),RANDBETWEEN(35,88),RANDBETWEEN(0,100))</f>
        <v>71</v>
      </c>
    </row>
  </sheetData>
  <conditionalFormatting sqref="A22:C39">
    <cfRule type="expression" dxfId="24" priority="1">
      <formula>AND($C22&lt;=_xlfn.PERCENTILE.EXC($C$22:$C$39,$F$22),ISNUMBER($F$24))</formula>
    </cfRule>
    <cfRule type="expression" dxfId="23" priority="2">
      <formula>AND($C22&gt;=_xlfn.PERCENTILE.EXC($C$22:$C$39,$F$22),ISNUMBER($F$24))</formula>
    </cfRule>
  </conditionalFormatting>
  <conditionalFormatting sqref="A42:C59">
    <cfRule type="expression" dxfId="22" priority="3">
      <formula>AND($C42&lt;=_xlfn.PERCENTILE.EXC($C$42:$C$59,$F$42),ISNUMBER($F$43))</formula>
    </cfRule>
    <cfRule type="expression" dxfId="21" priority="4">
      <formula>AND($C42&gt;=_xlfn.PERCENTILE.EXC($C$42:$C$59,$F$42),ISNUMBER($F$43))</formula>
    </cfRule>
  </conditionalFormatting>
  <hyperlinks>
    <hyperlink ref="H105" r:id="rId1" xr:uid="{00000000-0004-0000-1A00-000000000000}"/>
    <hyperlink ref="H106" r:id="rId2" xr:uid="{00000000-0004-0000-1A00-000001000000}"/>
  </hyperlinks>
  <pageMargins left="0.7" right="0.7" top="0.75" bottom="0.75" header="0.3" footer="0.3"/>
  <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rgb="FF0000FF"/>
  </sheetPr>
  <dimension ref="A1:F15"/>
  <sheetViews>
    <sheetView zoomScale="130" zoomScaleNormal="130" workbookViewId="0"/>
  </sheetViews>
  <sheetFormatPr defaultRowHeight="15" x14ac:dyDescent="0.25"/>
  <cols>
    <col min="1" max="1" width="11.28515625" customWidth="1"/>
    <col min="2" max="2" width="13" bestFit="1" customWidth="1"/>
    <col min="3" max="3" width="10" customWidth="1"/>
    <col min="4" max="4" width="16" customWidth="1"/>
    <col min="5" max="5" width="7" customWidth="1"/>
    <col min="6" max="6" width="10.85546875" customWidth="1"/>
    <col min="10" max="10" width="11.5703125" bestFit="1" customWidth="1"/>
    <col min="11" max="11" width="10.85546875" bestFit="1" customWidth="1"/>
  </cols>
  <sheetData>
    <row r="1" spans="1:6" x14ac:dyDescent="0.25">
      <c r="A1" s="1" t="s">
        <v>425</v>
      </c>
      <c r="B1" s="1" t="s">
        <v>426</v>
      </c>
      <c r="C1" s="1" t="s">
        <v>427</v>
      </c>
      <c r="D1" s="1" t="s">
        <v>92</v>
      </c>
      <c r="F1" s="1" t="s">
        <v>428</v>
      </c>
    </row>
    <row r="2" spans="1:6" x14ac:dyDescent="0.25">
      <c r="A2" s="26" t="s">
        <v>261</v>
      </c>
      <c r="B2" s="70">
        <v>57635</v>
      </c>
      <c r="C2" s="30"/>
      <c r="D2" s="75"/>
      <c r="F2" s="30"/>
    </row>
    <row r="3" spans="1:6" x14ac:dyDescent="0.25">
      <c r="A3" s="26" t="s">
        <v>266</v>
      </c>
      <c r="B3" s="70">
        <v>77866</v>
      </c>
      <c r="C3" s="30"/>
      <c r="D3" s="75"/>
      <c r="F3" s="30"/>
    </row>
    <row r="4" spans="1:6" x14ac:dyDescent="0.25">
      <c r="A4" s="26" t="s">
        <v>272</v>
      </c>
      <c r="B4" s="70">
        <v>72926</v>
      </c>
      <c r="C4" s="30"/>
      <c r="D4" s="75"/>
      <c r="F4" s="30"/>
    </row>
    <row r="5" spans="1:6" x14ac:dyDescent="0.25">
      <c r="A5" s="26" t="s">
        <v>429</v>
      </c>
      <c r="B5" s="70">
        <v>61073</v>
      </c>
      <c r="C5" s="30"/>
      <c r="D5" s="75"/>
      <c r="F5" s="30"/>
    </row>
    <row r="6" spans="1:6" x14ac:dyDescent="0.25">
      <c r="A6" s="26" t="s">
        <v>430</v>
      </c>
      <c r="B6" s="70">
        <v>76079</v>
      </c>
      <c r="C6" s="30"/>
      <c r="D6" s="75"/>
      <c r="F6" s="30"/>
    </row>
    <row r="7" spans="1:6" x14ac:dyDescent="0.25">
      <c r="A7" s="26" t="s">
        <v>271</v>
      </c>
      <c r="B7" s="70">
        <v>76363</v>
      </c>
      <c r="C7" s="30"/>
      <c r="D7" s="75"/>
      <c r="F7" s="30"/>
    </row>
    <row r="8" spans="1:6" x14ac:dyDescent="0.25">
      <c r="A8" s="26" t="s">
        <v>431</v>
      </c>
      <c r="B8" s="70">
        <v>72097</v>
      </c>
      <c r="C8" s="30"/>
      <c r="D8" s="75"/>
      <c r="F8" s="30"/>
    </row>
    <row r="9" spans="1:6" x14ac:dyDescent="0.25">
      <c r="A9" s="26" t="s">
        <v>432</v>
      </c>
      <c r="B9" s="70">
        <v>56871</v>
      </c>
      <c r="C9" s="30"/>
      <c r="D9" s="75"/>
      <c r="F9" s="30"/>
    </row>
    <row r="10" spans="1:6" x14ac:dyDescent="0.25">
      <c r="A10" s="26" t="s">
        <v>260</v>
      </c>
      <c r="B10" s="70">
        <v>74487</v>
      </c>
      <c r="C10" s="30"/>
      <c r="D10" s="75"/>
      <c r="F10" s="30"/>
    </row>
    <row r="11" spans="1:6" x14ac:dyDescent="0.25">
      <c r="A11" s="26" t="s">
        <v>433</v>
      </c>
      <c r="B11" s="70">
        <f>B10</f>
        <v>74487</v>
      </c>
      <c r="C11" s="30"/>
      <c r="D11" s="75"/>
      <c r="F11" s="30"/>
    </row>
    <row r="13" spans="1:6" ht="45" x14ac:dyDescent="0.25">
      <c r="A13" s="23" t="s">
        <v>867</v>
      </c>
      <c r="B13" s="23"/>
      <c r="C13" s="23"/>
      <c r="D13" s="23"/>
    </row>
    <row r="14" spans="1:6" ht="60" x14ac:dyDescent="0.25">
      <c r="A14" s="23" t="s">
        <v>434</v>
      </c>
      <c r="B14" s="23"/>
      <c r="C14" s="23"/>
      <c r="D14" s="23"/>
    </row>
    <row r="15" spans="1:6" x14ac:dyDescent="0.25">
      <c r="A15" s="23" t="s">
        <v>435</v>
      </c>
      <c r="B15" s="23"/>
      <c r="C15" s="23"/>
      <c r="D15" s="23"/>
    </row>
  </sheetData>
  <sortState xmlns:xlrd2="http://schemas.microsoft.com/office/spreadsheetml/2017/richdata2" ref="I2:L11">
    <sortCondition ref="K3"/>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0000FF"/>
  </sheetPr>
  <dimension ref="A1:E71"/>
  <sheetViews>
    <sheetView topLeftCell="A4" zoomScaleNormal="100" workbookViewId="0">
      <selection activeCell="A3" sqref="A3:A18"/>
    </sheetView>
  </sheetViews>
  <sheetFormatPr defaultRowHeight="15" x14ac:dyDescent="0.25"/>
  <cols>
    <col min="1" max="5" width="11.42578125" customWidth="1"/>
    <col min="6" max="7" width="12.42578125" customWidth="1"/>
    <col min="8" max="9" width="11.42578125" customWidth="1"/>
    <col min="10" max="11" width="12.42578125" customWidth="1"/>
  </cols>
  <sheetData>
    <row r="1" spans="1:5" ht="21" x14ac:dyDescent="0.35">
      <c r="A1" s="113" t="s">
        <v>370</v>
      </c>
      <c r="B1" s="113"/>
      <c r="C1" s="113"/>
      <c r="D1" s="113"/>
      <c r="E1" s="113"/>
    </row>
    <row r="2" spans="1:5" ht="3" customHeight="1" x14ac:dyDescent="0.25"/>
    <row r="3" spans="1:5" ht="30" x14ac:dyDescent="0.25">
      <c r="A3" s="61" t="s">
        <v>348</v>
      </c>
      <c r="B3" s="61" t="s">
        <v>374</v>
      </c>
      <c r="C3" s="61" t="s">
        <v>373</v>
      </c>
    </row>
    <row r="4" spans="1:5" x14ac:dyDescent="0.25">
      <c r="A4" s="26">
        <v>2001</v>
      </c>
      <c r="B4" s="106">
        <v>0.05</v>
      </c>
      <c r="C4" s="106">
        <v>0.02</v>
      </c>
    </row>
    <row r="5" spans="1:5" x14ac:dyDescent="0.25">
      <c r="A5" s="26">
        <f t="shared" ref="A5:A18" si="0">A4+1</f>
        <v>2002</v>
      </c>
      <c r="B5" s="106">
        <v>0.1</v>
      </c>
      <c r="C5" s="106">
        <v>0.04</v>
      </c>
    </row>
    <row r="6" spans="1:5" x14ac:dyDescent="0.25">
      <c r="A6" s="26">
        <f t="shared" si="0"/>
        <v>2003</v>
      </c>
      <c r="B6" s="106">
        <v>0.12</v>
      </c>
      <c r="C6" s="106">
        <v>3.5000000000000003E-2</v>
      </c>
    </row>
    <row r="7" spans="1:5" x14ac:dyDescent="0.25">
      <c r="A7" s="26">
        <f t="shared" si="0"/>
        <v>2004</v>
      </c>
      <c r="B7" s="106">
        <v>0.17</v>
      </c>
      <c r="C7" s="106">
        <v>5.5E-2</v>
      </c>
    </row>
    <row r="8" spans="1:5" x14ac:dyDescent="0.25">
      <c r="A8" s="26">
        <f t="shared" si="0"/>
        <v>2005</v>
      </c>
      <c r="B8" s="106">
        <v>0.19</v>
      </c>
      <c r="C8" s="106">
        <v>0.04</v>
      </c>
    </row>
    <row r="9" spans="1:5" x14ac:dyDescent="0.25">
      <c r="A9" s="26">
        <f t="shared" si="0"/>
        <v>2006</v>
      </c>
      <c r="B9" s="106">
        <v>0.01</v>
      </c>
      <c r="C9" s="106">
        <v>4.2000000000000003E-2</v>
      </c>
    </row>
    <row r="10" spans="1:5" x14ac:dyDescent="0.25">
      <c r="A10" s="26">
        <f t="shared" si="0"/>
        <v>2007</v>
      </c>
      <c r="B10" s="106">
        <v>-0.15</v>
      </c>
      <c r="C10" s="106">
        <v>4.2999999999999997E-2</v>
      </c>
    </row>
    <row r="11" spans="1:5" x14ac:dyDescent="0.25">
      <c r="A11" s="26">
        <f t="shared" si="0"/>
        <v>2008</v>
      </c>
      <c r="B11" s="106">
        <v>-0.03</v>
      </c>
      <c r="C11" s="106">
        <v>4.7E-2</v>
      </c>
    </row>
    <row r="12" spans="1:5" x14ac:dyDescent="0.25">
      <c r="A12" s="26">
        <f t="shared" si="0"/>
        <v>2009</v>
      </c>
      <c r="B12" s="106">
        <v>0.124</v>
      </c>
      <c r="C12" s="106">
        <v>0.05</v>
      </c>
    </row>
    <row r="13" spans="1:5" x14ac:dyDescent="0.25">
      <c r="A13" s="26">
        <f t="shared" si="0"/>
        <v>2010</v>
      </c>
      <c r="B13" s="106">
        <v>5.5E-2</v>
      </c>
      <c r="C13" s="106">
        <v>5.0999999999999997E-2</v>
      </c>
    </row>
    <row r="14" spans="1:5" x14ac:dyDescent="0.25">
      <c r="A14" s="26">
        <f t="shared" si="0"/>
        <v>2011</v>
      </c>
      <c r="B14" s="106">
        <v>0.1</v>
      </c>
      <c r="C14" s="106">
        <v>0.03</v>
      </c>
    </row>
    <row r="15" spans="1:5" x14ac:dyDescent="0.25">
      <c r="A15" s="26">
        <f t="shared" si="0"/>
        <v>2012</v>
      </c>
      <c r="B15" s="106">
        <v>6.5000000000000002E-2</v>
      </c>
      <c r="C15" s="106">
        <v>2.9000000000000001E-2</v>
      </c>
    </row>
    <row r="16" spans="1:5" x14ac:dyDescent="0.25">
      <c r="A16" s="26">
        <f t="shared" si="0"/>
        <v>2013</v>
      </c>
      <c r="B16" s="106">
        <v>-0.02</v>
      </c>
      <c r="C16" s="106">
        <v>4.5999999999999999E-2</v>
      </c>
    </row>
    <row r="17" spans="1:3" x14ac:dyDescent="0.25">
      <c r="A17" s="26">
        <f t="shared" si="0"/>
        <v>2014</v>
      </c>
      <c r="B17" s="106">
        <v>-0.22</v>
      </c>
      <c r="C17" s="106">
        <v>4.9000000000000002E-2</v>
      </c>
    </row>
    <row r="18" spans="1:3" ht="15.75" thickBot="1" x14ac:dyDescent="0.3">
      <c r="A18" s="26">
        <f t="shared" si="0"/>
        <v>2015</v>
      </c>
      <c r="B18" s="107">
        <v>0.15</v>
      </c>
      <c r="C18" s="107">
        <v>4.1000000000000002E-2</v>
      </c>
    </row>
    <row r="19" spans="1:3" ht="15.75" thickBot="1" x14ac:dyDescent="0.3">
      <c r="A19" s="68" t="s">
        <v>238</v>
      </c>
      <c r="B19" s="108">
        <f t="array" ref="B19">GEOMEAN(B4:B18+1)-1</f>
        <v>4.1169961128548316E-2</v>
      </c>
      <c r="C19" s="108">
        <f t="array" ref="C19">GEOMEAN(C4:C18+1)-1</f>
        <v>4.1159802560870595E-2</v>
      </c>
    </row>
    <row r="20" spans="1:3" ht="15.75" thickTop="1" x14ac:dyDescent="0.25">
      <c r="B20" s="109"/>
      <c r="C20" s="109"/>
    </row>
    <row r="36" spans="1:5" x14ac:dyDescent="0.25">
      <c r="A36" s="22"/>
      <c r="C36" s="22"/>
    </row>
    <row r="37" spans="1:5" ht="30" x14ac:dyDescent="0.25">
      <c r="A37" s="62" t="s">
        <v>365</v>
      </c>
      <c r="B37" s="62" t="str">
        <f>B3</f>
        <v>Stock Returns A</v>
      </c>
      <c r="D37" s="62" t="s">
        <v>365</v>
      </c>
      <c r="E37" s="62" t="str">
        <f>C3</f>
        <v>Stock Returns B</v>
      </c>
    </row>
    <row r="38" spans="1:5" x14ac:dyDescent="0.25">
      <c r="A38" s="112">
        <f t="shared" ref="A38:A52" si="1">B4</f>
        <v>0.05</v>
      </c>
      <c r="B38" s="26">
        <v>0.2</v>
      </c>
      <c r="D38" s="112">
        <f t="shared" ref="D38:D52" si="2">C4</f>
        <v>0.02</v>
      </c>
      <c r="E38" s="26">
        <v>0.7</v>
      </c>
    </row>
    <row r="39" spans="1:5" x14ac:dyDescent="0.25">
      <c r="A39" s="112">
        <f t="shared" si="1"/>
        <v>0.1</v>
      </c>
      <c r="B39" s="26">
        <v>0.2</v>
      </c>
      <c r="D39" s="112">
        <f t="shared" si="2"/>
        <v>0.04</v>
      </c>
      <c r="E39" s="26">
        <v>0.7</v>
      </c>
    </row>
    <row r="40" spans="1:5" x14ac:dyDescent="0.25">
      <c r="A40" s="112">
        <f t="shared" si="1"/>
        <v>0.12</v>
      </c>
      <c r="B40" s="26">
        <v>0.2</v>
      </c>
      <c r="D40" s="112">
        <f t="shared" si="2"/>
        <v>3.5000000000000003E-2</v>
      </c>
      <c r="E40" s="26">
        <v>0.7</v>
      </c>
    </row>
    <row r="41" spans="1:5" x14ac:dyDescent="0.25">
      <c r="A41" s="112">
        <f t="shared" si="1"/>
        <v>0.17</v>
      </c>
      <c r="B41" s="26">
        <v>0.2</v>
      </c>
      <c r="D41" s="112">
        <f t="shared" si="2"/>
        <v>5.5E-2</v>
      </c>
      <c r="E41" s="26">
        <v>0.7</v>
      </c>
    </row>
    <row r="42" spans="1:5" x14ac:dyDescent="0.25">
      <c r="A42" s="112">
        <f t="shared" si="1"/>
        <v>0.19</v>
      </c>
      <c r="B42" s="26">
        <v>0.2</v>
      </c>
      <c r="D42" s="112">
        <f t="shared" si="2"/>
        <v>0.04</v>
      </c>
      <c r="E42" s="26">
        <v>0.7</v>
      </c>
    </row>
    <row r="43" spans="1:5" x14ac:dyDescent="0.25">
      <c r="A43" s="112">
        <f t="shared" si="1"/>
        <v>0.01</v>
      </c>
      <c r="B43" s="26">
        <v>0.2</v>
      </c>
      <c r="D43" s="112">
        <f t="shared" si="2"/>
        <v>4.2000000000000003E-2</v>
      </c>
      <c r="E43" s="26">
        <v>0.7</v>
      </c>
    </row>
    <row r="44" spans="1:5" x14ac:dyDescent="0.25">
      <c r="A44" s="112">
        <f t="shared" si="1"/>
        <v>-0.15</v>
      </c>
      <c r="B44" s="26">
        <v>0.2</v>
      </c>
      <c r="D44" s="112">
        <f t="shared" si="2"/>
        <v>4.2999999999999997E-2</v>
      </c>
      <c r="E44" s="26">
        <v>0.7</v>
      </c>
    </row>
    <row r="45" spans="1:5" x14ac:dyDescent="0.25">
      <c r="A45" s="112">
        <f t="shared" si="1"/>
        <v>-0.03</v>
      </c>
      <c r="B45" s="26">
        <v>0.2</v>
      </c>
      <c r="D45" s="112">
        <f t="shared" si="2"/>
        <v>4.7E-2</v>
      </c>
      <c r="E45" s="26">
        <v>0.7</v>
      </c>
    </row>
    <row r="46" spans="1:5" x14ac:dyDescent="0.25">
      <c r="A46" s="112">
        <f t="shared" si="1"/>
        <v>0.124</v>
      </c>
      <c r="B46" s="26">
        <v>0.2</v>
      </c>
      <c r="D46" s="112">
        <f t="shared" si="2"/>
        <v>0.05</v>
      </c>
      <c r="E46" s="26">
        <v>0.7</v>
      </c>
    </row>
    <row r="47" spans="1:5" x14ac:dyDescent="0.25">
      <c r="A47" s="112">
        <f t="shared" si="1"/>
        <v>5.5E-2</v>
      </c>
      <c r="B47" s="26">
        <v>0.2</v>
      </c>
      <c r="D47" s="112">
        <f t="shared" si="2"/>
        <v>5.0999999999999997E-2</v>
      </c>
      <c r="E47" s="26">
        <v>0.7</v>
      </c>
    </row>
    <row r="48" spans="1:5" x14ac:dyDescent="0.25">
      <c r="A48" s="112">
        <f t="shared" si="1"/>
        <v>0.1</v>
      </c>
      <c r="B48" s="26">
        <v>0.2</v>
      </c>
      <c r="D48" s="112">
        <f t="shared" si="2"/>
        <v>0.03</v>
      </c>
      <c r="E48" s="26">
        <v>0.7</v>
      </c>
    </row>
    <row r="49" spans="1:5" x14ac:dyDescent="0.25">
      <c r="A49" s="112">
        <f t="shared" si="1"/>
        <v>6.5000000000000002E-2</v>
      </c>
      <c r="B49" s="26">
        <v>0.2</v>
      </c>
      <c r="D49" s="112">
        <f t="shared" si="2"/>
        <v>2.9000000000000001E-2</v>
      </c>
      <c r="E49" s="26">
        <v>0.7</v>
      </c>
    </row>
    <row r="50" spans="1:5" x14ac:dyDescent="0.25">
      <c r="A50" s="112">
        <f t="shared" si="1"/>
        <v>-0.02</v>
      </c>
      <c r="B50" s="26">
        <v>0.2</v>
      </c>
      <c r="D50" s="112">
        <f t="shared" si="2"/>
        <v>4.5999999999999999E-2</v>
      </c>
      <c r="E50" s="26">
        <v>0.7</v>
      </c>
    </row>
    <row r="51" spans="1:5" x14ac:dyDescent="0.25">
      <c r="A51" s="112">
        <f t="shared" si="1"/>
        <v>-0.22</v>
      </c>
      <c r="B51" s="26">
        <v>0.2</v>
      </c>
      <c r="D51" s="112">
        <f t="shared" si="2"/>
        <v>4.9000000000000002E-2</v>
      </c>
      <c r="E51" s="26">
        <v>0.7</v>
      </c>
    </row>
    <row r="52" spans="1:5" x14ac:dyDescent="0.25">
      <c r="A52" s="112">
        <f t="shared" si="1"/>
        <v>0.15</v>
      </c>
      <c r="B52" s="26">
        <v>0.2</v>
      </c>
      <c r="D52" s="112">
        <f t="shared" si="2"/>
        <v>4.1000000000000002E-2</v>
      </c>
      <c r="E52" s="26">
        <v>0.7</v>
      </c>
    </row>
    <row r="54" spans="1:5" ht="30" x14ac:dyDescent="0.25">
      <c r="A54" s="61" t="s">
        <v>365</v>
      </c>
      <c r="B54" s="61" t="s">
        <v>366</v>
      </c>
      <c r="D54" s="61" t="s">
        <v>365</v>
      </c>
      <c r="E54" s="61" t="s">
        <v>367</v>
      </c>
    </row>
    <row r="55" spans="1:5" x14ac:dyDescent="0.25">
      <c r="A55" s="84">
        <f>B19</f>
        <v>4.1169961128548316E-2</v>
      </c>
      <c r="B55" s="26">
        <v>0.35</v>
      </c>
      <c r="D55" s="84">
        <f>C19</f>
        <v>4.1159802560870595E-2</v>
      </c>
      <c r="E55" s="26">
        <v>0.9</v>
      </c>
    </row>
    <row r="59" spans="1:5" x14ac:dyDescent="0.25">
      <c r="A59" s="62" t="s">
        <v>315</v>
      </c>
      <c r="B59" s="62" t="s">
        <v>316</v>
      </c>
      <c r="C59" s="62" t="s">
        <v>371</v>
      </c>
      <c r="D59" s="62" t="s">
        <v>376</v>
      </c>
      <c r="E59" s="62" t="s">
        <v>377</v>
      </c>
    </row>
    <row r="60" spans="1:5" x14ac:dyDescent="0.25">
      <c r="A60" s="26">
        <v>-0.25</v>
      </c>
      <c r="B60" s="26">
        <f t="shared" ref="B60:B69" si="3">A60+0.05</f>
        <v>-0.2</v>
      </c>
      <c r="C60" s="30" t="str">
        <f>TEXT(A60,"0%")&amp;CHAR(10)&amp;"up to"&amp;CHAR(10)&amp;TEXT(B60,"0%")</f>
        <v>-25%
up to
-20%</v>
      </c>
      <c r="D60" s="114">
        <f t="shared" ref="D60:D69" si="4">COUNTIFS(B$4:B$18,"&gt;="&amp;$A60,B$4:B$18,"&lt;"&amp;$B60)/$B$71</f>
        <v>6.6666666666666666E-2</v>
      </c>
      <c r="E60" s="114">
        <f t="shared" ref="E60:E69" si="5">COUNTIFS(C$4:C$18,"&gt;="&amp;$A60,C$4:C$18,"&lt;"&amp;$B60)/$B$71</f>
        <v>0</v>
      </c>
    </row>
    <row r="61" spans="1:5" x14ac:dyDescent="0.25">
      <c r="A61" s="26">
        <f t="shared" ref="A61:A69" si="6">B60</f>
        <v>-0.2</v>
      </c>
      <c r="B61" s="26">
        <f t="shared" si="3"/>
        <v>-0.15000000000000002</v>
      </c>
      <c r="C61" s="30" t="str">
        <f t="shared" ref="C61:C69" si="7">TEXT(A61,"0%")&amp;CHAR(10)&amp;"up to"&amp;CHAR(10)&amp;TEXT(B61,"0%")</f>
        <v>-20%
up to
-15%</v>
      </c>
      <c r="D61" s="114">
        <f t="shared" si="4"/>
        <v>0</v>
      </c>
      <c r="E61" s="114">
        <f t="shared" si="5"/>
        <v>0</v>
      </c>
    </row>
    <row r="62" spans="1:5" x14ac:dyDescent="0.25">
      <c r="A62" s="26">
        <f t="shared" si="6"/>
        <v>-0.15000000000000002</v>
      </c>
      <c r="B62" s="26">
        <f t="shared" si="3"/>
        <v>-0.10000000000000002</v>
      </c>
      <c r="C62" s="30" t="str">
        <f t="shared" si="7"/>
        <v>-15%
up to
-10%</v>
      </c>
      <c r="D62" s="114">
        <f t="shared" si="4"/>
        <v>6.6666666666666666E-2</v>
      </c>
      <c r="E62" s="114">
        <f t="shared" si="5"/>
        <v>0</v>
      </c>
    </row>
    <row r="63" spans="1:5" x14ac:dyDescent="0.25">
      <c r="A63" s="26">
        <f t="shared" si="6"/>
        <v>-0.10000000000000002</v>
      </c>
      <c r="B63" s="26">
        <f t="shared" si="3"/>
        <v>-5.0000000000000017E-2</v>
      </c>
      <c r="C63" s="30" t="str">
        <f t="shared" si="7"/>
        <v>-10%
up to
-5%</v>
      </c>
      <c r="D63" s="114">
        <f t="shared" si="4"/>
        <v>0</v>
      </c>
      <c r="E63" s="114">
        <f t="shared" si="5"/>
        <v>0</v>
      </c>
    </row>
    <row r="64" spans="1:5" x14ac:dyDescent="0.25">
      <c r="A64" s="26">
        <f t="shared" si="6"/>
        <v>-5.0000000000000017E-2</v>
      </c>
      <c r="B64" s="26">
        <f t="shared" si="3"/>
        <v>0</v>
      </c>
      <c r="C64" s="30" t="str">
        <f t="shared" si="7"/>
        <v>-5%
up to
0%</v>
      </c>
      <c r="D64" s="114">
        <f t="shared" si="4"/>
        <v>0.13333333333333333</v>
      </c>
      <c r="E64" s="114">
        <f t="shared" si="5"/>
        <v>0</v>
      </c>
    </row>
    <row r="65" spans="1:5" x14ac:dyDescent="0.25">
      <c r="A65" s="26">
        <f t="shared" si="6"/>
        <v>0</v>
      </c>
      <c r="B65" s="26">
        <f t="shared" si="3"/>
        <v>0.05</v>
      </c>
      <c r="C65" s="30" t="str">
        <f t="shared" si="7"/>
        <v>0%
up to
5%</v>
      </c>
      <c r="D65" s="114">
        <f t="shared" si="4"/>
        <v>6.6666666666666666E-2</v>
      </c>
      <c r="E65" s="114">
        <f t="shared" si="5"/>
        <v>0.8</v>
      </c>
    </row>
    <row r="66" spans="1:5" x14ac:dyDescent="0.25">
      <c r="A66" s="26">
        <f t="shared" si="6"/>
        <v>0.05</v>
      </c>
      <c r="B66" s="26">
        <f t="shared" si="3"/>
        <v>0.1</v>
      </c>
      <c r="C66" s="30" t="str">
        <f t="shared" si="7"/>
        <v>5%
up to
10%</v>
      </c>
      <c r="D66" s="114">
        <f t="shared" si="4"/>
        <v>0.2</v>
      </c>
      <c r="E66" s="114">
        <f t="shared" si="5"/>
        <v>0.2</v>
      </c>
    </row>
    <row r="67" spans="1:5" x14ac:dyDescent="0.25">
      <c r="A67" s="26">
        <f t="shared" si="6"/>
        <v>0.1</v>
      </c>
      <c r="B67" s="26">
        <f t="shared" si="3"/>
        <v>0.15000000000000002</v>
      </c>
      <c r="C67" s="30" t="str">
        <f t="shared" si="7"/>
        <v>10%
up to
15%</v>
      </c>
      <c r="D67" s="114">
        <f t="shared" si="4"/>
        <v>0.26666666666666666</v>
      </c>
      <c r="E67" s="114">
        <f t="shared" si="5"/>
        <v>0</v>
      </c>
    </row>
    <row r="68" spans="1:5" x14ac:dyDescent="0.25">
      <c r="A68" s="26">
        <f t="shared" si="6"/>
        <v>0.15000000000000002</v>
      </c>
      <c r="B68" s="26">
        <f t="shared" si="3"/>
        <v>0.2</v>
      </c>
      <c r="C68" s="30" t="str">
        <f t="shared" si="7"/>
        <v>15%
up to
20%</v>
      </c>
      <c r="D68" s="114">
        <f t="shared" si="4"/>
        <v>0.2</v>
      </c>
      <c r="E68" s="114">
        <f t="shared" si="5"/>
        <v>0</v>
      </c>
    </row>
    <row r="69" spans="1:5" x14ac:dyDescent="0.25">
      <c r="A69" s="26">
        <f t="shared" si="6"/>
        <v>0.2</v>
      </c>
      <c r="B69" s="26">
        <f t="shared" si="3"/>
        <v>0.25</v>
      </c>
      <c r="C69" s="30" t="str">
        <f t="shared" si="7"/>
        <v>20%
up to
25%</v>
      </c>
      <c r="D69" s="114">
        <f t="shared" si="4"/>
        <v>0</v>
      </c>
      <c r="E69" s="114">
        <f t="shared" si="5"/>
        <v>0</v>
      </c>
    </row>
    <row r="71" spans="1:5" x14ac:dyDescent="0.25">
      <c r="A71" s="61" t="s">
        <v>375</v>
      </c>
      <c r="B71" s="30">
        <f>COUNT(A4:A18)</f>
        <v>15</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FF0000"/>
  </sheetPr>
  <dimension ref="A1:L15"/>
  <sheetViews>
    <sheetView zoomScale="130" zoomScaleNormal="130" workbookViewId="0">
      <selection activeCell="H13" sqref="H13"/>
    </sheetView>
  </sheetViews>
  <sheetFormatPr defaultRowHeight="15" x14ac:dyDescent="0.25"/>
  <cols>
    <col min="1" max="1" width="11.28515625" customWidth="1"/>
    <col min="2" max="2" width="13" bestFit="1" customWidth="1"/>
    <col min="3" max="3" width="10" customWidth="1"/>
    <col min="4" max="4" width="16" customWidth="1"/>
    <col min="5" max="5" width="7" customWidth="1"/>
    <col min="6" max="6" width="10.85546875" customWidth="1"/>
    <col min="10" max="10" width="11.5703125" bestFit="1" customWidth="1"/>
    <col min="11" max="11" width="10.85546875" bestFit="1" customWidth="1"/>
  </cols>
  <sheetData>
    <row r="1" spans="1:12" x14ac:dyDescent="0.25">
      <c r="A1" s="1" t="s">
        <v>425</v>
      </c>
      <c r="B1" s="1" t="s">
        <v>426</v>
      </c>
      <c r="C1" s="1" t="s">
        <v>427</v>
      </c>
      <c r="D1" s="1" t="s">
        <v>92</v>
      </c>
      <c r="F1" s="1" t="s">
        <v>428</v>
      </c>
      <c r="I1" s="130" t="s">
        <v>439</v>
      </c>
      <c r="J1" s="130" t="s">
        <v>426</v>
      </c>
      <c r="K1" s="130" t="s">
        <v>436</v>
      </c>
      <c r="L1" s="130" t="s">
        <v>440</v>
      </c>
    </row>
    <row r="2" spans="1:12" x14ac:dyDescent="0.25">
      <c r="A2" s="26" t="s">
        <v>261</v>
      </c>
      <c r="B2" s="70">
        <v>57635</v>
      </c>
      <c r="C2" s="30">
        <f>_xlfn.RANK.EQ(B2,$B$2:$B$11,0)</f>
        <v>9</v>
      </c>
      <c r="D2" s="75">
        <f>_xlfn.PERCENTRANK.INC($B$2:$B$11,B2)</f>
        <v>0.111</v>
      </c>
      <c r="F2" s="30">
        <f>_xlfn.RANK.AVG(B2,$B$2:$B$11,0)</f>
        <v>9</v>
      </c>
      <c r="I2" s="124">
        <v>2</v>
      </c>
      <c r="J2" s="125">
        <v>77866</v>
      </c>
      <c r="K2" s="124">
        <v>1</v>
      </c>
      <c r="L2" s="126">
        <v>1</v>
      </c>
    </row>
    <row r="3" spans="1:12" x14ac:dyDescent="0.25">
      <c r="A3" s="26" t="s">
        <v>266</v>
      </c>
      <c r="B3" s="70">
        <v>77866</v>
      </c>
      <c r="C3" s="30">
        <f t="shared" ref="C3:C11" si="0">_xlfn.RANK.EQ(B3,$B$2:$B$11,0)</f>
        <v>1</v>
      </c>
      <c r="D3" s="75">
        <f t="shared" ref="D3:D11" si="1">_xlfn.PERCENTRANK.INC($B$2:$B$11,B3)</f>
        <v>1</v>
      </c>
      <c r="F3" s="30">
        <f t="shared" ref="F3:F11" si="2">_xlfn.RANK.AVG(B3,$B$2:$B$11,0)</f>
        <v>1</v>
      </c>
      <c r="I3" s="124">
        <v>6</v>
      </c>
      <c r="J3" s="125">
        <v>76363</v>
      </c>
      <c r="K3" s="124">
        <v>2</v>
      </c>
      <c r="L3" s="126">
        <v>0.88800000000000001</v>
      </c>
    </row>
    <row r="4" spans="1:12" x14ac:dyDescent="0.25">
      <c r="A4" s="26" t="s">
        <v>272</v>
      </c>
      <c r="B4" s="70">
        <v>72926</v>
      </c>
      <c r="C4" s="30">
        <f t="shared" si="0"/>
        <v>6</v>
      </c>
      <c r="D4" s="75">
        <f t="shared" si="1"/>
        <v>0.44400000000000001</v>
      </c>
      <c r="F4" s="30">
        <f t="shared" si="2"/>
        <v>6</v>
      </c>
      <c r="I4" s="124">
        <v>5</v>
      </c>
      <c r="J4" s="125">
        <v>76079</v>
      </c>
      <c r="K4" s="124">
        <v>3</v>
      </c>
      <c r="L4" s="126">
        <v>0.77700000000000002</v>
      </c>
    </row>
    <row r="5" spans="1:12" x14ac:dyDescent="0.25">
      <c r="A5" s="26" t="s">
        <v>429</v>
      </c>
      <c r="B5" s="70">
        <v>61073</v>
      </c>
      <c r="C5" s="30">
        <f t="shared" si="0"/>
        <v>8</v>
      </c>
      <c r="D5" s="75">
        <f t="shared" si="1"/>
        <v>0.222</v>
      </c>
      <c r="F5" s="30">
        <f t="shared" si="2"/>
        <v>8</v>
      </c>
      <c r="I5" s="124">
        <v>9</v>
      </c>
      <c r="J5" s="125">
        <v>74487</v>
      </c>
      <c r="K5" s="124">
        <v>4</v>
      </c>
      <c r="L5" s="126">
        <v>0.55500000000000005</v>
      </c>
    </row>
    <row r="6" spans="1:12" x14ac:dyDescent="0.25">
      <c r="A6" s="26" t="s">
        <v>430</v>
      </c>
      <c r="B6" s="70">
        <v>76079</v>
      </c>
      <c r="C6" s="30">
        <f t="shared" si="0"/>
        <v>3</v>
      </c>
      <c r="D6" s="75">
        <f t="shared" si="1"/>
        <v>0.77700000000000002</v>
      </c>
      <c r="F6" s="30">
        <f t="shared" si="2"/>
        <v>3</v>
      </c>
      <c r="I6" s="124">
        <v>10</v>
      </c>
      <c r="J6" s="125">
        <v>74487</v>
      </c>
      <c r="K6" s="124">
        <v>4</v>
      </c>
      <c r="L6" s="126">
        <v>0.55500000000000005</v>
      </c>
    </row>
    <row r="7" spans="1:12" x14ac:dyDescent="0.25">
      <c r="A7" s="26" t="s">
        <v>271</v>
      </c>
      <c r="B7" s="70">
        <v>76363</v>
      </c>
      <c r="C7" s="30">
        <f t="shared" si="0"/>
        <v>2</v>
      </c>
      <c r="D7" s="75">
        <f t="shared" si="1"/>
        <v>0.88800000000000001</v>
      </c>
      <c r="F7" s="30">
        <f t="shared" si="2"/>
        <v>2</v>
      </c>
      <c r="I7" s="124">
        <v>3</v>
      </c>
      <c r="J7" s="125">
        <v>72926</v>
      </c>
      <c r="K7" s="124">
        <v>6</v>
      </c>
      <c r="L7" s="126">
        <v>0.44400000000000001</v>
      </c>
    </row>
    <row r="8" spans="1:12" x14ac:dyDescent="0.25">
      <c r="A8" s="26" t="s">
        <v>431</v>
      </c>
      <c r="B8" s="70">
        <v>72097</v>
      </c>
      <c r="C8" s="30">
        <f t="shared" si="0"/>
        <v>7</v>
      </c>
      <c r="D8" s="75">
        <f t="shared" si="1"/>
        <v>0.33300000000000002</v>
      </c>
      <c r="F8" s="30">
        <f t="shared" si="2"/>
        <v>7</v>
      </c>
      <c r="I8" s="124">
        <v>7</v>
      </c>
      <c r="J8" s="125">
        <v>72097</v>
      </c>
      <c r="K8" s="124">
        <v>7</v>
      </c>
      <c r="L8" s="126">
        <v>0.33300000000000002</v>
      </c>
    </row>
    <row r="9" spans="1:12" x14ac:dyDescent="0.25">
      <c r="A9" s="26" t="s">
        <v>432</v>
      </c>
      <c r="B9" s="70">
        <v>56871</v>
      </c>
      <c r="C9" s="30">
        <f t="shared" si="0"/>
        <v>10</v>
      </c>
      <c r="D9" s="75">
        <f t="shared" si="1"/>
        <v>0</v>
      </c>
      <c r="F9" s="30">
        <f t="shared" si="2"/>
        <v>10</v>
      </c>
      <c r="I9" s="124">
        <v>4</v>
      </c>
      <c r="J9" s="125">
        <v>61073</v>
      </c>
      <c r="K9" s="124">
        <v>8</v>
      </c>
      <c r="L9" s="126">
        <v>0.222</v>
      </c>
    </row>
    <row r="10" spans="1:12" x14ac:dyDescent="0.25">
      <c r="A10" s="26" t="s">
        <v>260</v>
      </c>
      <c r="B10" s="70">
        <v>74487</v>
      </c>
      <c r="C10" s="30">
        <f t="shared" si="0"/>
        <v>4</v>
      </c>
      <c r="D10" s="75">
        <f t="shared" si="1"/>
        <v>0.55500000000000005</v>
      </c>
      <c r="F10" s="30">
        <f t="shared" si="2"/>
        <v>4.5</v>
      </c>
      <c r="I10" s="124">
        <v>1</v>
      </c>
      <c r="J10" s="125">
        <v>57635</v>
      </c>
      <c r="K10" s="124">
        <v>9</v>
      </c>
      <c r="L10" s="126">
        <v>0.111</v>
      </c>
    </row>
    <row r="11" spans="1:12" ht="15.75" thickBot="1" x14ac:dyDescent="0.3">
      <c r="A11" s="26" t="s">
        <v>433</v>
      </c>
      <c r="B11" s="70">
        <f>B10</f>
        <v>74487</v>
      </c>
      <c r="C11" s="30">
        <f t="shared" si="0"/>
        <v>4</v>
      </c>
      <c r="D11" s="75">
        <f t="shared" si="1"/>
        <v>0.55500000000000005</v>
      </c>
      <c r="F11" s="30">
        <f t="shared" si="2"/>
        <v>4.5</v>
      </c>
      <c r="I11" s="127">
        <v>8</v>
      </c>
      <c r="J11" s="128">
        <v>56871</v>
      </c>
      <c r="K11" s="127">
        <v>10</v>
      </c>
      <c r="L11" s="129">
        <v>0</v>
      </c>
    </row>
    <row r="13" spans="1:12" ht="45" x14ac:dyDescent="0.25">
      <c r="A13" s="23" t="s">
        <v>867</v>
      </c>
      <c r="B13" s="23"/>
      <c r="C13" s="23"/>
      <c r="D13" s="23"/>
    </row>
    <row r="14" spans="1:12" ht="60" x14ac:dyDescent="0.25">
      <c r="A14" s="23" t="s">
        <v>434</v>
      </c>
      <c r="B14" s="23"/>
      <c r="C14" s="23"/>
      <c r="D14" s="23"/>
    </row>
    <row r="15" spans="1:12" x14ac:dyDescent="0.25">
      <c r="A15" s="23" t="s">
        <v>435</v>
      </c>
      <c r="B15" s="23"/>
      <c r="C15" s="23"/>
      <c r="D15" s="23"/>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0000FF"/>
  </sheetPr>
  <dimension ref="A1:E74"/>
  <sheetViews>
    <sheetView zoomScale="115" zoomScaleNormal="115" workbookViewId="0"/>
  </sheetViews>
  <sheetFormatPr defaultRowHeight="15" x14ac:dyDescent="0.25"/>
  <cols>
    <col min="1" max="1" width="11.42578125" customWidth="1"/>
    <col min="2" max="3" width="17.28515625" customWidth="1"/>
    <col min="4" max="5" width="11.42578125" customWidth="1"/>
    <col min="6" max="7" width="12.42578125" customWidth="1"/>
    <col min="8" max="9" width="11.42578125" customWidth="1"/>
    <col min="10" max="11" width="12.42578125" customWidth="1"/>
  </cols>
  <sheetData>
    <row r="1" spans="1:4" ht="21" x14ac:dyDescent="0.35">
      <c r="A1" s="113" t="s">
        <v>560</v>
      </c>
      <c r="B1" s="113"/>
      <c r="C1" s="113"/>
      <c r="D1" s="113"/>
    </row>
    <row r="2" spans="1:4" ht="3" customHeight="1" x14ac:dyDescent="0.25"/>
    <row r="3" spans="1:4" ht="30" x14ac:dyDescent="0.25">
      <c r="A3" s="61" t="s">
        <v>349</v>
      </c>
      <c r="B3" s="61" t="s">
        <v>387</v>
      </c>
      <c r="C3" s="61" t="s">
        <v>388</v>
      </c>
    </row>
    <row r="4" spans="1:4" x14ac:dyDescent="0.25">
      <c r="A4" s="110">
        <v>41714</v>
      </c>
      <c r="B4" s="26">
        <v>55</v>
      </c>
      <c r="C4" s="26">
        <v>35</v>
      </c>
    </row>
    <row r="5" spans="1:4" x14ac:dyDescent="0.25">
      <c r="A5" s="110">
        <f>A4+7</f>
        <v>41721</v>
      </c>
      <c r="B5" s="26">
        <v>25</v>
      </c>
      <c r="C5" s="26">
        <v>34</v>
      </c>
    </row>
    <row r="6" spans="1:4" x14ac:dyDescent="0.25">
      <c r="A6" s="110">
        <f t="shared" ref="A6:A18" si="0">A5+7</f>
        <v>41728</v>
      </c>
      <c r="B6" s="26">
        <v>62</v>
      </c>
      <c r="C6" s="26">
        <v>36</v>
      </c>
    </row>
    <row r="7" spans="1:4" x14ac:dyDescent="0.25">
      <c r="A7" s="110">
        <f t="shared" si="0"/>
        <v>41735</v>
      </c>
      <c r="B7" s="26">
        <v>15</v>
      </c>
      <c r="C7" s="26">
        <v>37</v>
      </c>
    </row>
    <row r="8" spans="1:4" x14ac:dyDescent="0.25">
      <c r="A8" s="110">
        <f t="shared" si="0"/>
        <v>41742</v>
      </c>
      <c r="B8" s="26">
        <v>34</v>
      </c>
      <c r="C8" s="26">
        <v>43</v>
      </c>
    </row>
    <row r="9" spans="1:4" x14ac:dyDescent="0.25">
      <c r="A9" s="110">
        <f t="shared" si="0"/>
        <v>41749</v>
      </c>
      <c r="B9" s="26">
        <v>19</v>
      </c>
      <c r="C9" s="26">
        <v>32</v>
      </c>
    </row>
    <row r="10" spans="1:4" x14ac:dyDescent="0.25">
      <c r="A10" s="110">
        <f t="shared" si="0"/>
        <v>41756</v>
      </c>
      <c r="B10" s="26">
        <v>38</v>
      </c>
      <c r="C10" s="26">
        <v>33</v>
      </c>
    </row>
    <row r="11" spans="1:4" x14ac:dyDescent="0.25">
      <c r="A11" s="110">
        <f t="shared" si="0"/>
        <v>41763</v>
      </c>
      <c r="B11" s="26">
        <v>29</v>
      </c>
      <c r="C11" s="26">
        <v>35</v>
      </c>
    </row>
    <row r="12" spans="1:4" x14ac:dyDescent="0.25">
      <c r="A12" s="110">
        <f t="shared" si="0"/>
        <v>41770</v>
      </c>
      <c r="B12" s="26">
        <v>64</v>
      </c>
      <c r="C12" s="26">
        <v>36</v>
      </c>
    </row>
    <row r="13" spans="1:4" x14ac:dyDescent="0.25">
      <c r="A13" s="110">
        <f t="shared" si="0"/>
        <v>41777</v>
      </c>
      <c r="B13" s="26">
        <v>31</v>
      </c>
      <c r="C13" s="26">
        <v>37</v>
      </c>
    </row>
    <row r="14" spans="1:4" x14ac:dyDescent="0.25">
      <c r="A14" s="110">
        <f t="shared" si="0"/>
        <v>41784</v>
      </c>
      <c r="B14" s="26">
        <v>59</v>
      </c>
      <c r="C14" s="26">
        <v>35</v>
      </c>
    </row>
    <row r="15" spans="1:4" x14ac:dyDescent="0.25">
      <c r="A15" s="110">
        <f t="shared" si="0"/>
        <v>41791</v>
      </c>
      <c r="B15" s="26">
        <v>12</v>
      </c>
      <c r="C15" s="26">
        <v>39</v>
      </c>
    </row>
    <row r="16" spans="1:4" x14ac:dyDescent="0.25">
      <c r="A16" s="110">
        <f t="shared" si="0"/>
        <v>41798</v>
      </c>
      <c r="B16" s="26">
        <v>15</v>
      </c>
      <c r="C16" s="26">
        <v>32</v>
      </c>
    </row>
    <row r="17" spans="1:3" x14ac:dyDescent="0.25">
      <c r="A17" s="110">
        <f t="shared" si="0"/>
        <v>41805</v>
      </c>
      <c r="B17" s="26">
        <v>42</v>
      </c>
      <c r="C17" s="26">
        <v>31</v>
      </c>
    </row>
    <row r="18" spans="1:3" ht="15.75" thickBot="1" x14ac:dyDescent="0.3">
      <c r="A18" s="110">
        <f t="shared" si="0"/>
        <v>41812</v>
      </c>
      <c r="B18" s="26">
        <v>25</v>
      </c>
      <c r="C18" s="26">
        <v>30</v>
      </c>
    </row>
    <row r="19" spans="1:3" ht="15.75" thickBot="1" x14ac:dyDescent="0.3">
      <c r="A19" s="68" t="s">
        <v>85</v>
      </c>
      <c r="B19" s="111">
        <f t="shared" ref="B19:C19" si="1">AVERAGE(B4:B18)</f>
        <v>35</v>
      </c>
      <c r="C19" s="111">
        <f t="shared" si="1"/>
        <v>35</v>
      </c>
    </row>
    <row r="20" spans="1:3" ht="15.75" thickTop="1" x14ac:dyDescent="0.25"/>
    <row r="24" spans="1:3" x14ac:dyDescent="0.25">
      <c r="B24" s="152"/>
      <c r="C24" s="152"/>
    </row>
    <row r="43" spans="1:5" x14ac:dyDescent="0.25">
      <c r="A43" s="22"/>
      <c r="C43" s="22"/>
    </row>
    <row r="44" spans="1:5" ht="60" x14ac:dyDescent="0.25">
      <c r="A44" s="62" t="s">
        <v>365</v>
      </c>
      <c r="B44" s="62" t="str">
        <f>B3</f>
        <v># of Hours/Week worked Job 1</v>
      </c>
      <c r="D44" s="62" t="s">
        <v>365</v>
      </c>
      <c r="E44" s="62" t="str">
        <f>C3</f>
        <v># of Hours/Week worked Job 2</v>
      </c>
    </row>
    <row r="45" spans="1:5" x14ac:dyDescent="0.25">
      <c r="A45" s="34">
        <f t="shared" ref="A45:A59" si="2">B4</f>
        <v>55</v>
      </c>
      <c r="B45" s="26">
        <v>0.2</v>
      </c>
      <c r="D45" s="34">
        <f t="shared" ref="D45:D59" si="3">C4</f>
        <v>35</v>
      </c>
      <c r="E45" s="26">
        <v>0.7</v>
      </c>
    </row>
    <row r="46" spans="1:5" x14ac:dyDescent="0.25">
      <c r="A46" s="34">
        <f t="shared" si="2"/>
        <v>25</v>
      </c>
      <c r="B46" s="26">
        <v>0.2</v>
      </c>
      <c r="D46" s="34">
        <f t="shared" si="3"/>
        <v>34</v>
      </c>
      <c r="E46" s="26">
        <v>0.7</v>
      </c>
    </row>
    <row r="47" spans="1:5" x14ac:dyDescent="0.25">
      <c r="A47" s="34">
        <f t="shared" si="2"/>
        <v>62</v>
      </c>
      <c r="B47" s="26">
        <v>0.2</v>
      </c>
      <c r="D47" s="34">
        <f t="shared" si="3"/>
        <v>36</v>
      </c>
      <c r="E47" s="26">
        <v>0.7</v>
      </c>
    </row>
    <row r="48" spans="1:5" x14ac:dyDescent="0.25">
      <c r="A48" s="34">
        <f t="shared" si="2"/>
        <v>15</v>
      </c>
      <c r="B48" s="26">
        <v>0.2</v>
      </c>
      <c r="D48" s="34">
        <f t="shared" si="3"/>
        <v>37</v>
      </c>
      <c r="E48" s="26">
        <v>0.7</v>
      </c>
    </row>
    <row r="49" spans="1:5" x14ac:dyDescent="0.25">
      <c r="A49" s="34">
        <f t="shared" si="2"/>
        <v>34</v>
      </c>
      <c r="B49" s="26">
        <v>0.2</v>
      </c>
      <c r="D49" s="34">
        <f t="shared" si="3"/>
        <v>43</v>
      </c>
      <c r="E49" s="26">
        <v>0.7</v>
      </c>
    </row>
    <row r="50" spans="1:5" x14ac:dyDescent="0.25">
      <c r="A50" s="34">
        <f t="shared" si="2"/>
        <v>19</v>
      </c>
      <c r="B50" s="26">
        <v>0.2</v>
      </c>
      <c r="D50" s="34">
        <f t="shared" si="3"/>
        <v>32</v>
      </c>
      <c r="E50" s="26">
        <v>0.7</v>
      </c>
    </row>
    <row r="51" spans="1:5" x14ac:dyDescent="0.25">
      <c r="A51" s="34">
        <f t="shared" si="2"/>
        <v>38</v>
      </c>
      <c r="B51" s="26">
        <v>0.2</v>
      </c>
      <c r="D51" s="34">
        <f t="shared" si="3"/>
        <v>33</v>
      </c>
      <c r="E51" s="26">
        <v>0.7</v>
      </c>
    </row>
    <row r="52" spans="1:5" x14ac:dyDescent="0.25">
      <c r="A52" s="34">
        <f t="shared" si="2"/>
        <v>29</v>
      </c>
      <c r="B52" s="26">
        <v>0.2</v>
      </c>
      <c r="D52" s="34">
        <f t="shared" si="3"/>
        <v>35</v>
      </c>
      <c r="E52" s="26">
        <v>0.7</v>
      </c>
    </row>
    <row r="53" spans="1:5" x14ac:dyDescent="0.25">
      <c r="A53" s="34">
        <f t="shared" si="2"/>
        <v>64</v>
      </c>
      <c r="B53" s="26">
        <v>0.2</v>
      </c>
      <c r="D53" s="34">
        <f t="shared" si="3"/>
        <v>36</v>
      </c>
      <c r="E53" s="26">
        <v>0.7</v>
      </c>
    </row>
    <row r="54" spans="1:5" x14ac:dyDescent="0.25">
      <c r="A54" s="34">
        <f t="shared" si="2"/>
        <v>31</v>
      </c>
      <c r="B54" s="26">
        <v>0.2</v>
      </c>
      <c r="D54" s="34">
        <f t="shared" si="3"/>
        <v>37</v>
      </c>
      <c r="E54" s="26">
        <v>0.7</v>
      </c>
    </row>
    <row r="55" spans="1:5" x14ac:dyDescent="0.25">
      <c r="A55" s="34">
        <f t="shared" si="2"/>
        <v>59</v>
      </c>
      <c r="B55" s="26">
        <v>0.2</v>
      </c>
      <c r="D55" s="34">
        <f t="shared" si="3"/>
        <v>35</v>
      </c>
      <c r="E55" s="26">
        <v>0.7</v>
      </c>
    </row>
    <row r="56" spans="1:5" x14ac:dyDescent="0.25">
      <c r="A56" s="34">
        <f t="shared" si="2"/>
        <v>12</v>
      </c>
      <c r="B56" s="26">
        <v>0.2</v>
      </c>
      <c r="D56" s="34">
        <f t="shared" si="3"/>
        <v>39</v>
      </c>
      <c r="E56" s="26">
        <v>0.7</v>
      </c>
    </row>
    <row r="57" spans="1:5" x14ac:dyDescent="0.25">
      <c r="A57" s="34">
        <f t="shared" si="2"/>
        <v>15</v>
      </c>
      <c r="B57" s="26">
        <v>0.2</v>
      </c>
      <c r="D57" s="34">
        <f t="shared" si="3"/>
        <v>32</v>
      </c>
      <c r="E57" s="26">
        <v>0.7</v>
      </c>
    </row>
    <row r="58" spans="1:5" x14ac:dyDescent="0.25">
      <c r="A58" s="34">
        <f t="shared" si="2"/>
        <v>42</v>
      </c>
      <c r="B58" s="26">
        <v>0.2</v>
      </c>
      <c r="D58" s="34">
        <f t="shared" si="3"/>
        <v>31</v>
      </c>
      <c r="E58" s="26">
        <v>0.7</v>
      </c>
    </row>
    <row r="59" spans="1:5" x14ac:dyDescent="0.25">
      <c r="A59" s="34">
        <f t="shared" si="2"/>
        <v>25</v>
      </c>
      <c r="B59" s="26">
        <v>0.2</v>
      </c>
      <c r="D59" s="34">
        <f t="shared" si="3"/>
        <v>30</v>
      </c>
      <c r="E59" s="26">
        <v>0.7</v>
      </c>
    </row>
    <row r="61" spans="1:5" ht="45" x14ac:dyDescent="0.25">
      <c r="A61" s="61" t="s">
        <v>365</v>
      </c>
      <c r="B61" s="61" t="s">
        <v>368</v>
      </c>
      <c r="D61" s="61" t="s">
        <v>365</v>
      </c>
      <c r="E61" s="61" t="s">
        <v>369</v>
      </c>
    </row>
    <row r="62" spans="1:5" x14ac:dyDescent="0.25">
      <c r="A62" s="34">
        <f>B19</f>
        <v>35</v>
      </c>
      <c r="B62" s="26">
        <v>0.35</v>
      </c>
      <c r="D62" s="34">
        <f>C19</f>
        <v>35</v>
      </c>
      <c r="E62" s="26">
        <v>0.9</v>
      </c>
    </row>
    <row r="66" spans="1:5" x14ac:dyDescent="0.25">
      <c r="A66" s="62" t="s">
        <v>315</v>
      </c>
      <c r="B66" s="62" t="s">
        <v>316</v>
      </c>
      <c r="C66" s="62" t="s">
        <v>372</v>
      </c>
      <c r="D66" s="62" t="s">
        <v>378</v>
      </c>
      <c r="E66" s="62" t="s">
        <v>379</v>
      </c>
    </row>
    <row r="67" spans="1:5" x14ac:dyDescent="0.25">
      <c r="A67" s="26">
        <v>10</v>
      </c>
      <c r="B67" s="26">
        <f>A67+10</f>
        <v>20</v>
      </c>
      <c r="C67" s="26" t="str">
        <f t="shared" ref="C67:C72" si="4">A67&amp;" up to "&amp;B67</f>
        <v>10 up to 20</v>
      </c>
      <c r="D67" s="86">
        <f t="shared" ref="D67:E72" si="5">COUNTIFS(B$4:B$18,"&gt;="&amp;$A67,B$4:B$18,"&lt;"&amp;$B67)/$B$74</f>
        <v>0.26666666666666666</v>
      </c>
      <c r="E67" s="86">
        <f t="shared" si="5"/>
        <v>0</v>
      </c>
    </row>
    <row r="68" spans="1:5" x14ac:dyDescent="0.25">
      <c r="A68" s="26">
        <f>B67</f>
        <v>20</v>
      </c>
      <c r="B68" s="26">
        <f>A68+10</f>
        <v>30</v>
      </c>
      <c r="C68" s="26" t="str">
        <f t="shared" si="4"/>
        <v>20 up to 30</v>
      </c>
      <c r="D68" s="86">
        <f t="shared" si="5"/>
        <v>0.2</v>
      </c>
      <c r="E68" s="86">
        <f t="shared" si="5"/>
        <v>0</v>
      </c>
    </row>
    <row r="69" spans="1:5" x14ac:dyDescent="0.25">
      <c r="A69" s="26">
        <f t="shared" ref="A69:A72" si="6">B68</f>
        <v>30</v>
      </c>
      <c r="B69" s="26">
        <f t="shared" ref="B69:B72" si="7">A69+10</f>
        <v>40</v>
      </c>
      <c r="C69" s="26" t="str">
        <f t="shared" si="4"/>
        <v>30 up to 40</v>
      </c>
      <c r="D69" s="86">
        <f t="shared" si="5"/>
        <v>0.2</v>
      </c>
      <c r="E69" s="86">
        <f t="shared" si="5"/>
        <v>0.93333333333333335</v>
      </c>
    </row>
    <row r="70" spans="1:5" x14ac:dyDescent="0.25">
      <c r="A70" s="26">
        <f t="shared" si="6"/>
        <v>40</v>
      </c>
      <c r="B70" s="26">
        <f t="shared" si="7"/>
        <v>50</v>
      </c>
      <c r="C70" s="26" t="str">
        <f t="shared" si="4"/>
        <v>40 up to 50</v>
      </c>
      <c r="D70" s="86">
        <f t="shared" si="5"/>
        <v>6.6666666666666666E-2</v>
      </c>
      <c r="E70" s="86">
        <f t="shared" si="5"/>
        <v>6.6666666666666666E-2</v>
      </c>
    </row>
    <row r="71" spans="1:5" x14ac:dyDescent="0.25">
      <c r="A71" s="26">
        <f t="shared" si="6"/>
        <v>50</v>
      </c>
      <c r="B71" s="26">
        <f t="shared" si="7"/>
        <v>60</v>
      </c>
      <c r="C71" s="26" t="str">
        <f t="shared" si="4"/>
        <v>50 up to 60</v>
      </c>
      <c r="D71" s="86">
        <f t="shared" si="5"/>
        <v>0.13333333333333333</v>
      </c>
      <c r="E71" s="86">
        <f t="shared" si="5"/>
        <v>0</v>
      </c>
    </row>
    <row r="72" spans="1:5" x14ac:dyDescent="0.25">
      <c r="A72" s="26">
        <f t="shared" si="6"/>
        <v>60</v>
      </c>
      <c r="B72" s="26">
        <f t="shared" si="7"/>
        <v>70</v>
      </c>
      <c r="C72" s="26" t="str">
        <f t="shared" si="4"/>
        <v>60 up to 70</v>
      </c>
      <c r="D72" s="86">
        <f t="shared" si="5"/>
        <v>0.13333333333333333</v>
      </c>
      <c r="E72" s="86">
        <f t="shared" si="5"/>
        <v>0</v>
      </c>
    </row>
    <row r="74" spans="1:5" x14ac:dyDescent="0.25">
      <c r="A74" s="62" t="s">
        <v>375</v>
      </c>
      <c r="B74" s="30">
        <f>COUNT(A4:A18)</f>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rgb="FF0000FF"/>
  </sheetPr>
  <dimension ref="A1:Z75"/>
  <sheetViews>
    <sheetView zoomScale="115" zoomScaleNormal="115" workbookViewId="0">
      <selection activeCell="C19" sqref="C19"/>
    </sheetView>
  </sheetViews>
  <sheetFormatPr defaultRowHeight="15" x14ac:dyDescent="0.25"/>
  <cols>
    <col min="1" max="5" width="11.42578125" customWidth="1"/>
    <col min="6" max="7" width="12.42578125" customWidth="1"/>
    <col min="8" max="9" width="11.42578125" customWidth="1"/>
    <col min="10" max="11" width="12.42578125" customWidth="1"/>
    <col min="25" max="26" width="20.5703125" customWidth="1"/>
  </cols>
  <sheetData>
    <row r="1" spans="1:26" ht="21" x14ac:dyDescent="0.35">
      <c r="A1" s="113" t="s">
        <v>563</v>
      </c>
      <c r="B1" s="113"/>
      <c r="C1" s="113"/>
      <c r="D1" s="113"/>
      <c r="E1" s="113"/>
      <c r="Y1" s="61" t="s">
        <v>561</v>
      </c>
      <c r="Z1" s="61" t="s">
        <v>562</v>
      </c>
    </row>
    <row r="2" spans="1:26" x14ac:dyDescent="0.25">
      <c r="Y2" s="153">
        <f t="shared" ref="Y2" ca="1" si="0">ROUND(CHOOSE(RANDBETWEEN(1,3),RANDBETWEEN(204,349),RANDBETWEEN(227,279),_xlfn.NORM.INV(RAND(),239,5))/100,2)</f>
        <v>3.04</v>
      </c>
      <c r="Z2" s="153">
        <f t="shared" ref="Z2" ca="1" si="1">ROUND(CHOOSE(RANDBETWEEN(1,3),RANDBETWEEN(199,389),RANDBETWEEN(217,299),_xlfn.NORM.INV(RAND(),249,7))/100,2)</f>
        <v>2.52</v>
      </c>
    </row>
    <row r="3" spans="1:26" ht="30" x14ac:dyDescent="0.25">
      <c r="A3" s="61" t="s">
        <v>951</v>
      </c>
      <c r="B3" s="61" t="s">
        <v>561</v>
      </c>
      <c r="C3" s="61" t="s">
        <v>562</v>
      </c>
    </row>
    <row r="4" spans="1:26" x14ac:dyDescent="0.25">
      <c r="A4" s="26" t="s">
        <v>564</v>
      </c>
      <c r="B4" s="153">
        <v>3.01</v>
      </c>
      <c r="C4" s="153">
        <v>3.86</v>
      </c>
    </row>
    <row r="5" spans="1:26" x14ac:dyDescent="0.25">
      <c r="A5" s="26" t="s">
        <v>565</v>
      </c>
      <c r="B5" s="153">
        <v>2.35</v>
      </c>
      <c r="C5" s="153">
        <v>2.93</v>
      </c>
    </row>
    <row r="6" spans="1:26" x14ac:dyDescent="0.25">
      <c r="A6" s="26" t="s">
        <v>566</v>
      </c>
      <c r="B6" s="153">
        <v>2.4700000000000002</v>
      </c>
      <c r="C6" s="153">
        <v>2.42</v>
      </c>
    </row>
    <row r="7" spans="1:26" x14ac:dyDescent="0.25">
      <c r="A7" s="26" t="s">
        <v>567</v>
      </c>
      <c r="B7" s="153">
        <v>2.48</v>
      </c>
      <c r="C7" s="153">
        <v>1.99</v>
      </c>
    </row>
    <row r="8" spans="1:26" x14ac:dyDescent="0.25">
      <c r="A8" s="26" t="s">
        <v>568</v>
      </c>
      <c r="B8" s="153">
        <v>2.2799999999999998</v>
      </c>
      <c r="C8" s="153">
        <v>2.5099999999999998</v>
      </c>
    </row>
    <row r="9" spans="1:26" x14ac:dyDescent="0.25">
      <c r="A9" s="26" t="s">
        <v>569</v>
      </c>
      <c r="B9" s="153">
        <v>2.6</v>
      </c>
      <c r="C9" s="153">
        <v>2.6</v>
      </c>
    </row>
    <row r="10" spans="1:26" x14ac:dyDescent="0.25">
      <c r="A10" s="26" t="s">
        <v>570</v>
      </c>
      <c r="B10" s="153">
        <v>3.31</v>
      </c>
      <c r="C10" s="153">
        <v>2.52</v>
      </c>
    </row>
    <row r="11" spans="1:26" x14ac:dyDescent="0.25">
      <c r="A11" s="26" t="s">
        <v>571</v>
      </c>
      <c r="B11" s="153">
        <v>2.37</v>
      </c>
      <c r="C11" s="153">
        <v>2.48</v>
      </c>
    </row>
    <row r="12" spans="1:26" x14ac:dyDescent="0.25">
      <c r="A12" s="26" t="s">
        <v>572</v>
      </c>
      <c r="B12" s="153">
        <v>2.52</v>
      </c>
      <c r="C12" s="153">
        <v>2.46</v>
      </c>
    </row>
    <row r="13" spans="1:26" x14ac:dyDescent="0.25">
      <c r="A13" s="26" t="s">
        <v>573</v>
      </c>
      <c r="B13" s="153">
        <v>2.5</v>
      </c>
      <c r="C13" s="153">
        <v>2.44</v>
      </c>
    </row>
    <row r="14" spans="1:26" x14ac:dyDescent="0.25">
      <c r="A14" s="26" t="s">
        <v>574</v>
      </c>
      <c r="B14" s="153">
        <v>2.37</v>
      </c>
      <c r="C14" s="153">
        <v>2.42</v>
      </c>
    </row>
    <row r="15" spans="1:26" x14ac:dyDescent="0.25">
      <c r="A15" s="26" t="s">
        <v>575</v>
      </c>
      <c r="B15" s="153">
        <v>3.01</v>
      </c>
      <c r="C15" s="153">
        <v>3.56</v>
      </c>
    </row>
    <row r="16" spans="1:26" x14ac:dyDescent="0.25">
      <c r="A16" s="26" t="s">
        <v>576</v>
      </c>
      <c r="B16" s="153">
        <v>2.36</v>
      </c>
      <c r="C16" s="153">
        <v>2.39</v>
      </c>
    </row>
    <row r="17" spans="1:3" x14ac:dyDescent="0.25">
      <c r="A17" s="26" t="s">
        <v>577</v>
      </c>
      <c r="B17" s="153">
        <v>2.4500000000000002</v>
      </c>
      <c r="C17" s="153">
        <v>2.79</v>
      </c>
    </row>
    <row r="18" spans="1:3" ht="15.75" thickBot="1" x14ac:dyDescent="0.3">
      <c r="A18" s="26" t="s">
        <v>578</v>
      </c>
      <c r="B18" s="154">
        <v>2.38</v>
      </c>
      <c r="C18" s="154">
        <v>2.58</v>
      </c>
    </row>
    <row r="19" spans="1:3" ht="15.75" thickBot="1" x14ac:dyDescent="0.3">
      <c r="A19" s="68" t="s">
        <v>198</v>
      </c>
      <c r="B19" s="247">
        <f t="shared" ref="B19:C19" si="2">AVERAGE(B4:B18)</f>
        <v>2.5640000000000005</v>
      </c>
      <c r="C19" s="247">
        <f t="shared" si="2"/>
        <v>2.6633333333333336</v>
      </c>
    </row>
    <row r="20" spans="1:3" ht="15.75" thickTop="1" x14ac:dyDescent="0.25">
      <c r="A20" s="240"/>
    </row>
    <row r="21" spans="1:3" x14ac:dyDescent="0.25">
      <c r="A21" s="240"/>
    </row>
    <row r="22" spans="1:3" x14ac:dyDescent="0.25">
      <c r="A22" s="240"/>
    </row>
    <row r="23" spans="1:3" x14ac:dyDescent="0.25">
      <c r="B23" s="109"/>
      <c r="C23" s="109"/>
    </row>
    <row r="39" spans="1:5" x14ac:dyDescent="0.25">
      <c r="A39" s="22"/>
      <c r="C39" s="22"/>
    </row>
    <row r="40" spans="1:5" ht="30" x14ac:dyDescent="0.25">
      <c r="A40" s="62" t="s">
        <v>365</v>
      </c>
      <c r="B40" s="62" t="str">
        <f>B3</f>
        <v>Gas Prices Burien</v>
      </c>
      <c r="D40" s="62" t="s">
        <v>365</v>
      </c>
      <c r="E40" s="62" t="str">
        <f>C3</f>
        <v>Gas Prices Seattle</v>
      </c>
    </row>
    <row r="41" spans="1:5" x14ac:dyDescent="0.25">
      <c r="A41" s="34">
        <f t="shared" ref="A41:A55" si="3">B4</f>
        <v>3.01</v>
      </c>
      <c r="B41" s="34">
        <v>0.2</v>
      </c>
      <c r="C41" s="152"/>
      <c r="D41" s="34">
        <f t="shared" ref="D41:D55" si="4">C4</f>
        <v>3.86</v>
      </c>
      <c r="E41" s="34">
        <v>0.7</v>
      </c>
    </row>
    <row r="42" spans="1:5" x14ac:dyDescent="0.25">
      <c r="A42" s="34">
        <f t="shared" si="3"/>
        <v>2.35</v>
      </c>
      <c r="B42" s="34">
        <v>0.2</v>
      </c>
      <c r="C42" s="152"/>
      <c r="D42" s="34">
        <f t="shared" si="4"/>
        <v>2.93</v>
      </c>
      <c r="E42" s="34">
        <v>0.7</v>
      </c>
    </row>
    <row r="43" spans="1:5" x14ac:dyDescent="0.25">
      <c r="A43" s="34">
        <f t="shared" si="3"/>
        <v>2.4700000000000002</v>
      </c>
      <c r="B43" s="34">
        <v>0.2</v>
      </c>
      <c r="C43" s="152"/>
      <c r="D43" s="34">
        <f t="shared" si="4"/>
        <v>2.42</v>
      </c>
      <c r="E43" s="34">
        <v>0.7</v>
      </c>
    </row>
    <row r="44" spans="1:5" x14ac:dyDescent="0.25">
      <c r="A44" s="34">
        <f t="shared" si="3"/>
        <v>2.48</v>
      </c>
      <c r="B44" s="34">
        <v>0.2</v>
      </c>
      <c r="C44" s="152"/>
      <c r="D44" s="34">
        <f t="shared" si="4"/>
        <v>1.99</v>
      </c>
      <c r="E44" s="34">
        <v>0.7</v>
      </c>
    </row>
    <row r="45" spans="1:5" x14ac:dyDescent="0.25">
      <c r="A45" s="34">
        <f t="shared" si="3"/>
        <v>2.2799999999999998</v>
      </c>
      <c r="B45" s="34">
        <v>0.2</v>
      </c>
      <c r="C45" s="152"/>
      <c r="D45" s="34">
        <f t="shared" si="4"/>
        <v>2.5099999999999998</v>
      </c>
      <c r="E45" s="34">
        <v>0.7</v>
      </c>
    </row>
    <row r="46" spans="1:5" x14ac:dyDescent="0.25">
      <c r="A46" s="34">
        <f t="shared" si="3"/>
        <v>2.6</v>
      </c>
      <c r="B46" s="34">
        <v>0.2</v>
      </c>
      <c r="C46" s="152"/>
      <c r="D46" s="34">
        <f t="shared" si="4"/>
        <v>2.6</v>
      </c>
      <c r="E46" s="34">
        <v>0.7</v>
      </c>
    </row>
    <row r="47" spans="1:5" x14ac:dyDescent="0.25">
      <c r="A47" s="34">
        <f t="shared" si="3"/>
        <v>3.31</v>
      </c>
      <c r="B47" s="34">
        <v>0.2</v>
      </c>
      <c r="C47" s="152"/>
      <c r="D47" s="34">
        <f t="shared" si="4"/>
        <v>2.52</v>
      </c>
      <c r="E47" s="34">
        <v>0.7</v>
      </c>
    </row>
    <row r="48" spans="1:5" x14ac:dyDescent="0.25">
      <c r="A48" s="34">
        <f t="shared" si="3"/>
        <v>2.37</v>
      </c>
      <c r="B48" s="34">
        <v>0.2</v>
      </c>
      <c r="C48" s="152"/>
      <c r="D48" s="34">
        <f t="shared" si="4"/>
        <v>2.48</v>
      </c>
      <c r="E48" s="34">
        <v>0.7</v>
      </c>
    </row>
    <row r="49" spans="1:6" x14ac:dyDescent="0.25">
      <c r="A49" s="34">
        <f t="shared" si="3"/>
        <v>2.52</v>
      </c>
      <c r="B49" s="34">
        <v>0.2</v>
      </c>
      <c r="C49" s="152"/>
      <c r="D49" s="34">
        <f t="shared" si="4"/>
        <v>2.46</v>
      </c>
      <c r="E49" s="34">
        <v>0.7</v>
      </c>
    </row>
    <row r="50" spans="1:6" x14ac:dyDescent="0.25">
      <c r="A50" s="34">
        <f t="shared" si="3"/>
        <v>2.5</v>
      </c>
      <c r="B50" s="34">
        <v>0.2</v>
      </c>
      <c r="C50" s="152"/>
      <c r="D50" s="34">
        <f t="shared" si="4"/>
        <v>2.44</v>
      </c>
      <c r="E50" s="34">
        <v>0.7</v>
      </c>
    </row>
    <row r="51" spans="1:6" x14ac:dyDescent="0.25">
      <c r="A51" s="34">
        <f t="shared" si="3"/>
        <v>2.37</v>
      </c>
      <c r="B51" s="34">
        <v>0.2</v>
      </c>
      <c r="C51" s="152"/>
      <c r="D51" s="34">
        <f t="shared" si="4"/>
        <v>2.42</v>
      </c>
      <c r="E51" s="34">
        <v>0.7</v>
      </c>
    </row>
    <row r="52" spans="1:6" x14ac:dyDescent="0.25">
      <c r="A52" s="34">
        <f t="shared" si="3"/>
        <v>3.01</v>
      </c>
      <c r="B52" s="34">
        <v>0.2</v>
      </c>
      <c r="C52" s="152"/>
      <c r="D52" s="34">
        <f t="shared" si="4"/>
        <v>3.56</v>
      </c>
      <c r="E52" s="34">
        <v>0.7</v>
      </c>
    </row>
    <row r="53" spans="1:6" x14ac:dyDescent="0.25">
      <c r="A53" s="34">
        <f t="shared" si="3"/>
        <v>2.36</v>
      </c>
      <c r="B53" s="34">
        <v>0.2</v>
      </c>
      <c r="C53" s="152"/>
      <c r="D53" s="34">
        <f t="shared" si="4"/>
        <v>2.39</v>
      </c>
      <c r="E53" s="34">
        <v>0.7</v>
      </c>
    </row>
    <row r="54" spans="1:6" x14ac:dyDescent="0.25">
      <c r="A54" s="34">
        <f t="shared" si="3"/>
        <v>2.4500000000000002</v>
      </c>
      <c r="B54" s="34">
        <v>0.2</v>
      </c>
      <c r="C54" s="152"/>
      <c r="D54" s="34">
        <f t="shared" si="4"/>
        <v>2.79</v>
      </c>
      <c r="E54" s="34">
        <v>0.7</v>
      </c>
    </row>
    <row r="55" spans="1:6" x14ac:dyDescent="0.25">
      <c r="A55" s="34">
        <f t="shared" si="3"/>
        <v>2.38</v>
      </c>
      <c r="B55" s="34">
        <v>0.2</v>
      </c>
      <c r="C55" s="152"/>
      <c r="D55" s="34">
        <f t="shared" si="4"/>
        <v>2.58</v>
      </c>
      <c r="E55" s="34">
        <v>0.7</v>
      </c>
    </row>
    <row r="57" spans="1:6" ht="45" x14ac:dyDescent="0.25">
      <c r="A57" s="61" t="s">
        <v>365</v>
      </c>
      <c r="B57" s="61" t="str">
        <f>"Mean "&amp;B40</f>
        <v>Mean Gas Prices Burien</v>
      </c>
      <c r="D57" s="61" t="s">
        <v>365</v>
      </c>
      <c r="E57" s="61" t="str">
        <f>"Mean "&amp;E40</f>
        <v>Mean Gas Prices Seattle</v>
      </c>
    </row>
    <row r="58" spans="1:6" x14ac:dyDescent="0.25">
      <c r="A58" s="34">
        <f>B19</f>
        <v>2.5640000000000005</v>
      </c>
      <c r="B58" s="34">
        <v>0.35</v>
      </c>
      <c r="C58" s="152"/>
      <c r="D58" s="34">
        <f>C19</f>
        <v>2.6633333333333336</v>
      </c>
      <c r="E58" s="34">
        <v>0.9</v>
      </c>
      <c r="F58" s="152"/>
    </row>
    <row r="62" spans="1:6" x14ac:dyDescent="0.25">
      <c r="A62" s="62" t="s">
        <v>315</v>
      </c>
      <c r="B62" s="62" t="s">
        <v>316</v>
      </c>
      <c r="C62" s="62" t="s">
        <v>371</v>
      </c>
      <c r="D62" s="62" t="s">
        <v>376</v>
      </c>
      <c r="E62" s="62" t="s">
        <v>377</v>
      </c>
    </row>
    <row r="63" spans="1:6" x14ac:dyDescent="0.25">
      <c r="A63" s="34">
        <v>1.8</v>
      </c>
      <c r="B63" s="34">
        <f>A63+0.2</f>
        <v>2</v>
      </c>
      <c r="C63" s="60" t="str">
        <f>TEXT(A63,"$0.00")&amp;CHAR(10)&amp;"up to"&amp;CHAR(10)&amp;TEXT(B63,"$0.00")</f>
        <v>$1.80
up to
$2.00</v>
      </c>
      <c r="D63" s="60">
        <f t="shared" ref="D63:E70" si="5">COUNTIFS(B$4:B$18,"&gt;="&amp;$A63,B$4:B$18,"&lt;"&amp;$B63)/$B$75</f>
        <v>0</v>
      </c>
      <c r="E63" s="60">
        <f t="shared" si="5"/>
        <v>6.6666666666666666E-2</v>
      </c>
    </row>
    <row r="64" spans="1:6" x14ac:dyDescent="0.25">
      <c r="A64" s="34">
        <f t="shared" ref="A64:A70" si="6">B63</f>
        <v>2</v>
      </c>
      <c r="B64" s="34">
        <f t="shared" ref="B64:B73" si="7">A64+0.2</f>
        <v>2.2000000000000002</v>
      </c>
      <c r="C64" s="60" t="str">
        <f t="shared" ref="C64:C73" si="8">TEXT(A64,"$0.00")&amp;CHAR(10)&amp;"up to"&amp;CHAR(10)&amp;TEXT(B64,"$0.00")</f>
        <v>$2.00
up to
$2.20</v>
      </c>
      <c r="D64" s="60">
        <f t="shared" si="5"/>
        <v>0</v>
      </c>
      <c r="E64" s="60">
        <f t="shared" si="5"/>
        <v>0</v>
      </c>
    </row>
    <row r="65" spans="1:5" x14ac:dyDescent="0.25">
      <c r="A65" s="34">
        <f t="shared" si="6"/>
        <v>2.2000000000000002</v>
      </c>
      <c r="B65" s="34">
        <f t="shared" si="7"/>
        <v>2.4000000000000004</v>
      </c>
      <c r="C65" s="60" t="str">
        <f t="shared" si="8"/>
        <v>$2.20
up to
$2.40</v>
      </c>
      <c r="D65" s="60">
        <f t="shared" si="5"/>
        <v>0.4</v>
      </c>
      <c r="E65" s="60">
        <f t="shared" si="5"/>
        <v>6.6666666666666666E-2</v>
      </c>
    </row>
    <row r="66" spans="1:5" x14ac:dyDescent="0.25">
      <c r="A66" s="34">
        <f t="shared" si="6"/>
        <v>2.4000000000000004</v>
      </c>
      <c r="B66" s="34">
        <f t="shared" si="7"/>
        <v>2.6000000000000005</v>
      </c>
      <c r="C66" s="60" t="str">
        <f t="shared" si="8"/>
        <v>$2.40
up to
$2.60</v>
      </c>
      <c r="D66" s="60">
        <f t="shared" si="5"/>
        <v>0.33333333333333331</v>
      </c>
      <c r="E66" s="60">
        <f t="shared" si="5"/>
        <v>0.53333333333333333</v>
      </c>
    </row>
    <row r="67" spans="1:5" x14ac:dyDescent="0.25">
      <c r="A67" s="34">
        <f t="shared" si="6"/>
        <v>2.6000000000000005</v>
      </c>
      <c r="B67" s="34">
        <f t="shared" si="7"/>
        <v>2.8000000000000007</v>
      </c>
      <c r="C67" s="60" t="str">
        <f t="shared" si="8"/>
        <v>$2.60
up to
$2.80</v>
      </c>
      <c r="D67" s="60">
        <f t="shared" si="5"/>
        <v>6.6666666666666666E-2</v>
      </c>
      <c r="E67" s="60">
        <f t="shared" si="5"/>
        <v>0.13333333333333333</v>
      </c>
    </row>
    <row r="68" spans="1:5" x14ac:dyDescent="0.25">
      <c r="A68" s="34">
        <f t="shared" si="6"/>
        <v>2.8000000000000007</v>
      </c>
      <c r="B68" s="34">
        <f t="shared" si="7"/>
        <v>3.0000000000000009</v>
      </c>
      <c r="C68" s="60" t="str">
        <f t="shared" si="8"/>
        <v>$2.80
up to
$3.00</v>
      </c>
      <c r="D68" s="60">
        <f t="shared" si="5"/>
        <v>0</v>
      </c>
      <c r="E68" s="60">
        <f t="shared" si="5"/>
        <v>6.6666666666666666E-2</v>
      </c>
    </row>
    <row r="69" spans="1:5" x14ac:dyDescent="0.25">
      <c r="A69" s="34">
        <f t="shared" si="6"/>
        <v>3.0000000000000009</v>
      </c>
      <c r="B69" s="34">
        <f t="shared" si="7"/>
        <v>3.2000000000000011</v>
      </c>
      <c r="C69" s="60" t="str">
        <f t="shared" si="8"/>
        <v>$3.00
up to
$3.20</v>
      </c>
      <c r="D69" s="60">
        <f t="shared" si="5"/>
        <v>0.13333333333333333</v>
      </c>
      <c r="E69" s="60">
        <f t="shared" si="5"/>
        <v>0</v>
      </c>
    </row>
    <row r="70" spans="1:5" x14ac:dyDescent="0.25">
      <c r="A70" s="34">
        <f t="shared" si="6"/>
        <v>3.2000000000000011</v>
      </c>
      <c r="B70" s="34">
        <f t="shared" si="7"/>
        <v>3.4000000000000012</v>
      </c>
      <c r="C70" s="60" t="str">
        <f t="shared" si="8"/>
        <v>$3.20
up to
$3.40</v>
      </c>
      <c r="D70" s="60">
        <f t="shared" si="5"/>
        <v>6.6666666666666666E-2</v>
      </c>
      <c r="E70" s="60">
        <f t="shared" si="5"/>
        <v>0</v>
      </c>
    </row>
    <row r="71" spans="1:5" x14ac:dyDescent="0.25">
      <c r="A71" s="34">
        <f t="shared" ref="A71:A73" si="9">B70</f>
        <v>3.4000000000000012</v>
      </c>
      <c r="B71" s="34">
        <f t="shared" si="7"/>
        <v>3.6000000000000014</v>
      </c>
      <c r="C71" s="60" t="str">
        <f t="shared" si="8"/>
        <v>$3.40
up to
$3.60</v>
      </c>
      <c r="D71" s="60">
        <f t="shared" ref="D71:D73" si="10">COUNTIFS(B$4:B$18,"&gt;="&amp;$A71,B$4:B$18,"&lt;"&amp;$B71)/$B$75</f>
        <v>0</v>
      </c>
      <c r="E71" s="60">
        <f t="shared" ref="E71:E73" si="11">COUNTIFS(C$4:C$18,"&gt;="&amp;$A71,C$4:C$18,"&lt;"&amp;$B71)/$B$75</f>
        <v>6.6666666666666666E-2</v>
      </c>
    </row>
    <row r="72" spans="1:5" x14ac:dyDescent="0.25">
      <c r="A72" s="34">
        <f t="shared" si="9"/>
        <v>3.6000000000000014</v>
      </c>
      <c r="B72" s="34">
        <f t="shared" si="7"/>
        <v>3.8000000000000016</v>
      </c>
      <c r="C72" s="60" t="str">
        <f t="shared" si="8"/>
        <v>$3.60
up to
$3.80</v>
      </c>
      <c r="D72" s="60">
        <f t="shared" si="10"/>
        <v>0</v>
      </c>
      <c r="E72" s="60">
        <f t="shared" si="11"/>
        <v>0</v>
      </c>
    </row>
    <row r="73" spans="1:5" x14ac:dyDescent="0.25">
      <c r="A73" s="34">
        <f t="shared" si="9"/>
        <v>3.8000000000000016</v>
      </c>
      <c r="B73" s="34">
        <f t="shared" si="7"/>
        <v>4.0000000000000018</v>
      </c>
      <c r="C73" s="60" t="str">
        <f t="shared" si="8"/>
        <v>$3.80
up to
$4.00</v>
      </c>
      <c r="D73" s="60">
        <f t="shared" si="10"/>
        <v>0</v>
      </c>
      <c r="E73" s="60">
        <f t="shared" si="11"/>
        <v>6.6666666666666666E-2</v>
      </c>
    </row>
    <row r="75" spans="1:5" x14ac:dyDescent="0.25">
      <c r="A75" s="61" t="s">
        <v>375</v>
      </c>
      <c r="B75" s="30">
        <f>COUNTA(A4:A18)</f>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rgb="FF0000FF"/>
  </sheetPr>
  <dimension ref="A1:E85"/>
  <sheetViews>
    <sheetView zoomScale="115" zoomScaleNormal="115" workbookViewId="0">
      <selection activeCell="E52" sqref="E52"/>
    </sheetView>
  </sheetViews>
  <sheetFormatPr defaultRowHeight="15" x14ac:dyDescent="0.25"/>
  <cols>
    <col min="1" max="1" width="11.42578125" customWidth="1"/>
    <col min="2" max="3" width="15.7109375" customWidth="1"/>
    <col min="4" max="5" width="11.42578125" customWidth="1"/>
    <col min="6" max="7" width="12.42578125" customWidth="1"/>
    <col min="8" max="9" width="11.42578125" customWidth="1"/>
    <col min="10" max="11" width="12.42578125" customWidth="1"/>
  </cols>
  <sheetData>
    <row r="1" spans="1:4" ht="21" x14ac:dyDescent="0.35">
      <c r="A1" s="113" t="s">
        <v>579</v>
      </c>
      <c r="B1" s="113"/>
      <c r="C1" s="113"/>
      <c r="D1" s="113"/>
    </row>
    <row r="2" spans="1:4" ht="3" customHeight="1" x14ac:dyDescent="0.25"/>
    <row r="3" spans="1:4" ht="45" x14ac:dyDescent="0.25">
      <c r="A3" s="61" t="s">
        <v>395</v>
      </c>
      <c r="B3" s="61" t="s">
        <v>554</v>
      </c>
      <c r="C3" s="61" t="s">
        <v>557</v>
      </c>
    </row>
    <row r="4" spans="1:4" x14ac:dyDescent="0.25">
      <c r="A4" s="110" t="s">
        <v>350</v>
      </c>
      <c r="B4" s="26">
        <v>4</v>
      </c>
      <c r="C4" s="26">
        <v>10</v>
      </c>
    </row>
    <row r="5" spans="1:4" x14ac:dyDescent="0.25">
      <c r="A5" s="110" t="s">
        <v>351</v>
      </c>
      <c r="B5" s="26">
        <v>6</v>
      </c>
      <c r="C5" s="26">
        <v>11</v>
      </c>
    </row>
    <row r="6" spans="1:4" x14ac:dyDescent="0.25">
      <c r="A6" s="110" t="s">
        <v>352</v>
      </c>
      <c r="B6" s="26">
        <v>12</v>
      </c>
      <c r="C6" s="26">
        <v>9</v>
      </c>
    </row>
    <row r="7" spans="1:4" x14ac:dyDescent="0.25">
      <c r="A7" s="110" t="s">
        <v>353</v>
      </c>
      <c r="B7" s="26">
        <v>11</v>
      </c>
      <c r="C7" s="26">
        <v>9</v>
      </c>
    </row>
    <row r="8" spans="1:4" x14ac:dyDescent="0.25">
      <c r="A8" s="110" t="s">
        <v>354</v>
      </c>
      <c r="B8" s="26">
        <v>13</v>
      </c>
      <c r="C8" s="26">
        <v>10</v>
      </c>
    </row>
    <row r="9" spans="1:4" x14ac:dyDescent="0.25">
      <c r="A9" s="110" t="s">
        <v>355</v>
      </c>
      <c r="B9" s="26">
        <v>16</v>
      </c>
      <c r="C9" s="26">
        <v>8</v>
      </c>
    </row>
    <row r="10" spans="1:4" x14ac:dyDescent="0.25">
      <c r="A10" s="110" t="s">
        <v>356</v>
      </c>
      <c r="B10" s="26">
        <v>5</v>
      </c>
      <c r="C10" s="26">
        <v>9</v>
      </c>
    </row>
    <row r="11" spans="1:4" x14ac:dyDescent="0.25">
      <c r="A11" s="110" t="s">
        <v>357</v>
      </c>
      <c r="B11" s="26">
        <v>8</v>
      </c>
      <c r="C11" s="26">
        <v>10</v>
      </c>
    </row>
    <row r="12" spans="1:4" x14ac:dyDescent="0.25">
      <c r="A12" s="110" t="s">
        <v>358</v>
      </c>
      <c r="B12" s="26">
        <v>9</v>
      </c>
      <c r="C12" s="26">
        <v>10</v>
      </c>
    </row>
    <row r="13" spans="1:4" x14ac:dyDescent="0.25">
      <c r="A13" s="110" t="s">
        <v>359</v>
      </c>
      <c r="B13" s="26">
        <v>6</v>
      </c>
      <c r="C13" s="26">
        <v>9</v>
      </c>
    </row>
    <row r="14" spans="1:4" x14ac:dyDescent="0.25">
      <c r="A14" s="110" t="s">
        <v>360</v>
      </c>
      <c r="B14" s="26">
        <v>8</v>
      </c>
      <c r="C14" s="26">
        <v>8</v>
      </c>
    </row>
    <row r="15" spans="1:4" x14ac:dyDescent="0.25">
      <c r="A15" s="110" t="s">
        <v>361</v>
      </c>
      <c r="B15" s="26">
        <v>6</v>
      </c>
      <c r="C15" s="26">
        <v>9</v>
      </c>
    </row>
    <row r="16" spans="1:4" x14ac:dyDescent="0.25">
      <c r="A16" s="110" t="s">
        <v>362</v>
      </c>
      <c r="B16" s="26">
        <v>12</v>
      </c>
      <c r="C16" s="26">
        <v>6</v>
      </c>
    </row>
    <row r="17" spans="1:3" x14ac:dyDescent="0.25">
      <c r="A17" s="110" t="s">
        <v>363</v>
      </c>
      <c r="B17" s="26">
        <v>6</v>
      </c>
      <c r="C17" s="26">
        <v>8</v>
      </c>
    </row>
    <row r="18" spans="1:3" ht="15.75" thickBot="1" x14ac:dyDescent="0.3">
      <c r="A18" s="110" t="s">
        <v>364</v>
      </c>
      <c r="B18" s="26">
        <v>13</v>
      </c>
      <c r="C18" s="26">
        <v>9</v>
      </c>
    </row>
    <row r="19" spans="1:3" ht="15.75" thickBot="1" x14ac:dyDescent="0.3">
      <c r="A19" s="68" t="s">
        <v>85</v>
      </c>
      <c r="B19" s="111">
        <f t="shared" ref="B19:C19" si="0">AVERAGE(B4:B18)</f>
        <v>9</v>
      </c>
      <c r="C19" s="111">
        <f t="shared" si="0"/>
        <v>9</v>
      </c>
    </row>
    <row r="20" spans="1:3" ht="15.75" thickTop="1" x14ac:dyDescent="0.25"/>
    <row r="24" spans="1:3" x14ac:dyDescent="0.25">
      <c r="B24" s="109"/>
      <c r="C24" s="109"/>
    </row>
    <row r="47" spans="1:5" x14ac:dyDescent="0.25">
      <c r="A47" s="22"/>
      <c r="C47" s="22"/>
    </row>
    <row r="48" spans="1:5" ht="60" x14ac:dyDescent="0.25">
      <c r="A48" s="62" t="s">
        <v>365</v>
      </c>
      <c r="B48" s="62" t="str">
        <f>B3</f>
        <v>Days to fill order Banderson's</v>
      </c>
      <c r="D48" s="62" t="s">
        <v>365</v>
      </c>
      <c r="E48" s="62" t="str">
        <f>C3</f>
        <v>Days to fill order Plywood &amp; Floor</v>
      </c>
    </row>
    <row r="49" spans="1:5" x14ac:dyDescent="0.25">
      <c r="A49" s="34">
        <f t="shared" ref="A49:A63" si="1">B4</f>
        <v>4</v>
      </c>
      <c r="B49" s="26">
        <v>0.2</v>
      </c>
      <c r="D49" s="34">
        <f t="shared" ref="D49:D63" si="2">C4</f>
        <v>10</v>
      </c>
      <c r="E49" s="26">
        <v>0.7</v>
      </c>
    </row>
    <row r="50" spans="1:5" x14ac:dyDescent="0.25">
      <c r="A50" s="34">
        <f t="shared" si="1"/>
        <v>6</v>
      </c>
      <c r="B50" s="26">
        <v>0.2</v>
      </c>
      <c r="D50" s="34">
        <f t="shared" si="2"/>
        <v>11</v>
      </c>
      <c r="E50" s="26">
        <v>0.7</v>
      </c>
    </row>
    <row r="51" spans="1:5" x14ac:dyDescent="0.25">
      <c r="A51" s="34">
        <f t="shared" si="1"/>
        <v>12</v>
      </c>
      <c r="B51" s="26">
        <v>0.2</v>
      </c>
      <c r="D51" s="34">
        <f t="shared" si="2"/>
        <v>9</v>
      </c>
      <c r="E51" s="26">
        <v>0.7</v>
      </c>
    </row>
    <row r="52" spans="1:5" x14ac:dyDescent="0.25">
      <c r="A52" s="34">
        <f t="shared" si="1"/>
        <v>11</v>
      </c>
      <c r="B52" s="26">
        <v>0.2</v>
      </c>
      <c r="D52" s="34">
        <f t="shared" si="2"/>
        <v>9</v>
      </c>
      <c r="E52" s="26">
        <v>0.7</v>
      </c>
    </row>
    <row r="53" spans="1:5" x14ac:dyDescent="0.25">
      <c r="A53" s="34">
        <f t="shared" si="1"/>
        <v>13</v>
      </c>
      <c r="B53" s="26">
        <v>0.2</v>
      </c>
      <c r="D53" s="34">
        <f t="shared" si="2"/>
        <v>10</v>
      </c>
      <c r="E53" s="26">
        <v>0.7</v>
      </c>
    </row>
    <row r="54" spans="1:5" x14ac:dyDescent="0.25">
      <c r="A54" s="34">
        <f t="shared" si="1"/>
        <v>16</v>
      </c>
      <c r="B54" s="26">
        <v>0.2</v>
      </c>
      <c r="D54" s="34">
        <f t="shared" si="2"/>
        <v>8</v>
      </c>
      <c r="E54" s="26">
        <v>0.7</v>
      </c>
    </row>
    <row r="55" spans="1:5" x14ac:dyDescent="0.25">
      <c r="A55" s="34">
        <f t="shared" si="1"/>
        <v>5</v>
      </c>
      <c r="B55" s="26">
        <v>0.2</v>
      </c>
      <c r="D55" s="34">
        <f t="shared" si="2"/>
        <v>9</v>
      </c>
      <c r="E55" s="26">
        <v>0.7</v>
      </c>
    </row>
    <row r="56" spans="1:5" x14ac:dyDescent="0.25">
      <c r="A56" s="34">
        <f t="shared" si="1"/>
        <v>8</v>
      </c>
      <c r="B56" s="26">
        <v>0.2</v>
      </c>
      <c r="D56" s="34">
        <f t="shared" si="2"/>
        <v>10</v>
      </c>
      <c r="E56" s="26">
        <v>0.7</v>
      </c>
    </row>
    <row r="57" spans="1:5" x14ac:dyDescent="0.25">
      <c r="A57" s="34">
        <f t="shared" si="1"/>
        <v>9</v>
      </c>
      <c r="B57" s="26">
        <v>0.2</v>
      </c>
      <c r="D57" s="34">
        <f t="shared" si="2"/>
        <v>10</v>
      </c>
      <c r="E57" s="26">
        <v>0.7</v>
      </c>
    </row>
    <row r="58" spans="1:5" x14ac:dyDescent="0.25">
      <c r="A58" s="34">
        <f t="shared" si="1"/>
        <v>6</v>
      </c>
      <c r="B58" s="26">
        <v>0.2</v>
      </c>
      <c r="D58" s="34">
        <f t="shared" si="2"/>
        <v>9</v>
      </c>
      <c r="E58" s="26">
        <v>0.7</v>
      </c>
    </row>
    <row r="59" spans="1:5" x14ac:dyDescent="0.25">
      <c r="A59" s="34">
        <f t="shared" si="1"/>
        <v>8</v>
      </c>
      <c r="B59" s="26">
        <v>0.2</v>
      </c>
      <c r="D59" s="34">
        <f t="shared" si="2"/>
        <v>8</v>
      </c>
      <c r="E59" s="26">
        <v>0.7</v>
      </c>
    </row>
    <row r="60" spans="1:5" x14ac:dyDescent="0.25">
      <c r="A60" s="34">
        <f t="shared" si="1"/>
        <v>6</v>
      </c>
      <c r="B60" s="26">
        <v>0.2</v>
      </c>
      <c r="D60" s="34">
        <f t="shared" si="2"/>
        <v>9</v>
      </c>
      <c r="E60" s="26">
        <v>0.7</v>
      </c>
    </row>
    <row r="61" spans="1:5" x14ac:dyDescent="0.25">
      <c r="A61" s="34">
        <f t="shared" si="1"/>
        <v>12</v>
      </c>
      <c r="B61" s="26">
        <v>0.2</v>
      </c>
      <c r="D61" s="34">
        <f t="shared" si="2"/>
        <v>6</v>
      </c>
      <c r="E61" s="26">
        <v>0.7</v>
      </c>
    </row>
    <row r="62" spans="1:5" x14ac:dyDescent="0.25">
      <c r="A62" s="34">
        <f t="shared" si="1"/>
        <v>6</v>
      </c>
      <c r="B62" s="26">
        <v>0.2</v>
      </c>
      <c r="D62" s="34">
        <f t="shared" si="2"/>
        <v>8</v>
      </c>
      <c r="E62" s="26">
        <v>0.7</v>
      </c>
    </row>
    <row r="63" spans="1:5" x14ac:dyDescent="0.25">
      <c r="A63" s="34">
        <f t="shared" si="1"/>
        <v>13</v>
      </c>
      <c r="B63" s="26">
        <v>0.2</v>
      </c>
      <c r="D63" s="34">
        <f t="shared" si="2"/>
        <v>9</v>
      </c>
      <c r="E63" s="26">
        <v>0.7</v>
      </c>
    </row>
    <row r="65" spans="1:5" ht="75" x14ac:dyDescent="0.25">
      <c r="A65" s="61" t="s">
        <v>365</v>
      </c>
      <c r="B65" s="61" t="s">
        <v>555</v>
      </c>
      <c r="D65" s="61" t="s">
        <v>365</v>
      </c>
      <c r="E65" s="61" t="s">
        <v>1142</v>
      </c>
    </row>
    <row r="66" spans="1:5" x14ac:dyDescent="0.25">
      <c r="A66" s="34">
        <f>B19</f>
        <v>9</v>
      </c>
      <c r="B66" s="26">
        <v>0.35</v>
      </c>
      <c r="D66" s="34">
        <f>C19</f>
        <v>9</v>
      </c>
      <c r="E66" s="26">
        <v>0.9</v>
      </c>
    </row>
    <row r="69" spans="1:5" ht="30" x14ac:dyDescent="0.25">
      <c r="A69" s="62" t="s">
        <v>380</v>
      </c>
      <c r="B69" s="62" t="s">
        <v>556</v>
      </c>
      <c r="C69" s="62" t="s">
        <v>558</v>
      </c>
    </row>
    <row r="70" spans="1:5" x14ac:dyDescent="0.25">
      <c r="A70" s="26">
        <v>4</v>
      </c>
      <c r="B70" s="86">
        <f t="shared" ref="B70:C82" si="3">COUNTIFS(B$4:B$18,$A70)/$B$85</f>
        <v>6.6666666666666666E-2</v>
      </c>
      <c r="C70" s="86">
        <f t="shared" si="3"/>
        <v>0</v>
      </c>
    </row>
    <row r="71" spans="1:5" x14ac:dyDescent="0.25">
      <c r="A71" s="26">
        <v>5</v>
      </c>
      <c r="B71" s="86">
        <f t="shared" si="3"/>
        <v>6.6666666666666666E-2</v>
      </c>
      <c r="C71" s="86">
        <f t="shared" si="3"/>
        <v>0</v>
      </c>
    </row>
    <row r="72" spans="1:5" x14ac:dyDescent="0.25">
      <c r="A72" s="26">
        <v>6</v>
      </c>
      <c r="B72" s="86">
        <f t="shared" si="3"/>
        <v>0.26666666666666666</v>
      </c>
      <c r="C72" s="86">
        <f t="shared" si="3"/>
        <v>6.6666666666666666E-2</v>
      </c>
    </row>
    <row r="73" spans="1:5" x14ac:dyDescent="0.25">
      <c r="A73" s="26">
        <v>7</v>
      </c>
      <c r="B73" s="86">
        <f t="shared" si="3"/>
        <v>0</v>
      </c>
      <c r="C73" s="86">
        <f t="shared" si="3"/>
        <v>0</v>
      </c>
    </row>
    <row r="74" spans="1:5" x14ac:dyDescent="0.25">
      <c r="A74" s="26">
        <v>8</v>
      </c>
      <c r="B74" s="86">
        <f t="shared" si="3"/>
        <v>0.13333333333333333</v>
      </c>
      <c r="C74" s="86">
        <f t="shared" si="3"/>
        <v>0.2</v>
      </c>
    </row>
    <row r="75" spans="1:5" x14ac:dyDescent="0.25">
      <c r="A75" s="26">
        <v>9</v>
      </c>
      <c r="B75" s="86">
        <f t="shared" si="3"/>
        <v>6.6666666666666666E-2</v>
      </c>
      <c r="C75" s="86">
        <f t="shared" si="3"/>
        <v>0.4</v>
      </c>
    </row>
    <row r="76" spans="1:5" x14ac:dyDescent="0.25">
      <c r="A76" s="26">
        <v>10</v>
      </c>
      <c r="B76" s="86">
        <f t="shared" si="3"/>
        <v>0</v>
      </c>
      <c r="C76" s="86">
        <f t="shared" si="3"/>
        <v>0.26666666666666666</v>
      </c>
    </row>
    <row r="77" spans="1:5" x14ac:dyDescent="0.25">
      <c r="A77" s="26">
        <v>11</v>
      </c>
      <c r="B77" s="86">
        <f t="shared" si="3"/>
        <v>6.6666666666666666E-2</v>
      </c>
      <c r="C77" s="86">
        <f t="shared" si="3"/>
        <v>6.6666666666666666E-2</v>
      </c>
    </row>
    <row r="78" spans="1:5" x14ac:dyDescent="0.25">
      <c r="A78" s="26">
        <v>12</v>
      </c>
      <c r="B78" s="86">
        <f t="shared" si="3"/>
        <v>0.13333333333333333</v>
      </c>
      <c r="C78" s="86">
        <f t="shared" si="3"/>
        <v>0</v>
      </c>
    </row>
    <row r="79" spans="1:5" x14ac:dyDescent="0.25">
      <c r="A79" s="26">
        <v>13</v>
      </c>
      <c r="B79" s="86">
        <f t="shared" si="3"/>
        <v>0.13333333333333333</v>
      </c>
      <c r="C79" s="86">
        <f t="shared" si="3"/>
        <v>0</v>
      </c>
    </row>
    <row r="80" spans="1:5" x14ac:dyDescent="0.25">
      <c r="A80" s="26">
        <v>14</v>
      </c>
      <c r="B80" s="86">
        <f t="shared" si="3"/>
        <v>0</v>
      </c>
      <c r="C80" s="86">
        <f t="shared" si="3"/>
        <v>0</v>
      </c>
    </row>
    <row r="81" spans="1:3" x14ac:dyDescent="0.25">
      <c r="A81" s="26">
        <v>15</v>
      </c>
      <c r="B81" s="86">
        <f t="shared" si="3"/>
        <v>0</v>
      </c>
      <c r="C81" s="86">
        <f t="shared" si="3"/>
        <v>0</v>
      </c>
    </row>
    <row r="82" spans="1:3" ht="15.75" thickBot="1" x14ac:dyDescent="0.3">
      <c r="A82" s="65">
        <v>16</v>
      </c>
      <c r="B82" s="115">
        <f t="shared" si="3"/>
        <v>6.6666666666666666E-2</v>
      </c>
      <c r="C82" s="115">
        <f t="shared" si="3"/>
        <v>0</v>
      </c>
    </row>
    <row r="83" spans="1:3" ht="15.75" thickBot="1" x14ac:dyDescent="0.3">
      <c r="A83" s="68" t="s">
        <v>165</v>
      </c>
      <c r="B83" s="116">
        <f>SUM(B70:B82)</f>
        <v>0.99999999999999989</v>
      </c>
      <c r="C83" s="116">
        <f>SUM(C70:C82)</f>
        <v>1</v>
      </c>
    </row>
    <row r="84" spans="1:3" ht="15.75" thickTop="1" x14ac:dyDescent="0.25"/>
    <row r="85" spans="1:3" x14ac:dyDescent="0.25">
      <c r="A85" s="62" t="s">
        <v>375</v>
      </c>
      <c r="B85" s="30">
        <f>COUNTA(A4:A18)</f>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rgb="FF0000FF"/>
  </sheetPr>
  <dimension ref="A1:G28"/>
  <sheetViews>
    <sheetView zoomScale="85" zoomScaleNormal="85" workbookViewId="0">
      <selection activeCell="D11" sqref="D11"/>
    </sheetView>
  </sheetViews>
  <sheetFormatPr defaultRowHeight="15" x14ac:dyDescent="0.25"/>
  <cols>
    <col min="1" max="1" width="14.42578125" customWidth="1"/>
    <col min="2" max="2" width="1.42578125" customWidth="1"/>
    <col min="3" max="3" width="17.42578125" customWidth="1"/>
    <col min="4" max="4" width="17.28515625" customWidth="1"/>
    <col min="5" max="5" width="1.28515625" customWidth="1"/>
    <col min="6" max="6" width="19.42578125" customWidth="1"/>
    <col min="7" max="7" width="17.28515625" customWidth="1"/>
  </cols>
  <sheetData>
    <row r="1" spans="1:7" ht="18.75" x14ac:dyDescent="0.3">
      <c r="A1" s="273" t="s">
        <v>381</v>
      </c>
      <c r="B1" s="274"/>
      <c r="C1" s="274"/>
      <c r="D1" s="274"/>
      <c r="E1" s="274"/>
      <c r="F1" s="274"/>
      <c r="G1" s="274"/>
    </row>
    <row r="2" spans="1:7" ht="18.75" x14ac:dyDescent="0.3">
      <c r="A2" s="270" t="s">
        <v>382</v>
      </c>
      <c r="B2" s="271"/>
      <c r="C2" s="271"/>
      <c r="D2" s="271"/>
      <c r="E2" s="271"/>
      <c r="F2" s="271"/>
      <c r="G2" s="272"/>
    </row>
    <row r="3" spans="1:7" ht="18.75" x14ac:dyDescent="0.3">
      <c r="A3" s="270" t="s">
        <v>383</v>
      </c>
      <c r="B3" s="271"/>
      <c r="C3" s="271"/>
      <c r="D3" s="271"/>
      <c r="E3" s="271"/>
      <c r="F3" s="271"/>
      <c r="G3" s="272"/>
    </row>
    <row r="4" spans="1:7" ht="18.75" x14ac:dyDescent="0.3">
      <c r="A4" s="270" t="s">
        <v>384</v>
      </c>
      <c r="B4" s="271"/>
      <c r="C4" s="271"/>
      <c r="D4" s="271"/>
      <c r="E4" s="271"/>
      <c r="F4" s="271"/>
      <c r="G4" s="272"/>
    </row>
    <row r="5" spans="1:7" ht="18.75" x14ac:dyDescent="0.3">
      <c r="A5" s="270" t="s">
        <v>385</v>
      </c>
      <c r="B5" s="271"/>
      <c r="C5" s="271"/>
      <c r="D5" s="271"/>
      <c r="E5" s="271"/>
      <c r="F5" s="271"/>
      <c r="G5" s="272"/>
    </row>
    <row r="6" spans="1:7" ht="18.75" x14ac:dyDescent="0.3">
      <c r="A6" s="270" t="s">
        <v>386</v>
      </c>
      <c r="B6" s="271"/>
      <c r="C6" s="271"/>
      <c r="D6" s="271"/>
      <c r="E6" s="271"/>
      <c r="F6" s="271"/>
      <c r="G6" s="272"/>
    </row>
    <row r="7" spans="1:7" ht="18.75" x14ac:dyDescent="0.3">
      <c r="A7" s="273" t="s">
        <v>389</v>
      </c>
      <c r="B7" s="274"/>
      <c r="C7" s="274"/>
      <c r="D7" s="274"/>
      <c r="E7" s="274"/>
      <c r="F7" s="274"/>
      <c r="G7" s="274"/>
    </row>
    <row r="8" spans="1:7" ht="18.75" x14ac:dyDescent="0.3">
      <c r="A8" s="270" t="s">
        <v>390</v>
      </c>
      <c r="B8" s="271"/>
      <c r="C8" s="271"/>
      <c r="D8" s="271"/>
      <c r="E8" s="271"/>
      <c r="F8" s="271"/>
      <c r="G8" s="272"/>
    </row>
    <row r="10" spans="1:7" x14ac:dyDescent="0.25">
      <c r="C10" s="1" t="s">
        <v>365</v>
      </c>
      <c r="D10" s="1" t="s">
        <v>505</v>
      </c>
      <c r="F10" s="1" t="s">
        <v>365</v>
      </c>
      <c r="G10" s="1" t="s">
        <v>506</v>
      </c>
    </row>
    <row r="11" spans="1:7" x14ac:dyDescent="0.25">
      <c r="A11" s="26" t="s">
        <v>85</v>
      </c>
      <c r="C11" s="60">
        <f>AVERAGE(C14:C28)</f>
        <v>9</v>
      </c>
      <c r="D11" s="117"/>
      <c r="F11" s="60">
        <f>AVERAGE(F14:F28)</f>
        <v>9</v>
      </c>
      <c r="G11" s="26"/>
    </row>
    <row r="13" spans="1:7" ht="30" x14ac:dyDescent="0.25">
      <c r="A13" s="61" t="s">
        <v>395</v>
      </c>
      <c r="C13" s="61" t="s">
        <v>365</v>
      </c>
      <c r="D13" s="61" t="s">
        <v>554</v>
      </c>
      <c r="F13" s="61" t="s">
        <v>365</v>
      </c>
      <c r="G13" s="61" t="s">
        <v>557</v>
      </c>
    </row>
    <row r="14" spans="1:7" x14ac:dyDescent="0.25">
      <c r="A14" s="110" t="s">
        <v>350</v>
      </c>
      <c r="C14" s="26">
        <v>4</v>
      </c>
      <c r="D14" s="26"/>
      <c r="F14" s="26">
        <v>10</v>
      </c>
      <c r="G14" s="26"/>
    </row>
    <row r="15" spans="1:7" x14ac:dyDescent="0.25">
      <c r="A15" s="110" t="s">
        <v>351</v>
      </c>
      <c r="C15" s="26">
        <v>6</v>
      </c>
      <c r="D15" s="26"/>
      <c r="F15" s="26">
        <v>11</v>
      </c>
      <c r="G15" s="26"/>
    </row>
    <row r="16" spans="1:7" x14ac:dyDescent="0.25">
      <c r="A16" s="110" t="s">
        <v>352</v>
      </c>
      <c r="C16" s="26">
        <v>12</v>
      </c>
      <c r="D16" s="26"/>
      <c r="F16" s="26">
        <v>9</v>
      </c>
      <c r="G16" s="26"/>
    </row>
    <row r="17" spans="1:7" x14ac:dyDescent="0.25">
      <c r="A17" s="110" t="s">
        <v>353</v>
      </c>
      <c r="C17" s="26">
        <v>11</v>
      </c>
      <c r="D17" s="26"/>
      <c r="F17" s="26">
        <v>9</v>
      </c>
      <c r="G17" s="26"/>
    </row>
    <row r="18" spans="1:7" x14ac:dyDescent="0.25">
      <c r="A18" s="110" t="s">
        <v>354</v>
      </c>
      <c r="C18" s="26">
        <v>13</v>
      </c>
      <c r="D18" s="26"/>
      <c r="F18" s="26">
        <v>10</v>
      </c>
      <c r="G18" s="26"/>
    </row>
    <row r="19" spans="1:7" x14ac:dyDescent="0.25">
      <c r="A19" s="110" t="s">
        <v>355</v>
      </c>
      <c r="C19" s="26">
        <v>16</v>
      </c>
      <c r="D19" s="26"/>
      <c r="F19" s="26">
        <v>8</v>
      </c>
      <c r="G19" s="26"/>
    </row>
    <row r="20" spans="1:7" x14ac:dyDescent="0.25">
      <c r="A20" s="110" t="s">
        <v>356</v>
      </c>
      <c r="C20" s="26">
        <v>5</v>
      </c>
      <c r="D20" s="26"/>
      <c r="F20" s="26">
        <v>9</v>
      </c>
      <c r="G20" s="26"/>
    </row>
    <row r="21" spans="1:7" x14ac:dyDescent="0.25">
      <c r="A21" s="110" t="s">
        <v>357</v>
      </c>
      <c r="C21" s="26">
        <v>8</v>
      </c>
      <c r="D21" s="26"/>
      <c r="F21" s="26">
        <v>10</v>
      </c>
      <c r="G21" s="26"/>
    </row>
    <row r="22" spans="1:7" x14ac:dyDescent="0.25">
      <c r="A22" s="110" t="s">
        <v>358</v>
      </c>
      <c r="C22" s="26">
        <v>9</v>
      </c>
      <c r="D22" s="26"/>
      <c r="F22" s="26">
        <v>10</v>
      </c>
      <c r="G22" s="26"/>
    </row>
    <row r="23" spans="1:7" x14ac:dyDescent="0.25">
      <c r="A23" s="110" t="s">
        <v>359</v>
      </c>
      <c r="C23" s="26">
        <v>6</v>
      </c>
      <c r="D23" s="26"/>
      <c r="F23" s="26">
        <v>9</v>
      </c>
      <c r="G23" s="26"/>
    </row>
    <row r="24" spans="1:7" x14ac:dyDescent="0.25">
      <c r="A24" s="110" t="s">
        <v>360</v>
      </c>
      <c r="C24" s="26">
        <v>8</v>
      </c>
      <c r="D24" s="26"/>
      <c r="F24" s="26">
        <v>8</v>
      </c>
      <c r="G24" s="26"/>
    </row>
    <row r="25" spans="1:7" x14ac:dyDescent="0.25">
      <c r="A25" s="110" t="s">
        <v>361</v>
      </c>
      <c r="C25" s="26">
        <v>6</v>
      </c>
      <c r="D25" s="26"/>
      <c r="F25" s="26">
        <v>9</v>
      </c>
      <c r="G25" s="26"/>
    </row>
    <row r="26" spans="1:7" x14ac:dyDescent="0.25">
      <c r="A26" s="110" t="s">
        <v>362</v>
      </c>
      <c r="C26" s="26">
        <v>12</v>
      </c>
      <c r="D26" s="26"/>
      <c r="F26" s="26">
        <v>6</v>
      </c>
      <c r="G26" s="26"/>
    </row>
    <row r="27" spans="1:7" x14ac:dyDescent="0.25">
      <c r="A27" s="110" t="s">
        <v>363</v>
      </c>
      <c r="C27" s="26">
        <v>6</v>
      </c>
      <c r="D27" s="26"/>
      <c r="F27" s="26">
        <v>8</v>
      </c>
      <c r="G27" s="26"/>
    </row>
    <row r="28" spans="1:7" x14ac:dyDescent="0.25">
      <c r="A28" s="110" t="s">
        <v>364</v>
      </c>
      <c r="C28" s="26">
        <v>13</v>
      </c>
      <c r="D28" s="26"/>
      <c r="F28" s="26">
        <v>9</v>
      </c>
      <c r="G28" s="26">
        <v>1</v>
      </c>
    </row>
  </sheetData>
  <mergeCells count="8">
    <mergeCell ref="A8:G8"/>
    <mergeCell ref="A7:G7"/>
    <mergeCell ref="A1:G1"/>
    <mergeCell ref="A2:G2"/>
    <mergeCell ref="A3:G3"/>
    <mergeCell ref="A4:G4"/>
    <mergeCell ref="A5:G5"/>
    <mergeCell ref="A6:G6"/>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rgb="FFFF0000"/>
  </sheetPr>
  <dimension ref="A1:G28"/>
  <sheetViews>
    <sheetView zoomScale="85" zoomScaleNormal="85" workbookViewId="0">
      <selection sqref="A1:G1"/>
    </sheetView>
  </sheetViews>
  <sheetFormatPr defaultRowHeight="15" x14ac:dyDescent="0.25"/>
  <cols>
    <col min="1" max="1" width="14.42578125" customWidth="1"/>
    <col min="2" max="2" width="1.42578125" customWidth="1"/>
    <col min="3" max="3" width="17.42578125" customWidth="1"/>
    <col min="4" max="4" width="17.28515625" customWidth="1"/>
    <col min="5" max="5" width="1.28515625" customWidth="1"/>
    <col min="6" max="6" width="19.42578125" customWidth="1"/>
    <col min="7" max="7" width="17.28515625" customWidth="1"/>
  </cols>
  <sheetData>
    <row r="1" spans="1:7" ht="18.75" x14ac:dyDescent="0.3">
      <c r="A1" s="273" t="s">
        <v>381</v>
      </c>
      <c r="B1" s="274"/>
      <c r="C1" s="274"/>
      <c r="D1" s="274"/>
      <c r="E1" s="274"/>
      <c r="F1" s="274"/>
      <c r="G1" s="274"/>
    </row>
    <row r="2" spans="1:7" ht="18.75" x14ac:dyDescent="0.3">
      <c r="A2" s="270" t="s">
        <v>382</v>
      </c>
      <c r="B2" s="271"/>
      <c r="C2" s="271"/>
      <c r="D2" s="271"/>
      <c r="E2" s="271"/>
      <c r="F2" s="271"/>
      <c r="G2" s="272"/>
    </row>
    <row r="3" spans="1:7" ht="18.75" x14ac:dyDescent="0.3">
      <c r="A3" s="270" t="s">
        <v>383</v>
      </c>
      <c r="B3" s="271"/>
      <c r="C3" s="271"/>
      <c r="D3" s="271"/>
      <c r="E3" s="271"/>
      <c r="F3" s="271"/>
      <c r="G3" s="272"/>
    </row>
    <row r="4" spans="1:7" ht="18.75" x14ac:dyDescent="0.3">
      <c r="A4" s="270" t="s">
        <v>384</v>
      </c>
      <c r="B4" s="271"/>
      <c r="C4" s="271"/>
      <c r="D4" s="271"/>
      <c r="E4" s="271"/>
      <c r="F4" s="271"/>
      <c r="G4" s="272"/>
    </row>
    <row r="5" spans="1:7" ht="18.75" x14ac:dyDescent="0.3">
      <c r="A5" s="270" t="s">
        <v>385</v>
      </c>
      <c r="B5" s="271"/>
      <c r="C5" s="271"/>
      <c r="D5" s="271"/>
      <c r="E5" s="271"/>
      <c r="F5" s="271"/>
      <c r="G5" s="272"/>
    </row>
    <row r="6" spans="1:7" ht="18.75" x14ac:dyDescent="0.3">
      <c r="A6" s="270" t="s">
        <v>386</v>
      </c>
      <c r="B6" s="271"/>
      <c r="C6" s="271"/>
      <c r="D6" s="271"/>
      <c r="E6" s="271"/>
      <c r="F6" s="271"/>
      <c r="G6" s="272"/>
    </row>
    <row r="7" spans="1:7" ht="18.75" x14ac:dyDescent="0.3">
      <c r="A7" s="273" t="s">
        <v>389</v>
      </c>
      <c r="B7" s="274"/>
      <c r="C7" s="274"/>
      <c r="D7" s="274"/>
      <c r="E7" s="274"/>
      <c r="F7" s="274"/>
      <c r="G7" s="274"/>
    </row>
    <row r="8" spans="1:7" ht="18.75" x14ac:dyDescent="0.3">
      <c r="A8" s="270" t="s">
        <v>390</v>
      </c>
      <c r="B8" s="271"/>
      <c r="C8" s="271"/>
      <c r="D8" s="271"/>
      <c r="E8" s="271"/>
      <c r="F8" s="271"/>
      <c r="G8" s="272"/>
    </row>
    <row r="10" spans="1:7" x14ac:dyDescent="0.25">
      <c r="C10" s="1" t="s">
        <v>365</v>
      </c>
      <c r="D10" s="1" t="s">
        <v>505</v>
      </c>
      <c r="F10" s="1" t="s">
        <v>365</v>
      </c>
      <c r="G10" s="1" t="s">
        <v>506</v>
      </c>
    </row>
    <row r="11" spans="1:7" x14ac:dyDescent="0.25">
      <c r="A11" s="26" t="s">
        <v>85</v>
      </c>
      <c r="C11" s="60">
        <f>AVERAGE(C14:C28)</f>
        <v>9</v>
      </c>
      <c r="D11" s="117">
        <v>0.75</v>
      </c>
      <c r="F11" s="60">
        <f>AVERAGE(F14:F28)</f>
        <v>9</v>
      </c>
      <c r="G11" s="26">
        <v>1.25</v>
      </c>
    </row>
    <row r="13" spans="1:7" ht="30" x14ac:dyDescent="0.25">
      <c r="A13" s="61" t="s">
        <v>395</v>
      </c>
      <c r="C13" s="61" t="s">
        <v>365</v>
      </c>
      <c r="D13" s="61" t="s">
        <v>554</v>
      </c>
      <c r="F13" s="61" t="s">
        <v>365</v>
      </c>
      <c r="G13" s="61" t="s">
        <v>557</v>
      </c>
    </row>
    <row r="14" spans="1:7" x14ac:dyDescent="0.25">
      <c r="A14" s="110" t="s">
        <v>350</v>
      </c>
      <c r="C14" s="26">
        <v>4</v>
      </c>
      <c r="D14" s="26">
        <v>0.5</v>
      </c>
      <c r="F14" s="26">
        <v>10</v>
      </c>
      <c r="G14" s="26">
        <v>1</v>
      </c>
    </row>
    <row r="15" spans="1:7" x14ac:dyDescent="0.25">
      <c r="A15" s="110" t="s">
        <v>351</v>
      </c>
      <c r="C15" s="26">
        <v>6</v>
      </c>
      <c r="D15" s="26">
        <v>0.5</v>
      </c>
      <c r="F15" s="26">
        <v>11</v>
      </c>
      <c r="G15" s="26">
        <v>1</v>
      </c>
    </row>
    <row r="16" spans="1:7" x14ac:dyDescent="0.25">
      <c r="A16" s="110" t="s">
        <v>352</v>
      </c>
      <c r="C16" s="26">
        <v>12</v>
      </c>
      <c r="D16" s="26">
        <v>0.5</v>
      </c>
      <c r="F16" s="26">
        <v>9</v>
      </c>
      <c r="G16" s="26">
        <v>1</v>
      </c>
    </row>
    <row r="17" spans="1:7" x14ac:dyDescent="0.25">
      <c r="A17" s="110" t="s">
        <v>353</v>
      </c>
      <c r="C17" s="26">
        <v>11</v>
      </c>
      <c r="D17" s="26">
        <v>0.5</v>
      </c>
      <c r="F17" s="26">
        <v>9</v>
      </c>
      <c r="G17" s="26">
        <v>1</v>
      </c>
    </row>
    <row r="18" spans="1:7" x14ac:dyDescent="0.25">
      <c r="A18" s="110" t="s">
        <v>354</v>
      </c>
      <c r="C18" s="26">
        <v>13</v>
      </c>
      <c r="D18" s="26">
        <v>0.5</v>
      </c>
      <c r="F18" s="26">
        <v>10</v>
      </c>
      <c r="G18" s="26">
        <v>1</v>
      </c>
    </row>
    <row r="19" spans="1:7" x14ac:dyDescent="0.25">
      <c r="A19" s="110" t="s">
        <v>355</v>
      </c>
      <c r="C19" s="26">
        <v>16</v>
      </c>
      <c r="D19" s="26">
        <v>0.5</v>
      </c>
      <c r="F19" s="26">
        <v>8</v>
      </c>
      <c r="G19" s="26">
        <v>1</v>
      </c>
    </row>
    <row r="20" spans="1:7" x14ac:dyDescent="0.25">
      <c r="A20" s="110" t="s">
        <v>356</v>
      </c>
      <c r="C20" s="26">
        <v>5</v>
      </c>
      <c r="D20" s="26">
        <v>0.5</v>
      </c>
      <c r="F20" s="26">
        <v>9</v>
      </c>
      <c r="G20" s="26">
        <v>1</v>
      </c>
    </row>
    <row r="21" spans="1:7" x14ac:dyDescent="0.25">
      <c r="A21" s="110" t="s">
        <v>357</v>
      </c>
      <c r="C21" s="26">
        <v>8</v>
      </c>
      <c r="D21" s="26">
        <v>0.5</v>
      </c>
      <c r="F21" s="26">
        <v>10</v>
      </c>
      <c r="G21" s="26">
        <v>1</v>
      </c>
    </row>
    <row r="22" spans="1:7" x14ac:dyDescent="0.25">
      <c r="A22" s="110" t="s">
        <v>358</v>
      </c>
      <c r="C22" s="26">
        <v>9</v>
      </c>
      <c r="D22" s="26">
        <v>0.5</v>
      </c>
      <c r="F22" s="26">
        <v>10</v>
      </c>
      <c r="G22" s="26">
        <v>1</v>
      </c>
    </row>
    <row r="23" spans="1:7" x14ac:dyDescent="0.25">
      <c r="A23" s="110" t="s">
        <v>359</v>
      </c>
      <c r="C23" s="26">
        <v>6</v>
      </c>
      <c r="D23" s="26">
        <v>0.5</v>
      </c>
      <c r="F23" s="26">
        <v>9</v>
      </c>
      <c r="G23" s="26">
        <v>1</v>
      </c>
    </row>
    <row r="24" spans="1:7" x14ac:dyDescent="0.25">
      <c r="A24" s="110" t="s">
        <v>360</v>
      </c>
      <c r="C24" s="26">
        <v>8</v>
      </c>
      <c r="D24" s="26">
        <v>0.5</v>
      </c>
      <c r="F24" s="26">
        <v>8</v>
      </c>
      <c r="G24" s="26">
        <v>1</v>
      </c>
    </row>
    <row r="25" spans="1:7" x14ac:dyDescent="0.25">
      <c r="A25" s="110" t="s">
        <v>361</v>
      </c>
      <c r="C25" s="26">
        <v>6</v>
      </c>
      <c r="D25" s="26">
        <v>0.5</v>
      </c>
      <c r="F25" s="26">
        <v>9</v>
      </c>
      <c r="G25" s="26">
        <v>1</v>
      </c>
    </row>
    <row r="26" spans="1:7" x14ac:dyDescent="0.25">
      <c r="A26" s="110" t="s">
        <v>362</v>
      </c>
      <c r="C26" s="26">
        <v>12</v>
      </c>
      <c r="D26" s="26">
        <v>0.5</v>
      </c>
      <c r="F26" s="26">
        <v>6</v>
      </c>
      <c r="G26" s="26">
        <v>1</v>
      </c>
    </row>
    <row r="27" spans="1:7" x14ac:dyDescent="0.25">
      <c r="A27" s="110" t="s">
        <v>363</v>
      </c>
      <c r="C27" s="26">
        <v>6</v>
      </c>
      <c r="D27" s="26">
        <v>0.5</v>
      </c>
      <c r="F27" s="26">
        <v>8</v>
      </c>
      <c r="G27" s="26">
        <v>1</v>
      </c>
    </row>
    <row r="28" spans="1:7" x14ac:dyDescent="0.25">
      <c r="A28" s="110" t="s">
        <v>364</v>
      </c>
      <c r="C28" s="26">
        <v>13</v>
      </c>
      <c r="D28" s="26">
        <v>0.5</v>
      </c>
      <c r="F28" s="26">
        <v>9</v>
      </c>
      <c r="G28" s="26">
        <v>1</v>
      </c>
    </row>
  </sheetData>
  <mergeCells count="8">
    <mergeCell ref="A7:G7"/>
    <mergeCell ref="A8:G8"/>
    <mergeCell ref="A1:G1"/>
    <mergeCell ref="A2:G2"/>
    <mergeCell ref="A3:G3"/>
    <mergeCell ref="A4:G4"/>
    <mergeCell ref="A5:G5"/>
    <mergeCell ref="A6:G6"/>
  </mergeCell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rgb="FF0000FF"/>
  </sheetPr>
  <dimension ref="A15:H32"/>
  <sheetViews>
    <sheetView zoomScale="115" zoomScaleNormal="115" workbookViewId="0"/>
  </sheetViews>
  <sheetFormatPr defaultRowHeight="15" x14ac:dyDescent="0.25"/>
  <cols>
    <col min="1" max="1" width="14.42578125" customWidth="1"/>
    <col min="2" max="3" width="18.7109375" customWidth="1"/>
    <col min="4" max="4" width="1.42578125" customWidth="1"/>
    <col min="5" max="5" width="19.42578125" customWidth="1"/>
    <col min="6" max="7" width="19.28515625" customWidth="1"/>
    <col min="8" max="8" width="3.7109375" customWidth="1"/>
  </cols>
  <sheetData>
    <row r="15" spans="1:7" ht="30" x14ac:dyDescent="0.25">
      <c r="A15" s="61" t="s">
        <v>395</v>
      </c>
      <c r="B15" s="61" t="s">
        <v>554</v>
      </c>
      <c r="C15" s="61" t="s">
        <v>557</v>
      </c>
      <c r="E15" s="118" t="s">
        <v>95</v>
      </c>
      <c r="F15" s="118"/>
      <c r="G15" s="118"/>
    </row>
    <row r="16" spans="1:7" x14ac:dyDescent="0.25">
      <c r="A16" s="110" t="s">
        <v>350</v>
      </c>
      <c r="B16" s="26">
        <v>4</v>
      </c>
      <c r="C16" s="26">
        <v>10</v>
      </c>
      <c r="E16" s="23" t="s">
        <v>391</v>
      </c>
      <c r="F16" s="23"/>
      <c r="G16" s="23"/>
    </row>
    <row r="17" spans="1:8" ht="30" x14ac:dyDescent="0.25">
      <c r="A17" s="110" t="s">
        <v>351</v>
      </c>
      <c r="B17" s="26">
        <v>6</v>
      </c>
      <c r="C17" s="26">
        <v>11</v>
      </c>
      <c r="E17" s="23" t="s">
        <v>392</v>
      </c>
      <c r="F17" s="23"/>
      <c r="G17" s="23"/>
    </row>
    <row r="18" spans="1:8" x14ac:dyDescent="0.25">
      <c r="A18" s="110" t="s">
        <v>352</v>
      </c>
      <c r="B18" s="26">
        <v>12</v>
      </c>
      <c r="C18" s="26">
        <v>9</v>
      </c>
    </row>
    <row r="19" spans="1:8" ht="30" x14ac:dyDescent="0.25">
      <c r="A19" s="110" t="s">
        <v>353</v>
      </c>
      <c r="B19" s="26">
        <v>11</v>
      </c>
      <c r="C19" s="26">
        <v>9</v>
      </c>
      <c r="F19" s="33" t="str">
        <f>B15</f>
        <v>Days to fill order Banderson's</v>
      </c>
      <c r="G19" s="33" t="str">
        <f>C15</f>
        <v>Days to fill order Plywood &amp; Floor</v>
      </c>
    </row>
    <row r="20" spans="1:8" x14ac:dyDescent="0.25">
      <c r="A20" s="110" t="s">
        <v>354</v>
      </c>
      <c r="B20" s="26">
        <v>13</v>
      </c>
      <c r="C20" s="26">
        <v>10</v>
      </c>
      <c r="E20" s="119" t="s">
        <v>319</v>
      </c>
      <c r="F20" s="60"/>
      <c r="G20" s="60"/>
    </row>
    <row r="21" spans="1:8" x14ac:dyDescent="0.25">
      <c r="A21" s="110" t="s">
        <v>355</v>
      </c>
      <c r="B21" s="26">
        <v>16</v>
      </c>
      <c r="C21" s="26">
        <v>8</v>
      </c>
      <c r="E21" s="119" t="s">
        <v>318</v>
      </c>
      <c r="F21" s="60"/>
      <c r="G21" s="60"/>
    </row>
    <row r="22" spans="1:8" x14ac:dyDescent="0.25">
      <c r="A22" s="110" t="s">
        <v>356</v>
      </c>
      <c r="B22" s="26">
        <v>5</v>
      </c>
      <c r="C22" s="26">
        <v>9</v>
      </c>
      <c r="E22" s="119" t="s">
        <v>95</v>
      </c>
      <c r="F22" s="60"/>
      <c r="G22" s="60"/>
    </row>
    <row r="23" spans="1:8" x14ac:dyDescent="0.25">
      <c r="A23" s="110" t="s">
        <v>357</v>
      </c>
      <c r="B23" s="26">
        <v>8</v>
      </c>
      <c r="C23" s="26">
        <v>10</v>
      </c>
    </row>
    <row r="24" spans="1:8" x14ac:dyDescent="0.25">
      <c r="A24" s="110" t="s">
        <v>358</v>
      </c>
      <c r="B24" s="26">
        <v>9</v>
      </c>
      <c r="C24" s="26">
        <v>10</v>
      </c>
      <c r="E24" s="118" t="s">
        <v>96</v>
      </c>
      <c r="F24" s="118"/>
      <c r="G24" s="118"/>
    </row>
    <row r="25" spans="1:8" x14ac:dyDescent="0.25">
      <c r="A25" s="110" t="s">
        <v>359</v>
      </c>
      <c r="B25" s="26">
        <v>6</v>
      </c>
      <c r="C25" s="26">
        <v>9</v>
      </c>
      <c r="E25" s="23" t="s">
        <v>393</v>
      </c>
      <c r="F25" s="23"/>
      <c r="G25" s="23"/>
    </row>
    <row r="26" spans="1:8" ht="30" x14ac:dyDescent="0.25">
      <c r="A26" s="110" t="s">
        <v>360</v>
      </c>
      <c r="B26" s="26">
        <v>8</v>
      </c>
      <c r="C26" s="26">
        <v>8</v>
      </c>
      <c r="E26" s="23" t="s">
        <v>394</v>
      </c>
      <c r="F26" s="23"/>
      <c r="G26" s="23"/>
    </row>
    <row r="27" spans="1:8" x14ac:dyDescent="0.25">
      <c r="A27" s="110" t="s">
        <v>361</v>
      </c>
      <c r="B27" s="26">
        <v>6</v>
      </c>
      <c r="C27" s="26">
        <v>9</v>
      </c>
    </row>
    <row r="28" spans="1:8" x14ac:dyDescent="0.25">
      <c r="A28" s="110" t="s">
        <v>362</v>
      </c>
      <c r="B28" s="26">
        <v>12</v>
      </c>
      <c r="C28" s="26">
        <v>6</v>
      </c>
      <c r="E28" s="26" t="str">
        <f>"Quartile "&amp;H28</f>
        <v>Quartile 1</v>
      </c>
      <c r="F28" s="30"/>
      <c r="G28" s="30"/>
      <c r="H28" s="120">
        <v>1</v>
      </c>
    </row>
    <row r="29" spans="1:8" x14ac:dyDescent="0.25">
      <c r="A29" s="110" t="s">
        <v>363</v>
      </c>
      <c r="B29" s="26">
        <v>6</v>
      </c>
      <c r="C29" s="26">
        <v>8</v>
      </c>
      <c r="E29" s="26" t="str">
        <f>"Quartile "&amp;H29</f>
        <v>Quartile 3</v>
      </c>
      <c r="F29" s="30"/>
      <c r="G29" s="30"/>
      <c r="H29">
        <v>3</v>
      </c>
    </row>
    <row r="30" spans="1:8" ht="15.75" thickBot="1" x14ac:dyDescent="0.3">
      <c r="A30" s="110" t="s">
        <v>364</v>
      </c>
      <c r="B30" s="26">
        <v>13</v>
      </c>
      <c r="C30" s="26">
        <v>9</v>
      </c>
      <c r="E30" s="26" t="s">
        <v>96</v>
      </c>
      <c r="F30" s="30"/>
      <c r="G30" s="30"/>
    </row>
    <row r="31" spans="1:8" ht="15.75" thickBot="1" x14ac:dyDescent="0.3">
      <c r="A31" s="68" t="s">
        <v>85</v>
      </c>
      <c r="B31" s="111">
        <f t="shared" ref="B31:C31" si="0">AVERAGE(B16:B30)</f>
        <v>9</v>
      </c>
      <c r="C31" s="111">
        <f t="shared" si="0"/>
        <v>9</v>
      </c>
    </row>
    <row r="32" spans="1:8" ht="15.75" thickTop="1" x14ac:dyDescent="0.25"/>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rgb="FFFF0000"/>
  </sheetPr>
  <dimension ref="A15:H32"/>
  <sheetViews>
    <sheetView topLeftCell="A14" zoomScale="115" zoomScaleNormal="115" workbookViewId="0">
      <selection activeCell="F20" sqref="F20"/>
    </sheetView>
  </sheetViews>
  <sheetFormatPr defaultRowHeight="15" x14ac:dyDescent="0.25"/>
  <cols>
    <col min="1" max="1" width="14.42578125" customWidth="1"/>
    <col min="2" max="3" width="18.7109375" customWidth="1"/>
    <col min="4" max="4" width="1.42578125" customWidth="1"/>
    <col min="5" max="5" width="19.42578125" customWidth="1"/>
    <col min="6" max="7" width="19.28515625" customWidth="1"/>
    <col min="8" max="8" width="3.7109375" customWidth="1"/>
  </cols>
  <sheetData>
    <row r="15" spans="1:7" ht="30" x14ac:dyDescent="0.25">
      <c r="A15" s="61" t="s">
        <v>395</v>
      </c>
      <c r="B15" s="61" t="s">
        <v>554</v>
      </c>
      <c r="C15" s="61" t="s">
        <v>557</v>
      </c>
      <c r="E15" s="118" t="s">
        <v>95</v>
      </c>
      <c r="F15" s="118"/>
      <c r="G15" s="118"/>
    </row>
    <row r="16" spans="1:7" x14ac:dyDescent="0.25">
      <c r="A16" s="110" t="s">
        <v>350</v>
      </c>
      <c r="B16" s="26">
        <v>4</v>
      </c>
      <c r="C16" s="26">
        <v>10</v>
      </c>
      <c r="E16" s="23" t="s">
        <v>391</v>
      </c>
      <c r="F16" s="23"/>
      <c r="G16" s="23"/>
    </row>
    <row r="17" spans="1:8" ht="30" x14ac:dyDescent="0.25">
      <c r="A17" s="110" t="s">
        <v>351</v>
      </c>
      <c r="B17" s="26">
        <v>6</v>
      </c>
      <c r="C17" s="26">
        <v>11</v>
      </c>
      <c r="E17" s="23" t="s">
        <v>392</v>
      </c>
      <c r="F17" s="23"/>
      <c r="G17" s="23"/>
    </row>
    <row r="18" spans="1:8" x14ac:dyDescent="0.25">
      <c r="A18" s="110" t="s">
        <v>352</v>
      </c>
      <c r="B18" s="26">
        <v>12</v>
      </c>
      <c r="C18" s="26">
        <v>9</v>
      </c>
    </row>
    <row r="19" spans="1:8" ht="30" x14ac:dyDescent="0.25">
      <c r="A19" s="110" t="s">
        <v>353</v>
      </c>
      <c r="B19" s="26">
        <v>11</v>
      </c>
      <c r="C19" s="26">
        <v>9</v>
      </c>
      <c r="F19" s="33" t="str">
        <f>B15</f>
        <v>Days to fill order Banderson's</v>
      </c>
      <c r="G19" s="33" t="str">
        <f>C15</f>
        <v>Days to fill order Plywood &amp; Floor</v>
      </c>
    </row>
    <row r="20" spans="1:8" x14ac:dyDescent="0.25">
      <c r="A20" s="110" t="s">
        <v>354</v>
      </c>
      <c r="B20" s="26">
        <v>13</v>
      </c>
      <c r="C20" s="26">
        <v>10</v>
      </c>
      <c r="E20" s="119" t="s">
        <v>319</v>
      </c>
      <c r="F20" s="60">
        <f>MAX(B16:B30)</f>
        <v>16</v>
      </c>
      <c r="G20" s="60">
        <f>MAX(C16:C30)</f>
        <v>11</v>
      </c>
    </row>
    <row r="21" spans="1:8" x14ac:dyDescent="0.25">
      <c r="A21" s="110" t="s">
        <v>355</v>
      </c>
      <c r="B21" s="26">
        <v>16</v>
      </c>
      <c r="C21" s="26">
        <v>8</v>
      </c>
      <c r="E21" s="119" t="s">
        <v>318</v>
      </c>
      <c r="F21" s="60">
        <f>MIN(B16:B30)</f>
        <v>4</v>
      </c>
      <c r="G21" s="60">
        <f>MIN(C16:C30)</f>
        <v>6</v>
      </c>
    </row>
    <row r="22" spans="1:8" x14ac:dyDescent="0.25">
      <c r="A22" s="110" t="s">
        <v>356</v>
      </c>
      <c r="B22" s="26">
        <v>5</v>
      </c>
      <c r="C22" s="26">
        <v>9</v>
      </c>
      <c r="E22" s="119" t="s">
        <v>95</v>
      </c>
      <c r="F22" s="60">
        <f t="shared" ref="F22:G22" si="0">F20-F21</f>
        <v>12</v>
      </c>
      <c r="G22" s="60">
        <f t="shared" si="0"/>
        <v>5</v>
      </c>
    </row>
    <row r="23" spans="1:8" x14ac:dyDescent="0.25">
      <c r="A23" s="110" t="s">
        <v>357</v>
      </c>
      <c r="B23" s="26">
        <v>8</v>
      </c>
      <c r="C23" s="26">
        <v>10</v>
      </c>
    </row>
    <row r="24" spans="1:8" x14ac:dyDescent="0.25">
      <c r="A24" s="110" t="s">
        <v>358</v>
      </c>
      <c r="B24" s="26">
        <v>9</v>
      </c>
      <c r="C24" s="26">
        <v>10</v>
      </c>
      <c r="E24" s="118" t="s">
        <v>96</v>
      </c>
      <c r="F24" s="118"/>
      <c r="G24" s="118"/>
    </row>
    <row r="25" spans="1:8" x14ac:dyDescent="0.25">
      <c r="A25" s="110" t="s">
        <v>359</v>
      </c>
      <c r="B25" s="26">
        <v>6</v>
      </c>
      <c r="C25" s="26">
        <v>9</v>
      </c>
      <c r="E25" s="23" t="s">
        <v>393</v>
      </c>
      <c r="F25" s="23"/>
      <c r="G25" s="23"/>
    </row>
    <row r="26" spans="1:8" ht="30" x14ac:dyDescent="0.25">
      <c r="A26" s="110" t="s">
        <v>360</v>
      </c>
      <c r="B26" s="26">
        <v>8</v>
      </c>
      <c r="C26" s="26">
        <v>8</v>
      </c>
      <c r="E26" s="23" t="s">
        <v>394</v>
      </c>
      <c r="F26" s="23"/>
      <c r="G26" s="23"/>
    </row>
    <row r="27" spans="1:8" x14ac:dyDescent="0.25">
      <c r="A27" s="110" t="s">
        <v>361</v>
      </c>
      <c r="B27" s="26">
        <v>6</v>
      </c>
      <c r="C27" s="26">
        <v>9</v>
      </c>
    </row>
    <row r="28" spans="1:8" x14ac:dyDescent="0.25">
      <c r="A28" s="110" t="s">
        <v>362</v>
      </c>
      <c r="B28" s="26">
        <v>12</v>
      </c>
      <c r="C28" s="26">
        <v>6</v>
      </c>
      <c r="E28" s="26" t="str">
        <f>"Quartile "&amp;H28</f>
        <v>Quartile 1</v>
      </c>
      <c r="F28" s="30">
        <f>_xlfn.QUARTILE.EXC(B$16:B$30,$H28)</f>
        <v>6</v>
      </c>
      <c r="G28" s="30">
        <f>_xlfn.QUARTILE.EXC(C$16:C$30,$H28)</f>
        <v>8</v>
      </c>
      <c r="H28" s="120">
        <v>1</v>
      </c>
    </row>
    <row r="29" spans="1:8" x14ac:dyDescent="0.25">
      <c r="A29" s="110" t="s">
        <v>363</v>
      </c>
      <c r="B29" s="26">
        <v>6</v>
      </c>
      <c r="C29" s="26">
        <v>8</v>
      </c>
      <c r="E29" s="26" t="str">
        <f>"Quartile "&amp;H29</f>
        <v>Quartile 3</v>
      </c>
      <c r="F29" s="30">
        <f>_xlfn.QUARTILE.EXC(B$16:B$30,$H29)</f>
        <v>12</v>
      </c>
      <c r="G29" s="30">
        <f>_xlfn.QUARTILE.EXC(C$16:C$30,$H29)</f>
        <v>10</v>
      </c>
      <c r="H29">
        <v>3</v>
      </c>
    </row>
    <row r="30" spans="1:8" ht="15.75" thickBot="1" x14ac:dyDescent="0.3">
      <c r="A30" s="110" t="s">
        <v>364</v>
      </c>
      <c r="B30" s="26">
        <v>13</v>
      </c>
      <c r="C30" s="26">
        <v>9</v>
      </c>
      <c r="E30" s="26" t="s">
        <v>96</v>
      </c>
      <c r="F30" s="30">
        <f t="shared" ref="F30:G30" si="1">F29-F28</f>
        <v>6</v>
      </c>
      <c r="G30" s="30">
        <f t="shared" si="1"/>
        <v>2</v>
      </c>
    </row>
    <row r="31" spans="1:8" ht="15.75" thickBot="1" x14ac:dyDescent="0.3">
      <c r="A31" s="68" t="s">
        <v>85</v>
      </c>
      <c r="B31" s="111">
        <f t="shared" ref="B31:C31" si="2">AVERAGE(B16:B30)</f>
        <v>9</v>
      </c>
      <c r="C31" s="111">
        <f t="shared" si="2"/>
        <v>9</v>
      </c>
    </row>
    <row r="32" spans="1:8" ht="15.75" thickTop="1" x14ac:dyDescent="0.25"/>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rgb="FF0000FF"/>
  </sheetPr>
  <dimension ref="A1:Q32"/>
  <sheetViews>
    <sheetView zoomScale="69" zoomScaleNormal="69" workbookViewId="0">
      <selection activeCell="M6" sqref="M6"/>
    </sheetView>
  </sheetViews>
  <sheetFormatPr defaultRowHeight="15" x14ac:dyDescent="0.25"/>
  <cols>
    <col min="1" max="1" width="97.28515625" customWidth="1"/>
    <col min="5" max="5" width="5" bestFit="1" customWidth="1"/>
    <col min="6" max="6" width="2.42578125" bestFit="1" customWidth="1"/>
    <col min="7" max="7" width="28.42578125" bestFit="1" customWidth="1"/>
    <col min="8" max="8" width="8.28515625" bestFit="1" customWidth="1"/>
    <col min="16" max="16" width="10.140625" customWidth="1"/>
  </cols>
  <sheetData>
    <row r="1" spans="1:17" x14ac:dyDescent="0.25">
      <c r="A1" s="24" t="s">
        <v>381</v>
      </c>
    </row>
    <row r="2" spans="1:17" x14ac:dyDescent="0.25">
      <c r="A2" s="28" t="s">
        <v>382</v>
      </c>
    </row>
    <row r="3" spans="1:17" x14ac:dyDescent="0.25">
      <c r="A3" s="28" t="s">
        <v>383</v>
      </c>
    </row>
    <row r="4" spans="1:17" x14ac:dyDescent="0.25">
      <c r="A4" s="28" t="s">
        <v>384</v>
      </c>
    </row>
    <row r="5" spans="1:17" x14ac:dyDescent="0.25">
      <c r="A5" s="28" t="s">
        <v>385</v>
      </c>
    </row>
    <row r="6" spans="1:17" x14ac:dyDescent="0.25">
      <c r="A6" s="28" t="s">
        <v>386</v>
      </c>
    </row>
    <row r="7" spans="1:17" x14ac:dyDescent="0.25">
      <c r="A7" s="25" t="s">
        <v>95</v>
      </c>
    </row>
    <row r="8" spans="1:17" x14ac:dyDescent="0.25">
      <c r="A8" s="27" t="s">
        <v>391</v>
      </c>
    </row>
    <row r="9" spans="1:17" x14ac:dyDescent="0.25">
      <c r="A9" s="27" t="s">
        <v>399</v>
      </c>
    </row>
    <row r="10" spans="1:17" x14ac:dyDescent="0.25">
      <c r="A10" s="25" t="s">
        <v>96</v>
      </c>
    </row>
    <row r="11" spans="1:17" x14ac:dyDescent="0.25">
      <c r="A11" s="27" t="s">
        <v>393</v>
      </c>
      <c r="K11" s="22" t="s">
        <v>481</v>
      </c>
    </row>
    <row r="12" spans="1:17" x14ac:dyDescent="0.25">
      <c r="A12" s="27" t="s">
        <v>400</v>
      </c>
    </row>
    <row r="13" spans="1:17" x14ac:dyDescent="0.25">
      <c r="A13" s="25" t="s">
        <v>441</v>
      </c>
      <c r="K13" s="135" t="s">
        <v>480</v>
      </c>
      <c r="L13" s="135"/>
      <c r="M13" s="135"/>
      <c r="N13" s="135"/>
      <c r="O13" s="135"/>
      <c r="P13" s="135"/>
      <c r="Q13" s="135"/>
    </row>
    <row r="14" spans="1:17" x14ac:dyDescent="0.25">
      <c r="A14" s="27" t="s">
        <v>449</v>
      </c>
    </row>
    <row r="15" spans="1:17" x14ac:dyDescent="0.25">
      <c r="A15" s="27" t="s">
        <v>448</v>
      </c>
    </row>
    <row r="16" spans="1:17" ht="30" x14ac:dyDescent="0.25">
      <c r="A16" s="27" t="s">
        <v>452</v>
      </c>
    </row>
    <row r="17" spans="1:15" x14ac:dyDescent="0.25">
      <c r="A17" s="25" t="s">
        <v>97</v>
      </c>
    </row>
    <row r="18" spans="1:15" x14ac:dyDescent="0.25">
      <c r="A18" s="27" t="s">
        <v>446</v>
      </c>
    </row>
    <row r="19" spans="1:15" x14ac:dyDescent="0.25">
      <c r="A19" s="27" t="s">
        <v>447</v>
      </c>
    </row>
    <row r="20" spans="1:15" ht="30" x14ac:dyDescent="0.25">
      <c r="A20" s="27" t="s">
        <v>451</v>
      </c>
      <c r="K20" s="135" t="s">
        <v>479</v>
      </c>
      <c r="L20" s="135"/>
      <c r="M20" s="135"/>
      <c r="N20" s="135"/>
      <c r="O20" s="135"/>
    </row>
    <row r="21" spans="1:15" x14ac:dyDescent="0.25">
      <c r="A21" s="27" t="s">
        <v>455</v>
      </c>
    </row>
    <row r="22" spans="1:15" x14ac:dyDescent="0.25">
      <c r="A22" s="25" t="s">
        <v>453</v>
      </c>
    </row>
    <row r="23" spans="1:15" x14ac:dyDescent="0.25">
      <c r="A23" s="27" t="s">
        <v>450</v>
      </c>
    </row>
    <row r="24" spans="1:15" ht="30" x14ac:dyDescent="0.25">
      <c r="A24" s="27" t="s">
        <v>500</v>
      </c>
    </row>
    <row r="25" spans="1:15" x14ac:dyDescent="0.25">
      <c r="A25" s="27" t="s">
        <v>454</v>
      </c>
      <c r="E25" s="61" t="s">
        <v>198</v>
      </c>
      <c r="F25" s="26" t="s">
        <v>199</v>
      </c>
      <c r="G25" s="26" t="s">
        <v>200</v>
      </c>
      <c r="H25" s="26" t="s">
        <v>203</v>
      </c>
    </row>
    <row r="26" spans="1:15" x14ac:dyDescent="0.25">
      <c r="A26" s="27" t="s">
        <v>458</v>
      </c>
      <c r="E26" s="72" t="s">
        <v>210</v>
      </c>
      <c r="F26" s="26" t="s">
        <v>199</v>
      </c>
      <c r="G26" s="26" t="s">
        <v>419</v>
      </c>
      <c r="H26" s="26" t="s">
        <v>213</v>
      </c>
    </row>
    <row r="27" spans="1:15" x14ac:dyDescent="0.25">
      <c r="A27" s="27" t="s">
        <v>457</v>
      </c>
      <c r="E27" s="61" t="s">
        <v>401</v>
      </c>
      <c r="F27" s="26" t="s">
        <v>199</v>
      </c>
      <c r="G27" s="26" t="s">
        <v>402</v>
      </c>
      <c r="H27" s="26" t="s">
        <v>403</v>
      </c>
    </row>
    <row r="28" spans="1:15" x14ac:dyDescent="0.25">
      <c r="A28" s="131" t="s">
        <v>446</v>
      </c>
      <c r="E28" s="121" t="s">
        <v>401</v>
      </c>
      <c r="F28" s="26" t="s">
        <v>199</v>
      </c>
      <c r="G28" s="26" t="s">
        <v>402</v>
      </c>
      <c r="H28" s="26" t="s">
        <v>424</v>
      </c>
    </row>
    <row r="29" spans="1:15" x14ac:dyDescent="0.25">
      <c r="A29" s="131" t="s">
        <v>443</v>
      </c>
      <c r="E29" s="61" t="s">
        <v>209</v>
      </c>
      <c r="F29" s="26" t="s">
        <v>199</v>
      </c>
      <c r="G29" s="26" t="s">
        <v>201</v>
      </c>
      <c r="H29" s="26" t="s">
        <v>204</v>
      </c>
    </row>
    <row r="30" spans="1:15" x14ac:dyDescent="0.25">
      <c r="A30" s="131" t="s">
        <v>444</v>
      </c>
      <c r="E30" s="61" t="s">
        <v>202</v>
      </c>
      <c r="F30" s="26" t="s">
        <v>199</v>
      </c>
      <c r="G30" s="26" t="s">
        <v>205</v>
      </c>
      <c r="H30" s="26" t="s">
        <v>208</v>
      </c>
    </row>
    <row r="31" spans="1:15" x14ac:dyDescent="0.25">
      <c r="A31" s="131" t="s">
        <v>445</v>
      </c>
      <c r="E31" s="61" t="s">
        <v>206</v>
      </c>
      <c r="F31" s="26" t="s">
        <v>199</v>
      </c>
      <c r="G31" s="26" t="s">
        <v>415</v>
      </c>
      <c r="H31" s="26" t="s">
        <v>207</v>
      </c>
    </row>
    <row r="32" spans="1:15" x14ac:dyDescent="0.25">
      <c r="A32" s="131" t="s">
        <v>459</v>
      </c>
      <c r="E32" s="61" t="s">
        <v>211</v>
      </c>
      <c r="F32" s="26" t="s">
        <v>199</v>
      </c>
      <c r="G32" s="26" t="s">
        <v>420</v>
      </c>
      <c r="H32" s="26" t="s">
        <v>207</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Equation" shapeId="35841" r:id="rId4">
          <objectPr defaultSize="0" autoPict="0" r:id="rId5">
            <anchor>
              <from>
                <xdr:col>1</xdr:col>
                <xdr:colOff>381000</xdr:colOff>
                <xdr:row>12</xdr:row>
                <xdr:rowOff>19050</xdr:rowOff>
              </from>
              <to>
                <xdr:col>9</xdr:col>
                <xdr:colOff>342900</xdr:colOff>
                <xdr:row>17</xdr:row>
                <xdr:rowOff>104775</xdr:rowOff>
              </to>
            </anchor>
          </objectPr>
        </oleObject>
      </mc:Choice>
      <mc:Fallback>
        <oleObject progId="Equation" shapeId="35841" r:id="rId4"/>
      </mc:Fallback>
    </mc:AlternateContent>
    <mc:AlternateContent xmlns:mc="http://schemas.openxmlformats.org/markup-compatibility/2006">
      <mc:Choice Requires="x14">
        <oleObject progId="Equation" shapeId="35842" r:id="rId6">
          <objectPr defaultSize="0" autoPict="0" r:id="rId7">
            <anchor>
              <from>
                <xdr:col>1</xdr:col>
                <xdr:colOff>352425</xdr:colOff>
                <xdr:row>0</xdr:row>
                <xdr:rowOff>0</xdr:rowOff>
              </from>
              <to>
                <xdr:col>9</xdr:col>
                <xdr:colOff>85725</xdr:colOff>
                <xdr:row>6</xdr:row>
                <xdr:rowOff>76200</xdr:rowOff>
              </to>
            </anchor>
          </objectPr>
        </oleObject>
      </mc:Choice>
      <mc:Fallback>
        <oleObject progId="Equation" shapeId="35842" r:id="rId6"/>
      </mc:Fallback>
    </mc:AlternateContent>
    <mc:AlternateContent xmlns:mc="http://schemas.openxmlformats.org/markup-compatibility/2006">
      <mc:Choice Requires="x14">
        <oleObject progId="Equation" shapeId="35843" r:id="rId8">
          <objectPr defaultSize="0" autoPict="0" r:id="rId9">
            <anchor>
              <from>
                <xdr:col>1</xdr:col>
                <xdr:colOff>381000</xdr:colOff>
                <xdr:row>17</xdr:row>
                <xdr:rowOff>142875</xdr:rowOff>
              </from>
              <to>
                <xdr:col>9</xdr:col>
                <xdr:colOff>361950</xdr:colOff>
                <xdr:row>23</xdr:row>
                <xdr:rowOff>47625</xdr:rowOff>
              </to>
            </anchor>
          </objectPr>
        </oleObject>
      </mc:Choice>
      <mc:Fallback>
        <oleObject progId="Equation" shapeId="35843" r:id="rId8"/>
      </mc:Fallback>
    </mc:AlternateContent>
    <mc:AlternateContent xmlns:mc="http://schemas.openxmlformats.org/markup-compatibility/2006">
      <mc:Choice Requires="x14">
        <oleObject progId="Equation" shapeId="35844" r:id="rId10">
          <objectPr defaultSize="0" autoPict="0" r:id="rId11">
            <anchor>
              <from>
                <xdr:col>1</xdr:col>
                <xdr:colOff>381000</xdr:colOff>
                <xdr:row>6</xdr:row>
                <xdr:rowOff>114300</xdr:rowOff>
              </from>
              <to>
                <xdr:col>9</xdr:col>
                <xdr:colOff>133350</xdr:colOff>
                <xdr:row>12</xdr:row>
                <xdr:rowOff>19050</xdr:rowOff>
              </to>
            </anchor>
          </objectPr>
        </oleObject>
      </mc:Choice>
      <mc:Fallback>
        <oleObject progId="Equation" shapeId="35844" r:id="rId10"/>
      </mc:Fallback>
    </mc:AlternateContent>
  </oleObjec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0000FF"/>
  </sheetPr>
  <dimension ref="A1:H167"/>
  <sheetViews>
    <sheetView zoomScale="87" zoomScaleNormal="87" workbookViewId="0">
      <selection activeCell="B10" sqref="B10"/>
    </sheetView>
  </sheetViews>
  <sheetFormatPr defaultRowHeight="15" x14ac:dyDescent="0.25"/>
  <cols>
    <col min="1" max="1" width="12.7109375" customWidth="1"/>
    <col min="2" max="2" width="17" customWidth="1"/>
    <col min="3" max="3" width="14.42578125" customWidth="1"/>
    <col min="4" max="4" width="12.5703125" customWidth="1"/>
    <col min="5" max="5" width="17" customWidth="1"/>
    <col min="6" max="6" width="14.42578125" customWidth="1"/>
    <col min="7" max="7" width="12.5703125" customWidth="1"/>
    <col min="11" max="11" width="5" bestFit="1" customWidth="1"/>
    <col min="13" max="13" width="17" customWidth="1"/>
    <col min="14" max="14" width="8.28515625" bestFit="1" customWidth="1"/>
  </cols>
  <sheetData>
    <row r="1" spans="1:7" ht="18.75" x14ac:dyDescent="0.3">
      <c r="A1" s="273" t="s">
        <v>441</v>
      </c>
      <c r="B1" s="274"/>
      <c r="C1" s="274"/>
      <c r="D1" s="274"/>
      <c r="E1" s="274"/>
      <c r="F1" s="274"/>
      <c r="G1" s="274"/>
    </row>
    <row r="2" spans="1:7" ht="18.75" x14ac:dyDescent="0.3">
      <c r="A2" s="270" t="s">
        <v>442</v>
      </c>
      <c r="B2" s="271"/>
      <c r="C2" s="271"/>
      <c r="D2" s="271"/>
      <c r="E2" s="271"/>
      <c r="F2" s="271"/>
      <c r="G2" s="272"/>
    </row>
    <row r="3" spans="1:7" ht="18.75" x14ac:dyDescent="0.3">
      <c r="A3" s="273" t="s">
        <v>402</v>
      </c>
      <c r="B3" s="274"/>
      <c r="C3" s="274"/>
      <c r="D3" s="274"/>
      <c r="E3" s="274"/>
      <c r="F3" s="274"/>
      <c r="G3" s="274"/>
    </row>
    <row r="4" spans="1:7" ht="18.75" x14ac:dyDescent="0.3">
      <c r="A4" s="270" t="s">
        <v>446</v>
      </c>
      <c r="B4" s="271"/>
      <c r="C4" s="271"/>
      <c r="D4" s="271"/>
      <c r="E4" s="271"/>
      <c r="F4" s="271"/>
      <c r="G4" s="272"/>
    </row>
    <row r="5" spans="1:7" ht="18.75" x14ac:dyDescent="0.3">
      <c r="A5" s="270" t="s">
        <v>443</v>
      </c>
      <c r="B5" s="271"/>
      <c r="C5" s="271"/>
      <c r="D5" s="271"/>
      <c r="E5" s="271"/>
      <c r="F5" s="271"/>
      <c r="G5" s="272"/>
    </row>
    <row r="6" spans="1:7" ht="18.75" x14ac:dyDescent="0.3">
      <c r="A6" s="270" t="s">
        <v>444</v>
      </c>
      <c r="B6" s="271"/>
      <c r="C6" s="271"/>
      <c r="D6" s="271"/>
      <c r="E6" s="271"/>
      <c r="F6" s="271"/>
      <c r="G6" s="272"/>
    </row>
    <row r="7" spans="1:7" ht="18.75" x14ac:dyDescent="0.3">
      <c r="A7" s="270" t="s">
        <v>445</v>
      </c>
      <c r="B7" s="271"/>
      <c r="C7" s="271"/>
      <c r="D7" s="271"/>
      <c r="E7" s="271"/>
      <c r="F7" s="271"/>
      <c r="G7" s="272"/>
    </row>
    <row r="9" spans="1:7" ht="34.5" customHeight="1" x14ac:dyDescent="0.3">
      <c r="A9" s="273" t="s">
        <v>865</v>
      </c>
      <c r="B9" s="274"/>
      <c r="C9" s="274"/>
      <c r="D9" s="274"/>
      <c r="E9" s="274"/>
      <c r="F9" s="274"/>
      <c r="G9" s="274"/>
    </row>
    <row r="10" spans="1:7" x14ac:dyDescent="0.25">
      <c r="A10" s="26" t="s">
        <v>375</v>
      </c>
      <c r="B10" s="60"/>
      <c r="E10" s="60"/>
    </row>
    <row r="11" spans="1:7" x14ac:dyDescent="0.25">
      <c r="A11" s="26" t="s">
        <v>482</v>
      </c>
      <c r="B11" s="60"/>
      <c r="E11" s="60"/>
      <c r="F11" t="s">
        <v>483</v>
      </c>
    </row>
    <row r="12" spans="1:7" x14ac:dyDescent="0.25">
      <c r="A12" s="26" t="s">
        <v>484</v>
      </c>
      <c r="B12" s="60"/>
      <c r="E12" s="60"/>
      <c r="F12" t="s">
        <v>485</v>
      </c>
    </row>
    <row r="13" spans="1:7" ht="33" x14ac:dyDescent="0.35">
      <c r="A13" s="90" t="s">
        <v>395</v>
      </c>
      <c r="B13" s="90" t="s">
        <v>559</v>
      </c>
      <c r="C13" s="263" t="s">
        <v>1137</v>
      </c>
      <c r="D13" s="263" t="s">
        <v>1138</v>
      </c>
      <c r="E13" s="90" t="s">
        <v>557</v>
      </c>
      <c r="F13" s="263" t="s">
        <v>1137</v>
      </c>
      <c r="G13" s="263" t="s">
        <v>1138</v>
      </c>
    </row>
    <row r="14" spans="1:7" x14ac:dyDescent="0.25">
      <c r="A14" s="110" t="s">
        <v>350</v>
      </c>
      <c r="B14" s="26">
        <v>4</v>
      </c>
      <c r="C14" s="139"/>
      <c r="D14" s="139"/>
      <c r="E14" s="26">
        <v>10</v>
      </c>
      <c r="F14" s="139"/>
      <c r="G14" s="139"/>
    </row>
    <row r="15" spans="1:7" x14ac:dyDescent="0.25">
      <c r="A15" s="110" t="s">
        <v>351</v>
      </c>
      <c r="B15" s="26">
        <v>6</v>
      </c>
      <c r="C15" s="139"/>
      <c r="D15" s="139"/>
      <c r="E15" s="26">
        <v>11</v>
      </c>
      <c r="F15" s="139"/>
      <c r="G15" s="139"/>
    </row>
    <row r="16" spans="1:7" x14ac:dyDescent="0.25">
      <c r="A16" s="110" t="s">
        <v>352</v>
      </c>
      <c r="B16" s="26">
        <v>12</v>
      </c>
      <c r="C16" s="139"/>
      <c r="D16" s="139"/>
      <c r="E16" s="26">
        <v>9</v>
      </c>
      <c r="F16" s="139"/>
      <c r="G16" s="139"/>
    </row>
    <row r="17" spans="1:8" x14ac:dyDescent="0.25">
      <c r="A17" s="110" t="s">
        <v>353</v>
      </c>
      <c r="B17" s="26">
        <v>11</v>
      </c>
      <c r="C17" s="139"/>
      <c r="D17" s="139"/>
      <c r="E17" s="26">
        <v>9</v>
      </c>
      <c r="F17" s="139"/>
      <c r="G17" s="139"/>
    </row>
    <row r="18" spans="1:8" x14ac:dyDescent="0.25">
      <c r="A18" s="110" t="s">
        <v>354</v>
      </c>
      <c r="B18" s="26">
        <v>13</v>
      </c>
      <c r="C18" s="139"/>
      <c r="D18" s="139"/>
      <c r="E18" s="26">
        <v>10</v>
      </c>
      <c r="F18" s="139"/>
      <c r="G18" s="139"/>
    </row>
    <row r="19" spans="1:8" x14ac:dyDescent="0.25">
      <c r="A19" s="110" t="s">
        <v>355</v>
      </c>
      <c r="B19" s="26">
        <v>16</v>
      </c>
      <c r="C19" s="139"/>
      <c r="D19" s="139"/>
      <c r="E19" s="26">
        <v>8</v>
      </c>
      <c r="F19" s="139"/>
      <c r="G19" s="139"/>
    </row>
    <row r="20" spans="1:8" x14ac:dyDescent="0.25">
      <c r="A20" s="110" t="s">
        <v>356</v>
      </c>
      <c r="B20" s="26">
        <v>5</v>
      </c>
      <c r="C20" s="139"/>
      <c r="D20" s="139"/>
      <c r="E20" s="26">
        <v>9</v>
      </c>
      <c r="F20" s="139"/>
      <c r="G20" s="139"/>
    </row>
    <row r="21" spans="1:8" x14ac:dyDescent="0.25">
      <c r="A21" s="110" t="s">
        <v>357</v>
      </c>
      <c r="B21" s="26">
        <v>8</v>
      </c>
      <c r="C21" s="139"/>
      <c r="D21" s="139"/>
      <c r="E21" s="26">
        <v>10</v>
      </c>
      <c r="F21" s="139"/>
      <c r="G21" s="139"/>
    </row>
    <row r="22" spans="1:8" x14ac:dyDescent="0.25">
      <c r="A22" s="110" t="s">
        <v>358</v>
      </c>
      <c r="B22" s="26">
        <v>9</v>
      </c>
      <c r="C22" s="139"/>
      <c r="D22" s="139"/>
      <c r="E22" s="26">
        <v>10</v>
      </c>
      <c r="F22" s="139"/>
      <c r="G22" s="139"/>
    </row>
    <row r="23" spans="1:8" x14ac:dyDescent="0.25">
      <c r="A23" s="110" t="s">
        <v>359</v>
      </c>
      <c r="B23" s="26">
        <v>6</v>
      </c>
      <c r="C23" s="139"/>
      <c r="D23" s="139"/>
      <c r="E23" s="26">
        <v>9</v>
      </c>
      <c r="F23" s="139"/>
      <c r="G23" s="139"/>
    </row>
    <row r="24" spans="1:8" x14ac:dyDescent="0.25">
      <c r="A24" s="110" t="s">
        <v>360</v>
      </c>
      <c r="B24" s="26">
        <v>8</v>
      </c>
      <c r="C24" s="139"/>
      <c r="D24" s="139"/>
      <c r="E24" s="26">
        <v>8</v>
      </c>
      <c r="F24" s="139"/>
      <c r="G24" s="139"/>
    </row>
    <row r="25" spans="1:8" x14ac:dyDescent="0.25">
      <c r="A25" s="110" t="s">
        <v>361</v>
      </c>
      <c r="B25" s="26">
        <v>6</v>
      </c>
      <c r="C25" s="139"/>
      <c r="D25" s="139"/>
      <c r="E25" s="26">
        <v>9</v>
      </c>
      <c r="F25" s="139"/>
      <c r="G25" s="139"/>
    </row>
    <row r="26" spans="1:8" x14ac:dyDescent="0.25">
      <c r="A26" s="110" t="s">
        <v>362</v>
      </c>
      <c r="B26" s="26">
        <v>12</v>
      </c>
      <c r="C26" s="139"/>
      <c r="D26" s="139"/>
      <c r="E26" s="26">
        <v>6</v>
      </c>
      <c r="F26" s="139"/>
      <c r="G26" s="139"/>
    </row>
    <row r="27" spans="1:8" x14ac:dyDescent="0.25">
      <c r="A27" s="110" t="s">
        <v>363</v>
      </c>
      <c r="B27" s="26">
        <v>6</v>
      </c>
      <c r="C27" s="139"/>
      <c r="D27" s="139"/>
      <c r="E27" s="26">
        <v>8</v>
      </c>
      <c r="F27" s="139"/>
      <c r="G27" s="139"/>
    </row>
    <row r="28" spans="1:8" x14ac:dyDescent="0.25">
      <c r="A28" s="110" t="s">
        <v>364</v>
      </c>
      <c r="B28" s="26">
        <v>13</v>
      </c>
      <c r="C28" s="139"/>
      <c r="D28" s="139"/>
      <c r="E28" s="26">
        <v>9</v>
      </c>
      <c r="F28" s="139"/>
      <c r="G28" s="139"/>
    </row>
    <row r="29" spans="1:8" x14ac:dyDescent="0.25">
      <c r="B29" s="89" t="s">
        <v>165</v>
      </c>
      <c r="C29" s="139"/>
      <c r="D29" s="139"/>
      <c r="E29" s="140"/>
      <c r="F29" s="139"/>
      <c r="G29" s="139"/>
    </row>
    <row r="30" spans="1:8" x14ac:dyDescent="0.25">
      <c r="A30" t="s">
        <v>492</v>
      </c>
      <c r="C30" s="140"/>
      <c r="D30" s="140"/>
      <c r="E30" s="140"/>
      <c r="F30" s="140"/>
      <c r="G30" s="140"/>
    </row>
    <row r="31" spans="1:8" x14ac:dyDescent="0.25">
      <c r="A31" t="s">
        <v>493</v>
      </c>
    </row>
    <row r="32" spans="1:8" ht="17.25" x14ac:dyDescent="0.25">
      <c r="B32" s="138" t="s">
        <v>486</v>
      </c>
      <c r="C32" s="141"/>
      <c r="D32" s="142"/>
      <c r="E32" s="140"/>
      <c r="F32" s="140"/>
      <c r="G32" s="142"/>
      <c r="H32" t="s">
        <v>487</v>
      </c>
    </row>
    <row r="33" spans="2:8" ht="17.25" x14ac:dyDescent="0.25">
      <c r="B33" s="138" t="s">
        <v>486</v>
      </c>
      <c r="C33" s="141"/>
      <c r="D33" s="142"/>
      <c r="E33" s="140"/>
      <c r="F33" s="140"/>
      <c r="G33" s="142"/>
      <c r="H33" t="s">
        <v>496</v>
      </c>
    </row>
    <row r="34" spans="2:8" x14ac:dyDescent="0.25">
      <c r="B34" s="138" t="s">
        <v>488</v>
      </c>
      <c r="C34" s="141"/>
      <c r="D34" s="142"/>
      <c r="E34" s="140"/>
      <c r="F34" s="140"/>
      <c r="G34" s="142"/>
      <c r="H34" t="s">
        <v>489</v>
      </c>
    </row>
    <row r="35" spans="2:8" x14ac:dyDescent="0.25">
      <c r="C35" s="140"/>
      <c r="D35" s="142"/>
      <c r="E35" s="140"/>
      <c r="F35" s="140"/>
      <c r="G35" s="142"/>
      <c r="H35" t="s">
        <v>490</v>
      </c>
    </row>
    <row r="36" spans="2:8" x14ac:dyDescent="0.25">
      <c r="C36" s="140"/>
      <c r="D36" s="140"/>
      <c r="E36" s="140"/>
      <c r="F36" s="140"/>
      <c r="G36" s="140"/>
      <c r="H36" t="s">
        <v>491</v>
      </c>
    </row>
    <row r="37" spans="2:8" x14ac:dyDescent="0.25">
      <c r="H37" t="s">
        <v>866</v>
      </c>
    </row>
    <row r="62" spans="1:5" x14ac:dyDescent="0.25">
      <c r="A62" s="135" t="s">
        <v>479</v>
      </c>
      <c r="B62" s="135"/>
      <c r="C62" s="135"/>
      <c r="D62" s="135"/>
      <c r="E62" s="135"/>
    </row>
    <row r="68" spans="1:6" x14ac:dyDescent="0.25">
      <c r="A68" s="26" t="s">
        <v>375</v>
      </c>
      <c r="B68" s="60">
        <f>COUNT(B72:B86)</f>
        <v>15</v>
      </c>
      <c r="E68" s="60">
        <f>COUNT(E72:E86)</f>
        <v>15</v>
      </c>
    </row>
    <row r="69" spans="1:6" x14ac:dyDescent="0.25">
      <c r="A69" s="26" t="s">
        <v>482</v>
      </c>
      <c r="B69" s="60">
        <f>B68-1</f>
        <v>14</v>
      </c>
      <c r="E69" s="60">
        <f>E68-1</f>
        <v>14</v>
      </c>
    </row>
    <row r="70" spans="1:6" x14ac:dyDescent="0.25">
      <c r="A70" s="26" t="s">
        <v>484</v>
      </c>
      <c r="B70" s="60">
        <f>AVERAGE(B72:B86)</f>
        <v>9</v>
      </c>
      <c r="E70" s="60">
        <f>AVERAGE(E72:E86)</f>
        <v>9</v>
      </c>
    </row>
    <row r="71" spans="1:6" ht="31.5" x14ac:dyDescent="0.35">
      <c r="A71" s="90" t="s">
        <v>395</v>
      </c>
      <c r="B71" s="90" t="s">
        <v>559</v>
      </c>
      <c r="C71" s="137" t="s">
        <v>494</v>
      </c>
      <c r="E71" s="90" t="s">
        <v>557</v>
      </c>
      <c r="F71" s="137" t="s">
        <v>494</v>
      </c>
    </row>
    <row r="72" spans="1:6" x14ac:dyDescent="0.25">
      <c r="A72" s="110" t="s">
        <v>350</v>
      </c>
      <c r="B72" s="26">
        <v>4</v>
      </c>
      <c r="C72" s="139">
        <f t="shared" ref="C72:C86" si="0">B72^2</f>
        <v>16</v>
      </c>
      <c r="E72" s="26">
        <v>10</v>
      </c>
      <c r="F72" s="139">
        <f t="shared" ref="F72:F86" si="1">E72^2</f>
        <v>100</v>
      </c>
    </row>
    <row r="73" spans="1:6" x14ac:dyDescent="0.25">
      <c r="A73" s="110" t="s">
        <v>351</v>
      </c>
      <c r="B73" s="26">
        <v>6</v>
      </c>
      <c r="C73" s="139">
        <f t="shared" si="0"/>
        <v>36</v>
      </c>
      <c r="E73" s="26">
        <v>11</v>
      </c>
      <c r="F73" s="139">
        <f t="shared" si="1"/>
        <v>121</v>
      </c>
    </row>
    <row r="74" spans="1:6" x14ac:dyDescent="0.25">
      <c r="A74" s="110" t="s">
        <v>352</v>
      </c>
      <c r="B74" s="26">
        <v>12</v>
      </c>
      <c r="C74" s="139">
        <f t="shared" si="0"/>
        <v>144</v>
      </c>
      <c r="E74" s="26">
        <v>9</v>
      </c>
      <c r="F74" s="139">
        <f t="shared" si="1"/>
        <v>81</v>
      </c>
    </row>
    <row r="75" spans="1:6" x14ac:dyDescent="0.25">
      <c r="A75" s="110" t="s">
        <v>353</v>
      </c>
      <c r="B75" s="26">
        <v>11</v>
      </c>
      <c r="C75" s="139">
        <f t="shared" si="0"/>
        <v>121</v>
      </c>
      <c r="E75" s="26">
        <v>9</v>
      </c>
      <c r="F75" s="139">
        <f t="shared" si="1"/>
        <v>81</v>
      </c>
    </row>
    <row r="76" spans="1:6" x14ac:dyDescent="0.25">
      <c r="A76" s="110" t="s">
        <v>354</v>
      </c>
      <c r="B76" s="26">
        <v>13</v>
      </c>
      <c r="C76" s="139">
        <f t="shared" si="0"/>
        <v>169</v>
      </c>
      <c r="E76" s="26">
        <v>10</v>
      </c>
      <c r="F76" s="139">
        <f t="shared" si="1"/>
        <v>100</v>
      </c>
    </row>
    <row r="77" spans="1:6" x14ac:dyDescent="0.25">
      <c r="A77" s="110" t="s">
        <v>355</v>
      </c>
      <c r="B77" s="26">
        <v>16</v>
      </c>
      <c r="C77" s="139">
        <f t="shared" si="0"/>
        <v>256</v>
      </c>
      <c r="E77" s="26">
        <v>8</v>
      </c>
      <c r="F77" s="139">
        <f t="shared" si="1"/>
        <v>64</v>
      </c>
    </row>
    <row r="78" spans="1:6" x14ac:dyDescent="0.25">
      <c r="A78" s="110" t="s">
        <v>356</v>
      </c>
      <c r="B78" s="26">
        <v>5</v>
      </c>
      <c r="C78" s="139">
        <f t="shared" si="0"/>
        <v>25</v>
      </c>
      <c r="E78" s="26">
        <v>9</v>
      </c>
      <c r="F78" s="139">
        <f t="shared" si="1"/>
        <v>81</v>
      </c>
    </row>
    <row r="79" spans="1:6" x14ac:dyDescent="0.25">
      <c r="A79" s="110" t="s">
        <v>357</v>
      </c>
      <c r="B79" s="26">
        <v>8</v>
      </c>
      <c r="C79" s="139">
        <f t="shared" si="0"/>
        <v>64</v>
      </c>
      <c r="E79" s="26">
        <v>10</v>
      </c>
      <c r="F79" s="139">
        <f t="shared" si="1"/>
        <v>100</v>
      </c>
    </row>
    <row r="80" spans="1:6" x14ac:dyDescent="0.25">
      <c r="A80" s="110" t="s">
        <v>358</v>
      </c>
      <c r="B80" s="26">
        <v>9</v>
      </c>
      <c r="C80" s="139">
        <f t="shared" si="0"/>
        <v>81</v>
      </c>
      <c r="E80" s="26">
        <v>10</v>
      </c>
      <c r="F80" s="139">
        <f t="shared" si="1"/>
        <v>100</v>
      </c>
    </row>
    <row r="81" spans="1:7" x14ac:dyDescent="0.25">
      <c r="A81" s="110" t="s">
        <v>359</v>
      </c>
      <c r="B81" s="26">
        <v>6</v>
      </c>
      <c r="C81" s="139">
        <f t="shared" si="0"/>
        <v>36</v>
      </c>
      <c r="E81" s="26">
        <v>9</v>
      </c>
      <c r="F81" s="139">
        <f t="shared" si="1"/>
        <v>81</v>
      </c>
    </row>
    <row r="82" spans="1:7" x14ac:dyDescent="0.25">
      <c r="A82" s="110" t="s">
        <v>360</v>
      </c>
      <c r="B82" s="26">
        <v>8</v>
      </c>
      <c r="C82" s="139">
        <f t="shared" si="0"/>
        <v>64</v>
      </c>
      <c r="E82" s="26">
        <v>8</v>
      </c>
      <c r="F82" s="139">
        <f t="shared" si="1"/>
        <v>64</v>
      </c>
    </row>
    <row r="83" spans="1:7" x14ac:dyDescent="0.25">
      <c r="A83" s="110" t="s">
        <v>361</v>
      </c>
      <c r="B83" s="26">
        <v>6</v>
      </c>
      <c r="C83" s="139">
        <f t="shared" si="0"/>
        <v>36</v>
      </c>
      <c r="E83" s="26">
        <v>9</v>
      </c>
      <c r="F83" s="139">
        <f t="shared" si="1"/>
        <v>81</v>
      </c>
    </row>
    <row r="84" spans="1:7" x14ac:dyDescent="0.25">
      <c r="A84" s="110" t="s">
        <v>362</v>
      </c>
      <c r="B84" s="26">
        <v>12</v>
      </c>
      <c r="C84" s="139">
        <f t="shared" si="0"/>
        <v>144</v>
      </c>
      <c r="E84" s="26">
        <v>6</v>
      </c>
      <c r="F84" s="139">
        <f t="shared" si="1"/>
        <v>36</v>
      </c>
    </row>
    <row r="85" spans="1:7" x14ac:dyDescent="0.25">
      <c r="A85" s="110" t="s">
        <v>363</v>
      </c>
      <c r="B85" s="26">
        <v>6</v>
      </c>
      <c r="C85" s="139">
        <f t="shared" si="0"/>
        <v>36</v>
      </c>
      <c r="E85" s="26">
        <v>8</v>
      </c>
      <c r="F85" s="139">
        <f t="shared" si="1"/>
        <v>64</v>
      </c>
    </row>
    <row r="86" spans="1:7" x14ac:dyDescent="0.25">
      <c r="A86" s="110" t="s">
        <v>364</v>
      </c>
      <c r="B86" s="26">
        <v>13</v>
      </c>
      <c r="C86" s="139">
        <f t="shared" si="0"/>
        <v>169</v>
      </c>
      <c r="E86" s="26">
        <v>9</v>
      </c>
      <c r="F86" s="139">
        <f t="shared" si="1"/>
        <v>81</v>
      </c>
    </row>
    <row r="88" spans="1:7" x14ac:dyDescent="0.25">
      <c r="B88" s="89" t="s">
        <v>165</v>
      </c>
      <c r="C88" s="139">
        <f>SUM(C72:C86)</f>
        <v>1397</v>
      </c>
      <c r="E88" s="89" t="s">
        <v>165</v>
      </c>
      <c r="F88" s="139">
        <f>SUM(F72:F86)</f>
        <v>1235</v>
      </c>
    </row>
    <row r="89" spans="1:7" x14ac:dyDescent="0.25">
      <c r="B89" s="89" t="s">
        <v>401</v>
      </c>
      <c r="C89" s="139">
        <f>SQRT((C88-B68*B70^2)/B69)</f>
        <v>3.6055512754639891</v>
      </c>
      <c r="E89" s="89" t="s">
        <v>401</v>
      </c>
      <c r="F89" s="139">
        <f>SQRT((F88-E68*E70^2)/E69)</f>
        <v>1.1952286093343936</v>
      </c>
    </row>
    <row r="92" spans="1:7" x14ac:dyDescent="0.25">
      <c r="A92" s="135" t="s">
        <v>480</v>
      </c>
      <c r="B92" s="135"/>
      <c r="C92" s="135"/>
      <c r="D92" s="135"/>
      <c r="E92" s="135"/>
      <c r="F92" s="135"/>
      <c r="G92" s="135"/>
    </row>
    <row r="97" spans="1:6" x14ac:dyDescent="0.25">
      <c r="A97" s="26" t="s">
        <v>375</v>
      </c>
      <c r="B97" s="60">
        <f>COUNT(B100:B114)</f>
        <v>15</v>
      </c>
      <c r="E97" s="60">
        <f>COUNT(E100:E114)</f>
        <v>15</v>
      </c>
    </row>
    <row r="98" spans="1:6" x14ac:dyDescent="0.25">
      <c r="A98" s="26" t="s">
        <v>484</v>
      </c>
      <c r="B98" s="60">
        <f>AVERAGE(B100:B114)</f>
        <v>9</v>
      </c>
      <c r="E98" s="60">
        <f>AVERAGE(E100:E114)</f>
        <v>9</v>
      </c>
    </row>
    <row r="99" spans="1:6" ht="30" x14ac:dyDescent="0.25">
      <c r="A99" s="90" t="s">
        <v>395</v>
      </c>
      <c r="B99" s="90" t="s">
        <v>559</v>
      </c>
      <c r="C99" s="137" t="s">
        <v>495</v>
      </c>
      <c r="E99" s="90" t="s">
        <v>557</v>
      </c>
      <c r="F99" s="137" t="s">
        <v>495</v>
      </c>
    </row>
    <row r="100" spans="1:6" x14ac:dyDescent="0.25">
      <c r="A100" s="110" t="s">
        <v>350</v>
      </c>
      <c r="B100" s="26">
        <v>4</v>
      </c>
      <c r="C100" s="139">
        <f t="shared" ref="C100:C114" si="2">ABS(B100-B$98)</f>
        <v>5</v>
      </c>
      <c r="E100" s="26">
        <v>10</v>
      </c>
      <c r="F100" s="139">
        <f t="shared" ref="F100:F114" si="3">ABS(E100-E$98)</f>
        <v>1</v>
      </c>
    </row>
    <row r="101" spans="1:6" x14ac:dyDescent="0.25">
      <c r="A101" s="110" t="s">
        <v>351</v>
      </c>
      <c r="B101" s="26">
        <v>6</v>
      </c>
      <c r="C101" s="139">
        <f t="shared" si="2"/>
        <v>3</v>
      </c>
      <c r="E101" s="26">
        <v>11</v>
      </c>
      <c r="F101" s="139">
        <f t="shared" si="3"/>
        <v>2</v>
      </c>
    </row>
    <row r="102" spans="1:6" x14ac:dyDescent="0.25">
      <c r="A102" s="110" t="s">
        <v>352</v>
      </c>
      <c r="B102" s="26">
        <v>12</v>
      </c>
      <c r="C102" s="139">
        <f t="shared" si="2"/>
        <v>3</v>
      </c>
      <c r="E102" s="26">
        <v>9</v>
      </c>
      <c r="F102" s="139">
        <f t="shared" si="3"/>
        <v>0</v>
      </c>
    </row>
    <row r="103" spans="1:6" x14ac:dyDescent="0.25">
      <c r="A103" s="110" t="s">
        <v>353</v>
      </c>
      <c r="B103" s="26">
        <v>11</v>
      </c>
      <c r="C103" s="139">
        <f t="shared" si="2"/>
        <v>2</v>
      </c>
      <c r="E103" s="26">
        <v>9</v>
      </c>
      <c r="F103" s="139">
        <f t="shared" si="3"/>
        <v>0</v>
      </c>
    </row>
    <row r="104" spans="1:6" x14ac:dyDescent="0.25">
      <c r="A104" s="110" t="s">
        <v>354</v>
      </c>
      <c r="B104" s="26">
        <v>13</v>
      </c>
      <c r="C104" s="139">
        <f t="shared" si="2"/>
        <v>4</v>
      </c>
      <c r="E104" s="26">
        <v>10</v>
      </c>
      <c r="F104" s="139">
        <f t="shared" si="3"/>
        <v>1</v>
      </c>
    </row>
    <row r="105" spans="1:6" x14ac:dyDescent="0.25">
      <c r="A105" s="110" t="s">
        <v>355</v>
      </c>
      <c r="B105" s="26">
        <v>16</v>
      </c>
      <c r="C105" s="139">
        <f t="shared" si="2"/>
        <v>7</v>
      </c>
      <c r="E105" s="26">
        <v>8</v>
      </c>
      <c r="F105" s="139">
        <f t="shared" si="3"/>
        <v>1</v>
      </c>
    </row>
    <row r="106" spans="1:6" x14ac:dyDescent="0.25">
      <c r="A106" s="110" t="s">
        <v>356</v>
      </c>
      <c r="B106" s="26">
        <v>5</v>
      </c>
      <c r="C106" s="139">
        <f t="shared" si="2"/>
        <v>4</v>
      </c>
      <c r="E106" s="26">
        <v>9</v>
      </c>
      <c r="F106" s="139">
        <f t="shared" si="3"/>
        <v>0</v>
      </c>
    </row>
    <row r="107" spans="1:6" x14ac:dyDescent="0.25">
      <c r="A107" s="110" t="s">
        <v>357</v>
      </c>
      <c r="B107" s="26">
        <v>8</v>
      </c>
      <c r="C107" s="139">
        <f t="shared" si="2"/>
        <v>1</v>
      </c>
      <c r="E107" s="26">
        <v>10</v>
      </c>
      <c r="F107" s="139">
        <f t="shared" si="3"/>
        <v>1</v>
      </c>
    </row>
    <row r="108" spans="1:6" x14ac:dyDescent="0.25">
      <c r="A108" s="110" t="s">
        <v>358</v>
      </c>
      <c r="B108" s="26">
        <v>9</v>
      </c>
      <c r="C108" s="139">
        <f t="shared" si="2"/>
        <v>0</v>
      </c>
      <c r="E108" s="26">
        <v>10</v>
      </c>
      <c r="F108" s="139">
        <f t="shared" si="3"/>
        <v>1</v>
      </c>
    </row>
    <row r="109" spans="1:6" x14ac:dyDescent="0.25">
      <c r="A109" s="110" t="s">
        <v>359</v>
      </c>
      <c r="B109" s="26">
        <v>6</v>
      </c>
      <c r="C109" s="139">
        <f t="shared" si="2"/>
        <v>3</v>
      </c>
      <c r="E109" s="26">
        <v>9</v>
      </c>
      <c r="F109" s="139">
        <f t="shared" si="3"/>
        <v>0</v>
      </c>
    </row>
    <row r="110" spans="1:6" x14ac:dyDescent="0.25">
      <c r="A110" s="110" t="s">
        <v>360</v>
      </c>
      <c r="B110" s="26">
        <v>8</v>
      </c>
      <c r="C110" s="139">
        <f t="shared" si="2"/>
        <v>1</v>
      </c>
      <c r="E110" s="26">
        <v>8</v>
      </c>
      <c r="F110" s="139">
        <f t="shared" si="3"/>
        <v>1</v>
      </c>
    </row>
    <row r="111" spans="1:6" x14ac:dyDescent="0.25">
      <c r="A111" s="110" t="s">
        <v>361</v>
      </c>
      <c r="B111" s="26">
        <v>6</v>
      </c>
      <c r="C111" s="139">
        <f t="shared" si="2"/>
        <v>3</v>
      </c>
      <c r="E111" s="26">
        <v>9</v>
      </c>
      <c r="F111" s="139">
        <f t="shared" si="3"/>
        <v>0</v>
      </c>
    </row>
    <row r="112" spans="1:6" x14ac:dyDescent="0.25">
      <c r="A112" s="110" t="s">
        <v>362</v>
      </c>
      <c r="B112" s="26">
        <v>12</v>
      </c>
      <c r="C112" s="139">
        <f t="shared" si="2"/>
        <v>3</v>
      </c>
      <c r="E112" s="26">
        <v>6</v>
      </c>
      <c r="F112" s="139">
        <f t="shared" si="3"/>
        <v>3</v>
      </c>
    </row>
    <row r="113" spans="1:7" x14ac:dyDescent="0.25">
      <c r="A113" s="110" t="s">
        <v>363</v>
      </c>
      <c r="B113" s="26">
        <v>6</v>
      </c>
      <c r="C113" s="139">
        <f t="shared" si="2"/>
        <v>3</v>
      </c>
      <c r="E113" s="26">
        <v>8</v>
      </c>
      <c r="F113" s="139">
        <f t="shared" si="3"/>
        <v>1</v>
      </c>
    </row>
    <row r="114" spans="1:7" x14ac:dyDescent="0.25">
      <c r="A114" s="110" t="s">
        <v>364</v>
      </c>
      <c r="B114" s="26">
        <v>13</v>
      </c>
      <c r="C114" s="139">
        <f t="shared" si="2"/>
        <v>4</v>
      </c>
      <c r="E114" s="26">
        <v>9</v>
      </c>
      <c r="F114" s="139">
        <f t="shared" si="3"/>
        <v>0</v>
      </c>
    </row>
    <row r="116" spans="1:7" x14ac:dyDescent="0.25">
      <c r="B116" s="89" t="s">
        <v>165</v>
      </c>
      <c r="C116" s="139">
        <f>SUM(C100:C114)</f>
        <v>46</v>
      </c>
      <c r="E116" s="89" t="s">
        <v>165</v>
      </c>
      <c r="F116" s="139">
        <f>SUM(F100:F114)</f>
        <v>12</v>
      </c>
    </row>
    <row r="117" spans="1:7" x14ac:dyDescent="0.25">
      <c r="B117" s="89" t="s">
        <v>401</v>
      </c>
      <c r="C117" s="139">
        <f>C116/B97</f>
        <v>3.0666666666666669</v>
      </c>
      <c r="E117" s="89" t="s">
        <v>401</v>
      </c>
      <c r="F117" s="139">
        <f>F116/E97</f>
        <v>0.8</v>
      </c>
    </row>
    <row r="118" spans="1:7" x14ac:dyDescent="0.25">
      <c r="C118" s="94">
        <f>AVEDEV(B100:B114
)</f>
        <v>3.0666666666666669</v>
      </c>
      <c r="F118" s="94">
        <f>AVEDEV(E100:E114
)</f>
        <v>0.8</v>
      </c>
      <c r="G118" t="s">
        <v>497</v>
      </c>
    </row>
    <row r="123" spans="1:7" ht="21" x14ac:dyDescent="0.35">
      <c r="A123" s="113" t="s">
        <v>560</v>
      </c>
      <c r="B123" s="113"/>
      <c r="C123" s="113"/>
      <c r="D123" s="113"/>
    </row>
    <row r="125" spans="1:7" ht="45" x14ac:dyDescent="0.25">
      <c r="A125" s="61" t="s">
        <v>349</v>
      </c>
      <c r="B125" s="61" t="s">
        <v>387</v>
      </c>
      <c r="C125" s="61" t="s">
        <v>388</v>
      </c>
    </row>
    <row r="126" spans="1:7" x14ac:dyDescent="0.25">
      <c r="A126" s="110">
        <v>41714</v>
      </c>
      <c r="B126" s="26">
        <v>55</v>
      </c>
      <c r="C126" s="26">
        <v>35</v>
      </c>
    </row>
    <row r="127" spans="1:7" x14ac:dyDescent="0.25">
      <c r="A127" s="110">
        <f>A126+7</f>
        <v>41721</v>
      </c>
      <c r="B127" s="26">
        <v>25</v>
      </c>
      <c r="C127" s="26">
        <v>34</v>
      </c>
    </row>
    <row r="128" spans="1:7" x14ac:dyDescent="0.25">
      <c r="A128" s="110">
        <f t="shared" ref="A128:A140" si="4">A127+7</f>
        <v>41728</v>
      </c>
      <c r="B128" s="26">
        <v>62</v>
      </c>
      <c r="C128" s="26">
        <v>36</v>
      </c>
    </row>
    <row r="129" spans="1:3" x14ac:dyDescent="0.25">
      <c r="A129" s="110">
        <f t="shared" si="4"/>
        <v>41735</v>
      </c>
      <c r="B129" s="26">
        <v>15</v>
      </c>
      <c r="C129" s="26">
        <v>37</v>
      </c>
    </row>
    <row r="130" spans="1:3" x14ac:dyDescent="0.25">
      <c r="A130" s="110">
        <f t="shared" si="4"/>
        <v>41742</v>
      </c>
      <c r="B130" s="26">
        <v>34</v>
      </c>
      <c r="C130" s="26">
        <v>43</v>
      </c>
    </row>
    <row r="131" spans="1:3" x14ac:dyDescent="0.25">
      <c r="A131" s="110">
        <f t="shared" si="4"/>
        <v>41749</v>
      </c>
      <c r="B131" s="26">
        <v>19</v>
      </c>
      <c r="C131" s="26">
        <v>32</v>
      </c>
    </row>
    <row r="132" spans="1:3" x14ac:dyDescent="0.25">
      <c r="A132" s="110">
        <f t="shared" si="4"/>
        <v>41756</v>
      </c>
      <c r="B132" s="26">
        <v>38</v>
      </c>
      <c r="C132" s="26">
        <v>33</v>
      </c>
    </row>
    <row r="133" spans="1:3" x14ac:dyDescent="0.25">
      <c r="A133" s="110">
        <f t="shared" si="4"/>
        <v>41763</v>
      </c>
      <c r="B133" s="26">
        <v>29</v>
      </c>
      <c r="C133" s="26">
        <v>35</v>
      </c>
    </row>
    <row r="134" spans="1:3" x14ac:dyDescent="0.25">
      <c r="A134" s="110">
        <f t="shared" si="4"/>
        <v>41770</v>
      </c>
      <c r="B134" s="26">
        <v>64</v>
      </c>
      <c r="C134" s="26">
        <v>36</v>
      </c>
    </row>
    <row r="135" spans="1:3" x14ac:dyDescent="0.25">
      <c r="A135" s="110">
        <f t="shared" si="4"/>
        <v>41777</v>
      </c>
      <c r="B135" s="26">
        <v>31</v>
      </c>
      <c r="C135" s="26">
        <v>37</v>
      </c>
    </row>
    <row r="136" spans="1:3" x14ac:dyDescent="0.25">
      <c r="A136" s="110">
        <f t="shared" si="4"/>
        <v>41784</v>
      </c>
      <c r="B136" s="26">
        <v>59</v>
      </c>
      <c r="C136" s="26">
        <v>35</v>
      </c>
    </row>
    <row r="137" spans="1:3" x14ac:dyDescent="0.25">
      <c r="A137" s="110">
        <f t="shared" si="4"/>
        <v>41791</v>
      </c>
      <c r="B137" s="26">
        <v>12</v>
      </c>
      <c r="C137" s="26">
        <v>39</v>
      </c>
    </row>
    <row r="138" spans="1:3" x14ac:dyDescent="0.25">
      <c r="A138" s="110">
        <f t="shared" si="4"/>
        <v>41798</v>
      </c>
      <c r="B138" s="26">
        <v>15</v>
      </c>
      <c r="C138" s="26">
        <v>32</v>
      </c>
    </row>
    <row r="139" spans="1:3" x14ac:dyDescent="0.25">
      <c r="A139" s="110">
        <f t="shared" si="4"/>
        <v>41805</v>
      </c>
      <c r="B139" s="26">
        <v>42</v>
      </c>
      <c r="C139" s="26">
        <v>31</v>
      </c>
    </row>
    <row r="140" spans="1:3" ht="15.75" thickBot="1" x14ac:dyDescent="0.3">
      <c r="A140" s="110">
        <f t="shared" si="4"/>
        <v>41812</v>
      </c>
      <c r="B140" s="26">
        <v>25</v>
      </c>
      <c r="C140" s="26">
        <v>30</v>
      </c>
    </row>
    <row r="141" spans="1:3" ht="15.75" thickBot="1" x14ac:dyDescent="0.3">
      <c r="A141" s="68" t="s">
        <v>85</v>
      </c>
      <c r="B141" s="111">
        <f t="shared" ref="B141:C141" si="5">AVERAGE(B126:B140)</f>
        <v>35</v>
      </c>
      <c r="C141" s="111">
        <f t="shared" si="5"/>
        <v>35</v>
      </c>
    </row>
    <row r="142" spans="1:3" ht="16.5" thickTop="1" thickBot="1" x14ac:dyDescent="0.3"/>
    <row r="143" spans="1:3" ht="15.75" thickBot="1" x14ac:dyDescent="0.3">
      <c r="A143" s="68" t="s">
        <v>640</v>
      </c>
      <c r="B143" s="111"/>
      <c r="C143" s="111"/>
    </row>
    <row r="144" spans="1:3" ht="15.75" thickTop="1" x14ac:dyDescent="0.25"/>
    <row r="146" spans="1:5" ht="21" x14ac:dyDescent="0.35">
      <c r="A146" s="113" t="s">
        <v>563</v>
      </c>
      <c r="B146" s="113"/>
      <c r="C146" s="113"/>
      <c r="D146" s="113"/>
      <c r="E146" s="113"/>
    </row>
    <row r="148" spans="1:5" ht="30" x14ac:dyDescent="0.25">
      <c r="A148" s="61" t="s">
        <v>951</v>
      </c>
      <c r="B148" s="61" t="s">
        <v>561</v>
      </c>
      <c r="C148" s="61" t="s">
        <v>562</v>
      </c>
    </row>
    <row r="149" spans="1:5" x14ac:dyDescent="0.25">
      <c r="A149" s="26" t="s">
        <v>564</v>
      </c>
      <c r="B149" s="153">
        <v>3.01</v>
      </c>
      <c r="C149" s="153">
        <v>3.86</v>
      </c>
    </row>
    <row r="150" spans="1:5" x14ac:dyDescent="0.25">
      <c r="A150" s="26" t="s">
        <v>565</v>
      </c>
      <c r="B150" s="153">
        <v>2.35</v>
      </c>
      <c r="C150" s="153">
        <v>2.93</v>
      </c>
    </row>
    <row r="151" spans="1:5" x14ac:dyDescent="0.25">
      <c r="A151" s="26" t="s">
        <v>566</v>
      </c>
      <c r="B151" s="153">
        <v>2.4700000000000002</v>
      </c>
      <c r="C151" s="153">
        <v>2.42</v>
      </c>
    </row>
    <row r="152" spans="1:5" x14ac:dyDescent="0.25">
      <c r="A152" s="26" t="s">
        <v>567</v>
      </c>
      <c r="B152" s="153">
        <v>2.48</v>
      </c>
      <c r="C152" s="153">
        <v>1.99</v>
      </c>
    </row>
    <row r="153" spans="1:5" x14ac:dyDescent="0.25">
      <c r="A153" s="26" t="s">
        <v>568</v>
      </c>
      <c r="B153" s="153">
        <v>2.2799999999999998</v>
      </c>
      <c r="C153" s="153">
        <v>2.5099999999999998</v>
      </c>
    </row>
    <row r="154" spans="1:5" x14ac:dyDescent="0.25">
      <c r="A154" s="26" t="s">
        <v>569</v>
      </c>
      <c r="B154" s="153">
        <v>2.6</v>
      </c>
      <c r="C154" s="153">
        <v>2.6</v>
      </c>
    </row>
    <row r="155" spans="1:5" x14ac:dyDescent="0.25">
      <c r="A155" s="26" t="s">
        <v>570</v>
      </c>
      <c r="B155" s="153">
        <v>3.31</v>
      </c>
      <c r="C155" s="153">
        <v>2.52</v>
      </c>
    </row>
    <row r="156" spans="1:5" x14ac:dyDescent="0.25">
      <c r="A156" s="26" t="s">
        <v>571</v>
      </c>
      <c r="B156" s="153">
        <v>2.37</v>
      </c>
      <c r="C156" s="153">
        <v>2.48</v>
      </c>
    </row>
    <row r="157" spans="1:5" x14ac:dyDescent="0.25">
      <c r="A157" s="26" t="s">
        <v>572</v>
      </c>
      <c r="B157" s="153">
        <v>2.52</v>
      </c>
      <c r="C157" s="153">
        <v>2.46</v>
      </c>
    </row>
    <row r="158" spans="1:5" x14ac:dyDescent="0.25">
      <c r="A158" s="26" t="s">
        <v>573</v>
      </c>
      <c r="B158" s="153">
        <v>2.5</v>
      </c>
      <c r="C158" s="153">
        <v>2.44</v>
      </c>
    </row>
    <row r="159" spans="1:5" x14ac:dyDescent="0.25">
      <c r="A159" s="26" t="s">
        <v>574</v>
      </c>
      <c r="B159" s="153">
        <v>2.37</v>
      </c>
      <c r="C159" s="153">
        <v>2.42</v>
      </c>
    </row>
    <row r="160" spans="1:5" x14ac:dyDescent="0.25">
      <c r="A160" s="26" t="s">
        <v>575</v>
      </c>
      <c r="B160" s="153">
        <v>3.01</v>
      </c>
      <c r="C160" s="153">
        <v>3.56</v>
      </c>
    </row>
    <row r="161" spans="1:3" x14ac:dyDescent="0.25">
      <c r="A161" s="26" t="s">
        <v>576</v>
      </c>
      <c r="B161" s="153">
        <v>2.36</v>
      </c>
      <c r="C161" s="153">
        <v>2.39</v>
      </c>
    </row>
    <row r="162" spans="1:3" x14ac:dyDescent="0.25">
      <c r="A162" s="26" t="s">
        <v>577</v>
      </c>
      <c r="B162" s="153">
        <v>2.4500000000000002</v>
      </c>
      <c r="C162" s="153">
        <v>2.79</v>
      </c>
    </row>
    <row r="163" spans="1:3" ht="15.75" thickBot="1" x14ac:dyDescent="0.3">
      <c r="A163" s="26" t="s">
        <v>578</v>
      </c>
      <c r="B163" s="154">
        <v>2.38</v>
      </c>
      <c r="C163" s="154">
        <v>2.58</v>
      </c>
    </row>
    <row r="164" spans="1:3" ht="15.75" thickBot="1" x14ac:dyDescent="0.3">
      <c r="A164" s="68" t="s">
        <v>198</v>
      </c>
      <c r="B164" s="247">
        <f t="shared" ref="B164:C164" si="6">AVERAGE(B149:B163)</f>
        <v>2.5640000000000005</v>
      </c>
      <c r="C164" s="247">
        <f t="shared" si="6"/>
        <v>2.6633333333333336</v>
      </c>
    </row>
    <row r="165" spans="1:3" ht="16.5" thickTop="1" thickBot="1" x14ac:dyDescent="0.3">
      <c r="A165" s="240"/>
    </row>
    <row r="166" spans="1:3" ht="15.75" thickBot="1" x14ac:dyDescent="0.3">
      <c r="A166" s="68" t="s">
        <v>640</v>
      </c>
      <c r="B166" s="247"/>
      <c r="C166" s="247"/>
    </row>
    <row r="167" spans="1:3" ht="15.75" thickTop="1" x14ac:dyDescent="0.25"/>
  </sheetData>
  <mergeCells count="8">
    <mergeCell ref="A7:G7"/>
    <mergeCell ref="A9:G9"/>
    <mergeCell ref="A1:G1"/>
    <mergeCell ref="A2:G2"/>
    <mergeCell ref="A3:G3"/>
    <mergeCell ref="A4:G4"/>
    <mergeCell ref="A5:G5"/>
    <mergeCell ref="A6:G6"/>
  </mergeCell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rgb="FFFF0000"/>
  </sheetPr>
  <dimension ref="A1:H167"/>
  <sheetViews>
    <sheetView zoomScale="87" zoomScaleNormal="87" workbookViewId="0">
      <selection activeCell="B10" sqref="B10"/>
    </sheetView>
  </sheetViews>
  <sheetFormatPr defaultRowHeight="15" x14ac:dyDescent="0.25"/>
  <cols>
    <col min="1" max="1" width="12.7109375" customWidth="1"/>
    <col min="2" max="2" width="17" customWidth="1"/>
    <col min="3" max="3" width="14.42578125" customWidth="1"/>
    <col min="4" max="4" width="12.5703125" customWidth="1"/>
    <col min="5" max="5" width="17" customWidth="1"/>
    <col min="6" max="6" width="14.42578125" customWidth="1"/>
    <col min="7" max="7" width="12.5703125" customWidth="1"/>
    <col min="11" max="11" width="5" bestFit="1" customWidth="1"/>
    <col min="13" max="13" width="17" customWidth="1"/>
    <col min="14" max="14" width="8.28515625" bestFit="1" customWidth="1"/>
  </cols>
  <sheetData>
    <row r="1" spans="1:7" ht="18.75" x14ac:dyDescent="0.3">
      <c r="A1" s="273" t="s">
        <v>441</v>
      </c>
      <c r="B1" s="274"/>
      <c r="C1" s="274"/>
      <c r="D1" s="274"/>
      <c r="E1" s="274"/>
      <c r="F1" s="274"/>
      <c r="G1" s="274"/>
    </row>
    <row r="2" spans="1:7" ht="18.75" x14ac:dyDescent="0.3">
      <c r="A2" s="270" t="s">
        <v>442</v>
      </c>
      <c r="B2" s="271"/>
      <c r="C2" s="271"/>
      <c r="D2" s="271"/>
      <c r="E2" s="271"/>
      <c r="F2" s="271"/>
      <c r="G2" s="272"/>
    </row>
    <row r="3" spans="1:7" ht="18.75" x14ac:dyDescent="0.3">
      <c r="A3" s="273" t="s">
        <v>402</v>
      </c>
      <c r="B3" s="274"/>
      <c r="C3" s="274"/>
      <c r="D3" s="274"/>
      <c r="E3" s="274"/>
      <c r="F3" s="274"/>
      <c r="G3" s="274"/>
    </row>
    <row r="4" spans="1:7" ht="18.75" x14ac:dyDescent="0.3">
      <c r="A4" s="270" t="s">
        <v>446</v>
      </c>
      <c r="B4" s="271"/>
      <c r="C4" s="271"/>
      <c r="D4" s="271"/>
      <c r="E4" s="271"/>
      <c r="F4" s="271"/>
      <c r="G4" s="272"/>
    </row>
    <row r="5" spans="1:7" ht="18.75" x14ac:dyDescent="0.3">
      <c r="A5" s="270" t="s">
        <v>443</v>
      </c>
      <c r="B5" s="271"/>
      <c r="C5" s="271"/>
      <c r="D5" s="271"/>
      <c r="E5" s="271"/>
      <c r="F5" s="271"/>
      <c r="G5" s="272"/>
    </row>
    <row r="6" spans="1:7" ht="18.75" x14ac:dyDescent="0.3">
      <c r="A6" s="270" t="s">
        <v>444</v>
      </c>
      <c r="B6" s="271"/>
      <c r="C6" s="271"/>
      <c r="D6" s="271"/>
      <c r="E6" s="271"/>
      <c r="F6" s="271"/>
      <c r="G6" s="272"/>
    </row>
    <row r="7" spans="1:7" ht="18.75" x14ac:dyDescent="0.3">
      <c r="A7" s="270" t="s">
        <v>445</v>
      </c>
      <c r="B7" s="271"/>
      <c r="C7" s="271"/>
      <c r="D7" s="271"/>
      <c r="E7" s="271"/>
      <c r="F7" s="271"/>
      <c r="G7" s="272"/>
    </row>
    <row r="9" spans="1:7" ht="34.5" customHeight="1" x14ac:dyDescent="0.3">
      <c r="A9" s="273" t="s">
        <v>865</v>
      </c>
      <c r="B9" s="274"/>
      <c r="C9" s="274"/>
      <c r="D9" s="274"/>
      <c r="E9" s="274"/>
      <c r="F9" s="274"/>
      <c r="G9" s="274"/>
    </row>
    <row r="10" spans="1:7" x14ac:dyDescent="0.25">
      <c r="A10" s="26" t="s">
        <v>375</v>
      </c>
      <c r="B10" s="60">
        <f>COUNT(B14:B28)</f>
        <v>15</v>
      </c>
      <c r="E10" s="60">
        <f>COUNT(E14:E28)</f>
        <v>15</v>
      </c>
    </row>
    <row r="11" spans="1:7" x14ac:dyDescent="0.25">
      <c r="A11" s="26" t="s">
        <v>482</v>
      </c>
      <c r="B11" s="60">
        <f>B10-1</f>
        <v>14</v>
      </c>
      <c r="E11" s="60">
        <f>E10-1</f>
        <v>14</v>
      </c>
      <c r="F11" t="s">
        <v>483</v>
      </c>
    </row>
    <row r="12" spans="1:7" x14ac:dyDescent="0.25">
      <c r="A12" s="26" t="s">
        <v>484</v>
      </c>
      <c r="B12" s="60">
        <f>AVERAGE(B14:B28)</f>
        <v>9</v>
      </c>
      <c r="E12" s="60">
        <f>AVERAGE(E14:E28)</f>
        <v>9</v>
      </c>
      <c r="F12" t="s">
        <v>485</v>
      </c>
    </row>
    <row r="13" spans="1:7" ht="33" x14ac:dyDescent="0.35">
      <c r="A13" s="90" t="s">
        <v>395</v>
      </c>
      <c r="B13" s="90" t="s">
        <v>559</v>
      </c>
      <c r="C13" s="263" t="s">
        <v>1137</v>
      </c>
      <c r="D13" s="263" t="s">
        <v>1138</v>
      </c>
      <c r="E13" s="90" t="s">
        <v>557</v>
      </c>
      <c r="F13" s="263" t="s">
        <v>1137</v>
      </c>
      <c r="G13" s="263" t="s">
        <v>1138</v>
      </c>
    </row>
    <row r="14" spans="1:7" x14ac:dyDescent="0.25">
      <c r="A14" s="110" t="s">
        <v>350</v>
      </c>
      <c r="B14" s="26">
        <v>4</v>
      </c>
      <c r="C14" s="139">
        <f t="shared" ref="C14:C28" si="0">B14-B$12</f>
        <v>-5</v>
      </c>
      <c r="D14" s="139">
        <f t="shared" ref="D14:D28" si="1">C14^2</f>
        <v>25</v>
      </c>
      <c r="E14" s="26">
        <v>10</v>
      </c>
      <c r="F14" s="139">
        <f t="shared" ref="F14:F28" si="2">E14-E$12</f>
        <v>1</v>
      </c>
      <c r="G14" s="139">
        <f t="shared" ref="G14:G28" si="3">F14^2</f>
        <v>1</v>
      </c>
    </row>
    <row r="15" spans="1:7" x14ac:dyDescent="0.25">
      <c r="A15" s="110" t="s">
        <v>351</v>
      </c>
      <c r="B15" s="26">
        <v>6</v>
      </c>
      <c r="C15" s="139">
        <f t="shared" si="0"/>
        <v>-3</v>
      </c>
      <c r="D15" s="139">
        <f t="shared" si="1"/>
        <v>9</v>
      </c>
      <c r="E15" s="26">
        <v>11</v>
      </c>
      <c r="F15" s="139">
        <f t="shared" si="2"/>
        <v>2</v>
      </c>
      <c r="G15" s="139">
        <f t="shared" si="3"/>
        <v>4</v>
      </c>
    </row>
    <row r="16" spans="1:7" x14ac:dyDescent="0.25">
      <c r="A16" s="110" t="s">
        <v>352</v>
      </c>
      <c r="B16" s="26">
        <v>12</v>
      </c>
      <c r="C16" s="139">
        <f t="shared" si="0"/>
        <v>3</v>
      </c>
      <c r="D16" s="139">
        <f t="shared" si="1"/>
        <v>9</v>
      </c>
      <c r="E16" s="26">
        <v>9</v>
      </c>
      <c r="F16" s="139">
        <f t="shared" si="2"/>
        <v>0</v>
      </c>
      <c r="G16" s="139">
        <f t="shared" si="3"/>
        <v>0</v>
      </c>
    </row>
    <row r="17" spans="1:8" x14ac:dyDescent="0.25">
      <c r="A17" s="110" t="s">
        <v>353</v>
      </c>
      <c r="B17" s="26">
        <v>11</v>
      </c>
      <c r="C17" s="139">
        <f t="shared" si="0"/>
        <v>2</v>
      </c>
      <c r="D17" s="139">
        <f t="shared" si="1"/>
        <v>4</v>
      </c>
      <c r="E17" s="26">
        <v>9</v>
      </c>
      <c r="F17" s="139">
        <f t="shared" si="2"/>
        <v>0</v>
      </c>
      <c r="G17" s="139">
        <f t="shared" si="3"/>
        <v>0</v>
      </c>
    </row>
    <row r="18" spans="1:8" x14ac:dyDescent="0.25">
      <c r="A18" s="110" t="s">
        <v>354</v>
      </c>
      <c r="B18" s="26">
        <v>13</v>
      </c>
      <c r="C18" s="139">
        <f t="shared" si="0"/>
        <v>4</v>
      </c>
      <c r="D18" s="139">
        <f t="shared" si="1"/>
        <v>16</v>
      </c>
      <c r="E18" s="26">
        <v>10</v>
      </c>
      <c r="F18" s="139">
        <f t="shared" si="2"/>
        <v>1</v>
      </c>
      <c r="G18" s="139">
        <f t="shared" si="3"/>
        <v>1</v>
      </c>
    </row>
    <row r="19" spans="1:8" x14ac:dyDescent="0.25">
      <c r="A19" s="110" t="s">
        <v>355</v>
      </c>
      <c r="B19" s="26">
        <v>16</v>
      </c>
      <c r="C19" s="139">
        <f t="shared" si="0"/>
        <v>7</v>
      </c>
      <c r="D19" s="139">
        <f t="shared" si="1"/>
        <v>49</v>
      </c>
      <c r="E19" s="26">
        <v>8</v>
      </c>
      <c r="F19" s="139">
        <f t="shared" si="2"/>
        <v>-1</v>
      </c>
      <c r="G19" s="139">
        <f t="shared" si="3"/>
        <v>1</v>
      </c>
    </row>
    <row r="20" spans="1:8" x14ac:dyDescent="0.25">
      <c r="A20" s="110" t="s">
        <v>356</v>
      </c>
      <c r="B20" s="26">
        <v>5</v>
      </c>
      <c r="C20" s="139">
        <f t="shared" si="0"/>
        <v>-4</v>
      </c>
      <c r="D20" s="139">
        <f t="shared" si="1"/>
        <v>16</v>
      </c>
      <c r="E20" s="26">
        <v>9</v>
      </c>
      <c r="F20" s="139">
        <f t="shared" si="2"/>
        <v>0</v>
      </c>
      <c r="G20" s="139">
        <f t="shared" si="3"/>
        <v>0</v>
      </c>
    </row>
    <row r="21" spans="1:8" x14ac:dyDescent="0.25">
      <c r="A21" s="110" t="s">
        <v>357</v>
      </c>
      <c r="B21" s="26">
        <v>8</v>
      </c>
      <c r="C21" s="139">
        <f t="shared" si="0"/>
        <v>-1</v>
      </c>
      <c r="D21" s="139">
        <f t="shared" si="1"/>
        <v>1</v>
      </c>
      <c r="E21" s="26">
        <v>10</v>
      </c>
      <c r="F21" s="139">
        <f t="shared" si="2"/>
        <v>1</v>
      </c>
      <c r="G21" s="139">
        <f t="shared" si="3"/>
        <v>1</v>
      </c>
    </row>
    <row r="22" spans="1:8" x14ac:dyDescent="0.25">
      <c r="A22" s="110" t="s">
        <v>358</v>
      </c>
      <c r="B22" s="26">
        <v>9</v>
      </c>
      <c r="C22" s="139">
        <f t="shared" si="0"/>
        <v>0</v>
      </c>
      <c r="D22" s="139">
        <f t="shared" si="1"/>
        <v>0</v>
      </c>
      <c r="E22" s="26">
        <v>10</v>
      </c>
      <c r="F22" s="139">
        <f t="shared" si="2"/>
        <v>1</v>
      </c>
      <c r="G22" s="139">
        <f t="shared" si="3"/>
        <v>1</v>
      </c>
    </row>
    <row r="23" spans="1:8" x14ac:dyDescent="0.25">
      <c r="A23" s="110" t="s">
        <v>359</v>
      </c>
      <c r="B23" s="26">
        <v>6</v>
      </c>
      <c r="C23" s="139">
        <f t="shared" si="0"/>
        <v>-3</v>
      </c>
      <c r="D23" s="139">
        <f t="shared" si="1"/>
        <v>9</v>
      </c>
      <c r="E23" s="26">
        <v>9</v>
      </c>
      <c r="F23" s="139">
        <f t="shared" si="2"/>
        <v>0</v>
      </c>
      <c r="G23" s="139">
        <f t="shared" si="3"/>
        <v>0</v>
      </c>
    </row>
    <row r="24" spans="1:8" x14ac:dyDescent="0.25">
      <c r="A24" s="110" t="s">
        <v>360</v>
      </c>
      <c r="B24" s="26">
        <v>8</v>
      </c>
      <c r="C24" s="139">
        <f t="shared" si="0"/>
        <v>-1</v>
      </c>
      <c r="D24" s="139">
        <f t="shared" si="1"/>
        <v>1</v>
      </c>
      <c r="E24" s="26">
        <v>8</v>
      </c>
      <c r="F24" s="139">
        <f t="shared" si="2"/>
        <v>-1</v>
      </c>
      <c r="G24" s="139">
        <f t="shared" si="3"/>
        <v>1</v>
      </c>
    </row>
    <row r="25" spans="1:8" x14ac:dyDescent="0.25">
      <c r="A25" s="110" t="s">
        <v>361</v>
      </c>
      <c r="B25" s="26">
        <v>6</v>
      </c>
      <c r="C25" s="139">
        <f t="shared" si="0"/>
        <v>-3</v>
      </c>
      <c r="D25" s="139">
        <f t="shared" si="1"/>
        <v>9</v>
      </c>
      <c r="E25" s="26">
        <v>9</v>
      </c>
      <c r="F25" s="139">
        <f t="shared" si="2"/>
        <v>0</v>
      </c>
      <c r="G25" s="139">
        <f t="shared" si="3"/>
        <v>0</v>
      </c>
    </row>
    <row r="26" spans="1:8" x14ac:dyDescent="0.25">
      <c r="A26" s="110" t="s">
        <v>362</v>
      </c>
      <c r="B26" s="26">
        <v>12</v>
      </c>
      <c r="C26" s="139">
        <f t="shared" si="0"/>
        <v>3</v>
      </c>
      <c r="D26" s="139">
        <f t="shared" si="1"/>
        <v>9</v>
      </c>
      <c r="E26" s="26">
        <v>6</v>
      </c>
      <c r="F26" s="139">
        <f t="shared" si="2"/>
        <v>-3</v>
      </c>
      <c r="G26" s="139">
        <f t="shared" si="3"/>
        <v>9</v>
      </c>
    </row>
    <row r="27" spans="1:8" x14ac:dyDescent="0.25">
      <c r="A27" s="110" t="s">
        <v>363</v>
      </c>
      <c r="B27" s="26">
        <v>6</v>
      </c>
      <c r="C27" s="139">
        <f t="shared" si="0"/>
        <v>-3</v>
      </c>
      <c r="D27" s="139">
        <f t="shared" si="1"/>
        <v>9</v>
      </c>
      <c r="E27" s="26">
        <v>8</v>
      </c>
      <c r="F27" s="139">
        <f t="shared" si="2"/>
        <v>-1</v>
      </c>
      <c r="G27" s="139">
        <f t="shared" si="3"/>
        <v>1</v>
      </c>
    </row>
    <row r="28" spans="1:8" x14ac:dyDescent="0.25">
      <c r="A28" s="110" t="s">
        <v>364</v>
      </c>
      <c r="B28" s="26">
        <v>13</v>
      </c>
      <c r="C28" s="139">
        <f t="shared" si="0"/>
        <v>4</v>
      </c>
      <c r="D28" s="139">
        <f t="shared" si="1"/>
        <v>16</v>
      </c>
      <c r="E28" s="26">
        <v>9</v>
      </c>
      <c r="F28" s="139">
        <f t="shared" si="2"/>
        <v>0</v>
      </c>
      <c r="G28" s="139">
        <f t="shared" si="3"/>
        <v>0</v>
      </c>
    </row>
    <row r="29" spans="1:8" x14ac:dyDescent="0.25">
      <c r="B29" s="89" t="s">
        <v>165</v>
      </c>
      <c r="C29" s="139">
        <f>SUM(C14:C28)</f>
        <v>0</v>
      </c>
      <c r="D29" s="139">
        <f>SUM(D14:D28)</f>
        <v>182</v>
      </c>
      <c r="E29" s="140"/>
      <c r="F29" s="139">
        <f>SUM(F14:F28)</f>
        <v>0</v>
      </c>
      <c r="G29" s="139">
        <f>SUM(G14:G28)</f>
        <v>20</v>
      </c>
    </row>
    <row r="30" spans="1:8" x14ac:dyDescent="0.25">
      <c r="A30" t="s">
        <v>492</v>
      </c>
      <c r="C30" s="140"/>
      <c r="D30" s="140"/>
      <c r="E30" s="140"/>
      <c r="F30" s="140"/>
      <c r="G30" s="140"/>
    </row>
    <row r="31" spans="1:8" x14ac:dyDescent="0.25">
      <c r="A31" t="s">
        <v>493</v>
      </c>
    </row>
    <row r="32" spans="1:8" ht="17.25" x14ac:dyDescent="0.25">
      <c r="B32" s="138" t="s">
        <v>486</v>
      </c>
      <c r="C32" s="141"/>
      <c r="D32" s="142">
        <f>D29/B11</f>
        <v>13</v>
      </c>
      <c r="E32" s="140"/>
      <c r="F32" s="140"/>
      <c r="G32" s="142">
        <f>G29/E11</f>
        <v>1.4285714285714286</v>
      </c>
      <c r="H32" t="s">
        <v>487</v>
      </c>
    </row>
    <row r="33" spans="2:8" ht="17.25" x14ac:dyDescent="0.25">
      <c r="B33" s="138" t="s">
        <v>486</v>
      </c>
      <c r="C33" s="141"/>
      <c r="D33" s="142">
        <f>_xlfn.VAR.S(B14:B28)</f>
        <v>13</v>
      </c>
      <c r="E33" s="140"/>
      <c r="F33" s="140"/>
      <c r="G33" s="142">
        <f>_xlfn.VAR.S(E14:E28)</f>
        <v>1.4285714285714286</v>
      </c>
      <c r="H33" t="s">
        <v>496</v>
      </c>
    </row>
    <row r="34" spans="2:8" x14ac:dyDescent="0.25">
      <c r="B34" s="138" t="s">
        <v>488</v>
      </c>
      <c r="C34" s="141"/>
      <c r="D34" s="142">
        <f>SQRT(D32)</f>
        <v>3.6055512754639891</v>
      </c>
      <c r="E34" s="140"/>
      <c r="F34" s="140"/>
      <c r="G34" s="142">
        <f>SQRT(G32)</f>
        <v>1.1952286093343936</v>
      </c>
      <c r="H34" t="s">
        <v>489</v>
      </c>
    </row>
    <row r="35" spans="2:8" x14ac:dyDescent="0.25">
      <c r="C35" s="140"/>
      <c r="D35" s="142">
        <f>_xlfn.STDEV.S(B14:B28)</f>
        <v>3.6055512754639891</v>
      </c>
      <c r="E35" s="140"/>
      <c r="F35" s="140"/>
      <c r="G35" s="142">
        <f>_xlfn.STDEV.S(E14:E28)</f>
        <v>1.1952286093343936</v>
      </c>
      <c r="H35" t="s">
        <v>490</v>
      </c>
    </row>
    <row r="36" spans="2:8" x14ac:dyDescent="0.25">
      <c r="C36" s="140"/>
      <c r="D36" s="140"/>
      <c r="E36" s="140"/>
      <c r="F36" s="140"/>
      <c r="G36" s="140"/>
      <c r="H36" t="s">
        <v>491</v>
      </c>
    </row>
    <row r="37" spans="2:8" x14ac:dyDescent="0.25">
      <c r="H37" t="s">
        <v>866</v>
      </c>
    </row>
    <row r="62" spans="1:5" x14ac:dyDescent="0.25">
      <c r="A62" s="135" t="s">
        <v>479</v>
      </c>
      <c r="B62" s="135"/>
      <c r="C62" s="135"/>
      <c r="D62" s="135"/>
      <c r="E62" s="135"/>
    </row>
    <row r="68" spans="1:6" x14ac:dyDescent="0.25">
      <c r="A68" s="26" t="s">
        <v>375</v>
      </c>
      <c r="B68" s="60">
        <f>COUNT(B72:B86)</f>
        <v>15</v>
      </c>
      <c r="E68" s="60">
        <f>COUNT(E72:E86)</f>
        <v>15</v>
      </c>
    </row>
    <row r="69" spans="1:6" x14ac:dyDescent="0.25">
      <c r="A69" s="26" t="s">
        <v>482</v>
      </c>
      <c r="B69" s="60">
        <f>B68-1</f>
        <v>14</v>
      </c>
      <c r="E69" s="60">
        <f>E68-1</f>
        <v>14</v>
      </c>
    </row>
    <row r="70" spans="1:6" x14ac:dyDescent="0.25">
      <c r="A70" s="26" t="s">
        <v>484</v>
      </c>
      <c r="B70" s="60">
        <f>AVERAGE(B72:B86)</f>
        <v>9</v>
      </c>
      <c r="E70" s="60">
        <f>AVERAGE(E72:E86)</f>
        <v>9</v>
      </c>
    </row>
    <row r="71" spans="1:6" ht="31.5" x14ac:dyDescent="0.35">
      <c r="A71" s="90" t="s">
        <v>395</v>
      </c>
      <c r="B71" s="90" t="s">
        <v>559</v>
      </c>
      <c r="C71" s="137" t="s">
        <v>494</v>
      </c>
      <c r="E71" s="90" t="s">
        <v>557</v>
      </c>
      <c r="F71" s="137" t="s">
        <v>494</v>
      </c>
    </row>
    <row r="72" spans="1:6" x14ac:dyDescent="0.25">
      <c r="A72" s="110" t="s">
        <v>350</v>
      </c>
      <c r="B72" s="26">
        <v>4</v>
      </c>
      <c r="C72" s="139">
        <f t="shared" ref="C72:C86" si="4">B72^2</f>
        <v>16</v>
      </c>
      <c r="E72" s="26">
        <v>10</v>
      </c>
      <c r="F72" s="139">
        <f t="shared" ref="F72:F86" si="5">E72^2</f>
        <v>100</v>
      </c>
    </row>
    <row r="73" spans="1:6" x14ac:dyDescent="0.25">
      <c r="A73" s="110" t="s">
        <v>351</v>
      </c>
      <c r="B73" s="26">
        <v>6</v>
      </c>
      <c r="C73" s="139">
        <f t="shared" si="4"/>
        <v>36</v>
      </c>
      <c r="E73" s="26">
        <v>11</v>
      </c>
      <c r="F73" s="139">
        <f t="shared" si="5"/>
        <v>121</v>
      </c>
    </row>
    <row r="74" spans="1:6" x14ac:dyDescent="0.25">
      <c r="A74" s="110" t="s">
        <v>352</v>
      </c>
      <c r="B74" s="26">
        <v>12</v>
      </c>
      <c r="C74" s="139">
        <f t="shared" si="4"/>
        <v>144</v>
      </c>
      <c r="E74" s="26">
        <v>9</v>
      </c>
      <c r="F74" s="139">
        <f t="shared" si="5"/>
        <v>81</v>
      </c>
    </row>
    <row r="75" spans="1:6" x14ac:dyDescent="0.25">
      <c r="A75" s="110" t="s">
        <v>353</v>
      </c>
      <c r="B75" s="26">
        <v>11</v>
      </c>
      <c r="C75" s="139">
        <f t="shared" si="4"/>
        <v>121</v>
      </c>
      <c r="E75" s="26">
        <v>9</v>
      </c>
      <c r="F75" s="139">
        <f t="shared" si="5"/>
        <v>81</v>
      </c>
    </row>
    <row r="76" spans="1:6" x14ac:dyDescent="0.25">
      <c r="A76" s="110" t="s">
        <v>354</v>
      </c>
      <c r="B76" s="26">
        <v>13</v>
      </c>
      <c r="C76" s="139">
        <f t="shared" si="4"/>
        <v>169</v>
      </c>
      <c r="E76" s="26">
        <v>10</v>
      </c>
      <c r="F76" s="139">
        <f t="shared" si="5"/>
        <v>100</v>
      </c>
    </row>
    <row r="77" spans="1:6" x14ac:dyDescent="0.25">
      <c r="A77" s="110" t="s">
        <v>355</v>
      </c>
      <c r="B77" s="26">
        <v>16</v>
      </c>
      <c r="C77" s="139">
        <f t="shared" si="4"/>
        <v>256</v>
      </c>
      <c r="E77" s="26">
        <v>8</v>
      </c>
      <c r="F77" s="139">
        <f t="shared" si="5"/>
        <v>64</v>
      </c>
    </row>
    <row r="78" spans="1:6" x14ac:dyDescent="0.25">
      <c r="A78" s="110" t="s">
        <v>356</v>
      </c>
      <c r="B78" s="26">
        <v>5</v>
      </c>
      <c r="C78" s="139">
        <f t="shared" si="4"/>
        <v>25</v>
      </c>
      <c r="E78" s="26">
        <v>9</v>
      </c>
      <c r="F78" s="139">
        <f t="shared" si="5"/>
        <v>81</v>
      </c>
    </row>
    <row r="79" spans="1:6" x14ac:dyDescent="0.25">
      <c r="A79" s="110" t="s">
        <v>357</v>
      </c>
      <c r="B79" s="26">
        <v>8</v>
      </c>
      <c r="C79" s="139">
        <f t="shared" si="4"/>
        <v>64</v>
      </c>
      <c r="E79" s="26">
        <v>10</v>
      </c>
      <c r="F79" s="139">
        <f t="shared" si="5"/>
        <v>100</v>
      </c>
    </row>
    <row r="80" spans="1:6" x14ac:dyDescent="0.25">
      <c r="A80" s="110" t="s">
        <v>358</v>
      </c>
      <c r="B80" s="26">
        <v>9</v>
      </c>
      <c r="C80" s="139">
        <f t="shared" si="4"/>
        <v>81</v>
      </c>
      <c r="E80" s="26">
        <v>10</v>
      </c>
      <c r="F80" s="139">
        <f t="shared" si="5"/>
        <v>100</v>
      </c>
    </row>
    <row r="81" spans="1:7" x14ac:dyDescent="0.25">
      <c r="A81" s="110" t="s">
        <v>359</v>
      </c>
      <c r="B81" s="26">
        <v>6</v>
      </c>
      <c r="C81" s="139">
        <f t="shared" si="4"/>
        <v>36</v>
      </c>
      <c r="E81" s="26">
        <v>9</v>
      </c>
      <c r="F81" s="139">
        <f t="shared" si="5"/>
        <v>81</v>
      </c>
    </row>
    <row r="82" spans="1:7" x14ac:dyDescent="0.25">
      <c r="A82" s="110" t="s">
        <v>360</v>
      </c>
      <c r="B82" s="26">
        <v>8</v>
      </c>
      <c r="C82" s="139">
        <f t="shared" si="4"/>
        <v>64</v>
      </c>
      <c r="E82" s="26">
        <v>8</v>
      </c>
      <c r="F82" s="139">
        <f t="shared" si="5"/>
        <v>64</v>
      </c>
    </row>
    <row r="83" spans="1:7" x14ac:dyDescent="0.25">
      <c r="A83" s="110" t="s">
        <v>361</v>
      </c>
      <c r="B83" s="26">
        <v>6</v>
      </c>
      <c r="C83" s="139">
        <f t="shared" si="4"/>
        <v>36</v>
      </c>
      <c r="E83" s="26">
        <v>9</v>
      </c>
      <c r="F83" s="139">
        <f t="shared" si="5"/>
        <v>81</v>
      </c>
    </row>
    <row r="84" spans="1:7" x14ac:dyDescent="0.25">
      <c r="A84" s="110" t="s">
        <v>362</v>
      </c>
      <c r="B84" s="26">
        <v>12</v>
      </c>
      <c r="C84" s="139">
        <f t="shared" si="4"/>
        <v>144</v>
      </c>
      <c r="E84" s="26">
        <v>6</v>
      </c>
      <c r="F84" s="139">
        <f t="shared" si="5"/>
        <v>36</v>
      </c>
    </row>
    <row r="85" spans="1:7" x14ac:dyDescent="0.25">
      <c r="A85" s="110" t="s">
        <v>363</v>
      </c>
      <c r="B85" s="26">
        <v>6</v>
      </c>
      <c r="C85" s="139">
        <f t="shared" si="4"/>
        <v>36</v>
      </c>
      <c r="E85" s="26">
        <v>8</v>
      </c>
      <c r="F85" s="139">
        <f t="shared" si="5"/>
        <v>64</v>
      </c>
    </row>
    <row r="86" spans="1:7" x14ac:dyDescent="0.25">
      <c r="A86" s="110" t="s">
        <v>364</v>
      </c>
      <c r="B86" s="26">
        <v>13</v>
      </c>
      <c r="C86" s="139">
        <f t="shared" si="4"/>
        <v>169</v>
      </c>
      <c r="E86" s="26">
        <v>9</v>
      </c>
      <c r="F86" s="139">
        <f t="shared" si="5"/>
        <v>81</v>
      </c>
    </row>
    <row r="88" spans="1:7" x14ac:dyDescent="0.25">
      <c r="B88" s="89" t="s">
        <v>165</v>
      </c>
      <c r="C88" s="139">
        <f>SUM(C72:C86)</f>
        <v>1397</v>
      </c>
      <c r="E88" s="89" t="s">
        <v>165</v>
      </c>
      <c r="F88" s="139">
        <f>SUM(F72:F86)</f>
        <v>1235</v>
      </c>
    </row>
    <row r="89" spans="1:7" x14ac:dyDescent="0.25">
      <c r="B89" s="89" t="s">
        <v>401</v>
      </c>
      <c r="C89" s="139">
        <f>SQRT((C88-B68*B70^2)/B69)</f>
        <v>3.6055512754639891</v>
      </c>
      <c r="E89" s="89" t="s">
        <v>401</v>
      </c>
      <c r="F89" s="139">
        <f>SQRT((F88-E68*E70^2)/E69)</f>
        <v>1.1952286093343936</v>
      </c>
    </row>
    <row r="92" spans="1:7" x14ac:dyDescent="0.25">
      <c r="A92" s="135" t="s">
        <v>480</v>
      </c>
      <c r="B92" s="135"/>
      <c r="C92" s="135"/>
      <c r="D92" s="135"/>
      <c r="E92" s="135"/>
      <c r="F92" s="135"/>
      <c r="G92" s="135"/>
    </row>
    <row r="97" spans="1:6" x14ac:dyDescent="0.25">
      <c r="A97" s="26" t="s">
        <v>375</v>
      </c>
      <c r="B97" s="60">
        <f>COUNT(B100:B114)</f>
        <v>15</v>
      </c>
      <c r="E97" s="60">
        <f>COUNT(E100:E114)</f>
        <v>15</v>
      </c>
    </row>
    <row r="98" spans="1:6" x14ac:dyDescent="0.25">
      <c r="A98" s="26" t="s">
        <v>484</v>
      </c>
      <c r="B98" s="60">
        <f>AVERAGE(B100:B114)</f>
        <v>9</v>
      </c>
      <c r="E98" s="60">
        <f>AVERAGE(E100:E114)</f>
        <v>9</v>
      </c>
    </row>
    <row r="99" spans="1:6" ht="30" x14ac:dyDescent="0.25">
      <c r="A99" s="90" t="s">
        <v>395</v>
      </c>
      <c r="B99" s="90" t="s">
        <v>559</v>
      </c>
      <c r="C99" s="137" t="s">
        <v>495</v>
      </c>
      <c r="E99" s="90" t="s">
        <v>557</v>
      </c>
      <c r="F99" s="137" t="s">
        <v>495</v>
      </c>
    </row>
    <row r="100" spans="1:6" x14ac:dyDescent="0.25">
      <c r="A100" s="110" t="s">
        <v>350</v>
      </c>
      <c r="B100" s="26">
        <v>4</v>
      </c>
      <c r="C100" s="139">
        <f t="shared" ref="C100:C114" si="6">ABS(B100-B$98)</f>
        <v>5</v>
      </c>
      <c r="E100" s="26">
        <v>10</v>
      </c>
      <c r="F100" s="139">
        <f t="shared" ref="F100:F114" si="7">ABS(E100-E$98)</f>
        <v>1</v>
      </c>
    </row>
    <row r="101" spans="1:6" x14ac:dyDescent="0.25">
      <c r="A101" s="110" t="s">
        <v>351</v>
      </c>
      <c r="B101" s="26">
        <v>6</v>
      </c>
      <c r="C101" s="139">
        <f t="shared" si="6"/>
        <v>3</v>
      </c>
      <c r="E101" s="26">
        <v>11</v>
      </c>
      <c r="F101" s="139">
        <f t="shared" si="7"/>
        <v>2</v>
      </c>
    </row>
    <row r="102" spans="1:6" x14ac:dyDescent="0.25">
      <c r="A102" s="110" t="s">
        <v>352</v>
      </c>
      <c r="B102" s="26">
        <v>12</v>
      </c>
      <c r="C102" s="139">
        <f t="shared" si="6"/>
        <v>3</v>
      </c>
      <c r="E102" s="26">
        <v>9</v>
      </c>
      <c r="F102" s="139">
        <f t="shared" si="7"/>
        <v>0</v>
      </c>
    </row>
    <row r="103" spans="1:6" x14ac:dyDescent="0.25">
      <c r="A103" s="110" t="s">
        <v>353</v>
      </c>
      <c r="B103" s="26">
        <v>11</v>
      </c>
      <c r="C103" s="139">
        <f t="shared" si="6"/>
        <v>2</v>
      </c>
      <c r="E103" s="26">
        <v>9</v>
      </c>
      <c r="F103" s="139">
        <f t="shared" si="7"/>
        <v>0</v>
      </c>
    </row>
    <row r="104" spans="1:6" x14ac:dyDescent="0.25">
      <c r="A104" s="110" t="s">
        <v>354</v>
      </c>
      <c r="B104" s="26">
        <v>13</v>
      </c>
      <c r="C104" s="139">
        <f t="shared" si="6"/>
        <v>4</v>
      </c>
      <c r="E104" s="26">
        <v>10</v>
      </c>
      <c r="F104" s="139">
        <f t="shared" si="7"/>
        <v>1</v>
      </c>
    </row>
    <row r="105" spans="1:6" x14ac:dyDescent="0.25">
      <c r="A105" s="110" t="s">
        <v>355</v>
      </c>
      <c r="B105" s="26">
        <v>16</v>
      </c>
      <c r="C105" s="139">
        <f t="shared" si="6"/>
        <v>7</v>
      </c>
      <c r="E105" s="26">
        <v>8</v>
      </c>
      <c r="F105" s="139">
        <f t="shared" si="7"/>
        <v>1</v>
      </c>
    </row>
    <row r="106" spans="1:6" x14ac:dyDescent="0.25">
      <c r="A106" s="110" t="s">
        <v>356</v>
      </c>
      <c r="B106" s="26">
        <v>5</v>
      </c>
      <c r="C106" s="139">
        <f t="shared" si="6"/>
        <v>4</v>
      </c>
      <c r="E106" s="26">
        <v>9</v>
      </c>
      <c r="F106" s="139">
        <f t="shared" si="7"/>
        <v>0</v>
      </c>
    </row>
    <row r="107" spans="1:6" x14ac:dyDescent="0.25">
      <c r="A107" s="110" t="s">
        <v>357</v>
      </c>
      <c r="B107" s="26">
        <v>8</v>
      </c>
      <c r="C107" s="139">
        <f t="shared" si="6"/>
        <v>1</v>
      </c>
      <c r="E107" s="26">
        <v>10</v>
      </c>
      <c r="F107" s="139">
        <f t="shared" si="7"/>
        <v>1</v>
      </c>
    </row>
    <row r="108" spans="1:6" x14ac:dyDescent="0.25">
      <c r="A108" s="110" t="s">
        <v>358</v>
      </c>
      <c r="B108" s="26">
        <v>9</v>
      </c>
      <c r="C108" s="139">
        <f t="shared" si="6"/>
        <v>0</v>
      </c>
      <c r="E108" s="26">
        <v>10</v>
      </c>
      <c r="F108" s="139">
        <f t="shared" si="7"/>
        <v>1</v>
      </c>
    </row>
    <row r="109" spans="1:6" x14ac:dyDescent="0.25">
      <c r="A109" s="110" t="s">
        <v>359</v>
      </c>
      <c r="B109" s="26">
        <v>6</v>
      </c>
      <c r="C109" s="139">
        <f t="shared" si="6"/>
        <v>3</v>
      </c>
      <c r="E109" s="26">
        <v>9</v>
      </c>
      <c r="F109" s="139">
        <f t="shared" si="7"/>
        <v>0</v>
      </c>
    </row>
    <row r="110" spans="1:6" x14ac:dyDescent="0.25">
      <c r="A110" s="110" t="s">
        <v>360</v>
      </c>
      <c r="B110" s="26">
        <v>8</v>
      </c>
      <c r="C110" s="139">
        <f t="shared" si="6"/>
        <v>1</v>
      </c>
      <c r="E110" s="26">
        <v>8</v>
      </c>
      <c r="F110" s="139">
        <f t="shared" si="7"/>
        <v>1</v>
      </c>
    </row>
    <row r="111" spans="1:6" x14ac:dyDescent="0.25">
      <c r="A111" s="110" t="s">
        <v>361</v>
      </c>
      <c r="B111" s="26">
        <v>6</v>
      </c>
      <c r="C111" s="139">
        <f t="shared" si="6"/>
        <v>3</v>
      </c>
      <c r="E111" s="26">
        <v>9</v>
      </c>
      <c r="F111" s="139">
        <f t="shared" si="7"/>
        <v>0</v>
      </c>
    </row>
    <row r="112" spans="1:6" x14ac:dyDescent="0.25">
      <c r="A112" s="110" t="s">
        <v>362</v>
      </c>
      <c r="B112" s="26">
        <v>12</v>
      </c>
      <c r="C112" s="139">
        <f t="shared" si="6"/>
        <v>3</v>
      </c>
      <c r="E112" s="26">
        <v>6</v>
      </c>
      <c r="F112" s="139">
        <f t="shared" si="7"/>
        <v>3</v>
      </c>
    </row>
    <row r="113" spans="1:7" x14ac:dyDescent="0.25">
      <c r="A113" s="110" t="s">
        <v>363</v>
      </c>
      <c r="B113" s="26">
        <v>6</v>
      </c>
      <c r="C113" s="139">
        <f t="shared" si="6"/>
        <v>3</v>
      </c>
      <c r="E113" s="26">
        <v>8</v>
      </c>
      <c r="F113" s="139">
        <f t="shared" si="7"/>
        <v>1</v>
      </c>
    </row>
    <row r="114" spans="1:7" x14ac:dyDescent="0.25">
      <c r="A114" s="110" t="s">
        <v>364</v>
      </c>
      <c r="B114" s="26">
        <v>13</v>
      </c>
      <c r="C114" s="139">
        <f t="shared" si="6"/>
        <v>4</v>
      </c>
      <c r="E114" s="26">
        <v>9</v>
      </c>
      <c r="F114" s="139">
        <f t="shared" si="7"/>
        <v>0</v>
      </c>
    </row>
    <row r="116" spans="1:7" x14ac:dyDescent="0.25">
      <c r="B116" s="89" t="s">
        <v>165</v>
      </c>
      <c r="C116" s="139">
        <f>SUM(C100:C114)</f>
        <v>46</v>
      </c>
      <c r="E116" s="89" t="s">
        <v>165</v>
      </c>
      <c r="F116" s="139">
        <f>SUM(F100:F114)</f>
        <v>12</v>
      </c>
    </row>
    <row r="117" spans="1:7" x14ac:dyDescent="0.25">
      <c r="B117" s="89" t="s">
        <v>401</v>
      </c>
      <c r="C117" s="139">
        <f>C116/B97</f>
        <v>3.0666666666666669</v>
      </c>
      <c r="E117" s="89" t="s">
        <v>401</v>
      </c>
      <c r="F117" s="139">
        <f>F116/E97</f>
        <v>0.8</v>
      </c>
    </row>
    <row r="118" spans="1:7" x14ac:dyDescent="0.25">
      <c r="C118" s="94">
        <f>AVEDEV(B100:B114
)</f>
        <v>3.0666666666666669</v>
      </c>
      <c r="F118" s="94">
        <f>AVEDEV(E100:E114
)</f>
        <v>0.8</v>
      </c>
      <c r="G118" t="s">
        <v>497</v>
      </c>
    </row>
    <row r="123" spans="1:7" ht="21" x14ac:dyDescent="0.35">
      <c r="A123" s="113" t="s">
        <v>560</v>
      </c>
      <c r="B123" s="113"/>
      <c r="C123" s="113"/>
      <c r="D123" s="113"/>
    </row>
    <row r="125" spans="1:7" ht="45" x14ac:dyDescent="0.25">
      <c r="A125" s="61" t="s">
        <v>349</v>
      </c>
      <c r="B125" s="61" t="s">
        <v>387</v>
      </c>
      <c r="C125" s="61" t="s">
        <v>388</v>
      </c>
    </row>
    <row r="126" spans="1:7" x14ac:dyDescent="0.25">
      <c r="A126" s="110">
        <v>41714</v>
      </c>
      <c r="B126" s="26">
        <v>55</v>
      </c>
      <c r="C126" s="26">
        <v>35</v>
      </c>
    </row>
    <row r="127" spans="1:7" x14ac:dyDescent="0.25">
      <c r="A127" s="110">
        <f>A126+7</f>
        <v>41721</v>
      </c>
      <c r="B127" s="26">
        <v>25</v>
      </c>
      <c r="C127" s="26">
        <v>34</v>
      </c>
    </row>
    <row r="128" spans="1:7" x14ac:dyDescent="0.25">
      <c r="A128" s="110">
        <f t="shared" ref="A128:A140" si="8">A127+7</f>
        <v>41728</v>
      </c>
      <c r="B128" s="26">
        <v>62</v>
      </c>
      <c r="C128" s="26">
        <v>36</v>
      </c>
    </row>
    <row r="129" spans="1:3" x14ac:dyDescent="0.25">
      <c r="A129" s="110">
        <f t="shared" si="8"/>
        <v>41735</v>
      </c>
      <c r="B129" s="26">
        <v>15</v>
      </c>
      <c r="C129" s="26">
        <v>37</v>
      </c>
    </row>
    <row r="130" spans="1:3" x14ac:dyDescent="0.25">
      <c r="A130" s="110">
        <f t="shared" si="8"/>
        <v>41742</v>
      </c>
      <c r="B130" s="26">
        <v>34</v>
      </c>
      <c r="C130" s="26">
        <v>43</v>
      </c>
    </row>
    <row r="131" spans="1:3" x14ac:dyDescent="0.25">
      <c r="A131" s="110">
        <f t="shared" si="8"/>
        <v>41749</v>
      </c>
      <c r="B131" s="26">
        <v>19</v>
      </c>
      <c r="C131" s="26">
        <v>32</v>
      </c>
    </row>
    <row r="132" spans="1:3" x14ac:dyDescent="0.25">
      <c r="A132" s="110">
        <f t="shared" si="8"/>
        <v>41756</v>
      </c>
      <c r="B132" s="26">
        <v>38</v>
      </c>
      <c r="C132" s="26">
        <v>33</v>
      </c>
    </row>
    <row r="133" spans="1:3" x14ac:dyDescent="0.25">
      <c r="A133" s="110">
        <f t="shared" si="8"/>
        <v>41763</v>
      </c>
      <c r="B133" s="26">
        <v>29</v>
      </c>
      <c r="C133" s="26">
        <v>35</v>
      </c>
    </row>
    <row r="134" spans="1:3" x14ac:dyDescent="0.25">
      <c r="A134" s="110">
        <f t="shared" si="8"/>
        <v>41770</v>
      </c>
      <c r="B134" s="26">
        <v>64</v>
      </c>
      <c r="C134" s="26">
        <v>36</v>
      </c>
    </row>
    <row r="135" spans="1:3" x14ac:dyDescent="0.25">
      <c r="A135" s="110">
        <f t="shared" si="8"/>
        <v>41777</v>
      </c>
      <c r="B135" s="26">
        <v>31</v>
      </c>
      <c r="C135" s="26">
        <v>37</v>
      </c>
    </row>
    <row r="136" spans="1:3" x14ac:dyDescent="0.25">
      <c r="A136" s="110">
        <f t="shared" si="8"/>
        <v>41784</v>
      </c>
      <c r="B136" s="26">
        <v>59</v>
      </c>
      <c r="C136" s="26">
        <v>35</v>
      </c>
    </row>
    <row r="137" spans="1:3" x14ac:dyDescent="0.25">
      <c r="A137" s="110">
        <f t="shared" si="8"/>
        <v>41791</v>
      </c>
      <c r="B137" s="26">
        <v>12</v>
      </c>
      <c r="C137" s="26">
        <v>39</v>
      </c>
    </row>
    <row r="138" spans="1:3" x14ac:dyDescent="0.25">
      <c r="A138" s="110">
        <f t="shared" si="8"/>
        <v>41798</v>
      </c>
      <c r="B138" s="26">
        <v>15</v>
      </c>
      <c r="C138" s="26">
        <v>32</v>
      </c>
    </row>
    <row r="139" spans="1:3" x14ac:dyDescent="0.25">
      <c r="A139" s="110">
        <f t="shared" si="8"/>
        <v>41805</v>
      </c>
      <c r="B139" s="26">
        <v>42</v>
      </c>
      <c r="C139" s="26">
        <v>31</v>
      </c>
    </row>
    <row r="140" spans="1:3" ht="15.75" thickBot="1" x14ac:dyDescent="0.3">
      <c r="A140" s="110">
        <f t="shared" si="8"/>
        <v>41812</v>
      </c>
      <c r="B140" s="26">
        <v>25</v>
      </c>
      <c r="C140" s="26">
        <v>30</v>
      </c>
    </row>
    <row r="141" spans="1:3" ht="15.75" thickBot="1" x14ac:dyDescent="0.3">
      <c r="A141" s="68" t="s">
        <v>85</v>
      </c>
      <c r="B141" s="111">
        <f t="shared" ref="B141:C141" si="9">AVERAGE(B126:B140)</f>
        <v>35</v>
      </c>
      <c r="C141" s="111">
        <f t="shared" si="9"/>
        <v>35</v>
      </c>
    </row>
    <row r="142" spans="1:3" ht="16.5" thickTop="1" thickBot="1" x14ac:dyDescent="0.3"/>
    <row r="143" spans="1:3" ht="15.75" thickBot="1" x14ac:dyDescent="0.3">
      <c r="A143" s="68" t="s">
        <v>640</v>
      </c>
      <c r="B143" s="111"/>
      <c r="C143" s="111"/>
    </row>
    <row r="144" spans="1:3" ht="15.75" thickTop="1" x14ac:dyDescent="0.25"/>
    <row r="146" spans="1:5" ht="21" x14ac:dyDescent="0.35">
      <c r="A146" s="113" t="s">
        <v>563</v>
      </c>
      <c r="B146" s="113"/>
      <c r="C146" s="113"/>
      <c r="D146" s="113"/>
      <c r="E146" s="113"/>
    </row>
    <row r="148" spans="1:5" ht="30" x14ac:dyDescent="0.25">
      <c r="A148" s="61" t="s">
        <v>951</v>
      </c>
      <c r="B148" s="61" t="s">
        <v>561</v>
      </c>
      <c r="C148" s="61" t="s">
        <v>562</v>
      </c>
    </row>
    <row r="149" spans="1:5" x14ac:dyDescent="0.25">
      <c r="A149" s="26" t="s">
        <v>564</v>
      </c>
      <c r="B149" s="153">
        <v>3.01</v>
      </c>
      <c r="C149" s="153">
        <v>3.86</v>
      </c>
    </row>
    <row r="150" spans="1:5" x14ac:dyDescent="0.25">
      <c r="A150" s="26" t="s">
        <v>565</v>
      </c>
      <c r="B150" s="153">
        <v>2.35</v>
      </c>
      <c r="C150" s="153">
        <v>2.93</v>
      </c>
    </row>
    <row r="151" spans="1:5" x14ac:dyDescent="0.25">
      <c r="A151" s="26" t="s">
        <v>566</v>
      </c>
      <c r="B151" s="153">
        <v>2.4700000000000002</v>
      </c>
      <c r="C151" s="153">
        <v>2.42</v>
      </c>
    </row>
    <row r="152" spans="1:5" x14ac:dyDescent="0.25">
      <c r="A152" s="26" t="s">
        <v>567</v>
      </c>
      <c r="B152" s="153">
        <v>2.48</v>
      </c>
      <c r="C152" s="153">
        <v>1.99</v>
      </c>
    </row>
    <row r="153" spans="1:5" x14ac:dyDescent="0.25">
      <c r="A153" s="26" t="s">
        <v>568</v>
      </c>
      <c r="B153" s="153">
        <v>2.2799999999999998</v>
      </c>
      <c r="C153" s="153">
        <v>2.5099999999999998</v>
      </c>
    </row>
    <row r="154" spans="1:5" x14ac:dyDescent="0.25">
      <c r="A154" s="26" t="s">
        <v>569</v>
      </c>
      <c r="B154" s="153">
        <v>2.6</v>
      </c>
      <c r="C154" s="153">
        <v>2.6</v>
      </c>
    </row>
    <row r="155" spans="1:5" x14ac:dyDescent="0.25">
      <c r="A155" s="26" t="s">
        <v>570</v>
      </c>
      <c r="B155" s="153">
        <v>3.31</v>
      </c>
      <c r="C155" s="153">
        <v>2.52</v>
      </c>
    </row>
    <row r="156" spans="1:5" x14ac:dyDescent="0.25">
      <c r="A156" s="26" t="s">
        <v>571</v>
      </c>
      <c r="B156" s="153">
        <v>2.37</v>
      </c>
      <c r="C156" s="153">
        <v>2.48</v>
      </c>
    </row>
    <row r="157" spans="1:5" x14ac:dyDescent="0.25">
      <c r="A157" s="26" t="s">
        <v>572</v>
      </c>
      <c r="B157" s="153">
        <v>2.52</v>
      </c>
      <c r="C157" s="153">
        <v>2.46</v>
      </c>
    </row>
    <row r="158" spans="1:5" x14ac:dyDescent="0.25">
      <c r="A158" s="26" t="s">
        <v>573</v>
      </c>
      <c r="B158" s="153">
        <v>2.5</v>
      </c>
      <c r="C158" s="153">
        <v>2.44</v>
      </c>
    </row>
    <row r="159" spans="1:5" x14ac:dyDescent="0.25">
      <c r="A159" s="26" t="s">
        <v>574</v>
      </c>
      <c r="B159" s="153">
        <v>2.37</v>
      </c>
      <c r="C159" s="153">
        <v>2.42</v>
      </c>
    </row>
    <row r="160" spans="1:5" x14ac:dyDescent="0.25">
      <c r="A160" s="26" t="s">
        <v>575</v>
      </c>
      <c r="B160" s="153">
        <v>3.01</v>
      </c>
      <c r="C160" s="153">
        <v>3.56</v>
      </c>
    </row>
    <row r="161" spans="1:3" x14ac:dyDescent="0.25">
      <c r="A161" s="26" t="s">
        <v>576</v>
      </c>
      <c r="B161" s="153">
        <v>2.36</v>
      </c>
      <c r="C161" s="153">
        <v>2.39</v>
      </c>
    </row>
    <row r="162" spans="1:3" x14ac:dyDescent="0.25">
      <c r="A162" s="26" t="s">
        <v>577</v>
      </c>
      <c r="B162" s="153">
        <v>2.4500000000000002</v>
      </c>
      <c r="C162" s="153">
        <v>2.79</v>
      </c>
    </row>
    <row r="163" spans="1:3" ht="15.75" thickBot="1" x14ac:dyDescent="0.3">
      <c r="A163" s="26" t="s">
        <v>578</v>
      </c>
      <c r="B163" s="154">
        <v>2.38</v>
      </c>
      <c r="C163" s="154">
        <v>2.58</v>
      </c>
    </row>
    <row r="164" spans="1:3" ht="15.75" thickBot="1" x14ac:dyDescent="0.3">
      <c r="A164" s="68" t="s">
        <v>198</v>
      </c>
      <c r="B164" s="247">
        <f t="shared" ref="B164:C164" si="10">AVERAGE(B149:B163)</f>
        <v>2.5640000000000005</v>
      </c>
      <c r="C164" s="247">
        <f t="shared" si="10"/>
        <v>2.6633333333333336</v>
      </c>
    </row>
    <row r="165" spans="1:3" ht="16.5" thickTop="1" thickBot="1" x14ac:dyDescent="0.3">
      <c r="A165" s="240"/>
    </row>
    <row r="166" spans="1:3" ht="15.75" thickBot="1" x14ac:dyDescent="0.3">
      <c r="A166" s="68" t="s">
        <v>640</v>
      </c>
      <c r="B166" s="247"/>
      <c r="C166" s="247"/>
    </row>
    <row r="167" spans="1:3" ht="15.75" thickTop="1" x14ac:dyDescent="0.25"/>
  </sheetData>
  <mergeCells count="8">
    <mergeCell ref="A7:G7"/>
    <mergeCell ref="A9:G9"/>
    <mergeCell ref="A1:G1"/>
    <mergeCell ref="A2:G2"/>
    <mergeCell ref="A3:G3"/>
    <mergeCell ref="A4:G4"/>
    <mergeCell ref="A5:G5"/>
    <mergeCell ref="A6:G6"/>
  </mergeCell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rgb="FF0000FF"/>
  </sheetPr>
  <dimension ref="A1:V114"/>
  <sheetViews>
    <sheetView zoomScale="115" zoomScaleNormal="115" workbookViewId="0">
      <selection activeCell="B5" sqref="B5"/>
    </sheetView>
  </sheetViews>
  <sheetFormatPr defaultRowHeight="15" x14ac:dyDescent="0.25"/>
  <cols>
    <col min="1" max="1" width="22.5703125" customWidth="1"/>
    <col min="2" max="2" width="17" customWidth="1"/>
    <col min="3" max="3" width="12.5703125" customWidth="1"/>
    <col min="4" max="4" width="49.28515625" customWidth="1"/>
    <col min="5" max="5" width="14.42578125" customWidth="1"/>
    <col min="6" max="6" width="12.5703125" customWidth="1"/>
    <col min="10" max="10" width="5" bestFit="1" customWidth="1"/>
    <col min="12" max="12" width="17" customWidth="1"/>
    <col min="13" max="13" width="8.28515625" bestFit="1" customWidth="1"/>
  </cols>
  <sheetData>
    <row r="1" spans="1:22" x14ac:dyDescent="0.25">
      <c r="B1" s="61" t="s">
        <v>512</v>
      </c>
      <c r="S1" s="61" t="s">
        <v>513</v>
      </c>
      <c r="T1" s="61" t="s">
        <v>514</v>
      </c>
      <c r="U1" s="61" t="s">
        <v>508</v>
      </c>
      <c r="V1" s="61" t="s">
        <v>509</v>
      </c>
    </row>
    <row r="2" spans="1:22" x14ac:dyDescent="0.25">
      <c r="A2" t="s">
        <v>85</v>
      </c>
      <c r="B2" s="145">
        <f>AVERAGE(A11:A33)</f>
        <v>15.586956521739131</v>
      </c>
      <c r="S2" s="70">
        <f ca="1">ROUND(CHOOSE(RANDBETWEEN(1,3),RANDBETWEEN(1100,2400),RANDBETWEEN(1300,1650),_xlfn.NORM.INV(RAND(),1325,100))/100,2)</f>
        <v>11.51</v>
      </c>
      <c r="T2" s="70">
        <f ca="1">ROUND(CHOOSE(RANDBETWEEN(1,3),RANDBETWEEN(1000,3200),RANDBETWEEN(1200,1950),_xlfn.NORM.INV(RAND(),1325,250))/100,2)</f>
        <v>28.79</v>
      </c>
      <c r="U2" s="70">
        <f ca="1">INDEX(C$11:C$114,RANDBETWEEN(1,COUNTA(C$11:C$114)))</f>
        <v>12.69</v>
      </c>
      <c r="V2" s="70" t="e">
        <f ca="1">INDEX(B$115:B$140,RANDBETWEEN(1,COUNTA(B$115:B$140)))</f>
        <v>#NUM!</v>
      </c>
    </row>
    <row r="3" spans="1:22" x14ac:dyDescent="0.25">
      <c r="A3" t="s">
        <v>86</v>
      </c>
      <c r="B3" s="145">
        <f>MEDIAN(A11:A33)</f>
        <v>14.08</v>
      </c>
      <c r="S3" s="144"/>
      <c r="T3" s="144"/>
      <c r="U3" s="144"/>
      <c r="V3" s="144"/>
    </row>
    <row r="4" spans="1:22" x14ac:dyDescent="0.25">
      <c r="A4" t="s">
        <v>87</v>
      </c>
      <c r="B4" s="145">
        <f>_xlfn.MODE.SNGL(A11:A33)</f>
        <v>22.12</v>
      </c>
      <c r="S4" s="144"/>
      <c r="T4" s="144"/>
      <c r="U4" s="144"/>
      <c r="V4" s="144"/>
    </row>
    <row r="5" spans="1:22" ht="45" x14ac:dyDescent="0.25">
      <c r="A5" s="96" t="s">
        <v>488</v>
      </c>
      <c r="B5" s="145">
        <f>_xlfn.STDEV.S(A11:A33)</f>
        <v>3.5308747754404806</v>
      </c>
      <c r="C5" s="143" t="s">
        <v>510</v>
      </c>
      <c r="D5" s="29" t="str">
        <f>"In Excel you can use the function:"&amp;CHAR(10)&amp;C5&amp;CHAR(10)&amp;"for calculating "&amp;A5</f>
        <v>In Excel you can use the function:
STDEV.S
for calculating Sample Standard Deviation = s</v>
      </c>
    </row>
    <row r="6" spans="1:22" ht="45" x14ac:dyDescent="0.25">
      <c r="A6" s="96" t="s">
        <v>953</v>
      </c>
      <c r="B6" s="145">
        <f>_xlfn.STDEV.P(C$11:C$114)</f>
        <v>3.6524411013075389</v>
      </c>
      <c r="C6" s="143" t="s">
        <v>511</v>
      </c>
      <c r="D6" s="29" t="str">
        <f>"In Excel you can use the function:"&amp;CHAR(10)&amp;C6&amp;CHAR(10)&amp;"for calculating "&amp;A6</f>
        <v>In Excel you can use the function:
STDEV.P
for calculating Population Standard Deviation = σ</v>
      </c>
    </row>
    <row r="8" spans="1:22" x14ac:dyDescent="0.25">
      <c r="A8" s="241" t="s">
        <v>507</v>
      </c>
      <c r="B8" s="243"/>
      <c r="C8" s="242"/>
    </row>
    <row r="9" spans="1:22" ht="5.25" customHeight="1" x14ac:dyDescent="0.25"/>
    <row r="10" spans="1:22" x14ac:dyDescent="0.25">
      <c r="A10" s="61" t="s">
        <v>508</v>
      </c>
      <c r="C10" s="61" t="s">
        <v>952</v>
      </c>
    </row>
    <row r="11" spans="1:22" x14ac:dyDescent="0.25">
      <c r="A11" s="70">
        <v>22.35</v>
      </c>
      <c r="C11" s="70">
        <v>15.35</v>
      </c>
    </row>
    <row r="12" spans="1:22" x14ac:dyDescent="0.25">
      <c r="A12" s="70">
        <v>14.01</v>
      </c>
      <c r="C12" s="70">
        <v>32.159999999999997</v>
      </c>
    </row>
    <row r="13" spans="1:22" x14ac:dyDescent="0.25">
      <c r="A13" s="70">
        <v>15.2</v>
      </c>
      <c r="C13" s="70">
        <v>12.55</v>
      </c>
    </row>
    <row r="14" spans="1:22" x14ac:dyDescent="0.25">
      <c r="A14" s="70">
        <v>18.3</v>
      </c>
      <c r="C14" s="70">
        <v>13.74</v>
      </c>
      <c r="S14" s="144"/>
      <c r="T14" s="144"/>
    </row>
    <row r="15" spans="1:22" x14ac:dyDescent="0.25">
      <c r="A15" s="70">
        <v>13.63</v>
      </c>
      <c r="C15" s="70">
        <v>22.35</v>
      </c>
      <c r="S15" s="144"/>
      <c r="T15" s="144"/>
    </row>
    <row r="16" spans="1:22" x14ac:dyDescent="0.25">
      <c r="A16" s="70">
        <v>14.08</v>
      </c>
      <c r="C16" s="70">
        <v>15.4</v>
      </c>
      <c r="S16" s="144"/>
      <c r="T16" s="144"/>
    </row>
    <row r="17" spans="1:20" x14ac:dyDescent="0.25">
      <c r="A17" s="70">
        <v>15.44</v>
      </c>
      <c r="C17" s="70">
        <v>14.3</v>
      </c>
      <c r="S17" s="144"/>
      <c r="T17" s="144"/>
    </row>
    <row r="18" spans="1:20" x14ac:dyDescent="0.25">
      <c r="A18" s="70">
        <v>10.75</v>
      </c>
      <c r="C18" s="70">
        <v>14.79</v>
      </c>
      <c r="S18" s="144"/>
      <c r="T18" s="144"/>
    </row>
    <row r="19" spans="1:20" x14ac:dyDescent="0.25">
      <c r="A19" s="70">
        <v>14.67</v>
      </c>
      <c r="C19" s="70">
        <v>20.94</v>
      </c>
      <c r="S19" s="144"/>
      <c r="T19" s="144"/>
    </row>
    <row r="20" spans="1:20" x14ac:dyDescent="0.25">
      <c r="A20" s="70">
        <v>11.29</v>
      </c>
      <c r="C20" s="70">
        <v>11.91</v>
      </c>
      <c r="S20" s="144"/>
      <c r="T20" s="144"/>
    </row>
    <row r="21" spans="1:20" x14ac:dyDescent="0.25">
      <c r="A21" s="70">
        <v>15.02</v>
      </c>
      <c r="C21" s="70">
        <v>12.4</v>
      </c>
      <c r="S21" s="144"/>
      <c r="T21" s="144"/>
    </row>
    <row r="22" spans="1:20" x14ac:dyDescent="0.25">
      <c r="A22" s="70">
        <v>17.97</v>
      </c>
      <c r="C22" s="70">
        <v>12.05</v>
      </c>
      <c r="S22" s="144"/>
      <c r="T22" s="144"/>
    </row>
    <row r="23" spans="1:20" x14ac:dyDescent="0.25">
      <c r="A23" s="70">
        <v>22.12</v>
      </c>
      <c r="C23" s="70">
        <v>18.11</v>
      </c>
      <c r="S23" s="144"/>
      <c r="T23" s="144"/>
    </row>
    <row r="24" spans="1:20" x14ac:dyDescent="0.25">
      <c r="A24" s="70">
        <v>22.12</v>
      </c>
      <c r="C24" s="70">
        <v>14.83</v>
      </c>
      <c r="S24" s="144"/>
      <c r="T24" s="144"/>
    </row>
    <row r="25" spans="1:20" x14ac:dyDescent="0.25">
      <c r="A25" s="70">
        <v>20.68</v>
      </c>
      <c r="C25" s="70">
        <v>13.93</v>
      </c>
      <c r="S25" s="144"/>
      <c r="T25" s="144"/>
    </row>
    <row r="26" spans="1:20" x14ac:dyDescent="0.25">
      <c r="A26" s="70">
        <v>13.21</v>
      </c>
      <c r="C26" s="70">
        <v>11.66</v>
      </c>
      <c r="S26" s="144"/>
      <c r="T26" s="144"/>
    </row>
    <row r="27" spans="1:20" x14ac:dyDescent="0.25">
      <c r="A27" s="70">
        <v>18.739999999999998</v>
      </c>
      <c r="C27" s="70">
        <v>12.69</v>
      </c>
      <c r="S27" s="144"/>
      <c r="T27" s="144"/>
    </row>
    <row r="28" spans="1:20" x14ac:dyDescent="0.25">
      <c r="A28" s="70">
        <v>13.66</v>
      </c>
      <c r="C28" s="70">
        <v>14.01</v>
      </c>
      <c r="S28" s="144"/>
      <c r="T28" s="144"/>
    </row>
    <row r="29" spans="1:20" x14ac:dyDescent="0.25">
      <c r="A29" s="70">
        <v>12.94</v>
      </c>
      <c r="C29" s="70">
        <v>12.52</v>
      </c>
      <c r="S29" s="144"/>
      <c r="T29" s="144"/>
    </row>
    <row r="30" spans="1:20" x14ac:dyDescent="0.25">
      <c r="A30" s="70">
        <v>12.94</v>
      </c>
      <c r="C30" s="70">
        <v>14.35</v>
      </c>
    </row>
    <row r="31" spans="1:20" x14ac:dyDescent="0.25">
      <c r="A31" s="70">
        <v>13.34</v>
      </c>
      <c r="C31" s="70">
        <v>15.2</v>
      </c>
    </row>
    <row r="32" spans="1:20" x14ac:dyDescent="0.25">
      <c r="A32" s="70">
        <v>13.68</v>
      </c>
      <c r="C32" s="70">
        <v>12.68</v>
      </c>
    </row>
    <row r="33" spans="1:3" x14ac:dyDescent="0.25">
      <c r="A33" s="70">
        <v>12.36</v>
      </c>
      <c r="C33" s="70">
        <v>12.32</v>
      </c>
    </row>
    <row r="34" spans="1:3" x14ac:dyDescent="0.25">
      <c r="C34" s="70">
        <v>15.65</v>
      </c>
    </row>
    <row r="35" spans="1:3" x14ac:dyDescent="0.25">
      <c r="C35" s="70">
        <v>18.02</v>
      </c>
    </row>
    <row r="36" spans="1:3" x14ac:dyDescent="0.25">
      <c r="C36" s="70">
        <v>14.55</v>
      </c>
    </row>
    <row r="37" spans="1:3" x14ac:dyDescent="0.25">
      <c r="C37" s="70">
        <v>18.3</v>
      </c>
    </row>
    <row r="38" spans="1:3" x14ac:dyDescent="0.25">
      <c r="C38" s="70">
        <v>13.63</v>
      </c>
    </row>
    <row r="39" spans="1:3" x14ac:dyDescent="0.25">
      <c r="C39" s="70">
        <v>17.47</v>
      </c>
    </row>
    <row r="40" spans="1:3" x14ac:dyDescent="0.25">
      <c r="C40" s="70">
        <v>15.62</v>
      </c>
    </row>
    <row r="41" spans="1:3" x14ac:dyDescent="0.25">
      <c r="C41" s="70">
        <v>13.71</v>
      </c>
    </row>
    <row r="42" spans="1:3" x14ac:dyDescent="0.25">
      <c r="C42" s="70">
        <v>14.87</v>
      </c>
    </row>
    <row r="43" spans="1:3" x14ac:dyDescent="0.25">
      <c r="C43" s="70">
        <v>14.08</v>
      </c>
    </row>
    <row r="44" spans="1:3" x14ac:dyDescent="0.25">
      <c r="C44" s="70">
        <v>13.03</v>
      </c>
    </row>
    <row r="45" spans="1:3" x14ac:dyDescent="0.25">
      <c r="C45" s="70">
        <v>20.51</v>
      </c>
    </row>
    <row r="46" spans="1:3" x14ac:dyDescent="0.25">
      <c r="C46" s="70">
        <v>12.73</v>
      </c>
    </row>
    <row r="47" spans="1:3" x14ac:dyDescent="0.25">
      <c r="C47" s="70">
        <v>15.66</v>
      </c>
    </row>
    <row r="48" spans="1:3" x14ac:dyDescent="0.25">
      <c r="C48" s="70">
        <v>13.58</v>
      </c>
    </row>
    <row r="49" spans="3:3" x14ac:dyDescent="0.25">
      <c r="C49" s="70">
        <v>15.89</v>
      </c>
    </row>
    <row r="50" spans="3:3" x14ac:dyDescent="0.25">
      <c r="C50" s="70">
        <v>15.44</v>
      </c>
    </row>
    <row r="51" spans="3:3" x14ac:dyDescent="0.25">
      <c r="C51" s="70">
        <v>14.65</v>
      </c>
    </row>
    <row r="52" spans="3:3" x14ac:dyDescent="0.25">
      <c r="C52" s="70">
        <v>14.37</v>
      </c>
    </row>
    <row r="53" spans="3:3" x14ac:dyDescent="0.25">
      <c r="C53" s="70">
        <v>10.75</v>
      </c>
    </row>
    <row r="54" spans="3:3" x14ac:dyDescent="0.25">
      <c r="C54" s="70">
        <v>11.99</v>
      </c>
    </row>
    <row r="55" spans="3:3" x14ac:dyDescent="0.25">
      <c r="C55" s="70">
        <v>18.63</v>
      </c>
    </row>
    <row r="56" spans="3:3" x14ac:dyDescent="0.25">
      <c r="C56" s="70">
        <v>14.67</v>
      </c>
    </row>
    <row r="57" spans="3:3" x14ac:dyDescent="0.25">
      <c r="C57" s="70">
        <v>11.29</v>
      </c>
    </row>
    <row r="58" spans="3:3" x14ac:dyDescent="0.25">
      <c r="C58" s="70">
        <v>15.66</v>
      </c>
    </row>
    <row r="59" spans="3:3" x14ac:dyDescent="0.25">
      <c r="C59" s="70">
        <v>14.32</v>
      </c>
    </row>
    <row r="60" spans="3:3" x14ac:dyDescent="0.25">
      <c r="C60" s="70">
        <v>26.81</v>
      </c>
    </row>
    <row r="61" spans="3:3" x14ac:dyDescent="0.25">
      <c r="C61" s="70">
        <v>14.03</v>
      </c>
    </row>
    <row r="62" spans="3:3" x14ac:dyDescent="0.25">
      <c r="C62" s="70">
        <v>15.02</v>
      </c>
    </row>
    <row r="63" spans="3:3" x14ac:dyDescent="0.25">
      <c r="C63" s="70">
        <v>14.93</v>
      </c>
    </row>
    <row r="64" spans="3:3" x14ac:dyDescent="0.25">
      <c r="C64" s="70">
        <v>16.16</v>
      </c>
    </row>
    <row r="65" spans="3:3" x14ac:dyDescent="0.25">
      <c r="C65" s="70">
        <v>21.79</v>
      </c>
    </row>
    <row r="66" spans="3:3" x14ac:dyDescent="0.25">
      <c r="C66" s="70">
        <v>15.49</v>
      </c>
    </row>
    <row r="67" spans="3:3" x14ac:dyDescent="0.25">
      <c r="C67" s="70">
        <v>19.850000000000001</v>
      </c>
    </row>
    <row r="68" spans="3:3" x14ac:dyDescent="0.25">
      <c r="C68" s="70">
        <v>12.75</v>
      </c>
    </row>
    <row r="69" spans="3:3" x14ac:dyDescent="0.25">
      <c r="C69" s="70">
        <v>17.97</v>
      </c>
    </row>
    <row r="70" spans="3:3" x14ac:dyDescent="0.25">
      <c r="C70" s="70">
        <v>10.97</v>
      </c>
    </row>
    <row r="71" spans="3:3" x14ac:dyDescent="0.25">
      <c r="C71" s="70">
        <v>22.12</v>
      </c>
    </row>
    <row r="72" spans="3:3" x14ac:dyDescent="0.25">
      <c r="C72" s="70">
        <v>20.68</v>
      </c>
    </row>
    <row r="73" spans="3:3" x14ac:dyDescent="0.25">
      <c r="C73" s="70">
        <v>20.68</v>
      </c>
    </row>
    <row r="74" spans="3:3" x14ac:dyDescent="0.25">
      <c r="C74" s="70">
        <v>14.3</v>
      </c>
    </row>
    <row r="75" spans="3:3" x14ac:dyDescent="0.25">
      <c r="C75" s="70">
        <v>16.13</v>
      </c>
    </row>
    <row r="76" spans="3:3" x14ac:dyDescent="0.25">
      <c r="C76" s="70">
        <v>12.41</v>
      </c>
    </row>
    <row r="77" spans="3:3" x14ac:dyDescent="0.25">
      <c r="C77" s="70">
        <v>22.53</v>
      </c>
    </row>
    <row r="78" spans="3:3" x14ac:dyDescent="0.25">
      <c r="C78" s="70">
        <v>21.66</v>
      </c>
    </row>
    <row r="79" spans="3:3" x14ac:dyDescent="0.25">
      <c r="C79" s="70">
        <v>19.079999999999998</v>
      </c>
    </row>
    <row r="80" spans="3:3" x14ac:dyDescent="0.25">
      <c r="C80" s="70">
        <v>14.88</v>
      </c>
    </row>
    <row r="81" spans="3:3" x14ac:dyDescent="0.25">
      <c r="C81" s="70">
        <v>22.52</v>
      </c>
    </row>
    <row r="82" spans="3:3" x14ac:dyDescent="0.25">
      <c r="C82" s="70">
        <v>20.97</v>
      </c>
    </row>
    <row r="83" spans="3:3" x14ac:dyDescent="0.25">
      <c r="C83" s="70">
        <v>15.42</v>
      </c>
    </row>
    <row r="84" spans="3:3" x14ac:dyDescent="0.25">
      <c r="C84" s="70">
        <v>11.46</v>
      </c>
    </row>
    <row r="85" spans="3:3" x14ac:dyDescent="0.25">
      <c r="C85" s="70">
        <v>13.03</v>
      </c>
    </row>
    <row r="86" spans="3:3" x14ac:dyDescent="0.25">
      <c r="C86" s="70">
        <v>14.53</v>
      </c>
    </row>
    <row r="87" spans="3:3" x14ac:dyDescent="0.25">
      <c r="C87" s="70">
        <v>17.21</v>
      </c>
    </row>
    <row r="88" spans="3:3" x14ac:dyDescent="0.25">
      <c r="C88" s="70">
        <v>12.68</v>
      </c>
    </row>
    <row r="89" spans="3:3" x14ac:dyDescent="0.25">
      <c r="C89" s="70">
        <v>12.02</v>
      </c>
    </row>
    <row r="90" spans="3:3" x14ac:dyDescent="0.25">
      <c r="C90" s="70">
        <v>13.21</v>
      </c>
    </row>
    <row r="91" spans="3:3" x14ac:dyDescent="0.25">
      <c r="C91" s="70">
        <v>18.739999999999998</v>
      </c>
    </row>
    <row r="92" spans="3:3" x14ac:dyDescent="0.25">
      <c r="C92" s="70">
        <v>15.89</v>
      </c>
    </row>
    <row r="93" spans="3:3" x14ac:dyDescent="0.25">
      <c r="C93" s="70">
        <v>13.42</v>
      </c>
    </row>
    <row r="94" spans="3:3" x14ac:dyDescent="0.25">
      <c r="C94" s="70">
        <v>13.66</v>
      </c>
    </row>
    <row r="95" spans="3:3" x14ac:dyDescent="0.25">
      <c r="C95" s="70">
        <v>13.11</v>
      </c>
    </row>
    <row r="96" spans="3:3" x14ac:dyDescent="0.25">
      <c r="C96" s="70">
        <v>15.93</v>
      </c>
    </row>
    <row r="97" spans="3:3" x14ac:dyDescent="0.25">
      <c r="C97" s="70">
        <v>15.01</v>
      </c>
    </row>
    <row r="98" spans="3:3" x14ac:dyDescent="0.25">
      <c r="C98" s="70">
        <v>12.94</v>
      </c>
    </row>
    <row r="99" spans="3:3" x14ac:dyDescent="0.25">
      <c r="C99" s="70">
        <v>16.309999999999999</v>
      </c>
    </row>
    <row r="100" spans="3:3" x14ac:dyDescent="0.25">
      <c r="C100" s="70">
        <v>12.87</v>
      </c>
    </row>
    <row r="101" spans="3:3" x14ac:dyDescent="0.25">
      <c r="C101" s="70">
        <v>13.71</v>
      </c>
    </row>
    <row r="102" spans="3:3" x14ac:dyDescent="0.25">
      <c r="C102" s="70">
        <v>20.43</v>
      </c>
    </row>
    <row r="103" spans="3:3" x14ac:dyDescent="0.25">
      <c r="C103" s="70">
        <v>13.44</v>
      </c>
    </row>
    <row r="104" spans="3:3" x14ac:dyDescent="0.25">
      <c r="C104" s="70">
        <v>15.94</v>
      </c>
    </row>
    <row r="105" spans="3:3" x14ac:dyDescent="0.25">
      <c r="C105" s="70">
        <v>14.32</v>
      </c>
    </row>
    <row r="106" spans="3:3" x14ac:dyDescent="0.25">
      <c r="C106" s="70">
        <v>15.22</v>
      </c>
    </row>
    <row r="107" spans="3:3" x14ac:dyDescent="0.25">
      <c r="C107" s="70">
        <v>22.59</v>
      </c>
    </row>
    <row r="108" spans="3:3" x14ac:dyDescent="0.25">
      <c r="C108" s="70">
        <v>12.32</v>
      </c>
    </row>
    <row r="109" spans="3:3" x14ac:dyDescent="0.25">
      <c r="C109" s="70">
        <v>13.34</v>
      </c>
    </row>
    <row r="110" spans="3:3" x14ac:dyDescent="0.25">
      <c r="C110" s="70">
        <v>14.52</v>
      </c>
    </row>
    <row r="111" spans="3:3" x14ac:dyDescent="0.25">
      <c r="C111" s="70">
        <v>23.7</v>
      </c>
    </row>
    <row r="112" spans="3:3" x14ac:dyDescent="0.25">
      <c r="C112" s="70">
        <v>13.21</v>
      </c>
    </row>
    <row r="113" spans="3:3" x14ac:dyDescent="0.25">
      <c r="C113" s="70">
        <v>13.68</v>
      </c>
    </row>
    <row r="114" spans="3:3" x14ac:dyDescent="0.25">
      <c r="C114" s="70">
        <v>12.36</v>
      </c>
    </row>
  </sheetData>
  <sortState xmlns:xlrd2="http://schemas.microsoft.com/office/spreadsheetml/2017/richdata2" ref="D11:E33">
    <sortCondition ref="D11"/>
  </sortState>
  <conditionalFormatting sqref="C115:C140">
    <cfRule type="expression" dxfId="20" priority="14">
      <formula>ISNUMBER(MATCH(C115,D$11:D$33,0))</formula>
    </cfRule>
  </conditionalFormatting>
  <conditionalFormatting sqref="C11:C114">
    <cfRule type="expression" dxfId="19" priority="15">
      <formula>ISNUMBER(MATCH(C11,A$11:A$33,0))</formula>
    </cfRule>
  </conditionalFormatting>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rgb="FF0000FF"/>
  </sheetPr>
  <dimension ref="A19:E45"/>
  <sheetViews>
    <sheetView zoomScaleNormal="100" workbookViewId="0">
      <selection activeCell="B23" sqref="B23"/>
    </sheetView>
  </sheetViews>
  <sheetFormatPr defaultRowHeight="15" x14ac:dyDescent="0.25"/>
  <cols>
    <col min="1" max="1" width="27.42578125" bestFit="1" customWidth="1"/>
    <col min="2" max="2" width="9.7109375" customWidth="1"/>
    <col min="3" max="3" width="2" customWidth="1"/>
    <col min="4" max="4" width="23" customWidth="1"/>
    <col min="5" max="5" width="9.7109375" customWidth="1"/>
  </cols>
  <sheetData>
    <row r="19" spans="1:5" x14ac:dyDescent="0.25">
      <c r="A19" s="82" t="s">
        <v>515</v>
      </c>
      <c r="B19" s="148"/>
      <c r="C19" s="148"/>
      <c r="D19" s="148"/>
      <c r="E19" s="83"/>
    </row>
    <row r="21" spans="1:5" ht="30" x14ac:dyDescent="0.25">
      <c r="A21" s="147" t="s">
        <v>962</v>
      </c>
      <c r="B21" s="48">
        <v>2000</v>
      </c>
      <c r="D21" s="147" t="s">
        <v>961</v>
      </c>
      <c r="E21" s="26">
        <v>15</v>
      </c>
    </row>
    <row r="22" spans="1:5" x14ac:dyDescent="0.25">
      <c r="A22" s="147" t="s">
        <v>960</v>
      </c>
      <c r="B22" s="48">
        <v>755</v>
      </c>
      <c r="D22" s="147" t="s">
        <v>960</v>
      </c>
      <c r="E22" s="26">
        <v>3</v>
      </c>
    </row>
    <row r="23" spans="1:5" x14ac:dyDescent="0.25">
      <c r="A23" s="147" t="s">
        <v>516</v>
      </c>
      <c r="B23" s="146"/>
      <c r="D23" s="147" t="s">
        <v>516</v>
      </c>
      <c r="E23" s="146"/>
    </row>
    <row r="24" spans="1:5" ht="4.5" customHeight="1" x14ac:dyDescent="0.25"/>
    <row r="25" spans="1:5" x14ac:dyDescent="0.25">
      <c r="A25" s="275" t="s">
        <v>517</v>
      </c>
      <c r="B25" s="275"/>
      <c r="C25" s="275"/>
      <c r="D25" s="275"/>
      <c r="E25" s="275"/>
    </row>
    <row r="26" spans="1:5" x14ac:dyDescent="0.25">
      <c r="A26" s="276" t="s">
        <v>518</v>
      </c>
      <c r="B26" s="277"/>
      <c r="C26" s="277"/>
      <c r="D26" s="277"/>
      <c r="E26" s="278"/>
    </row>
    <row r="27" spans="1:5" x14ac:dyDescent="0.25">
      <c r="A27" s="244"/>
      <c r="B27" s="244"/>
      <c r="C27" s="244"/>
      <c r="D27" s="244"/>
      <c r="E27" s="244"/>
    </row>
    <row r="29" spans="1:5" x14ac:dyDescent="0.25">
      <c r="A29" s="147" t="s">
        <v>956</v>
      </c>
      <c r="B29" s="44"/>
      <c r="D29" s="147" t="s">
        <v>958</v>
      </c>
      <c r="E29" s="44"/>
    </row>
    <row r="30" spans="1:5" ht="30" x14ac:dyDescent="0.25">
      <c r="A30" s="147" t="s">
        <v>957</v>
      </c>
      <c r="B30" s="44"/>
      <c r="D30" s="147" t="s">
        <v>959</v>
      </c>
      <c r="E30" s="44"/>
    </row>
    <row r="31" spans="1:5" x14ac:dyDescent="0.25">
      <c r="A31" s="147" t="s">
        <v>516</v>
      </c>
      <c r="B31" s="146"/>
      <c r="D31" s="147" t="s">
        <v>516</v>
      </c>
      <c r="E31" s="146"/>
    </row>
    <row r="33" spans="1:4" x14ac:dyDescent="0.25">
      <c r="A33" s="61" t="s">
        <v>954</v>
      </c>
      <c r="D33" s="61" t="s">
        <v>955</v>
      </c>
    </row>
    <row r="34" spans="1:4" x14ac:dyDescent="0.25">
      <c r="A34" s="70">
        <v>12.54</v>
      </c>
      <c r="D34" s="70">
        <v>25.5</v>
      </c>
    </row>
    <row r="35" spans="1:4" x14ac:dyDescent="0.25">
      <c r="A35" s="70">
        <v>15.68</v>
      </c>
      <c r="D35" s="70">
        <v>23.68</v>
      </c>
    </row>
    <row r="36" spans="1:4" x14ac:dyDescent="0.25">
      <c r="A36" s="70">
        <v>19.579999999999998</v>
      </c>
      <c r="D36" s="70">
        <v>78.25</v>
      </c>
    </row>
    <row r="37" spans="1:4" x14ac:dyDescent="0.25">
      <c r="A37" s="70">
        <v>25.71</v>
      </c>
      <c r="D37" s="70">
        <v>25.12</v>
      </c>
    </row>
    <row r="38" spans="1:4" x14ac:dyDescent="0.25">
      <c r="A38" s="70">
        <v>45.68</v>
      </c>
      <c r="D38" s="70">
        <v>12.5</v>
      </c>
    </row>
    <row r="39" spans="1:4" x14ac:dyDescent="0.25">
      <c r="A39" s="70">
        <v>15.69</v>
      </c>
      <c r="D39" s="70">
        <v>19.850000000000001</v>
      </c>
    </row>
    <row r="40" spans="1:4" x14ac:dyDescent="0.25">
      <c r="A40" s="70">
        <v>14.78</v>
      </c>
      <c r="D40" s="70">
        <v>45.54</v>
      </c>
    </row>
    <row r="41" spans="1:4" x14ac:dyDescent="0.25">
      <c r="A41" s="70">
        <v>35.5</v>
      </c>
      <c r="D41" s="70">
        <v>35.979999999999997</v>
      </c>
    </row>
    <row r="42" spans="1:4" x14ac:dyDescent="0.25">
      <c r="A42" s="70">
        <v>19.57</v>
      </c>
      <c r="D42" s="70">
        <v>15.24</v>
      </c>
    </row>
    <row r="43" spans="1:4" x14ac:dyDescent="0.25">
      <c r="A43" s="70">
        <v>18.71</v>
      </c>
      <c r="D43" s="70">
        <v>110</v>
      </c>
    </row>
    <row r="44" spans="1:4" x14ac:dyDescent="0.25">
      <c r="A44" s="70">
        <v>35.450000000000003</v>
      </c>
      <c r="D44" s="70">
        <v>28.58</v>
      </c>
    </row>
    <row r="45" spans="1:4" x14ac:dyDescent="0.25">
      <c r="A45" s="70">
        <v>12.75</v>
      </c>
      <c r="D45" s="70">
        <v>35.21</v>
      </c>
    </row>
  </sheetData>
  <mergeCells count="2">
    <mergeCell ref="A25:E25"/>
    <mergeCell ref="A26:E26"/>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rgb="FFFF0000"/>
  </sheetPr>
  <dimension ref="A19:E45"/>
  <sheetViews>
    <sheetView zoomScale="85" zoomScaleNormal="85" workbookViewId="0">
      <selection activeCell="E31" sqref="E31"/>
    </sheetView>
  </sheetViews>
  <sheetFormatPr defaultRowHeight="15" x14ac:dyDescent="0.25"/>
  <cols>
    <col min="1" max="1" width="27.42578125" bestFit="1" customWidth="1"/>
    <col min="2" max="2" width="9.7109375" customWidth="1"/>
    <col min="3" max="3" width="2" customWidth="1"/>
    <col min="4" max="4" width="23" customWidth="1"/>
    <col min="5" max="5" width="9.7109375" customWidth="1"/>
  </cols>
  <sheetData>
    <row r="19" spans="1:5" x14ac:dyDescent="0.25">
      <c r="A19" s="82" t="s">
        <v>515</v>
      </c>
      <c r="B19" s="148"/>
      <c r="C19" s="148"/>
      <c r="D19" s="148"/>
      <c r="E19" s="83"/>
    </row>
    <row r="21" spans="1:5" ht="30" x14ac:dyDescent="0.25">
      <c r="A21" s="147" t="s">
        <v>962</v>
      </c>
      <c r="B21" s="48">
        <v>2000</v>
      </c>
      <c r="D21" s="147" t="s">
        <v>961</v>
      </c>
      <c r="E21" s="26">
        <v>15</v>
      </c>
    </row>
    <row r="22" spans="1:5" x14ac:dyDescent="0.25">
      <c r="A22" s="147" t="s">
        <v>960</v>
      </c>
      <c r="B22" s="48">
        <v>755</v>
      </c>
      <c r="D22" s="147" t="s">
        <v>960</v>
      </c>
      <c r="E22" s="26">
        <v>3</v>
      </c>
    </row>
    <row r="23" spans="1:5" x14ac:dyDescent="0.25">
      <c r="A23" s="147" t="s">
        <v>516</v>
      </c>
      <c r="B23" s="146">
        <f>B22/B21</f>
        <v>0.3775</v>
      </c>
      <c r="D23" s="147" t="s">
        <v>516</v>
      </c>
      <c r="E23" s="146">
        <f>E22/E21</f>
        <v>0.2</v>
      </c>
    </row>
    <row r="24" spans="1:5" ht="4.5" customHeight="1" x14ac:dyDescent="0.25"/>
    <row r="25" spans="1:5" x14ac:dyDescent="0.25">
      <c r="A25" s="275" t="s">
        <v>517</v>
      </c>
      <c r="B25" s="275"/>
      <c r="C25" s="275"/>
      <c r="D25" s="275"/>
      <c r="E25" s="275"/>
    </row>
    <row r="26" spans="1:5" x14ac:dyDescent="0.25">
      <c r="A26" s="276" t="s">
        <v>518</v>
      </c>
      <c r="B26" s="277"/>
      <c r="C26" s="277"/>
      <c r="D26" s="277"/>
      <c r="E26" s="278"/>
    </row>
    <row r="27" spans="1:5" x14ac:dyDescent="0.25">
      <c r="A27" s="244"/>
      <c r="B27" s="244"/>
      <c r="C27" s="244"/>
      <c r="D27" s="244"/>
      <c r="E27" s="244"/>
    </row>
    <row r="29" spans="1:5" x14ac:dyDescent="0.25">
      <c r="A29" s="147" t="s">
        <v>956</v>
      </c>
      <c r="B29" s="44">
        <f>AVERAGE(A34:A45)</f>
        <v>22.636666666666667</v>
      </c>
      <c r="D29" s="147" t="s">
        <v>958</v>
      </c>
      <c r="E29" s="44">
        <f>AVERAGE(D34:D45)</f>
        <v>37.954166666666666</v>
      </c>
    </row>
    <row r="30" spans="1:5" ht="30" x14ac:dyDescent="0.25">
      <c r="A30" s="147" t="s">
        <v>957</v>
      </c>
      <c r="B30" s="44">
        <f>_xlfn.STDEV.S(A34:A45)</f>
        <v>10.712445042467147</v>
      </c>
      <c r="D30" s="147" t="s">
        <v>959</v>
      </c>
      <c r="E30" s="44">
        <f>_xlfn.STDEV.S(D34:D45)</f>
        <v>28.582236523704193</v>
      </c>
    </row>
    <row r="31" spans="1:5" x14ac:dyDescent="0.25">
      <c r="A31" s="147" t="s">
        <v>516</v>
      </c>
      <c r="B31" s="146">
        <f>B30/B29</f>
        <v>0.47323420891476131</v>
      </c>
      <c r="D31" s="147" t="s">
        <v>516</v>
      </c>
      <c r="E31" s="146">
        <f>E30/E29</f>
        <v>0.75307243008991176</v>
      </c>
    </row>
    <row r="33" spans="1:4" x14ac:dyDescent="0.25">
      <c r="A33" s="61" t="s">
        <v>954</v>
      </c>
      <c r="D33" s="61" t="s">
        <v>955</v>
      </c>
    </row>
    <row r="34" spans="1:4" x14ac:dyDescent="0.25">
      <c r="A34" s="70">
        <v>12.54</v>
      </c>
      <c r="D34" s="70">
        <v>25.5</v>
      </c>
    </row>
    <row r="35" spans="1:4" x14ac:dyDescent="0.25">
      <c r="A35" s="70">
        <v>15.68</v>
      </c>
      <c r="D35" s="70">
        <v>23.68</v>
      </c>
    </row>
    <row r="36" spans="1:4" x14ac:dyDescent="0.25">
      <c r="A36" s="70">
        <v>19.579999999999998</v>
      </c>
      <c r="D36" s="70">
        <v>78.25</v>
      </c>
    </row>
    <row r="37" spans="1:4" x14ac:dyDescent="0.25">
      <c r="A37" s="70">
        <v>25.71</v>
      </c>
      <c r="D37" s="70">
        <v>25.12</v>
      </c>
    </row>
    <row r="38" spans="1:4" x14ac:dyDescent="0.25">
      <c r="A38" s="70">
        <v>45.68</v>
      </c>
      <c r="D38" s="70">
        <v>12.5</v>
      </c>
    </row>
    <row r="39" spans="1:4" x14ac:dyDescent="0.25">
      <c r="A39" s="70">
        <v>15.69</v>
      </c>
      <c r="D39" s="70">
        <v>19.850000000000001</v>
      </c>
    </row>
    <row r="40" spans="1:4" x14ac:dyDescent="0.25">
      <c r="A40" s="70">
        <v>14.78</v>
      </c>
      <c r="D40" s="70">
        <v>45.54</v>
      </c>
    </row>
    <row r="41" spans="1:4" x14ac:dyDescent="0.25">
      <c r="A41" s="70">
        <v>35.5</v>
      </c>
      <c r="D41" s="70">
        <v>35.979999999999997</v>
      </c>
    </row>
    <row r="42" spans="1:4" x14ac:dyDescent="0.25">
      <c r="A42" s="70">
        <v>19.57</v>
      </c>
      <c r="D42" s="70">
        <v>15.24</v>
      </c>
    </row>
    <row r="43" spans="1:4" x14ac:dyDescent="0.25">
      <c r="A43" s="70">
        <v>18.71</v>
      </c>
      <c r="D43" s="70">
        <v>110</v>
      </c>
    </row>
    <row r="44" spans="1:4" x14ac:dyDescent="0.25">
      <c r="A44" s="70">
        <v>35.450000000000003</v>
      </c>
      <c r="D44" s="70">
        <v>28.58</v>
      </c>
    </row>
    <row r="45" spans="1:4" x14ac:dyDescent="0.25">
      <c r="A45" s="70">
        <v>12.75</v>
      </c>
      <c r="D45" s="70">
        <v>35.21</v>
      </c>
    </row>
  </sheetData>
  <mergeCells count="2">
    <mergeCell ref="A25:E25"/>
    <mergeCell ref="A26:E26"/>
  </mergeCells>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0000FF"/>
  </sheetPr>
  <dimension ref="A1:N37"/>
  <sheetViews>
    <sheetView zoomScale="85" zoomScaleNormal="85" workbookViewId="0">
      <pane ySplit="3" topLeftCell="A4" activePane="bottomLeft" state="frozen"/>
      <selection activeCell="C2" sqref="C2"/>
      <selection pane="bottomLeft" activeCell="E39" sqref="E39"/>
    </sheetView>
  </sheetViews>
  <sheetFormatPr defaultRowHeight="15" x14ac:dyDescent="0.25"/>
  <cols>
    <col min="1" max="1" width="16.28515625" customWidth="1"/>
    <col min="2" max="3" width="17" customWidth="1"/>
  </cols>
  <sheetData>
    <row r="1" spans="1:10" x14ac:dyDescent="0.25">
      <c r="A1" s="82" t="s">
        <v>546</v>
      </c>
      <c r="B1" s="148"/>
      <c r="C1" s="148"/>
      <c r="D1" s="148"/>
      <c r="E1" s="148"/>
      <c r="F1" s="148"/>
      <c r="G1" s="83"/>
    </row>
    <row r="2" spans="1:10" ht="3" customHeight="1" x14ac:dyDescent="0.25"/>
    <row r="3" spans="1:10" x14ac:dyDescent="0.25">
      <c r="B3" s="61" t="s">
        <v>547</v>
      </c>
      <c r="C3" s="61" t="s">
        <v>548</v>
      </c>
    </row>
    <row r="4" spans="1:10" x14ac:dyDescent="0.25">
      <c r="B4" s="26">
        <v>4</v>
      </c>
      <c r="C4" s="26">
        <v>10</v>
      </c>
      <c r="H4" t="s">
        <v>380</v>
      </c>
      <c r="I4" t="str">
        <f>"Count for "&amp;B3</f>
        <v>Count for Banderson's</v>
      </c>
      <c r="J4" t="str">
        <f>"Count for "&amp;C3</f>
        <v>Count for Plywood &amp; Floor</v>
      </c>
    </row>
    <row r="5" spans="1:10" x14ac:dyDescent="0.25">
      <c r="B5" s="26">
        <v>6</v>
      </c>
      <c r="C5" s="26">
        <v>11</v>
      </c>
      <c r="H5">
        <v>4</v>
      </c>
      <c r="I5">
        <f t="shared" ref="I5:I17" si="0">COUNTIFS(B$4:B$18,$H5)</f>
        <v>1</v>
      </c>
      <c r="J5">
        <f t="shared" ref="J5:J17" si="1">-COUNTIFS(C$4:C$18,$H5)</f>
        <v>0</v>
      </c>
    </row>
    <row r="6" spans="1:10" x14ac:dyDescent="0.25">
      <c r="B6" s="26">
        <v>12</v>
      </c>
      <c r="C6" s="26">
        <v>9</v>
      </c>
      <c r="H6">
        <v>5</v>
      </c>
      <c r="I6">
        <f t="shared" si="0"/>
        <v>1</v>
      </c>
      <c r="J6">
        <f t="shared" si="1"/>
        <v>0</v>
      </c>
    </row>
    <row r="7" spans="1:10" x14ac:dyDescent="0.25">
      <c r="B7" s="26">
        <v>11</v>
      </c>
      <c r="C7" s="26">
        <v>9</v>
      </c>
      <c r="H7">
        <v>6</v>
      </c>
      <c r="I7">
        <f t="shared" si="0"/>
        <v>4</v>
      </c>
      <c r="J7">
        <f t="shared" si="1"/>
        <v>-1</v>
      </c>
    </row>
    <row r="8" spans="1:10" x14ac:dyDescent="0.25">
      <c r="B8" s="26">
        <v>13</v>
      </c>
      <c r="C8" s="26">
        <v>10</v>
      </c>
      <c r="H8">
        <v>7</v>
      </c>
      <c r="I8">
        <f t="shared" si="0"/>
        <v>0</v>
      </c>
      <c r="J8">
        <f t="shared" si="1"/>
        <v>0</v>
      </c>
    </row>
    <row r="9" spans="1:10" x14ac:dyDescent="0.25">
      <c r="B9" s="26">
        <v>16</v>
      </c>
      <c r="C9" s="26">
        <v>8</v>
      </c>
      <c r="H9">
        <v>8</v>
      </c>
      <c r="I9">
        <f t="shared" si="0"/>
        <v>2</v>
      </c>
      <c r="J9">
        <f t="shared" si="1"/>
        <v>-3</v>
      </c>
    </row>
    <row r="10" spans="1:10" x14ac:dyDescent="0.25">
      <c r="B10" s="26">
        <v>5</v>
      </c>
      <c r="C10" s="26">
        <v>9</v>
      </c>
      <c r="H10">
        <v>9</v>
      </c>
      <c r="I10">
        <f t="shared" si="0"/>
        <v>1</v>
      </c>
      <c r="J10">
        <f t="shared" si="1"/>
        <v>-6</v>
      </c>
    </row>
    <row r="11" spans="1:10" x14ac:dyDescent="0.25">
      <c r="B11" s="26">
        <v>8</v>
      </c>
      <c r="C11" s="26">
        <v>10</v>
      </c>
      <c r="H11">
        <v>10</v>
      </c>
      <c r="I11">
        <f t="shared" si="0"/>
        <v>0</v>
      </c>
      <c r="J11">
        <f t="shared" si="1"/>
        <v>-4</v>
      </c>
    </row>
    <row r="12" spans="1:10" x14ac:dyDescent="0.25">
      <c r="B12" s="26">
        <v>9</v>
      </c>
      <c r="C12" s="26">
        <v>10</v>
      </c>
      <c r="H12">
        <v>11</v>
      </c>
      <c r="I12">
        <f t="shared" si="0"/>
        <v>1</v>
      </c>
      <c r="J12">
        <f t="shared" si="1"/>
        <v>-1</v>
      </c>
    </row>
    <row r="13" spans="1:10" x14ac:dyDescent="0.25">
      <c r="B13" s="26">
        <v>6</v>
      </c>
      <c r="C13" s="26">
        <v>9</v>
      </c>
      <c r="H13">
        <v>12</v>
      </c>
      <c r="I13">
        <f t="shared" si="0"/>
        <v>2</v>
      </c>
      <c r="J13">
        <f t="shared" si="1"/>
        <v>0</v>
      </c>
    </row>
    <row r="14" spans="1:10" x14ac:dyDescent="0.25">
      <c r="B14" s="26">
        <v>8</v>
      </c>
      <c r="C14" s="26">
        <v>8</v>
      </c>
      <c r="H14">
        <v>13</v>
      </c>
      <c r="I14">
        <f t="shared" si="0"/>
        <v>2</v>
      </c>
      <c r="J14">
        <f t="shared" si="1"/>
        <v>0</v>
      </c>
    </row>
    <row r="15" spans="1:10" x14ac:dyDescent="0.25">
      <c r="B15" s="26">
        <v>6</v>
      </c>
      <c r="C15" s="26">
        <v>9</v>
      </c>
      <c r="H15">
        <v>14</v>
      </c>
      <c r="I15">
        <f t="shared" si="0"/>
        <v>0</v>
      </c>
      <c r="J15">
        <f t="shared" si="1"/>
        <v>0</v>
      </c>
    </row>
    <row r="16" spans="1:10" x14ac:dyDescent="0.25">
      <c r="B16" s="26">
        <v>12</v>
      </c>
      <c r="C16" s="26">
        <v>6</v>
      </c>
      <c r="H16">
        <v>15</v>
      </c>
      <c r="I16">
        <f t="shared" si="0"/>
        <v>0</v>
      </c>
      <c r="J16">
        <f t="shared" si="1"/>
        <v>0</v>
      </c>
    </row>
    <row r="17" spans="1:10" x14ac:dyDescent="0.25">
      <c r="B17" s="26">
        <v>6</v>
      </c>
      <c r="C17" s="26">
        <v>8</v>
      </c>
      <c r="H17">
        <v>16</v>
      </c>
      <c r="I17">
        <f t="shared" si="0"/>
        <v>1</v>
      </c>
      <c r="J17">
        <f t="shared" si="1"/>
        <v>0</v>
      </c>
    </row>
    <row r="18" spans="1:10" x14ac:dyDescent="0.25">
      <c r="B18" s="26">
        <v>13</v>
      </c>
      <c r="C18" s="26">
        <v>9</v>
      </c>
    </row>
    <row r="19" spans="1:10" x14ac:dyDescent="0.25">
      <c r="E19" s="22" t="s">
        <v>525</v>
      </c>
      <c r="H19" t="s">
        <v>165</v>
      </c>
      <c r="I19">
        <f>COUNT(B4:B18)</f>
        <v>15</v>
      </c>
    </row>
    <row r="20" spans="1:10" x14ac:dyDescent="0.25">
      <c r="A20" s="89" t="s">
        <v>198</v>
      </c>
      <c r="B20" s="60">
        <f>AVERAGE(B4:B18)</f>
        <v>9</v>
      </c>
      <c r="C20" s="60">
        <f>AVERAGE(C4:C18)</f>
        <v>9</v>
      </c>
      <c r="E20" t="s">
        <v>380</v>
      </c>
    </row>
    <row r="21" spans="1:10" x14ac:dyDescent="0.25">
      <c r="A21" s="89" t="s">
        <v>319</v>
      </c>
      <c r="B21" s="60">
        <f t="shared" ref="B21:C21" si="2">MAX(B4:B18)</f>
        <v>16</v>
      </c>
      <c r="C21" s="60">
        <f t="shared" si="2"/>
        <v>11</v>
      </c>
      <c r="E21" t="s">
        <v>380</v>
      </c>
    </row>
    <row r="22" spans="1:10" x14ac:dyDescent="0.25">
      <c r="A22" s="89" t="s">
        <v>318</v>
      </c>
      <c r="B22" s="60">
        <f t="shared" ref="B22:C22" si="3">MIN(B4:B18)</f>
        <v>4</v>
      </c>
      <c r="C22" s="60">
        <f t="shared" si="3"/>
        <v>6</v>
      </c>
      <c r="E22" t="s">
        <v>380</v>
      </c>
    </row>
    <row r="23" spans="1:10" x14ac:dyDescent="0.25">
      <c r="A23" s="89" t="s">
        <v>95</v>
      </c>
      <c r="B23" s="60">
        <f t="shared" ref="B23:C23" si="4">B21-B22</f>
        <v>12</v>
      </c>
      <c r="C23" s="60">
        <f t="shared" si="4"/>
        <v>5</v>
      </c>
      <c r="E23" t="s">
        <v>380</v>
      </c>
    </row>
    <row r="24" spans="1:10" x14ac:dyDescent="0.25">
      <c r="A24" s="89" t="s">
        <v>549</v>
      </c>
      <c r="B24" s="60">
        <f t="shared" ref="B24:C24" si="5">_xlfn.STDEV.S(B4:B18)</f>
        <v>3.6055512754639891</v>
      </c>
      <c r="C24" s="60">
        <f t="shared" si="5"/>
        <v>1.1952286093343936</v>
      </c>
      <c r="E24" t="s">
        <v>380</v>
      </c>
    </row>
    <row r="26" spans="1:10" x14ac:dyDescent="0.25">
      <c r="A26" s="151" t="s">
        <v>550</v>
      </c>
    </row>
    <row r="27" spans="1:10" x14ac:dyDescent="0.25">
      <c r="A27" t="s">
        <v>551</v>
      </c>
    </row>
    <row r="28" spans="1:10" x14ac:dyDescent="0.25">
      <c r="A28" t="s">
        <v>552</v>
      </c>
    </row>
    <row r="29" spans="1:10" x14ac:dyDescent="0.25">
      <c r="A29" t="s">
        <v>553</v>
      </c>
    </row>
    <row r="30" spans="1:10" x14ac:dyDescent="0.25">
      <c r="A30" t="s">
        <v>591</v>
      </c>
    </row>
    <row r="31" spans="1:10" x14ac:dyDescent="0.25">
      <c r="A31" t="s">
        <v>592</v>
      </c>
    </row>
    <row r="35" spans="1:14" ht="39" customHeight="1" x14ac:dyDescent="0.25">
      <c r="A35" s="89" t="str">
        <f>B3</f>
        <v>Banderson's</v>
      </c>
      <c r="B35" s="245" t="str">
        <f t="shared" ref="B35:N35" si="6">REPT("*",COUNTIFS($B$4:$B$18,B37))</f>
        <v>*</v>
      </c>
      <c r="C35" s="245" t="str">
        <f t="shared" si="6"/>
        <v>*</v>
      </c>
      <c r="D35" s="245" t="str">
        <f t="shared" si="6"/>
        <v>****</v>
      </c>
      <c r="E35" s="245" t="str">
        <f t="shared" si="6"/>
        <v/>
      </c>
      <c r="F35" s="245" t="str">
        <f t="shared" si="6"/>
        <v>**</v>
      </c>
      <c r="G35" s="245" t="str">
        <f t="shared" si="6"/>
        <v>*</v>
      </c>
      <c r="H35" s="245" t="str">
        <f t="shared" si="6"/>
        <v/>
      </c>
      <c r="I35" s="245" t="str">
        <f t="shared" si="6"/>
        <v>*</v>
      </c>
      <c r="J35" s="245" t="str">
        <f t="shared" si="6"/>
        <v>**</v>
      </c>
      <c r="K35" s="245" t="str">
        <f t="shared" si="6"/>
        <v>**</v>
      </c>
      <c r="L35" s="245" t="str">
        <f t="shared" si="6"/>
        <v/>
      </c>
      <c r="M35" s="245" t="str">
        <f t="shared" si="6"/>
        <v/>
      </c>
      <c r="N35" s="245" t="str">
        <f t="shared" si="6"/>
        <v>*</v>
      </c>
    </row>
    <row r="36" spans="1:14" ht="39" customHeight="1" x14ac:dyDescent="0.25">
      <c r="A36" s="89" t="str">
        <f>C3</f>
        <v>Plywood &amp; Floor</v>
      </c>
      <c r="B36" s="245" t="str">
        <f>REPT("*",COUNTIFS($C$4:$C$18,B37))</f>
        <v/>
      </c>
      <c r="C36" s="245" t="str">
        <f t="shared" ref="C36:N36" si="7">REPT("*",COUNTIFS($C$4:$C$18,C37))</f>
        <v/>
      </c>
      <c r="D36" s="245" t="str">
        <f t="shared" si="7"/>
        <v>*</v>
      </c>
      <c r="E36" s="245" t="str">
        <f t="shared" si="7"/>
        <v/>
      </c>
      <c r="F36" s="245" t="str">
        <f t="shared" si="7"/>
        <v>***</v>
      </c>
      <c r="G36" s="245" t="str">
        <f t="shared" si="7"/>
        <v>******</v>
      </c>
      <c r="H36" s="245" t="str">
        <f t="shared" si="7"/>
        <v>****</v>
      </c>
      <c r="I36" s="245" t="str">
        <f t="shared" si="7"/>
        <v>*</v>
      </c>
      <c r="J36" s="245" t="str">
        <f t="shared" si="7"/>
        <v/>
      </c>
      <c r="K36" s="245" t="str">
        <f t="shared" si="7"/>
        <v/>
      </c>
      <c r="L36" s="245" t="str">
        <f t="shared" si="7"/>
        <v/>
      </c>
      <c r="M36" s="245" t="str">
        <f t="shared" si="7"/>
        <v/>
      </c>
      <c r="N36" s="245" t="str">
        <f t="shared" si="7"/>
        <v/>
      </c>
    </row>
    <row r="37" spans="1:14" x14ac:dyDescent="0.25">
      <c r="A37" s="246" t="s">
        <v>634</v>
      </c>
      <c r="B37" s="246">
        <v>4</v>
      </c>
      <c r="C37" s="246">
        <v>5</v>
      </c>
      <c r="D37" s="246">
        <v>6</v>
      </c>
      <c r="E37" s="246">
        <v>7</v>
      </c>
      <c r="F37" s="246">
        <v>8</v>
      </c>
      <c r="G37" s="246">
        <v>9</v>
      </c>
      <c r="H37" s="246">
        <v>10</v>
      </c>
      <c r="I37" s="246">
        <v>11</v>
      </c>
      <c r="J37" s="246">
        <v>12</v>
      </c>
      <c r="K37" s="246">
        <v>13</v>
      </c>
      <c r="L37" s="246">
        <v>14</v>
      </c>
      <c r="M37" s="246">
        <v>15</v>
      </c>
      <c r="N37" s="246">
        <v>16</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0000FF"/>
  </sheetPr>
  <dimension ref="A1:P203"/>
  <sheetViews>
    <sheetView topLeftCell="A3" zoomScale="85" zoomScaleNormal="85" workbookViewId="0">
      <selection activeCell="N3" sqref="N3"/>
    </sheetView>
  </sheetViews>
  <sheetFormatPr defaultRowHeight="15" x14ac:dyDescent="0.25"/>
  <cols>
    <col min="1" max="1" width="9.140625" style="5"/>
    <col min="2" max="2" width="11.85546875" style="5" bestFit="1" customWidth="1"/>
    <col min="3" max="3" width="10.85546875" style="5" bestFit="1" customWidth="1"/>
    <col min="4" max="4" width="16.7109375" style="5" bestFit="1" customWidth="1"/>
    <col min="5" max="5" width="15.28515625" style="5" bestFit="1" customWidth="1"/>
    <col min="6" max="6" width="11.7109375" style="5" bestFit="1" customWidth="1"/>
    <col min="7" max="7" width="9.140625" style="5"/>
    <col min="8" max="8" width="11.85546875" style="5" customWidth="1"/>
    <col min="9" max="9" width="13.5703125" style="5" customWidth="1"/>
    <col min="10" max="10" width="9.85546875" style="5" customWidth="1"/>
    <col min="11" max="11" width="14" style="5" customWidth="1"/>
    <col min="12" max="13" width="9.140625" style="5"/>
    <col min="14" max="14" width="27.28515625" style="5" customWidth="1"/>
    <col min="15" max="16384" width="9.140625" style="5"/>
  </cols>
  <sheetData>
    <row r="1" spans="1:16" ht="74.25" customHeight="1" x14ac:dyDescent="0.5">
      <c r="A1" s="279" t="s">
        <v>519</v>
      </c>
      <c r="B1" s="279"/>
      <c r="C1" s="279"/>
      <c r="D1" s="279"/>
      <c r="E1" s="279"/>
      <c r="F1" s="279"/>
      <c r="G1" s="279"/>
      <c r="H1" s="279"/>
      <c r="I1" s="279"/>
      <c r="J1" s="279"/>
      <c r="K1" s="279"/>
      <c r="M1"/>
      <c r="N1"/>
      <c r="O1"/>
      <c r="P1"/>
    </row>
    <row r="2" spans="1:16" x14ac:dyDescent="0.25">
      <c r="M2"/>
      <c r="N2"/>
      <c r="O2"/>
      <c r="P2"/>
    </row>
    <row r="3" spans="1:16" ht="63" x14ac:dyDescent="0.25">
      <c r="A3" s="149" t="s">
        <v>520</v>
      </c>
      <c r="B3" s="149" t="s">
        <v>192</v>
      </c>
      <c r="C3" s="149" t="s">
        <v>521</v>
      </c>
      <c r="D3" s="149" t="s">
        <v>522</v>
      </c>
      <c r="E3" s="149" t="s">
        <v>523</v>
      </c>
      <c r="F3" s="149" t="s">
        <v>524</v>
      </c>
      <c r="G3" s="149" t="s">
        <v>525</v>
      </c>
      <c r="H3" s="149" t="s">
        <v>526</v>
      </c>
      <c r="I3" s="149" t="s">
        <v>527</v>
      </c>
      <c r="J3" s="149" t="s">
        <v>528</v>
      </c>
      <c r="K3" s="149" t="s">
        <v>529</v>
      </c>
      <c r="M3"/>
      <c r="N3"/>
      <c r="O3"/>
      <c r="P3"/>
    </row>
    <row r="4" spans="1:16" x14ac:dyDescent="0.25">
      <c r="A4" s="8">
        <v>1</v>
      </c>
      <c r="B4" s="150">
        <v>42146</v>
      </c>
      <c r="C4" s="8" t="s">
        <v>521</v>
      </c>
      <c r="D4" s="8" t="s">
        <v>530</v>
      </c>
      <c r="E4" s="8" t="s">
        <v>531</v>
      </c>
      <c r="F4" s="102">
        <v>22.95</v>
      </c>
      <c r="G4" s="8">
        <v>2</v>
      </c>
      <c r="H4" s="102">
        <v>45.9</v>
      </c>
      <c r="I4" s="8" t="s">
        <v>532</v>
      </c>
      <c r="J4" s="8">
        <v>21</v>
      </c>
      <c r="K4" s="8">
        <v>20</v>
      </c>
      <c r="M4"/>
      <c r="N4"/>
      <c r="O4"/>
      <c r="P4"/>
    </row>
    <row r="5" spans="1:16" x14ac:dyDescent="0.25">
      <c r="A5" s="8">
        <v>2</v>
      </c>
      <c r="B5" s="150">
        <v>42184</v>
      </c>
      <c r="C5" s="8" t="s">
        <v>521</v>
      </c>
      <c r="D5" s="8" t="s">
        <v>530</v>
      </c>
      <c r="E5" s="8" t="s">
        <v>531</v>
      </c>
      <c r="F5" s="102">
        <v>19.95</v>
      </c>
      <c r="G5" s="8">
        <v>1</v>
      </c>
      <c r="H5" s="102">
        <v>19.95</v>
      </c>
      <c r="I5" s="8" t="s">
        <v>533</v>
      </c>
      <c r="J5" s="8">
        <v>57</v>
      </c>
      <c r="K5" s="8">
        <v>25</v>
      </c>
      <c r="M5"/>
      <c r="N5"/>
      <c r="O5"/>
      <c r="P5"/>
    </row>
    <row r="6" spans="1:16" x14ac:dyDescent="0.25">
      <c r="A6" s="8">
        <v>3</v>
      </c>
      <c r="B6" s="150">
        <v>42313</v>
      </c>
      <c r="C6" s="8" t="s">
        <v>534</v>
      </c>
      <c r="D6" s="8" t="s">
        <v>530</v>
      </c>
      <c r="E6" s="8" t="s">
        <v>535</v>
      </c>
      <c r="F6" s="102">
        <v>21.95</v>
      </c>
      <c r="G6" s="8">
        <v>1</v>
      </c>
      <c r="H6" s="102">
        <v>21.95</v>
      </c>
      <c r="I6" s="8" t="s">
        <v>536</v>
      </c>
      <c r="J6" s="8">
        <v>25</v>
      </c>
      <c r="K6" s="8">
        <v>22</v>
      </c>
      <c r="M6"/>
      <c r="N6"/>
      <c r="O6"/>
      <c r="P6"/>
    </row>
    <row r="7" spans="1:16" x14ac:dyDescent="0.25">
      <c r="A7" s="8">
        <v>4</v>
      </c>
      <c r="B7" s="150">
        <v>42247</v>
      </c>
      <c r="C7" s="8" t="s">
        <v>534</v>
      </c>
      <c r="D7" s="8" t="s">
        <v>537</v>
      </c>
      <c r="E7" s="8" t="s">
        <v>531</v>
      </c>
      <c r="F7" s="102">
        <v>19.95</v>
      </c>
      <c r="G7" s="8">
        <v>1</v>
      </c>
      <c r="H7" s="102">
        <v>19.95</v>
      </c>
      <c r="I7" s="8" t="s">
        <v>533</v>
      </c>
      <c r="J7" s="8">
        <v>38</v>
      </c>
      <c r="K7" s="8">
        <v>25</v>
      </c>
      <c r="M7"/>
      <c r="N7"/>
      <c r="O7"/>
      <c r="P7"/>
    </row>
    <row r="8" spans="1:16" x14ac:dyDescent="0.25">
      <c r="A8" s="8">
        <v>5</v>
      </c>
      <c r="B8" s="150">
        <v>42154</v>
      </c>
      <c r="C8" s="8" t="s">
        <v>521</v>
      </c>
      <c r="D8" s="8" t="s">
        <v>538</v>
      </c>
      <c r="E8" s="8" t="s">
        <v>531</v>
      </c>
      <c r="F8" s="102">
        <v>19.95</v>
      </c>
      <c r="G8" s="8">
        <v>4</v>
      </c>
      <c r="H8" s="102">
        <v>79.8</v>
      </c>
      <c r="I8" s="8" t="s">
        <v>533</v>
      </c>
      <c r="J8" s="8">
        <v>22</v>
      </c>
      <c r="K8" s="8">
        <v>25</v>
      </c>
      <c r="M8"/>
      <c r="N8"/>
      <c r="O8"/>
      <c r="P8"/>
    </row>
    <row r="9" spans="1:16" x14ac:dyDescent="0.25">
      <c r="A9" s="8">
        <v>6</v>
      </c>
      <c r="B9" s="150">
        <v>42282</v>
      </c>
      <c r="C9" s="8" t="s">
        <v>521</v>
      </c>
      <c r="D9" s="8" t="s">
        <v>539</v>
      </c>
      <c r="E9" s="8" t="s">
        <v>540</v>
      </c>
      <c r="F9" s="102">
        <v>19.95</v>
      </c>
      <c r="G9" s="8">
        <v>4</v>
      </c>
      <c r="H9" s="102">
        <v>79.8</v>
      </c>
      <c r="I9" s="8" t="s">
        <v>533</v>
      </c>
      <c r="J9" s="8">
        <v>29</v>
      </c>
      <c r="K9" s="8">
        <v>25</v>
      </c>
      <c r="M9"/>
      <c r="N9"/>
      <c r="O9"/>
      <c r="P9"/>
    </row>
    <row r="10" spans="1:16" x14ac:dyDescent="0.25">
      <c r="A10" s="8">
        <v>7</v>
      </c>
      <c r="B10" s="150">
        <v>42085</v>
      </c>
      <c r="C10" s="8" t="s">
        <v>521</v>
      </c>
      <c r="D10" s="8" t="s">
        <v>538</v>
      </c>
      <c r="E10" s="8" t="s">
        <v>531</v>
      </c>
      <c r="F10" s="102">
        <v>19.95</v>
      </c>
      <c r="G10" s="8">
        <v>3</v>
      </c>
      <c r="H10" s="102">
        <v>59.849999999999994</v>
      </c>
      <c r="I10" s="8" t="s">
        <v>533</v>
      </c>
      <c r="J10" s="8">
        <v>18</v>
      </c>
      <c r="K10" s="8">
        <v>25</v>
      </c>
      <c r="M10"/>
      <c r="N10"/>
      <c r="O10"/>
      <c r="P10"/>
    </row>
    <row r="11" spans="1:16" x14ac:dyDescent="0.25">
      <c r="A11" s="8">
        <v>8</v>
      </c>
      <c r="B11" s="150">
        <v>42169</v>
      </c>
      <c r="C11" s="8" t="s">
        <v>534</v>
      </c>
      <c r="D11" s="8" t="s">
        <v>541</v>
      </c>
      <c r="E11" s="8" t="s">
        <v>531</v>
      </c>
      <c r="F11" s="102">
        <v>19.95</v>
      </c>
      <c r="G11" s="8">
        <v>7</v>
      </c>
      <c r="H11" s="102">
        <v>139.65</v>
      </c>
      <c r="I11" s="8" t="s">
        <v>533</v>
      </c>
      <c r="J11" s="8">
        <v>64</v>
      </c>
      <c r="K11" s="8">
        <v>25</v>
      </c>
      <c r="M11"/>
      <c r="N11"/>
      <c r="O11"/>
      <c r="P11"/>
    </row>
    <row r="12" spans="1:16" x14ac:dyDescent="0.25">
      <c r="A12" s="8">
        <v>9</v>
      </c>
      <c r="B12" s="150">
        <v>42133</v>
      </c>
      <c r="C12" s="8" t="s">
        <v>534</v>
      </c>
      <c r="D12" s="8" t="s">
        <v>537</v>
      </c>
      <c r="E12" s="8" t="s">
        <v>531</v>
      </c>
      <c r="F12" s="102">
        <v>19.95</v>
      </c>
      <c r="G12" s="8">
        <v>6</v>
      </c>
      <c r="H12" s="102">
        <v>119.69999999999999</v>
      </c>
      <c r="I12" s="8" t="s">
        <v>533</v>
      </c>
      <c r="J12" s="8">
        <v>27</v>
      </c>
      <c r="K12" s="8">
        <v>25</v>
      </c>
      <c r="M12"/>
      <c r="N12"/>
      <c r="O12"/>
      <c r="P12"/>
    </row>
    <row r="13" spans="1:16" x14ac:dyDescent="0.25">
      <c r="A13" s="8">
        <v>10</v>
      </c>
      <c r="B13" s="150">
        <v>42244</v>
      </c>
      <c r="C13" s="8" t="s">
        <v>534</v>
      </c>
      <c r="D13" s="8" t="s">
        <v>538</v>
      </c>
      <c r="E13" s="8" t="s">
        <v>531</v>
      </c>
      <c r="F13" s="102">
        <v>21.95</v>
      </c>
      <c r="G13" s="8">
        <v>2</v>
      </c>
      <c r="H13" s="102">
        <v>43.9</v>
      </c>
      <c r="I13" s="8" t="s">
        <v>536</v>
      </c>
      <c r="J13" s="8">
        <v>22</v>
      </c>
      <c r="K13" s="8">
        <v>22</v>
      </c>
      <c r="M13"/>
      <c r="N13"/>
      <c r="O13"/>
      <c r="P13"/>
    </row>
    <row r="14" spans="1:16" x14ac:dyDescent="0.25">
      <c r="A14" s="8">
        <v>11</v>
      </c>
      <c r="B14" s="150">
        <v>42338</v>
      </c>
      <c r="C14" s="8" t="s">
        <v>521</v>
      </c>
      <c r="D14" s="8" t="s">
        <v>539</v>
      </c>
      <c r="E14" s="8" t="s">
        <v>542</v>
      </c>
      <c r="F14" s="102">
        <v>21.95</v>
      </c>
      <c r="G14" s="8">
        <v>2</v>
      </c>
      <c r="H14" s="102">
        <v>43.9</v>
      </c>
      <c r="I14" s="8" t="s">
        <v>536</v>
      </c>
      <c r="J14" s="8">
        <v>39</v>
      </c>
      <c r="K14" s="8">
        <v>22</v>
      </c>
      <c r="M14"/>
      <c r="N14"/>
      <c r="O14"/>
      <c r="P14"/>
    </row>
    <row r="15" spans="1:16" x14ac:dyDescent="0.25">
      <c r="A15" s="8">
        <v>12</v>
      </c>
      <c r="B15" s="150">
        <v>42260</v>
      </c>
      <c r="C15" s="8" t="s">
        <v>534</v>
      </c>
      <c r="D15" s="8" t="s">
        <v>530</v>
      </c>
      <c r="E15" s="8" t="s">
        <v>542</v>
      </c>
      <c r="F15" s="102">
        <v>19.95</v>
      </c>
      <c r="G15" s="8">
        <v>5</v>
      </c>
      <c r="H15" s="102">
        <v>99.75</v>
      </c>
      <c r="I15" s="8" t="s">
        <v>533</v>
      </c>
      <c r="J15" s="8">
        <v>61</v>
      </c>
      <c r="K15" s="8">
        <v>25</v>
      </c>
      <c r="M15"/>
      <c r="N15"/>
      <c r="O15"/>
      <c r="P15"/>
    </row>
    <row r="16" spans="1:16" x14ac:dyDescent="0.25">
      <c r="A16" s="8">
        <v>13</v>
      </c>
      <c r="B16" s="150">
        <v>42300</v>
      </c>
      <c r="C16" s="8" t="s">
        <v>534</v>
      </c>
      <c r="D16" s="8" t="s">
        <v>538</v>
      </c>
      <c r="E16" s="8" t="s">
        <v>542</v>
      </c>
      <c r="F16" s="102">
        <v>22.95</v>
      </c>
      <c r="G16" s="8">
        <v>5</v>
      </c>
      <c r="H16" s="102">
        <v>114.75</v>
      </c>
      <c r="I16" s="8" t="s">
        <v>532</v>
      </c>
      <c r="J16" s="8">
        <v>18</v>
      </c>
      <c r="K16" s="8">
        <v>20</v>
      </c>
      <c r="M16"/>
      <c r="N16"/>
      <c r="O16"/>
      <c r="P16"/>
    </row>
    <row r="17" spans="1:16" x14ac:dyDescent="0.25">
      <c r="A17" s="8">
        <v>14</v>
      </c>
      <c r="B17" s="150">
        <v>42266</v>
      </c>
      <c r="C17" s="8" t="s">
        <v>534</v>
      </c>
      <c r="D17" s="8" t="s">
        <v>539</v>
      </c>
      <c r="E17" s="8" t="s">
        <v>531</v>
      </c>
      <c r="F17" s="102">
        <v>22.95</v>
      </c>
      <c r="G17" s="8">
        <v>4</v>
      </c>
      <c r="H17" s="102">
        <v>91.8</v>
      </c>
      <c r="I17" s="8" t="s">
        <v>532</v>
      </c>
      <c r="J17" s="8">
        <v>22</v>
      </c>
      <c r="K17" s="8">
        <v>20</v>
      </c>
      <c r="M17"/>
      <c r="N17"/>
      <c r="O17"/>
      <c r="P17"/>
    </row>
    <row r="18" spans="1:16" x14ac:dyDescent="0.25">
      <c r="A18" s="8">
        <v>15</v>
      </c>
      <c r="B18" s="150">
        <v>42267</v>
      </c>
      <c r="C18" s="8" t="s">
        <v>534</v>
      </c>
      <c r="D18" s="8" t="s">
        <v>537</v>
      </c>
      <c r="E18" s="8" t="s">
        <v>542</v>
      </c>
      <c r="F18" s="102">
        <v>22.95</v>
      </c>
      <c r="G18" s="8">
        <v>5</v>
      </c>
      <c r="H18" s="102">
        <v>114.75</v>
      </c>
      <c r="I18" s="8" t="s">
        <v>532</v>
      </c>
      <c r="J18" s="8">
        <v>52</v>
      </c>
      <c r="K18" s="8">
        <v>20</v>
      </c>
      <c r="M18"/>
      <c r="N18"/>
      <c r="O18"/>
      <c r="P18"/>
    </row>
    <row r="19" spans="1:16" x14ac:dyDescent="0.25">
      <c r="A19" s="8">
        <v>16</v>
      </c>
      <c r="B19" s="150">
        <v>42022</v>
      </c>
      <c r="C19" s="8" t="s">
        <v>521</v>
      </c>
      <c r="D19" s="8" t="s">
        <v>538</v>
      </c>
      <c r="E19" s="8" t="s">
        <v>531</v>
      </c>
      <c r="F19" s="102">
        <v>22.95</v>
      </c>
      <c r="G19" s="8">
        <v>1</v>
      </c>
      <c r="H19" s="102">
        <v>22.95</v>
      </c>
      <c r="I19" s="8" t="s">
        <v>532</v>
      </c>
      <c r="J19" s="8">
        <v>22</v>
      </c>
      <c r="K19" s="8">
        <v>20</v>
      </c>
      <c r="M19"/>
      <c r="N19"/>
      <c r="O19"/>
      <c r="P19"/>
    </row>
    <row r="20" spans="1:16" x14ac:dyDescent="0.25">
      <c r="A20" s="8">
        <v>17</v>
      </c>
      <c r="B20" s="150">
        <v>42213</v>
      </c>
      <c r="C20" s="8" t="s">
        <v>534</v>
      </c>
      <c r="D20" s="8" t="s">
        <v>541</v>
      </c>
      <c r="E20" s="8" t="s">
        <v>531</v>
      </c>
      <c r="F20" s="102">
        <v>24.95</v>
      </c>
      <c r="G20" s="8">
        <v>5</v>
      </c>
      <c r="H20" s="102">
        <v>124.75</v>
      </c>
      <c r="I20" s="8" t="s">
        <v>543</v>
      </c>
      <c r="J20" s="8">
        <v>18</v>
      </c>
      <c r="K20" s="8">
        <v>35</v>
      </c>
      <c r="M20"/>
      <c r="N20"/>
      <c r="O20"/>
      <c r="P20"/>
    </row>
    <row r="21" spans="1:16" x14ac:dyDescent="0.25">
      <c r="A21" s="8">
        <v>18</v>
      </c>
      <c r="B21" s="150">
        <v>42161</v>
      </c>
      <c r="C21" s="8" t="s">
        <v>534</v>
      </c>
      <c r="D21" s="8" t="s">
        <v>539</v>
      </c>
      <c r="E21" s="8" t="s">
        <v>540</v>
      </c>
      <c r="F21" s="102">
        <v>19.95</v>
      </c>
      <c r="G21" s="8">
        <v>1</v>
      </c>
      <c r="H21" s="102">
        <v>19.95</v>
      </c>
      <c r="I21" s="8" t="s">
        <v>533</v>
      </c>
      <c r="J21" s="8">
        <v>55</v>
      </c>
      <c r="K21" s="8">
        <v>25</v>
      </c>
      <c r="M21"/>
      <c r="N21"/>
      <c r="O21"/>
      <c r="P21"/>
    </row>
    <row r="22" spans="1:16" x14ac:dyDescent="0.25">
      <c r="A22" s="8">
        <v>19</v>
      </c>
      <c r="B22" s="150">
        <v>42034</v>
      </c>
      <c r="C22" s="8" t="s">
        <v>534</v>
      </c>
      <c r="D22" s="8" t="s">
        <v>539</v>
      </c>
      <c r="E22" s="8" t="s">
        <v>535</v>
      </c>
      <c r="F22" s="102">
        <v>21.95</v>
      </c>
      <c r="G22" s="8">
        <v>4</v>
      </c>
      <c r="H22" s="102">
        <v>87.8</v>
      </c>
      <c r="I22" s="8" t="s">
        <v>536</v>
      </c>
      <c r="J22" s="8">
        <v>20</v>
      </c>
      <c r="K22" s="8">
        <v>22</v>
      </c>
      <c r="M22"/>
      <c r="N22"/>
      <c r="O22"/>
      <c r="P22"/>
    </row>
    <row r="23" spans="1:16" x14ac:dyDescent="0.25">
      <c r="A23" s="8">
        <v>20</v>
      </c>
      <c r="B23" s="150">
        <v>42286</v>
      </c>
      <c r="C23" s="8" t="s">
        <v>521</v>
      </c>
      <c r="D23" s="8" t="s">
        <v>539</v>
      </c>
      <c r="E23" s="8" t="s">
        <v>542</v>
      </c>
      <c r="F23" s="102">
        <v>22.95</v>
      </c>
      <c r="G23" s="8">
        <v>1</v>
      </c>
      <c r="H23" s="102">
        <v>22.95</v>
      </c>
      <c r="I23" s="8" t="s">
        <v>532</v>
      </c>
      <c r="J23" s="8">
        <v>42</v>
      </c>
      <c r="K23" s="8">
        <v>20</v>
      </c>
    </row>
    <row r="24" spans="1:16" x14ac:dyDescent="0.25">
      <c r="A24" s="8">
        <v>21</v>
      </c>
      <c r="B24" s="150">
        <v>42189</v>
      </c>
      <c r="C24" s="8" t="s">
        <v>534</v>
      </c>
      <c r="D24" s="8" t="s">
        <v>539</v>
      </c>
      <c r="E24" s="8" t="s">
        <v>540</v>
      </c>
      <c r="F24" s="102">
        <v>29.95</v>
      </c>
      <c r="G24" s="8">
        <v>10</v>
      </c>
      <c r="H24" s="102">
        <v>299.5</v>
      </c>
      <c r="I24" s="8" t="s">
        <v>544</v>
      </c>
      <c r="J24" s="8">
        <v>30</v>
      </c>
      <c r="K24" s="8">
        <v>45</v>
      </c>
    </row>
    <row r="25" spans="1:16" x14ac:dyDescent="0.25">
      <c r="A25" s="8">
        <v>22</v>
      </c>
      <c r="B25" s="150">
        <v>42316</v>
      </c>
      <c r="C25" s="8" t="s">
        <v>521</v>
      </c>
      <c r="D25" s="8" t="s">
        <v>538</v>
      </c>
      <c r="E25" s="8" t="s">
        <v>542</v>
      </c>
      <c r="F25" s="102">
        <v>19.95</v>
      </c>
      <c r="G25" s="8">
        <v>1</v>
      </c>
      <c r="H25" s="102">
        <v>19.95</v>
      </c>
      <c r="I25" s="8" t="s">
        <v>533</v>
      </c>
      <c r="J25" s="8">
        <v>64</v>
      </c>
      <c r="K25" s="8">
        <v>25</v>
      </c>
    </row>
    <row r="26" spans="1:16" x14ac:dyDescent="0.25">
      <c r="A26" s="8">
        <v>23</v>
      </c>
      <c r="B26" s="150">
        <v>42164</v>
      </c>
      <c r="C26" s="8" t="s">
        <v>521</v>
      </c>
      <c r="D26" s="8" t="s">
        <v>539</v>
      </c>
      <c r="E26" s="8" t="s">
        <v>542</v>
      </c>
      <c r="F26" s="102">
        <v>19.95</v>
      </c>
      <c r="G26" s="8">
        <v>5</v>
      </c>
      <c r="H26" s="102">
        <v>99.75</v>
      </c>
      <c r="I26" s="8" t="s">
        <v>533</v>
      </c>
      <c r="J26" s="8">
        <v>63</v>
      </c>
      <c r="K26" s="8">
        <v>25</v>
      </c>
    </row>
    <row r="27" spans="1:16" x14ac:dyDescent="0.25">
      <c r="A27" s="8">
        <v>24</v>
      </c>
      <c r="B27" s="150">
        <v>42080</v>
      </c>
      <c r="C27" s="8" t="s">
        <v>521</v>
      </c>
      <c r="D27" s="8" t="s">
        <v>530</v>
      </c>
      <c r="E27" s="8" t="s">
        <v>540</v>
      </c>
      <c r="F27" s="102">
        <v>19.95</v>
      </c>
      <c r="G27" s="8">
        <v>2</v>
      </c>
      <c r="H27" s="102">
        <v>39.9</v>
      </c>
      <c r="I27" s="8" t="s">
        <v>533</v>
      </c>
      <c r="J27" s="8">
        <v>41</v>
      </c>
      <c r="K27" s="8">
        <v>25</v>
      </c>
    </row>
    <row r="28" spans="1:16" x14ac:dyDescent="0.25">
      <c r="A28" s="8">
        <v>25</v>
      </c>
      <c r="B28" s="150">
        <v>42101</v>
      </c>
      <c r="C28" s="8" t="s">
        <v>534</v>
      </c>
      <c r="D28" s="8" t="s">
        <v>538</v>
      </c>
      <c r="E28" s="8" t="s">
        <v>535</v>
      </c>
      <c r="F28" s="102">
        <v>21.95</v>
      </c>
      <c r="G28" s="8">
        <v>3</v>
      </c>
      <c r="H28" s="102">
        <v>65.849999999999994</v>
      </c>
      <c r="I28" s="8" t="s">
        <v>536</v>
      </c>
      <c r="J28" s="8">
        <v>21</v>
      </c>
      <c r="K28" s="8">
        <v>22</v>
      </c>
    </row>
    <row r="29" spans="1:16" x14ac:dyDescent="0.25">
      <c r="A29" s="8">
        <v>26</v>
      </c>
      <c r="B29" s="150">
        <v>42009</v>
      </c>
      <c r="C29" s="8" t="s">
        <v>534</v>
      </c>
      <c r="D29" s="8" t="s">
        <v>539</v>
      </c>
      <c r="E29" s="8" t="s">
        <v>535</v>
      </c>
      <c r="F29" s="102">
        <v>24.95</v>
      </c>
      <c r="G29" s="8">
        <v>1</v>
      </c>
      <c r="H29" s="102">
        <v>24.95</v>
      </c>
      <c r="I29" s="8" t="s">
        <v>543</v>
      </c>
      <c r="J29" s="8">
        <v>63</v>
      </c>
      <c r="K29" s="8">
        <v>35</v>
      </c>
    </row>
    <row r="30" spans="1:16" x14ac:dyDescent="0.25">
      <c r="A30" s="8">
        <v>27</v>
      </c>
      <c r="B30" s="150">
        <v>42207</v>
      </c>
      <c r="C30" s="8" t="s">
        <v>534</v>
      </c>
      <c r="D30" s="8" t="s">
        <v>537</v>
      </c>
      <c r="E30" s="8" t="s">
        <v>531</v>
      </c>
      <c r="F30" s="102">
        <v>21.95</v>
      </c>
      <c r="G30" s="8">
        <v>1</v>
      </c>
      <c r="H30" s="102">
        <v>21.95</v>
      </c>
      <c r="I30" s="8" t="s">
        <v>536</v>
      </c>
      <c r="J30" s="8">
        <v>54</v>
      </c>
      <c r="K30" s="8">
        <v>22</v>
      </c>
    </row>
    <row r="31" spans="1:16" x14ac:dyDescent="0.25">
      <c r="A31" s="8">
        <v>28</v>
      </c>
      <c r="B31" s="150">
        <v>42320</v>
      </c>
      <c r="C31" s="8" t="s">
        <v>534</v>
      </c>
      <c r="D31" s="8" t="s">
        <v>537</v>
      </c>
      <c r="E31" s="8" t="s">
        <v>531</v>
      </c>
      <c r="F31" s="102">
        <v>19.95</v>
      </c>
      <c r="G31" s="8">
        <v>1</v>
      </c>
      <c r="H31" s="102">
        <v>19.95</v>
      </c>
      <c r="I31" s="8" t="s">
        <v>533</v>
      </c>
      <c r="J31" s="8">
        <v>18</v>
      </c>
      <c r="K31" s="8">
        <v>25</v>
      </c>
    </row>
    <row r="32" spans="1:16" x14ac:dyDescent="0.25">
      <c r="A32" s="8">
        <v>29</v>
      </c>
      <c r="B32" s="150">
        <v>42135</v>
      </c>
      <c r="C32" s="8" t="s">
        <v>534</v>
      </c>
      <c r="D32" s="8" t="s">
        <v>541</v>
      </c>
      <c r="E32" s="8" t="s">
        <v>531</v>
      </c>
      <c r="F32" s="102">
        <v>22.95</v>
      </c>
      <c r="G32" s="8">
        <v>4</v>
      </c>
      <c r="H32" s="102">
        <v>91.8</v>
      </c>
      <c r="I32" s="8" t="s">
        <v>532</v>
      </c>
      <c r="J32" s="8">
        <v>26</v>
      </c>
      <c r="K32" s="8">
        <v>20</v>
      </c>
    </row>
    <row r="33" spans="1:11" x14ac:dyDescent="0.25">
      <c r="A33" s="8">
        <v>30</v>
      </c>
      <c r="B33" s="150">
        <v>42108</v>
      </c>
      <c r="C33" s="8" t="s">
        <v>534</v>
      </c>
      <c r="D33" s="8" t="s">
        <v>539</v>
      </c>
      <c r="E33" s="8" t="s">
        <v>542</v>
      </c>
      <c r="F33" s="102">
        <v>21.95</v>
      </c>
      <c r="G33" s="8">
        <v>3</v>
      </c>
      <c r="H33" s="102">
        <v>65.849999999999994</v>
      </c>
      <c r="I33" s="8" t="s">
        <v>536</v>
      </c>
      <c r="J33" s="8">
        <v>59</v>
      </c>
      <c r="K33" s="8">
        <v>22</v>
      </c>
    </row>
    <row r="34" spans="1:11" x14ac:dyDescent="0.25">
      <c r="A34" s="8">
        <v>31</v>
      </c>
      <c r="B34" s="150">
        <v>42227</v>
      </c>
      <c r="C34" s="8" t="s">
        <v>534</v>
      </c>
      <c r="D34" s="8" t="s">
        <v>541</v>
      </c>
      <c r="E34" s="8" t="s">
        <v>531</v>
      </c>
      <c r="F34" s="102">
        <v>19.95</v>
      </c>
      <c r="G34" s="8">
        <v>2</v>
      </c>
      <c r="H34" s="102">
        <v>39.9</v>
      </c>
      <c r="I34" s="8" t="s">
        <v>533</v>
      </c>
      <c r="J34" s="8">
        <v>30</v>
      </c>
      <c r="K34" s="8">
        <v>25</v>
      </c>
    </row>
    <row r="35" spans="1:11" x14ac:dyDescent="0.25">
      <c r="A35" s="8">
        <v>32</v>
      </c>
      <c r="B35" s="150">
        <v>42322</v>
      </c>
      <c r="C35" s="8" t="s">
        <v>534</v>
      </c>
      <c r="D35" s="8" t="s">
        <v>538</v>
      </c>
      <c r="E35" s="8" t="s">
        <v>531</v>
      </c>
      <c r="F35" s="102">
        <v>21.95</v>
      </c>
      <c r="G35" s="8">
        <v>2</v>
      </c>
      <c r="H35" s="102">
        <v>43.9</v>
      </c>
      <c r="I35" s="8" t="s">
        <v>536</v>
      </c>
      <c r="J35" s="8">
        <v>64</v>
      </c>
      <c r="K35" s="8">
        <v>22</v>
      </c>
    </row>
    <row r="36" spans="1:11" x14ac:dyDescent="0.25">
      <c r="A36" s="8">
        <v>33</v>
      </c>
      <c r="B36" s="150">
        <v>42025</v>
      </c>
      <c r="C36" s="8" t="s">
        <v>534</v>
      </c>
      <c r="D36" s="8" t="s">
        <v>539</v>
      </c>
      <c r="E36" s="8" t="s">
        <v>531</v>
      </c>
      <c r="F36" s="102">
        <v>21.95</v>
      </c>
      <c r="G36" s="8">
        <v>3</v>
      </c>
      <c r="H36" s="102">
        <v>65.849999999999994</v>
      </c>
      <c r="I36" s="8" t="s">
        <v>536</v>
      </c>
      <c r="J36" s="8">
        <v>30</v>
      </c>
      <c r="K36" s="8">
        <v>22</v>
      </c>
    </row>
    <row r="37" spans="1:11" x14ac:dyDescent="0.25">
      <c r="A37" s="8">
        <v>34</v>
      </c>
      <c r="B37" s="150">
        <v>42106</v>
      </c>
      <c r="C37" s="8" t="s">
        <v>521</v>
      </c>
      <c r="D37" s="8" t="s">
        <v>537</v>
      </c>
      <c r="E37" s="8" t="s">
        <v>531</v>
      </c>
      <c r="F37" s="102">
        <v>21.95</v>
      </c>
      <c r="G37" s="8">
        <v>2</v>
      </c>
      <c r="H37" s="102">
        <v>43.9</v>
      </c>
      <c r="I37" s="8" t="s">
        <v>536</v>
      </c>
      <c r="J37" s="8">
        <v>41</v>
      </c>
      <c r="K37" s="8">
        <v>22</v>
      </c>
    </row>
    <row r="38" spans="1:11" x14ac:dyDescent="0.25">
      <c r="A38" s="8">
        <v>35</v>
      </c>
      <c r="B38" s="150">
        <v>42159</v>
      </c>
      <c r="C38" s="8" t="s">
        <v>521</v>
      </c>
      <c r="D38" s="8" t="s">
        <v>530</v>
      </c>
      <c r="E38" s="8" t="s">
        <v>540</v>
      </c>
      <c r="F38" s="102">
        <v>19.95</v>
      </c>
      <c r="G38" s="8">
        <v>5</v>
      </c>
      <c r="H38" s="102">
        <v>99.75</v>
      </c>
      <c r="I38" s="8" t="s">
        <v>533</v>
      </c>
      <c r="J38" s="8">
        <v>23</v>
      </c>
      <c r="K38" s="8">
        <v>25</v>
      </c>
    </row>
    <row r="39" spans="1:11" x14ac:dyDescent="0.25">
      <c r="A39" s="8">
        <v>36</v>
      </c>
      <c r="B39" s="150">
        <v>42296</v>
      </c>
      <c r="C39" s="8" t="s">
        <v>521</v>
      </c>
      <c r="D39" s="8" t="s">
        <v>538</v>
      </c>
      <c r="E39" s="8" t="s">
        <v>531</v>
      </c>
      <c r="F39" s="102">
        <v>29.95</v>
      </c>
      <c r="G39" s="8">
        <v>1</v>
      </c>
      <c r="H39" s="102">
        <v>29.95</v>
      </c>
      <c r="I39" s="8" t="s">
        <v>544</v>
      </c>
      <c r="J39" s="8">
        <v>52</v>
      </c>
      <c r="K39" s="8">
        <v>45</v>
      </c>
    </row>
    <row r="40" spans="1:11" x14ac:dyDescent="0.25">
      <c r="A40" s="8">
        <v>37</v>
      </c>
      <c r="B40" s="150">
        <v>42254</v>
      </c>
      <c r="C40" s="8" t="s">
        <v>534</v>
      </c>
      <c r="D40" s="8" t="s">
        <v>539</v>
      </c>
      <c r="E40" s="8" t="s">
        <v>531</v>
      </c>
      <c r="F40" s="102">
        <v>21.95</v>
      </c>
      <c r="G40" s="8">
        <v>3</v>
      </c>
      <c r="H40" s="102">
        <v>65.849999999999994</v>
      </c>
      <c r="I40" s="8" t="s">
        <v>536</v>
      </c>
      <c r="J40" s="8">
        <v>18</v>
      </c>
      <c r="K40" s="8">
        <v>22</v>
      </c>
    </row>
    <row r="41" spans="1:11" x14ac:dyDescent="0.25">
      <c r="A41" s="8">
        <v>38</v>
      </c>
      <c r="B41" s="150">
        <v>42266</v>
      </c>
      <c r="C41" s="8" t="s">
        <v>534</v>
      </c>
      <c r="D41" s="8" t="s">
        <v>539</v>
      </c>
      <c r="E41" s="8" t="s">
        <v>531</v>
      </c>
      <c r="F41" s="102">
        <v>22.95</v>
      </c>
      <c r="G41" s="8">
        <v>1</v>
      </c>
      <c r="H41" s="102">
        <v>22.95</v>
      </c>
      <c r="I41" s="8" t="s">
        <v>532</v>
      </c>
      <c r="J41" s="8">
        <v>32</v>
      </c>
      <c r="K41" s="8">
        <v>20</v>
      </c>
    </row>
    <row r="42" spans="1:11" x14ac:dyDescent="0.25">
      <c r="A42" s="8">
        <v>39</v>
      </c>
      <c r="B42" s="150">
        <v>42021</v>
      </c>
      <c r="C42" s="8" t="s">
        <v>521</v>
      </c>
      <c r="D42" s="8" t="s">
        <v>537</v>
      </c>
      <c r="E42" s="8" t="s">
        <v>542</v>
      </c>
      <c r="F42" s="102">
        <v>19.95</v>
      </c>
      <c r="G42" s="8">
        <v>1</v>
      </c>
      <c r="H42" s="102">
        <v>19.95</v>
      </c>
      <c r="I42" s="8" t="s">
        <v>533</v>
      </c>
      <c r="J42" s="8">
        <v>22</v>
      </c>
      <c r="K42" s="8">
        <v>25</v>
      </c>
    </row>
    <row r="43" spans="1:11" x14ac:dyDescent="0.25">
      <c r="A43" s="8">
        <v>40</v>
      </c>
      <c r="B43" s="150">
        <v>42078</v>
      </c>
      <c r="C43" s="8" t="s">
        <v>521</v>
      </c>
      <c r="D43" s="8" t="s">
        <v>539</v>
      </c>
      <c r="E43" s="8" t="s">
        <v>540</v>
      </c>
      <c r="F43" s="102">
        <v>19.95</v>
      </c>
      <c r="G43" s="8">
        <v>5</v>
      </c>
      <c r="H43" s="102">
        <v>99.75</v>
      </c>
      <c r="I43" s="8" t="s">
        <v>533</v>
      </c>
      <c r="J43" s="8">
        <v>29</v>
      </c>
      <c r="K43" s="8">
        <v>25</v>
      </c>
    </row>
    <row r="44" spans="1:11" x14ac:dyDescent="0.25">
      <c r="A44" s="8">
        <v>41</v>
      </c>
      <c r="B44" s="150">
        <v>42354</v>
      </c>
      <c r="C44" s="8" t="s">
        <v>534</v>
      </c>
      <c r="D44" s="8" t="s">
        <v>530</v>
      </c>
      <c r="E44" s="8" t="s">
        <v>542</v>
      </c>
      <c r="F44" s="102">
        <v>24.95</v>
      </c>
      <c r="G44" s="8">
        <v>5</v>
      </c>
      <c r="H44" s="102">
        <v>124.75</v>
      </c>
      <c r="I44" s="8" t="s">
        <v>545</v>
      </c>
      <c r="J44" s="8">
        <v>25</v>
      </c>
      <c r="K44" s="8">
        <v>30</v>
      </c>
    </row>
    <row r="45" spans="1:11" x14ac:dyDescent="0.25">
      <c r="A45" s="8">
        <v>42</v>
      </c>
      <c r="B45" s="150">
        <v>42193</v>
      </c>
      <c r="C45" s="8" t="s">
        <v>534</v>
      </c>
      <c r="D45" s="8" t="s">
        <v>539</v>
      </c>
      <c r="E45" s="8" t="s">
        <v>531</v>
      </c>
      <c r="F45" s="102">
        <v>21.95</v>
      </c>
      <c r="G45" s="8">
        <v>1</v>
      </c>
      <c r="H45" s="102">
        <v>21.95</v>
      </c>
      <c r="I45" s="8" t="s">
        <v>536</v>
      </c>
      <c r="J45" s="8">
        <v>63</v>
      </c>
      <c r="K45" s="8">
        <v>22</v>
      </c>
    </row>
    <row r="46" spans="1:11" x14ac:dyDescent="0.25">
      <c r="A46" s="8">
        <v>43</v>
      </c>
      <c r="B46" s="150">
        <v>42137</v>
      </c>
      <c r="C46" s="8" t="s">
        <v>534</v>
      </c>
      <c r="D46" s="8" t="s">
        <v>530</v>
      </c>
      <c r="E46" s="8" t="s">
        <v>542</v>
      </c>
      <c r="F46" s="102">
        <v>24.95</v>
      </c>
      <c r="G46" s="8">
        <v>7</v>
      </c>
      <c r="H46" s="102">
        <v>174.65</v>
      </c>
      <c r="I46" s="8" t="s">
        <v>543</v>
      </c>
      <c r="J46" s="8">
        <v>26</v>
      </c>
      <c r="K46" s="8">
        <v>35</v>
      </c>
    </row>
    <row r="47" spans="1:11" x14ac:dyDescent="0.25">
      <c r="A47" s="8">
        <v>44</v>
      </c>
      <c r="B47" s="150">
        <v>42066</v>
      </c>
      <c r="C47" s="8" t="s">
        <v>521</v>
      </c>
      <c r="D47" s="8" t="s">
        <v>541</v>
      </c>
      <c r="E47" s="8" t="s">
        <v>531</v>
      </c>
      <c r="F47" s="102">
        <v>29.95</v>
      </c>
      <c r="G47" s="8">
        <v>1</v>
      </c>
      <c r="H47" s="102">
        <v>29.95</v>
      </c>
      <c r="I47" s="8" t="s">
        <v>544</v>
      </c>
      <c r="J47" s="8">
        <v>31</v>
      </c>
      <c r="K47" s="8">
        <v>45</v>
      </c>
    </row>
    <row r="48" spans="1:11" x14ac:dyDescent="0.25">
      <c r="A48" s="8">
        <v>45</v>
      </c>
      <c r="B48" s="150">
        <v>42124</v>
      </c>
      <c r="C48" s="8" t="s">
        <v>534</v>
      </c>
      <c r="D48" s="8" t="s">
        <v>539</v>
      </c>
      <c r="E48" s="8" t="s">
        <v>542</v>
      </c>
      <c r="F48" s="102">
        <v>29.95</v>
      </c>
      <c r="G48" s="8">
        <v>5</v>
      </c>
      <c r="H48" s="102">
        <v>149.75</v>
      </c>
      <c r="I48" s="8" t="s">
        <v>544</v>
      </c>
      <c r="J48" s="8">
        <v>23</v>
      </c>
      <c r="K48" s="8">
        <v>45</v>
      </c>
    </row>
    <row r="49" spans="1:11" x14ac:dyDescent="0.25">
      <c r="A49" s="8">
        <v>46</v>
      </c>
      <c r="B49" s="150">
        <v>42196</v>
      </c>
      <c r="C49" s="8" t="s">
        <v>521</v>
      </c>
      <c r="D49" s="8" t="s">
        <v>539</v>
      </c>
      <c r="E49" s="8" t="s">
        <v>542</v>
      </c>
      <c r="F49" s="102">
        <v>29.95</v>
      </c>
      <c r="G49" s="8">
        <v>1</v>
      </c>
      <c r="H49" s="102">
        <v>29.95</v>
      </c>
      <c r="I49" s="8" t="s">
        <v>544</v>
      </c>
      <c r="J49" s="8">
        <v>42</v>
      </c>
      <c r="K49" s="8">
        <v>45</v>
      </c>
    </row>
    <row r="50" spans="1:11" x14ac:dyDescent="0.25">
      <c r="A50" s="8">
        <v>47</v>
      </c>
      <c r="B50" s="150">
        <v>42085</v>
      </c>
      <c r="C50" s="8" t="s">
        <v>521</v>
      </c>
      <c r="D50" s="8" t="s">
        <v>538</v>
      </c>
      <c r="E50" s="8" t="s">
        <v>535</v>
      </c>
      <c r="F50" s="102">
        <v>22.95</v>
      </c>
      <c r="G50" s="8">
        <v>2</v>
      </c>
      <c r="H50" s="102">
        <v>45.9</v>
      </c>
      <c r="I50" s="8" t="s">
        <v>532</v>
      </c>
      <c r="J50" s="8">
        <v>28</v>
      </c>
      <c r="K50" s="8">
        <v>20</v>
      </c>
    </row>
    <row r="51" spans="1:11" x14ac:dyDescent="0.25">
      <c r="A51" s="8">
        <v>48</v>
      </c>
      <c r="B51" s="150">
        <v>42243</v>
      </c>
      <c r="C51" s="8" t="s">
        <v>534</v>
      </c>
      <c r="D51" s="8" t="s">
        <v>538</v>
      </c>
      <c r="E51" s="8" t="s">
        <v>531</v>
      </c>
      <c r="F51" s="102">
        <v>22.95</v>
      </c>
      <c r="G51" s="8">
        <v>7</v>
      </c>
      <c r="H51" s="102">
        <v>160.65</v>
      </c>
      <c r="I51" s="8" t="s">
        <v>532</v>
      </c>
      <c r="J51" s="8">
        <v>23</v>
      </c>
      <c r="K51" s="8">
        <v>20</v>
      </c>
    </row>
    <row r="52" spans="1:11" x14ac:dyDescent="0.25">
      <c r="A52" s="8">
        <v>49</v>
      </c>
      <c r="B52" s="150">
        <v>42324</v>
      </c>
      <c r="C52" s="8" t="s">
        <v>534</v>
      </c>
      <c r="D52" s="8" t="s">
        <v>530</v>
      </c>
      <c r="E52" s="8" t="s">
        <v>542</v>
      </c>
      <c r="F52" s="102">
        <v>22.95</v>
      </c>
      <c r="G52" s="8">
        <v>7</v>
      </c>
      <c r="H52" s="102">
        <v>160.65</v>
      </c>
      <c r="I52" s="8" t="s">
        <v>532</v>
      </c>
      <c r="J52" s="8">
        <v>19</v>
      </c>
      <c r="K52" s="8">
        <v>20</v>
      </c>
    </row>
    <row r="53" spans="1:11" x14ac:dyDescent="0.25">
      <c r="A53" s="8">
        <v>50</v>
      </c>
      <c r="B53" s="150">
        <v>42030</v>
      </c>
      <c r="C53" s="8" t="s">
        <v>521</v>
      </c>
      <c r="D53" s="8" t="s">
        <v>538</v>
      </c>
      <c r="E53" s="8" t="s">
        <v>531</v>
      </c>
      <c r="F53" s="102">
        <v>19.95</v>
      </c>
      <c r="G53" s="8">
        <v>6</v>
      </c>
      <c r="H53" s="102">
        <v>119.69999999999999</v>
      </c>
      <c r="I53" s="8" t="s">
        <v>533</v>
      </c>
      <c r="J53" s="8">
        <v>37</v>
      </c>
      <c r="K53" s="8">
        <v>25</v>
      </c>
    </row>
    <row r="54" spans="1:11" x14ac:dyDescent="0.25">
      <c r="A54" s="8">
        <v>51</v>
      </c>
      <c r="B54" s="150">
        <v>42130</v>
      </c>
      <c r="C54" s="8" t="s">
        <v>534</v>
      </c>
      <c r="D54" s="8" t="s">
        <v>530</v>
      </c>
      <c r="E54" s="8" t="s">
        <v>535</v>
      </c>
      <c r="F54" s="102">
        <v>21.95</v>
      </c>
      <c r="G54" s="8">
        <v>2</v>
      </c>
      <c r="H54" s="102">
        <v>43.9</v>
      </c>
      <c r="I54" s="8" t="s">
        <v>536</v>
      </c>
      <c r="J54" s="8">
        <v>38</v>
      </c>
      <c r="K54" s="8">
        <v>22</v>
      </c>
    </row>
    <row r="55" spans="1:11" x14ac:dyDescent="0.25">
      <c r="A55" s="8">
        <v>52</v>
      </c>
      <c r="B55" s="150">
        <v>42081</v>
      </c>
      <c r="C55" s="8" t="s">
        <v>521</v>
      </c>
      <c r="D55" s="8" t="s">
        <v>530</v>
      </c>
      <c r="E55" s="8" t="s">
        <v>542</v>
      </c>
      <c r="F55" s="102">
        <v>19.95</v>
      </c>
      <c r="G55" s="8">
        <v>6</v>
      </c>
      <c r="H55" s="102">
        <v>119.69999999999999</v>
      </c>
      <c r="I55" s="8" t="s">
        <v>533</v>
      </c>
      <c r="J55" s="8">
        <v>50</v>
      </c>
      <c r="K55" s="8">
        <v>25</v>
      </c>
    </row>
    <row r="56" spans="1:11" x14ac:dyDescent="0.25">
      <c r="A56" s="8">
        <v>53</v>
      </c>
      <c r="B56" s="150">
        <v>42110</v>
      </c>
      <c r="C56" s="8" t="s">
        <v>534</v>
      </c>
      <c r="D56" s="8" t="s">
        <v>541</v>
      </c>
      <c r="E56" s="8" t="s">
        <v>531</v>
      </c>
      <c r="F56" s="102">
        <v>21.95</v>
      </c>
      <c r="G56" s="8">
        <v>3</v>
      </c>
      <c r="H56" s="102">
        <v>65.849999999999994</v>
      </c>
      <c r="I56" s="8" t="s">
        <v>536</v>
      </c>
      <c r="J56" s="8">
        <v>26</v>
      </c>
      <c r="K56" s="8">
        <v>22</v>
      </c>
    </row>
    <row r="57" spans="1:11" x14ac:dyDescent="0.25">
      <c r="A57" s="8">
        <v>54</v>
      </c>
      <c r="B57" s="150">
        <v>42009</v>
      </c>
      <c r="C57" s="8" t="s">
        <v>534</v>
      </c>
      <c r="D57" s="8" t="s">
        <v>539</v>
      </c>
      <c r="E57" s="8" t="s">
        <v>540</v>
      </c>
      <c r="F57" s="102">
        <v>22.95</v>
      </c>
      <c r="G57" s="8">
        <v>1</v>
      </c>
      <c r="H57" s="102">
        <v>22.95</v>
      </c>
      <c r="I57" s="8" t="s">
        <v>532</v>
      </c>
      <c r="J57" s="8">
        <v>33</v>
      </c>
      <c r="K57" s="8">
        <v>20</v>
      </c>
    </row>
    <row r="58" spans="1:11" x14ac:dyDescent="0.25">
      <c r="A58" s="8">
        <v>55</v>
      </c>
      <c r="B58" s="150">
        <v>42317</v>
      </c>
      <c r="C58" s="8" t="s">
        <v>534</v>
      </c>
      <c r="D58" s="8" t="s">
        <v>539</v>
      </c>
      <c r="E58" s="8" t="s">
        <v>542</v>
      </c>
      <c r="F58" s="102">
        <v>21.95</v>
      </c>
      <c r="G58" s="8">
        <v>3</v>
      </c>
      <c r="H58" s="102">
        <v>65.849999999999994</v>
      </c>
      <c r="I58" s="8" t="s">
        <v>536</v>
      </c>
      <c r="J58" s="8">
        <v>59</v>
      </c>
      <c r="K58" s="8">
        <v>22</v>
      </c>
    </row>
    <row r="59" spans="1:11" x14ac:dyDescent="0.25">
      <c r="A59" s="8">
        <v>56</v>
      </c>
      <c r="B59" s="150">
        <v>42214</v>
      </c>
      <c r="C59" s="8" t="s">
        <v>534</v>
      </c>
      <c r="D59" s="8" t="s">
        <v>538</v>
      </c>
      <c r="E59" s="8" t="s">
        <v>542</v>
      </c>
      <c r="F59" s="102">
        <v>21.95</v>
      </c>
      <c r="G59" s="8">
        <v>5</v>
      </c>
      <c r="H59" s="102">
        <v>109.75</v>
      </c>
      <c r="I59" s="8" t="s">
        <v>536</v>
      </c>
      <c r="J59" s="8">
        <v>32</v>
      </c>
      <c r="K59" s="8">
        <v>22</v>
      </c>
    </row>
    <row r="60" spans="1:11" x14ac:dyDescent="0.25">
      <c r="A60" s="8">
        <v>57</v>
      </c>
      <c r="B60" s="150">
        <v>42345</v>
      </c>
      <c r="C60" s="8" t="s">
        <v>534</v>
      </c>
      <c r="D60" s="8" t="s">
        <v>538</v>
      </c>
      <c r="E60" s="8" t="s">
        <v>542</v>
      </c>
      <c r="F60" s="102">
        <v>22.95</v>
      </c>
      <c r="G60" s="8">
        <v>5</v>
      </c>
      <c r="H60" s="102">
        <v>114.75</v>
      </c>
      <c r="I60" s="8" t="s">
        <v>532</v>
      </c>
      <c r="J60" s="8">
        <v>27</v>
      </c>
      <c r="K60" s="8">
        <v>20</v>
      </c>
    </row>
    <row r="61" spans="1:11" x14ac:dyDescent="0.25">
      <c r="A61" s="8">
        <v>58</v>
      </c>
      <c r="B61" s="150">
        <v>42330</v>
      </c>
      <c r="C61" s="8" t="s">
        <v>521</v>
      </c>
      <c r="D61" s="8" t="s">
        <v>537</v>
      </c>
      <c r="E61" s="8" t="s">
        <v>531</v>
      </c>
      <c r="F61" s="102">
        <v>24.95</v>
      </c>
      <c r="G61" s="8">
        <v>10</v>
      </c>
      <c r="H61" s="102">
        <v>249.5</v>
      </c>
      <c r="I61" s="8" t="s">
        <v>545</v>
      </c>
      <c r="J61" s="8">
        <v>54</v>
      </c>
      <c r="K61" s="8">
        <v>30</v>
      </c>
    </row>
    <row r="62" spans="1:11" x14ac:dyDescent="0.25">
      <c r="A62" s="8">
        <v>59</v>
      </c>
      <c r="B62" s="150">
        <v>42014</v>
      </c>
      <c r="C62" s="8" t="s">
        <v>534</v>
      </c>
      <c r="D62" s="8" t="s">
        <v>539</v>
      </c>
      <c r="E62" s="8" t="s">
        <v>531</v>
      </c>
      <c r="F62" s="102">
        <v>21.95</v>
      </c>
      <c r="G62" s="8">
        <v>5</v>
      </c>
      <c r="H62" s="102">
        <v>109.75</v>
      </c>
      <c r="I62" s="8" t="s">
        <v>536</v>
      </c>
      <c r="J62" s="8">
        <v>63</v>
      </c>
      <c r="K62" s="8">
        <v>22</v>
      </c>
    </row>
    <row r="63" spans="1:11" x14ac:dyDescent="0.25">
      <c r="A63" s="8">
        <v>60</v>
      </c>
      <c r="B63" s="150">
        <v>42156</v>
      </c>
      <c r="C63" s="8" t="s">
        <v>534</v>
      </c>
      <c r="D63" s="8" t="s">
        <v>538</v>
      </c>
      <c r="E63" s="8" t="s">
        <v>535</v>
      </c>
      <c r="F63" s="102">
        <v>22.95</v>
      </c>
      <c r="G63" s="8">
        <v>5</v>
      </c>
      <c r="H63" s="102">
        <v>114.75</v>
      </c>
      <c r="I63" s="8" t="s">
        <v>532</v>
      </c>
      <c r="J63" s="8">
        <v>48</v>
      </c>
      <c r="K63" s="8">
        <v>20</v>
      </c>
    </row>
    <row r="64" spans="1:11" x14ac:dyDescent="0.25">
      <c r="A64" s="8">
        <v>61</v>
      </c>
      <c r="B64" s="150">
        <v>42126</v>
      </c>
      <c r="C64" s="8" t="s">
        <v>534</v>
      </c>
      <c r="D64" s="8" t="s">
        <v>537</v>
      </c>
      <c r="E64" s="8" t="s">
        <v>535</v>
      </c>
      <c r="F64" s="102">
        <v>22.95</v>
      </c>
      <c r="G64" s="8">
        <v>5</v>
      </c>
      <c r="H64" s="102">
        <v>114.75</v>
      </c>
      <c r="I64" s="8" t="s">
        <v>532</v>
      </c>
      <c r="J64" s="8">
        <v>29</v>
      </c>
      <c r="K64" s="8">
        <v>20</v>
      </c>
    </row>
    <row r="65" spans="1:11" x14ac:dyDescent="0.25">
      <c r="A65" s="8">
        <v>62</v>
      </c>
      <c r="B65" s="150">
        <v>42168</v>
      </c>
      <c r="C65" s="8" t="s">
        <v>521</v>
      </c>
      <c r="D65" s="8" t="s">
        <v>538</v>
      </c>
      <c r="E65" s="8" t="s">
        <v>531</v>
      </c>
      <c r="F65" s="102">
        <v>29.95</v>
      </c>
      <c r="G65" s="8">
        <v>4</v>
      </c>
      <c r="H65" s="102">
        <v>119.8</v>
      </c>
      <c r="I65" s="8" t="s">
        <v>544</v>
      </c>
      <c r="J65" s="8">
        <v>38</v>
      </c>
      <c r="K65" s="8">
        <v>45</v>
      </c>
    </row>
    <row r="66" spans="1:11" x14ac:dyDescent="0.25">
      <c r="A66" s="8">
        <v>63</v>
      </c>
      <c r="B66" s="150">
        <v>42051</v>
      </c>
      <c r="C66" s="8" t="s">
        <v>521</v>
      </c>
      <c r="D66" s="8" t="s">
        <v>530</v>
      </c>
      <c r="E66" s="8" t="s">
        <v>535</v>
      </c>
      <c r="F66" s="102">
        <v>29.95</v>
      </c>
      <c r="G66" s="8">
        <v>1</v>
      </c>
      <c r="H66" s="102">
        <v>29.95</v>
      </c>
      <c r="I66" s="8" t="s">
        <v>544</v>
      </c>
      <c r="J66" s="8">
        <v>24</v>
      </c>
      <c r="K66" s="8">
        <v>45</v>
      </c>
    </row>
    <row r="67" spans="1:11" x14ac:dyDescent="0.25">
      <c r="A67" s="8">
        <v>64</v>
      </c>
      <c r="B67" s="150">
        <v>42218</v>
      </c>
      <c r="C67" s="8" t="s">
        <v>534</v>
      </c>
      <c r="D67" s="8" t="s">
        <v>538</v>
      </c>
      <c r="E67" s="8" t="s">
        <v>531</v>
      </c>
      <c r="F67" s="102">
        <v>22.95</v>
      </c>
      <c r="G67" s="8">
        <v>5</v>
      </c>
      <c r="H67" s="102">
        <v>114.75</v>
      </c>
      <c r="I67" s="8" t="s">
        <v>532</v>
      </c>
      <c r="J67" s="8">
        <v>51</v>
      </c>
      <c r="K67" s="8">
        <v>20</v>
      </c>
    </row>
    <row r="68" spans="1:11" x14ac:dyDescent="0.25">
      <c r="A68" s="8">
        <v>65</v>
      </c>
      <c r="B68" s="150">
        <v>42309</v>
      </c>
      <c r="C68" s="8" t="s">
        <v>521</v>
      </c>
      <c r="D68" s="8" t="s">
        <v>530</v>
      </c>
      <c r="E68" s="8" t="s">
        <v>531</v>
      </c>
      <c r="F68" s="102">
        <v>29.95</v>
      </c>
      <c r="G68" s="8">
        <v>7</v>
      </c>
      <c r="H68" s="102">
        <v>209.65</v>
      </c>
      <c r="I68" s="8" t="s">
        <v>544</v>
      </c>
      <c r="J68" s="8">
        <v>25</v>
      </c>
      <c r="K68" s="8">
        <v>45</v>
      </c>
    </row>
    <row r="69" spans="1:11" x14ac:dyDescent="0.25">
      <c r="A69" s="8">
        <v>66</v>
      </c>
      <c r="B69" s="150">
        <v>42316</v>
      </c>
      <c r="C69" s="8" t="s">
        <v>534</v>
      </c>
      <c r="D69" s="8" t="s">
        <v>538</v>
      </c>
      <c r="E69" s="8" t="s">
        <v>531</v>
      </c>
      <c r="F69" s="102">
        <v>22.95</v>
      </c>
      <c r="G69" s="8">
        <v>5</v>
      </c>
      <c r="H69" s="102">
        <v>114.75</v>
      </c>
      <c r="I69" s="8" t="s">
        <v>532</v>
      </c>
      <c r="J69" s="8">
        <v>65</v>
      </c>
      <c r="K69" s="8">
        <v>20</v>
      </c>
    </row>
    <row r="70" spans="1:11" x14ac:dyDescent="0.25">
      <c r="A70" s="8">
        <v>67</v>
      </c>
      <c r="B70" s="150">
        <v>42233</v>
      </c>
      <c r="C70" s="8" t="s">
        <v>534</v>
      </c>
      <c r="D70" s="8" t="s">
        <v>539</v>
      </c>
      <c r="E70" s="8" t="s">
        <v>542</v>
      </c>
      <c r="F70" s="102">
        <v>19.95</v>
      </c>
      <c r="G70" s="8">
        <v>3</v>
      </c>
      <c r="H70" s="102">
        <v>59.849999999999994</v>
      </c>
      <c r="I70" s="8" t="s">
        <v>533</v>
      </c>
      <c r="J70" s="8">
        <v>35</v>
      </c>
      <c r="K70" s="8">
        <v>25</v>
      </c>
    </row>
    <row r="71" spans="1:11" x14ac:dyDescent="0.25">
      <c r="A71" s="8">
        <v>68</v>
      </c>
      <c r="B71" s="150">
        <v>42274</v>
      </c>
      <c r="C71" s="8" t="s">
        <v>534</v>
      </c>
      <c r="D71" s="8" t="s">
        <v>530</v>
      </c>
      <c r="E71" s="8" t="s">
        <v>535</v>
      </c>
      <c r="F71" s="102">
        <v>24.95</v>
      </c>
      <c r="G71" s="8">
        <v>5</v>
      </c>
      <c r="H71" s="102">
        <v>124.75</v>
      </c>
      <c r="I71" s="8" t="s">
        <v>543</v>
      </c>
      <c r="J71" s="8">
        <v>35</v>
      </c>
      <c r="K71" s="8">
        <v>35</v>
      </c>
    </row>
    <row r="72" spans="1:11" x14ac:dyDescent="0.25">
      <c r="A72" s="8">
        <v>69</v>
      </c>
      <c r="B72" s="150">
        <v>42013</v>
      </c>
      <c r="C72" s="8" t="s">
        <v>534</v>
      </c>
      <c r="D72" s="8" t="s">
        <v>538</v>
      </c>
      <c r="E72" s="8" t="s">
        <v>542</v>
      </c>
      <c r="F72" s="102">
        <v>19.95</v>
      </c>
      <c r="G72" s="8">
        <v>2</v>
      </c>
      <c r="H72" s="102">
        <v>39.9</v>
      </c>
      <c r="I72" s="8" t="s">
        <v>533</v>
      </c>
      <c r="J72" s="8">
        <v>21</v>
      </c>
      <c r="K72" s="8">
        <v>25</v>
      </c>
    </row>
    <row r="73" spans="1:11" x14ac:dyDescent="0.25">
      <c r="A73" s="8">
        <v>70</v>
      </c>
      <c r="B73" s="150">
        <v>42287</v>
      </c>
      <c r="C73" s="8" t="s">
        <v>534</v>
      </c>
      <c r="D73" s="8" t="s">
        <v>530</v>
      </c>
      <c r="E73" s="8" t="s">
        <v>531</v>
      </c>
      <c r="F73" s="102">
        <v>24.95</v>
      </c>
      <c r="G73" s="8">
        <v>5</v>
      </c>
      <c r="H73" s="102">
        <v>124.75</v>
      </c>
      <c r="I73" s="8" t="s">
        <v>543</v>
      </c>
      <c r="J73" s="8">
        <v>47</v>
      </c>
      <c r="K73" s="8">
        <v>35</v>
      </c>
    </row>
    <row r="74" spans="1:11" x14ac:dyDescent="0.25">
      <c r="A74" s="8">
        <v>71</v>
      </c>
      <c r="B74" s="150">
        <v>42369</v>
      </c>
      <c r="C74" s="8" t="s">
        <v>534</v>
      </c>
      <c r="D74" s="8" t="s">
        <v>541</v>
      </c>
      <c r="E74" s="8" t="s">
        <v>535</v>
      </c>
      <c r="F74" s="102">
        <v>24.95</v>
      </c>
      <c r="G74" s="8">
        <v>1</v>
      </c>
      <c r="H74" s="102">
        <v>24.95</v>
      </c>
      <c r="I74" s="8" t="s">
        <v>543</v>
      </c>
      <c r="J74" s="8">
        <v>62</v>
      </c>
      <c r="K74" s="8">
        <v>35</v>
      </c>
    </row>
    <row r="75" spans="1:11" x14ac:dyDescent="0.25">
      <c r="A75" s="8">
        <v>72</v>
      </c>
      <c r="B75" s="150">
        <v>42344</v>
      </c>
      <c r="C75" s="8" t="s">
        <v>534</v>
      </c>
      <c r="D75" s="8" t="s">
        <v>539</v>
      </c>
      <c r="E75" s="8" t="s">
        <v>535</v>
      </c>
      <c r="F75" s="102">
        <v>22.95</v>
      </c>
      <c r="G75" s="8">
        <v>1</v>
      </c>
      <c r="H75" s="102">
        <v>22.95</v>
      </c>
      <c r="I75" s="8" t="s">
        <v>532</v>
      </c>
      <c r="J75" s="8">
        <v>63</v>
      </c>
      <c r="K75" s="8">
        <v>20</v>
      </c>
    </row>
    <row r="76" spans="1:11" x14ac:dyDescent="0.25">
      <c r="A76" s="8">
        <v>73</v>
      </c>
      <c r="B76" s="150">
        <v>42081</v>
      </c>
      <c r="C76" s="8" t="s">
        <v>534</v>
      </c>
      <c r="D76" s="8" t="s">
        <v>537</v>
      </c>
      <c r="E76" s="8" t="s">
        <v>542</v>
      </c>
      <c r="F76" s="102">
        <v>24.95</v>
      </c>
      <c r="G76" s="8">
        <v>10</v>
      </c>
      <c r="H76" s="102">
        <v>249.5</v>
      </c>
      <c r="I76" s="8" t="s">
        <v>545</v>
      </c>
      <c r="J76" s="8">
        <v>23</v>
      </c>
      <c r="K76" s="8">
        <v>30</v>
      </c>
    </row>
    <row r="77" spans="1:11" x14ac:dyDescent="0.25">
      <c r="A77" s="8">
        <v>74</v>
      </c>
      <c r="B77" s="150">
        <v>42085</v>
      </c>
      <c r="C77" s="8" t="s">
        <v>534</v>
      </c>
      <c r="D77" s="8" t="s">
        <v>538</v>
      </c>
      <c r="E77" s="8" t="s">
        <v>540</v>
      </c>
      <c r="F77" s="102">
        <v>19.95</v>
      </c>
      <c r="G77" s="8">
        <v>3</v>
      </c>
      <c r="H77" s="102">
        <v>59.849999999999994</v>
      </c>
      <c r="I77" s="8" t="s">
        <v>533</v>
      </c>
      <c r="J77" s="8">
        <v>59</v>
      </c>
      <c r="K77" s="8">
        <v>25</v>
      </c>
    </row>
    <row r="78" spans="1:11" x14ac:dyDescent="0.25">
      <c r="A78" s="8">
        <v>75</v>
      </c>
      <c r="B78" s="150">
        <v>42261</v>
      </c>
      <c r="C78" s="8" t="s">
        <v>521</v>
      </c>
      <c r="D78" s="8" t="s">
        <v>538</v>
      </c>
      <c r="E78" s="8" t="s">
        <v>531</v>
      </c>
      <c r="F78" s="102">
        <v>21.95</v>
      </c>
      <c r="G78" s="8">
        <v>2</v>
      </c>
      <c r="H78" s="102">
        <v>43.9</v>
      </c>
      <c r="I78" s="8" t="s">
        <v>536</v>
      </c>
      <c r="J78" s="8">
        <v>48</v>
      </c>
      <c r="K78" s="8">
        <v>22</v>
      </c>
    </row>
    <row r="79" spans="1:11" x14ac:dyDescent="0.25">
      <c r="A79" s="8">
        <v>76</v>
      </c>
      <c r="B79" s="150">
        <v>42044</v>
      </c>
      <c r="C79" s="8" t="s">
        <v>534</v>
      </c>
      <c r="D79" s="8" t="s">
        <v>530</v>
      </c>
      <c r="E79" s="8" t="s">
        <v>540</v>
      </c>
      <c r="F79" s="102">
        <v>19.95</v>
      </c>
      <c r="G79" s="8">
        <v>1</v>
      </c>
      <c r="H79" s="102">
        <v>19.95</v>
      </c>
      <c r="I79" s="8" t="s">
        <v>533</v>
      </c>
      <c r="J79" s="8">
        <v>57</v>
      </c>
      <c r="K79" s="8">
        <v>25</v>
      </c>
    </row>
    <row r="80" spans="1:11" x14ac:dyDescent="0.25">
      <c r="A80" s="8">
        <v>77</v>
      </c>
      <c r="B80" s="150">
        <v>42087</v>
      </c>
      <c r="C80" s="8" t="s">
        <v>534</v>
      </c>
      <c r="D80" s="8" t="s">
        <v>541</v>
      </c>
      <c r="E80" s="8" t="s">
        <v>542</v>
      </c>
      <c r="F80" s="102">
        <v>29.95</v>
      </c>
      <c r="G80" s="8">
        <v>1</v>
      </c>
      <c r="H80" s="102">
        <v>29.95</v>
      </c>
      <c r="I80" s="8" t="s">
        <v>544</v>
      </c>
      <c r="J80" s="8">
        <v>19</v>
      </c>
      <c r="K80" s="8">
        <v>45</v>
      </c>
    </row>
    <row r="81" spans="1:11" x14ac:dyDescent="0.25">
      <c r="A81" s="8">
        <v>78</v>
      </c>
      <c r="B81" s="150">
        <v>42213</v>
      </c>
      <c r="C81" s="8" t="s">
        <v>521</v>
      </c>
      <c r="D81" s="8" t="s">
        <v>530</v>
      </c>
      <c r="E81" s="8" t="s">
        <v>542</v>
      </c>
      <c r="F81" s="102">
        <v>19.95</v>
      </c>
      <c r="G81" s="8">
        <v>1</v>
      </c>
      <c r="H81" s="102">
        <v>19.95</v>
      </c>
      <c r="I81" s="8" t="s">
        <v>533</v>
      </c>
      <c r="J81" s="8">
        <v>48</v>
      </c>
      <c r="K81" s="8">
        <v>25</v>
      </c>
    </row>
    <row r="82" spans="1:11" x14ac:dyDescent="0.25">
      <c r="A82" s="8">
        <v>79</v>
      </c>
      <c r="B82" s="150">
        <v>42242</v>
      </c>
      <c r="C82" s="8" t="s">
        <v>521</v>
      </c>
      <c r="D82" s="8" t="s">
        <v>530</v>
      </c>
      <c r="E82" s="8" t="s">
        <v>540</v>
      </c>
      <c r="F82" s="102">
        <v>21.95</v>
      </c>
      <c r="G82" s="8">
        <v>3</v>
      </c>
      <c r="H82" s="102">
        <v>65.849999999999994</v>
      </c>
      <c r="I82" s="8" t="s">
        <v>536</v>
      </c>
      <c r="J82" s="8">
        <v>21</v>
      </c>
      <c r="K82" s="8">
        <v>22</v>
      </c>
    </row>
    <row r="83" spans="1:11" x14ac:dyDescent="0.25">
      <c r="A83" s="8">
        <v>80</v>
      </c>
      <c r="B83" s="150">
        <v>42068</v>
      </c>
      <c r="C83" s="8" t="s">
        <v>534</v>
      </c>
      <c r="D83" s="8" t="s">
        <v>537</v>
      </c>
      <c r="E83" s="8" t="s">
        <v>531</v>
      </c>
      <c r="F83" s="102">
        <v>22.95</v>
      </c>
      <c r="G83" s="8">
        <v>1</v>
      </c>
      <c r="H83" s="102">
        <v>22.95</v>
      </c>
      <c r="I83" s="8" t="s">
        <v>532</v>
      </c>
      <c r="J83" s="8">
        <v>40</v>
      </c>
      <c r="K83" s="8">
        <v>20</v>
      </c>
    </row>
    <row r="84" spans="1:11" x14ac:dyDescent="0.25">
      <c r="A84" s="8">
        <v>81</v>
      </c>
      <c r="B84" s="150">
        <v>42234</v>
      </c>
      <c r="C84" s="8" t="s">
        <v>534</v>
      </c>
      <c r="D84" s="8" t="s">
        <v>538</v>
      </c>
      <c r="E84" s="8" t="s">
        <v>542</v>
      </c>
      <c r="F84" s="102">
        <v>19.95</v>
      </c>
      <c r="G84" s="8">
        <v>4</v>
      </c>
      <c r="H84" s="102">
        <v>79.8</v>
      </c>
      <c r="I84" s="8" t="s">
        <v>533</v>
      </c>
      <c r="J84" s="8">
        <v>25</v>
      </c>
      <c r="K84" s="8">
        <v>25</v>
      </c>
    </row>
    <row r="85" spans="1:11" x14ac:dyDescent="0.25">
      <c r="A85" s="8">
        <v>82</v>
      </c>
      <c r="B85" s="150">
        <v>42310</v>
      </c>
      <c r="C85" s="8" t="s">
        <v>521</v>
      </c>
      <c r="D85" s="8" t="s">
        <v>530</v>
      </c>
      <c r="E85" s="8" t="s">
        <v>540</v>
      </c>
      <c r="F85" s="102">
        <v>19.95</v>
      </c>
      <c r="G85" s="8">
        <v>4</v>
      </c>
      <c r="H85" s="102">
        <v>79.8</v>
      </c>
      <c r="I85" s="8" t="s">
        <v>533</v>
      </c>
      <c r="J85" s="8">
        <v>59</v>
      </c>
      <c r="K85" s="8">
        <v>25</v>
      </c>
    </row>
    <row r="86" spans="1:11" x14ac:dyDescent="0.25">
      <c r="A86" s="8">
        <v>83</v>
      </c>
      <c r="B86" s="150">
        <v>42357</v>
      </c>
      <c r="C86" s="8" t="s">
        <v>534</v>
      </c>
      <c r="D86" s="8" t="s">
        <v>538</v>
      </c>
      <c r="E86" s="8" t="s">
        <v>531</v>
      </c>
      <c r="F86" s="102">
        <v>22.95</v>
      </c>
      <c r="G86" s="8">
        <v>5</v>
      </c>
      <c r="H86" s="102">
        <v>114.75</v>
      </c>
      <c r="I86" s="8" t="s">
        <v>532</v>
      </c>
      <c r="J86" s="8">
        <v>57</v>
      </c>
      <c r="K86" s="8">
        <v>20</v>
      </c>
    </row>
    <row r="87" spans="1:11" x14ac:dyDescent="0.25">
      <c r="A87" s="8">
        <v>84</v>
      </c>
      <c r="B87" s="150">
        <v>42190</v>
      </c>
      <c r="C87" s="8" t="s">
        <v>521</v>
      </c>
      <c r="D87" s="8" t="s">
        <v>541</v>
      </c>
      <c r="E87" s="8" t="s">
        <v>531</v>
      </c>
      <c r="F87" s="102">
        <v>22.95</v>
      </c>
      <c r="G87" s="8">
        <v>1</v>
      </c>
      <c r="H87" s="102">
        <v>22.95</v>
      </c>
      <c r="I87" s="8" t="s">
        <v>532</v>
      </c>
      <c r="J87" s="8">
        <v>56</v>
      </c>
      <c r="K87" s="8">
        <v>20</v>
      </c>
    </row>
    <row r="88" spans="1:11" x14ac:dyDescent="0.25">
      <c r="A88" s="8">
        <v>85</v>
      </c>
      <c r="B88" s="150">
        <v>42110</v>
      </c>
      <c r="C88" s="8" t="s">
        <v>534</v>
      </c>
      <c r="D88" s="8" t="s">
        <v>538</v>
      </c>
      <c r="E88" s="8" t="s">
        <v>531</v>
      </c>
      <c r="F88" s="102">
        <v>19.95</v>
      </c>
      <c r="G88" s="8">
        <v>1</v>
      </c>
      <c r="H88" s="102">
        <v>19.95</v>
      </c>
      <c r="I88" s="8" t="s">
        <v>533</v>
      </c>
      <c r="J88" s="8">
        <v>19</v>
      </c>
      <c r="K88" s="8">
        <v>25</v>
      </c>
    </row>
    <row r="89" spans="1:11" x14ac:dyDescent="0.25">
      <c r="A89" s="8">
        <v>86</v>
      </c>
      <c r="B89" s="150">
        <v>42361</v>
      </c>
      <c r="C89" s="8" t="s">
        <v>534</v>
      </c>
      <c r="D89" s="8" t="s">
        <v>538</v>
      </c>
      <c r="E89" s="8" t="s">
        <v>542</v>
      </c>
      <c r="F89" s="102">
        <v>21.95</v>
      </c>
      <c r="G89" s="8">
        <v>5</v>
      </c>
      <c r="H89" s="102">
        <v>109.75</v>
      </c>
      <c r="I89" s="8" t="s">
        <v>536</v>
      </c>
      <c r="J89" s="8">
        <v>54</v>
      </c>
      <c r="K89" s="8">
        <v>22</v>
      </c>
    </row>
    <row r="90" spans="1:11" x14ac:dyDescent="0.25">
      <c r="A90" s="8">
        <v>87</v>
      </c>
      <c r="B90" s="150">
        <v>42153</v>
      </c>
      <c r="C90" s="8" t="s">
        <v>534</v>
      </c>
      <c r="D90" s="8" t="s">
        <v>539</v>
      </c>
      <c r="E90" s="8" t="s">
        <v>542</v>
      </c>
      <c r="F90" s="102">
        <v>29.95</v>
      </c>
      <c r="G90" s="8">
        <v>2</v>
      </c>
      <c r="H90" s="102">
        <v>59.9</v>
      </c>
      <c r="I90" s="8" t="s">
        <v>544</v>
      </c>
      <c r="J90" s="8">
        <v>65</v>
      </c>
      <c r="K90" s="8">
        <v>45</v>
      </c>
    </row>
    <row r="91" spans="1:11" x14ac:dyDescent="0.25">
      <c r="A91" s="8">
        <v>88</v>
      </c>
      <c r="B91" s="150">
        <v>42125</v>
      </c>
      <c r="C91" s="8" t="s">
        <v>521</v>
      </c>
      <c r="D91" s="8" t="s">
        <v>539</v>
      </c>
      <c r="E91" s="8" t="s">
        <v>531</v>
      </c>
      <c r="F91" s="102">
        <v>21.95</v>
      </c>
      <c r="G91" s="8">
        <v>2</v>
      </c>
      <c r="H91" s="102">
        <v>43.9</v>
      </c>
      <c r="I91" s="8" t="s">
        <v>536</v>
      </c>
      <c r="J91" s="8">
        <v>25</v>
      </c>
      <c r="K91" s="8">
        <v>22</v>
      </c>
    </row>
    <row r="92" spans="1:11" x14ac:dyDescent="0.25">
      <c r="A92" s="8">
        <v>89</v>
      </c>
      <c r="B92" s="150">
        <v>42188</v>
      </c>
      <c r="C92" s="8" t="s">
        <v>534</v>
      </c>
      <c r="D92" s="8" t="s">
        <v>537</v>
      </c>
      <c r="E92" s="8" t="s">
        <v>531</v>
      </c>
      <c r="F92" s="102">
        <v>19.95</v>
      </c>
      <c r="G92" s="8">
        <v>2</v>
      </c>
      <c r="H92" s="102">
        <v>39.9</v>
      </c>
      <c r="I92" s="8" t="s">
        <v>533</v>
      </c>
      <c r="J92" s="8">
        <v>30</v>
      </c>
      <c r="K92" s="8">
        <v>25</v>
      </c>
    </row>
    <row r="93" spans="1:11" x14ac:dyDescent="0.25">
      <c r="A93" s="8">
        <v>90</v>
      </c>
      <c r="B93" s="150">
        <v>42228</v>
      </c>
      <c r="C93" s="8" t="s">
        <v>534</v>
      </c>
      <c r="D93" s="8" t="s">
        <v>530</v>
      </c>
      <c r="E93" s="8" t="s">
        <v>531</v>
      </c>
      <c r="F93" s="102">
        <v>29.95</v>
      </c>
      <c r="G93" s="8">
        <v>7</v>
      </c>
      <c r="H93" s="102">
        <v>209.65</v>
      </c>
      <c r="I93" s="8" t="s">
        <v>544</v>
      </c>
      <c r="J93" s="8">
        <v>57</v>
      </c>
      <c r="K93" s="8">
        <v>45</v>
      </c>
    </row>
    <row r="94" spans="1:11" x14ac:dyDescent="0.25">
      <c r="A94" s="8">
        <v>91</v>
      </c>
      <c r="B94" s="150">
        <v>42176</v>
      </c>
      <c r="C94" s="8" t="s">
        <v>521</v>
      </c>
      <c r="D94" s="8" t="s">
        <v>539</v>
      </c>
      <c r="E94" s="8" t="s">
        <v>531</v>
      </c>
      <c r="F94" s="102">
        <v>19.95</v>
      </c>
      <c r="G94" s="8">
        <v>1</v>
      </c>
      <c r="H94" s="102">
        <v>19.95</v>
      </c>
      <c r="I94" s="8" t="s">
        <v>533</v>
      </c>
      <c r="J94" s="8">
        <v>43</v>
      </c>
      <c r="K94" s="8">
        <v>25</v>
      </c>
    </row>
    <row r="95" spans="1:11" x14ac:dyDescent="0.25">
      <c r="A95" s="8">
        <v>92</v>
      </c>
      <c r="B95" s="150">
        <v>42353</v>
      </c>
      <c r="C95" s="8" t="s">
        <v>534</v>
      </c>
      <c r="D95" s="8" t="s">
        <v>530</v>
      </c>
      <c r="E95" s="8" t="s">
        <v>540</v>
      </c>
      <c r="F95" s="102">
        <v>19.95</v>
      </c>
      <c r="G95" s="8">
        <v>4</v>
      </c>
      <c r="H95" s="102">
        <v>79.8</v>
      </c>
      <c r="I95" s="8" t="s">
        <v>533</v>
      </c>
      <c r="J95" s="8">
        <v>44</v>
      </c>
      <c r="K95" s="8">
        <v>25</v>
      </c>
    </row>
    <row r="96" spans="1:11" x14ac:dyDescent="0.25">
      <c r="A96" s="8">
        <v>93</v>
      </c>
      <c r="B96" s="150">
        <v>42149</v>
      </c>
      <c r="C96" s="8" t="s">
        <v>534</v>
      </c>
      <c r="D96" s="8" t="s">
        <v>539</v>
      </c>
      <c r="E96" s="8" t="s">
        <v>535</v>
      </c>
      <c r="F96" s="102">
        <v>24.95</v>
      </c>
      <c r="G96" s="8">
        <v>5</v>
      </c>
      <c r="H96" s="102">
        <v>124.75</v>
      </c>
      <c r="I96" s="8" t="s">
        <v>545</v>
      </c>
      <c r="J96" s="8">
        <v>21</v>
      </c>
      <c r="K96" s="8">
        <v>30</v>
      </c>
    </row>
    <row r="97" spans="1:11" x14ac:dyDescent="0.25">
      <c r="A97" s="8">
        <v>94</v>
      </c>
      <c r="B97" s="150">
        <v>42086</v>
      </c>
      <c r="C97" s="8" t="s">
        <v>534</v>
      </c>
      <c r="D97" s="8" t="s">
        <v>539</v>
      </c>
      <c r="E97" s="8" t="s">
        <v>531</v>
      </c>
      <c r="F97" s="102">
        <v>24.95</v>
      </c>
      <c r="G97" s="8">
        <v>1</v>
      </c>
      <c r="H97" s="102">
        <v>24.95</v>
      </c>
      <c r="I97" s="8" t="s">
        <v>545</v>
      </c>
      <c r="J97" s="8">
        <v>20</v>
      </c>
      <c r="K97" s="8">
        <v>30</v>
      </c>
    </row>
    <row r="98" spans="1:11" x14ac:dyDescent="0.25">
      <c r="A98" s="8">
        <v>95</v>
      </c>
      <c r="B98" s="150">
        <v>42026</v>
      </c>
      <c r="C98" s="8" t="s">
        <v>521</v>
      </c>
      <c r="D98" s="8" t="s">
        <v>538</v>
      </c>
      <c r="E98" s="8" t="s">
        <v>531</v>
      </c>
      <c r="F98" s="102">
        <v>22.95</v>
      </c>
      <c r="G98" s="8">
        <v>7</v>
      </c>
      <c r="H98" s="102">
        <v>160.65</v>
      </c>
      <c r="I98" s="8" t="s">
        <v>532</v>
      </c>
      <c r="J98" s="8">
        <v>49</v>
      </c>
      <c r="K98" s="8">
        <v>20</v>
      </c>
    </row>
    <row r="99" spans="1:11" x14ac:dyDescent="0.25">
      <c r="A99" s="8">
        <v>96</v>
      </c>
      <c r="B99" s="150">
        <v>42273</v>
      </c>
      <c r="C99" s="8" t="s">
        <v>534</v>
      </c>
      <c r="D99" s="8" t="s">
        <v>530</v>
      </c>
      <c r="E99" s="8" t="s">
        <v>540</v>
      </c>
      <c r="F99" s="102">
        <v>21.95</v>
      </c>
      <c r="G99" s="8">
        <v>3</v>
      </c>
      <c r="H99" s="102">
        <v>65.849999999999994</v>
      </c>
      <c r="I99" s="8" t="s">
        <v>536</v>
      </c>
      <c r="J99" s="8">
        <v>37</v>
      </c>
      <c r="K99" s="8">
        <v>22</v>
      </c>
    </row>
    <row r="100" spans="1:11" x14ac:dyDescent="0.25">
      <c r="A100" s="8">
        <v>97</v>
      </c>
      <c r="B100" s="150">
        <v>42365</v>
      </c>
      <c r="C100" s="8" t="s">
        <v>534</v>
      </c>
      <c r="D100" s="8" t="s">
        <v>539</v>
      </c>
      <c r="E100" s="8" t="s">
        <v>531</v>
      </c>
      <c r="F100" s="102">
        <v>22.95</v>
      </c>
      <c r="G100" s="8">
        <v>6</v>
      </c>
      <c r="H100" s="102">
        <v>137.69999999999999</v>
      </c>
      <c r="I100" s="8" t="s">
        <v>532</v>
      </c>
      <c r="J100" s="8">
        <v>69</v>
      </c>
      <c r="K100" s="8">
        <v>20</v>
      </c>
    </row>
    <row r="101" spans="1:11" x14ac:dyDescent="0.25">
      <c r="A101" s="8">
        <v>98</v>
      </c>
      <c r="B101" s="150">
        <v>42209</v>
      </c>
      <c r="C101" s="8" t="s">
        <v>534</v>
      </c>
      <c r="D101" s="8" t="s">
        <v>530</v>
      </c>
      <c r="E101" s="8" t="s">
        <v>535</v>
      </c>
      <c r="F101" s="102">
        <v>29.95</v>
      </c>
      <c r="G101" s="8">
        <v>1</v>
      </c>
      <c r="H101" s="102">
        <v>29.95</v>
      </c>
      <c r="I101" s="8" t="s">
        <v>544</v>
      </c>
      <c r="J101" s="8">
        <v>62</v>
      </c>
      <c r="K101" s="8">
        <v>45</v>
      </c>
    </row>
    <row r="102" spans="1:11" x14ac:dyDescent="0.25">
      <c r="A102" s="8">
        <v>99</v>
      </c>
      <c r="B102" s="150">
        <v>42121</v>
      </c>
      <c r="C102" s="8" t="s">
        <v>534</v>
      </c>
      <c r="D102" s="8" t="s">
        <v>539</v>
      </c>
      <c r="E102" s="8" t="s">
        <v>531</v>
      </c>
      <c r="F102" s="102">
        <v>19.95</v>
      </c>
      <c r="G102" s="8">
        <v>6</v>
      </c>
      <c r="H102" s="102">
        <v>119.69999999999999</v>
      </c>
      <c r="I102" s="8" t="s">
        <v>533</v>
      </c>
      <c r="J102" s="8">
        <v>38</v>
      </c>
      <c r="K102" s="8">
        <v>25</v>
      </c>
    </row>
    <row r="103" spans="1:11" x14ac:dyDescent="0.25">
      <c r="A103" s="8">
        <v>100</v>
      </c>
      <c r="B103" s="150">
        <v>42131</v>
      </c>
      <c r="C103" s="8" t="s">
        <v>534</v>
      </c>
      <c r="D103" s="8" t="s">
        <v>538</v>
      </c>
      <c r="E103" s="8" t="s">
        <v>531</v>
      </c>
      <c r="F103" s="102">
        <v>19.95</v>
      </c>
      <c r="G103" s="8">
        <v>1</v>
      </c>
      <c r="H103" s="102">
        <v>19.95</v>
      </c>
      <c r="I103" s="8" t="s">
        <v>533</v>
      </c>
      <c r="J103" s="8">
        <v>55</v>
      </c>
      <c r="K103" s="8">
        <v>25</v>
      </c>
    </row>
    <row r="104" spans="1:11" x14ac:dyDescent="0.25">
      <c r="A104" s="8">
        <v>101</v>
      </c>
      <c r="B104" s="150">
        <v>42066</v>
      </c>
      <c r="C104" s="8" t="s">
        <v>521</v>
      </c>
      <c r="D104" s="8" t="s">
        <v>537</v>
      </c>
      <c r="E104" s="8" t="s">
        <v>535</v>
      </c>
      <c r="F104" s="102">
        <v>19.95</v>
      </c>
      <c r="G104" s="8">
        <v>2</v>
      </c>
      <c r="H104" s="102">
        <v>39.9</v>
      </c>
      <c r="I104" s="8" t="s">
        <v>533</v>
      </c>
      <c r="J104" s="8">
        <v>24</v>
      </c>
      <c r="K104" s="8">
        <v>25</v>
      </c>
    </row>
    <row r="105" spans="1:11" x14ac:dyDescent="0.25">
      <c r="A105" s="8">
        <v>102</v>
      </c>
      <c r="B105" s="150">
        <v>42086</v>
      </c>
      <c r="C105" s="8" t="s">
        <v>534</v>
      </c>
      <c r="D105" s="8" t="s">
        <v>539</v>
      </c>
      <c r="E105" s="8" t="s">
        <v>542</v>
      </c>
      <c r="F105" s="102">
        <v>22.95</v>
      </c>
      <c r="G105" s="8">
        <v>5</v>
      </c>
      <c r="H105" s="102">
        <v>114.75</v>
      </c>
      <c r="I105" s="8" t="s">
        <v>532</v>
      </c>
      <c r="J105" s="8">
        <v>30</v>
      </c>
      <c r="K105" s="8">
        <v>20</v>
      </c>
    </row>
    <row r="106" spans="1:11" x14ac:dyDescent="0.25">
      <c r="A106" s="8">
        <v>103</v>
      </c>
      <c r="B106" s="150">
        <v>42343</v>
      </c>
      <c r="C106" s="8" t="s">
        <v>521</v>
      </c>
      <c r="D106" s="8" t="s">
        <v>538</v>
      </c>
      <c r="E106" s="8" t="s">
        <v>542</v>
      </c>
      <c r="F106" s="102">
        <v>21.95</v>
      </c>
      <c r="G106" s="8">
        <v>1</v>
      </c>
      <c r="H106" s="102">
        <v>21.95</v>
      </c>
      <c r="I106" s="8" t="s">
        <v>536</v>
      </c>
      <c r="J106" s="8">
        <v>39</v>
      </c>
      <c r="K106" s="8">
        <v>22</v>
      </c>
    </row>
    <row r="107" spans="1:11" x14ac:dyDescent="0.25">
      <c r="A107" s="8">
        <v>104</v>
      </c>
      <c r="B107" s="150">
        <v>42319</v>
      </c>
      <c r="C107" s="8" t="s">
        <v>521</v>
      </c>
      <c r="D107" s="8" t="s">
        <v>539</v>
      </c>
      <c r="E107" s="8" t="s">
        <v>540</v>
      </c>
      <c r="F107" s="102">
        <v>29.95</v>
      </c>
      <c r="G107" s="8">
        <v>6</v>
      </c>
      <c r="H107" s="102">
        <v>179.7</v>
      </c>
      <c r="I107" s="8" t="s">
        <v>544</v>
      </c>
      <c r="J107" s="8">
        <v>59</v>
      </c>
      <c r="K107" s="8">
        <v>45</v>
      </c>
    </row>
    <row r="108" spans="1:11" x14ac:dyDescent="0.25">
      <c r="A108" s="8">
        <v>105</v>
      </c>
      <c r="B108" s="150">
        <v>42107</v>
      </c>
      <c r="C108" s="8" t="s">
        <v>534</v>
      </c>
      <c r="D108" s="8" t="s">
        <v>541</v>
      </c>
      <c r="E108" s="8" t="s">
        <v>535</v>
      </c>
      <c r="F108" s="102">
        <v>19.95</v>
      </c>
      <c r="G108" s="8">
        <v>2</v>
      </c>
      <c r="H108" s="102">
        <v>39.9</v>
      </c>
      <c r="I108" s="8" t="s">
        <v>533</v>
      </c>
      <c r="J108" s="8">
        <v>26</v>
      </c>
      <c r="K108" s="8">
        <v>25</v>
      </c>
    </row>
    <row r="109" spans="1:11" x14ac:dyDescent="0.25">
      <c r="A109" s="8">
        <v>106</v>
      </c>
      <c r="B109" s="150">
        <v>42351</v>
      </c>
      <c r="C109" s="8" t="s">
        <v>534</v>
      </c>
      <c r="D109" s="8" t="s">
        <v>538</v>
      </c>
      <c r="E109" s="8" t="s">
        <v>542</v>
      </c>
      <c r="F109" s="102">
        <v>24.95</v>
      </c>
      <c r="G109" s="8">
        <v>1</v>
      </c>
      <c r="H109" s="102">
        <v>24.95</v>
      </c>
      <c r="I109" s="8" t="s">
        <v>543</v>
      </c>
      <c r="J109" s="8">
        <v>33</v>
      </c>
      <c r="K109" s="8">
        <v>35</v>
      </c>
    </row>
    <row r="110" spans="1:11" x14ac:dyDescent="0.25">
      <c r="A110" s="8">
        <v>107</v>
      </c>
      <c r="B110" s="150">
        <v>42282</v>
      </c>
      <c r="C110" s="8" t="s">
        <v>534</v>
      </c>
      <c r="D110" s="8" t="s">
        <v>538</v>
      </c>
      <c r="E110" s="8" t="s">
        <v>531</v>
      </c>
      <c r="F110" s="102">
        <v>24.95</v>
      </c>
      <c r="G110" s="8">
        <v>4</v>
      </c>
      <c r="H110" s="102">
        <v>99.8</v>
      </c>
      <c r="I110" s="8" t="s">
        <v>545</v>
      </c>
      <c r="J110" s="8">
        <v>20</v>
      </c>
      <c r="K110" s="8">
        <v>30</v>
      </c>
    </row>
    <row r="111" spans="1:11" x14ac:dyDescent="0.25">
      <c r="A111" s="8">
        <v>108</v>
      </c>
      <c r="B111" s="150">
        <v>42006</v>
      </c>
      <c r="C111" s="8" t="s">
        <v>534</v>
      </c>
      <c r="D111" s="8" t="s">
        <v>538</v>
      </c>
      <c r="E111" s="8" t="s">
        <v>531</v>
      </c>
      <c r="F111" s="102">
        <v>21.95</v>
      </c>
      <c r="G111" s="8">
        <v>4</v>
      </c>
      <c r="H111" s="102">
        <v>87.8</v>
      </c>
      <c r="I111" s="8" t="s">
        <v>536</v>
      </c>
      <c r="J111" s="8">
        <v>18</v>
      </c>
      <c r="K111" s="8">
        <v>22</v>
      </c>
    </row>
    <row r="112" spans="1:11" x14ac:dyDescent="0.25">
      <c r="A112" s="8">
        <v>109</v>
      </c>
      <c r="B112" s="150">
        <v>42312</v>
      </c>
      <c r="C112" s="8" t="s">
        <v>521</v>
      </c>
      <c r="D112" s="8" t="s">
        <v>539</v>
      </c>
      <c r="E112" s="8" t="s">
        <v>535</v>
      </c>
      <c r="F112" s="102">
        <v>19.95</v>
      </c>
      <c r="G112" s="8">
        <v>2</v>
      </c>
      <c r="H112" s="102">
        <v>39.9</v>
      </c>
      <c r="I112" s="8" t="s">
        <v>533</v>
      </c>
      <c r="J112" s="8">
        <v>19</v>
      </c>
      <c r="K112" s="8">
        <v>25</v>
      </c>
    </row>
    <row r="113" spans="1:11" x14ac:dyDescent="0.25">
      <c r="A113" s="8">
        <v>110</v>
      </c>
      <c r="B113" s="150">
        <v>42123</v>
      </c>
      <c r="C113" s="8" t="s">
        <v>534</v>
      </c>
      <c r="D113" s="8" t="s">
        <v>539</v>
      </c>
      <c r="E113" s="8" t="s">
        <v>531</v>
      </c>
      <c r="F113" s="102">
        <v>21.95</v>
      </c>
      <c r="G113" s="8">
        <v>3</v>
      </c>
      <c r="H113" s="102">
        <v>65.849999999999994</v>
      </c>
      <c r="I113" s="8" t="s">
        <v>536</v>
      </c>
      <c r="J113" s="8">
        <v>61</v>
      </c>
      <c r="K113" s="8">
        <v>22</v>
      </c>
    </row>
    <row r="114" spans="1:11" x14ac:dyDescent="0.25">
      <c r="A114" s="8">
        <v>111</v>
      </c>
      <c r="B114" s="150">
        <v>42279</v>
      </c>
      <c r="C114" s="8" t="s">
        <v>521</v>
      </c>
      <c r="D114" s="8" t="s">
        <v>539</v>
      </c>
      <c r="E114" s="8" t="s">
        <v>535</v>
      </c>
      <c r="F114" s="102">
        <v>19.95</v>
      </c>
      <c r="G114" s="8">
        <v>10</v>
      </c>
      <c r="H114" s="102">
        <v>199.5</v>
      </c>
      <c r="I114" s="8" t="s">
        <v>533</v>
      </c>
      <c r="J114" s="8">
        <v>39</v>
      </c>
      <c r="K114" s="8">
        <v>25</v>
      </c>
    </row>
    <row r="115" spans="1:11" x14ac:dyDescent="0.25">
      <c r="A115" s="8">
        <v>112</v>
      </c>
      <c r="B115" s="150">
        <v>42364</v>
      </c>
      <c r="C115" s="8" t="s">
        <v>521</v>
      </c>
      <c r="D115" s="8" t="s">
        <v>541</v>
      </c>
      <c r="E115" s="8" t="s">
        <v>531</v>
      </c>
      <c r="F115" s="102">
        <v>21.95</v>
      </c>
      <c r="G115" s="8">
        <v>1</v>
      </c>
      <c r="H115" s="102">
        <v>21.95</v>
      </c>
      <c r="I115" s="8" t="s">
        <v>536</v>
      </c>
      <c r="J115" s="8">
        <v>52</v>
      </c>
      <c r="K115" s="8">
        <v>22</v>
      </c>
    </row>
    <row r="116" spans="1:11" x14ac:dyDescent="0.25">
      <c r="A116" s="8">
        <v>113</v>
      </c>
      <c r="B116" s="150">
        <v>42313</v>
      </c>
      <c r="C116" s="8" t="s">
        <v>534</v>
      </c>
      <c r="D116" s="8" t="s">
        <v>538</v>
      </c>
      <c r="E116" s="8" t="s">
        <v>531</v>
      </c>
      <c r="F116" s="102">
        <v>24.95</v>
      </c>
      <c r="G116" s="8">
        <v>5</v>
      </c>
      <c r="H116" s="102">
        <v>124.75</v>
      </c>
      <c r="I116" s="8" t="s">
        <v>543</v>
      </c>
      <c r="J116" s="8">
        <v>20</v>
      </c>
      <c r="K116" s="8">
        <v>35</v>
      </c>
    </row>
    <row r="117" spans="1:11" x14ac:dyDescent="0.25">
      <c r="A117" s="8">
        <v>114</v>
      </c>
      <c r="B117" s="150">
        <v>42323</v>
      </c>
      <c r="C117" s="8" t="s">
        <v>534</v>
      </c>
      <c r="D117" s="8" t="s">
        <v>538</v>
      </c>
      <c r="E117" s="8" t="s">
        <v>531</v>
      </c>
      <c r="F117" s="102">
        <v>29.95</v>
      </c>
      <c r="G117" s="8">
        <v>1</v>
      </c>
      <c r="H117" s="102">
        <v>29.95</v>
      </c>
      <c r="I117" s="8" t="s">
        <v>544</v>
      </c>
      <c r="J117" s="8">
        <v>50</v>
      </c>
      <c r="K117" s="8">
        <v>45</v>
      </c>
    </row>
    <row r="118" spans="1:11" x14ac:dyDescent="0.25">
      <c r="A118" s="8">
        <v>115</v>
      </c>
      <c r="B118" s="150">
        <v>42182</v>
      </c>
      <c r="C118" s="8" t="s">
        <v>521</v>
      </c>
      <c r="D118" s="8" t="s">
        <v>539</v>
      </c>
      <c r="E118" s="8" t="s">
        <v>540</v>
      </c>
      <c r="F118" s="102">
        <v>21.95</v>
      </c>
      <c r="G118" s="8">
        <v>1</v>
      </c>
      <c r="H118" s="102">
        <v>21.95</v>
      </c>
      <c r="I118" s="8" t="s">
        <v>536</v>
      </c>
      <c r="J118" s="8">
        <v>29</v>
      </c>
      <c r="K118" s="8">
        <v>22</v>
      </c>
    </row>
    <row r="119" spans="1:11" x14ac:dyDescent="0.25">
      <c r="A119" s="8">
        <v>116</v>
      </c>
      <c r="B119" s="150">
        <v>42115</v>
      </c>
      <c r="C119" s="8" t="s">
        <v>534</v>
      </c>
      <c r="D119" s="8" t="s">
        <v>538</v>
      </c>
      <c r="E119" s="8" t="s">
        <v>531</v>
      </c>
      <c r="F119" s="102">
        <v>29.95</v>
      </c>
      <c r="G119" s="8">
        <v>4</v>
      </c>
      <c r="H119" s="102">
        <v>119.8</v>
      </c>
      <c r="I119" s="8" t="s">
        <v>544</v>
      </c>
      <c r="J119" s="8">
        <v>55</v>
      </c>
      <c r="K119" s="8">
        <v>45</v>
      </c>
    </row>
    <row r="120" spans="1:11" x14ac:dyDescent="0.25">
      <c r="A120" s="8">
        <v>117</v>
      </c>
      <c r="B120" s="150">
        <v>42272</v>
      </c>
      <c r="C120" s="8" t="s">
        <v>534</v>
      </c>
      <c r="D120" s="8" t="s">
        <v>537</v>
      </c>
      <c r="E120" s="8" t="s">
        <v>531</v>
      </c>
      <c r="F120" s="102">
        <v>29.95</v>
      </c>
      <c r="G120" s="8">
        <v>3</v>
      </c>
      <c r="H120" s="102">
        <v>89.85</v>
      </c>
      <c r="I120" s="8" t="s">
        <v>544</v>
      </c>
      <c r="J120" s="8">
        <v>18</v>
      </c>
      <c r="K120" s="8">
        <v>45</v>
      </c>
    </row>
    <row r="121" spans="1:11" x14ac:dyDescent="0.25">
      <c r="A121" s="8">
        <v>118</v>
      </c>
      <c r="B121" s="150">
        <v>42028</v>
      </c>
      <c r="C121" s="8" t="s">
        <v>521</v>
      </c>
      <c r="D121" s="8" t="s">
        <v>530</v>
      </c>
      <c r="E121" s="8" t="s">
        <v>542</v>
      </c>
      <c r="F121" s="102">
        <v>21.95</v>
      </c>
      <c r="G121" s="8">
        <v>3</v>
      </c>
      <c r="H121" s="102">
        <v>65.849999999999994</v>
      </c>
      <c r="I121" s="8" t="s">
        <v>536</v>
      </c>
      <c r="J121" s="8">
        <v>39</v>
      </c>
      <c r="K121" s="8">
        <v>22</v>
      </c>
    </row>
    <row r="122" spans="1:11" x14ac:dyDescent="0.25">
      <c r="A122" s="8">
        <v>119</v>
      </c>
      <c r="B122" s="150">
        <v>42008</v>
      </c>
      <c r="C122" s="8" t="s">
        <v>534</v>
      </c>
      <c r="D122" s="8" t="s">
        <v>538</v>
      </c>
      <c r="E122" s="8" t="s">
        <v>540</v>
      </c>
      <c r="F122" s="102">
        <v>22.95</v>
      </c>
      <c r="G122" s="8">
        <v>4</v>
      </c>
      <c r="H122" s="102">
        <v>91.8</v>
      </c>
      <c r="I122" s="8" t="s">
        <v>532</v>
      </c>
      <c r="J122" s="8">
        <v>35</v>
      </c>
      <c r="K122" s="8">
        <v>20</v>
      </c>
    </row>
    <row r="123" spans="1:11" x14ac:dyDescent="0.25">
      <c r="A123" s="8">
        <v>120</v>
      </c>
      <c r="B123" s="150">
        <v>42130</v>
      </c>
      <c r="C123" s="8" t="s">
        <v>521</v>
      </c>
      <c r="D123" s="8" t="s">
        <v>537</v>
      </c>
      <c r="E123" s="8" t="s">
        <v>540</v>
      </c>
      <c r="F123" s="102">
        <v>24.95</v>
      </c>
      <c r="G123" s="8">
        <v>6</v>
      </c>
      <c r="H123" s="102">
        <v>149.69999999999999</v>
      </c>
      <c r="I123" s="8" t="s">
        <v>545</v>
      </c>
      <c r="J123" s="8">
        <v>38</v>
      </c>
      <c r="K123" s="8">
        <v>30</v>
      </c>
    </row>
    <row r="124" spans="1:11" x14ac:dyDescent="0.25">
      <c r="A124" s="8">
        <v>121</v>
      </c>
      <c r="B124" s="150">
        <v>42177</v>
      </c>
      <c r="C124" s="8" t="s">
        <v>534</v>
      </c>
      <c r="D124" s="8" t="s">
        <v>538</v>
      </c>
      <c r="E124" s="8" t="s">
        <v>535</v>
      </c>
      <c r="F124" s="102">
        <v>19.95</v>
      </c>
      <c r="G124" s="8">
        <v>3</v>
      </c>
      <c r="H124" s="102">
        <v>59.849999999999994</v>
      </c>
      <c r="I124" s="8" t="s">
        <v>533</v>
      </c>
      <c r="J124" s="8">
        <v>20</v>
      </c>
      <c r="K124" s="8">
        <v>25</v>
      </c>
    </row>
    <row r="125" spans="1:11" x14ac:dyDescent="0.25">
      <c r="A125" s="8">
        <v>122</v>
      </c>
      <c r="B125" s="150">
        <v>42197</v>
      </c>
      <c r="C125" s="8" t="s">
        <v>534</v>
      </c>
      <c r="D125" s="8" t="s">
        <v>541</v>
      </c>
      <c r="E125" s="8" t="s">
        <v>542</v>
      </c>
      <c r="F125" s="102">
        <v>21.95</v>
      </c>
      <c r="G125" s="8">
        <v>6</v>
      </c>
      <c r="H125" s="102">
        <v>131.69999999999999</v>
      </c>
      <c r="I125" s="8" t="s">
        <v>536</v>
      </c>
      <c r="J125" s="8">
        <v>60</v>
      </c>
      <c r="K125" s="8">
        <v>22</v>
      </c>
    </row>
    <row r="126" spans="1:11" x14ac:dyDescent="0.25">
      <c r="A126" s="8">
        <v>123</v>
      </c>
      <c r="B126" s="150">
        <v>42127</v>
      </c>
      <c r="C126" s="8" t="s">
        <v>534</v>
      </c>
      <c r="D126" s="8" t="s">
        <v>538</v>
      </c>
      <c r="E126" s="8" t="s">
        <v>542</v>
      </c>
      <c r="F126" s="102">
        <v>24.95</v>
      </c>
      <c r="G126" s="8">
        <v>2</v>
      </c>
      <c r="H126" s="102">
        <v>49.9</v>
      </c>
      <c r="I126" s="8" t="s">
        <v>543</v>
      </c>
      <c r="J126" s="8">
        <v>61</v>
      </c>
      <c r="K126" s="8">
        <v>35</v>
      </c>
    </row>
    <row r="127" spans="1:11" x14ac:dyDescent="0.25">
      <c r="A127" s="8">
        <v>124</v>
      </c>
      <c r="B127" s="150">
        <v>42072</v>
      </c>
      <c r="C127" s="8" t="s">
        <v>521</v>
      </c>
      <c r="D127" s="8" t="s">
        <v>539</v>
      </c>
      <c r="E127" s="8" t="s">
        <v>531</v>
      </c>
      <c r="F127" s="102">
        <v>21.95</v>
      </c>
      <c r="G127" s="8">
        <v>2</v>
      </c>
      <c r="H127" s="102">
        <v>43.9</v>
      </c>
      <c r="I127" s="8" t="s">
        <v>536</v>
      </c>
      <c r="J127" s="8">
        <v>67</v>
      </c>
      <c r="K127" s="8">
        <v>22</v>
      </c>
    </row>
    <row r="128" spans="1:11" x14ac:dyDescent="0.25">
      <c r="A128" s="8">
        <v>125</v>
      </c>
      <c r="B128" s="150">
        <v>42065</v>
      </c>
      <c r="C128" s="8" t="s">
        <v>534</v>
      </c>
      <c r="D128" s="8" t="s">
        <v>538</v>
      </c>
      <c r="E128" s="8" t="s">
        <v>542</v>
      </c>
      <c r="F128" s="102">
        <v>19.95</v>
      </c>
      <c r="G128" s="8">
        <v>1</v>
      </c>
      <c r="H128" s="102">
        <v>19.95</v>
      </c>
      <c r="I128" s="8" t="s">
        <v>533</v>
      </c>
      <c r="J128" s="8">
        <v>21</v>
      </c>
      <c r="K128" s="8">
        <v>25</v>
      </c>
    </row>
    <row r="129" spans="1:11" x14ac:dyDescent="0.25">
      <c r="A129" s="8">
        <v>126</v>
      </c>
      <c r="B129" s="150">
        <v>42091</v>
      </c>
      <c r="C129" s="8" t="s">
        <v>534</v>
      </c>
      <c r="D129" s="8" t="s">
        <v>541</v>
      </c>
      <c r="E129" s="8" t="s">
        <v>540</v>
      </c>
      <c r="F129" s="102">
        <v>21.95</v>
      </c>
      <c r="G129" s="8">
        <v>1</v>
      </c>
      <c r="H129" s="102">
        <v>21.95</v>
      </c>
      <c r="I129" s="8" t="s">
        <v>536</v>
      </c>
      <c r="J129" s="8">
        <v>40</v>
      </c>
      <c r="K129" s="8">
        <v>22</v>
      </c>
    </row>
    <row r="130" spans="1:11" x14ac:dyDescent="0.25">
      <c r="A130" s="8">
        <v>127</v>
      </c>
      <c r="B130" s="150">
        <v>42019</v>
      </c>
      <c r="C130" s="8" t="s">
        <v>534</v>
      </c>
      <c r="D130" s="8" t="s">
        <v>538</v>
      </c>
      <c r="E130" s="8" t="s">
        <v>531</v>
      </c>
      <c r="F130" s="102">
        <v>24.95</v>
      </c>
      <c r="G130" s="8">
        <v>1</v>
      </c>
      <c r="H130" s="102">
        <v>24.95</v>
      </c>
      <c r="I130" s="8" t="s">
        <v>545</v>
      </c>
      <c r="J130" s="8">
        <v>25</v>
      </c>
      <c r="K130" s="8">
        <v>30</v>
      </c>
    </row>
    <row r="131" spans="1:11" x14ac:dyDescent="0.25">
      <c r="A131" s="8">
        <v>128</v>
      </c>
      <c r="B131" s="150">
        <v>42326</v>
      </c>
      <c r="C131" s="8" t="s">
        <v>534</v>
      </c>
      <c r="D131" s="8" t="s">
        <v>530</v>
      </c>
      <c r="E131" s="8" t="s">
        <v>531</v>
      </c>
      <c r="F131" s="102">
        <v>19.95</v>
      </c>
      <c r="G131" s="8">
        <v>2</v>
      </c>
      <c r="H131" s="102">
        <v>39.9</v>
      </c>
      <c r="I131" s="8" t="s">
        <v>533</v>
      </c>
      <c r="J131" s="8">
        <v>50</v>
      </c>
      <c r="K131" s="8">
        <v>25</v>
      </c>
    </row>
    <row r="132" spans="1:11" x14ac:dyDescent="0.25">
      <c r="A132" s="8">
        <v>129</v>
      </c>
      <c r="B132" s="150">
        <v>42090</v>
      </c>
      <c r="C132" s="8" t="s">
        <v>534</v>
      </c>
      <c r="D132" s="8" t="s">
        <v>538</v>
      </c>
      <c r="E132" s="8" t="s">
        <v>531</v>
      </c>
      <c r="F132" s="102">
        <v>24.95</v>
      </c>
      <c r="G132" s="8">
        <v>1</v>
      </c>
      <c r="H132" s="102">
        <v>24.95</v>
      </c>
      <c r="I132" s="8" t="s">
        <v>545</v>
      </c>
      <c r="J132" s="8">
        <v>24</v>
      </c>
      <c r="K132" s="8">
        <v>30</v>
      </c>
    </row>
    <row r="133" spans="1:11" x14ac:dyDescent="0.25">
      <c r="A133" s="8">
        <v>130</v>
      </c>
      <c r="B133" s="150">
        <v>42227</v>
      </c>
      <c r="C133" s="8" t="s">
        <v>521</v>
      </c>
      <c r="D133" s="8" t="s">
        <v>539</v>
      </c>
      <c r="E133" s="8" t="s">
        <v>531</v>
      </c>
      <c r="F133" s="102">
        <v>22.95</v>
      </c>
      <c r="G133" s="8">
        <v>5</v>
      </c>
      <c r="H133" s="102">
        <v>114.75</v>
      </c>
      <c r="I133" s="8" t="s">
        <v>532</v>
      </c>
      <c r="J133" s="8">
        <v>28</v>
      </c>
      <c r="K133" s="8">
        <v>20</v>
      </c>
    </row>
    <row r="134" spans="1:11" x14ac:dyDescent="0.25">
      <c r="A134" s="8">
        <v>131</v>
      </c>
      <c r="B134" s="150">
        <v>42362</v>
      </c>
      <c r="C134" s="8" t="s">
        <v>534</v>
      </c>
      <c r="D134" s="8" t="s">
        <v>538</v>
      </c>
      <c r="E134" s="8" t="s">
        <v>542</v>
      </c>
      <c r="F134" s="102">
        <v>19.95</v>
      </c>
      <c r="G134" s="8">
        <v>6</v>
      </c>
      <c r="H134" s="102">
        <v>119.69999999999999</v>
      </c>
      <c r="I134" s="8" t="s">
        <v>533</v>
      </c>
      <c r="J134" s="8">
        <v>22</v>
      </c>
      <c r="K134" s="8">
        <v>25</v>
      </c>
    </row>
    <row r="135" spans="1:11" x14ac:dyDescent="0.25">
      <c r="A135" s="8">
        <v>132</v>
      </c>
      <c r="B135" s="150">
        <v>42335</v>
      </c>
      <c r="C135" s="8" t="s">
        <v>534</v>
      </c>
      <c r="D135" s="8" t="s">
        <v>539</v>
      </c>
      <c r="E135" s="8" t="s">
        <v>531</v>
      </c>
      <c r="F135" s="102">
        <v>21.95</v>
      </c>
      <c r="G135" s="8">
        <v>2</v>
      </c>
      <c r="H135" s="102">
        <v>43.9</v>
      </c>
      <c r="I135" s="8" t="s">
        <v>536</v>
      </c>
      <c r="J135" s="8">
        <v>22</v>
      </c>
      <c r="K135" s="8">
        <v>22</v>
      </c>
    </row>
    <row r="136" spans="1:11" x14ac:dyDescent="0.25">
      <c r="A136" s="8">
        <v>133</v>
      </c>
      <c r="B136" s="150">
        <v>42075</v>
      </c>
      <c r="C136" s="8" t="s">
        <v>534</v>
      </c>
      <c r="D136" s="8" t="s">
        <v>538</v>
      </c>
      <c r="E136" s="8" t="s">
        <v>531</v>
      </c>
      <c r="F136" s="102">
        <v>24.95</v>
      </c>
      <c r="G136" s="8">
        <v>1</v>
      </c>
      <c r="H136" s="102">
        <v>24.95</v>
      </c>
      <c r="I136" s="8" t="s">
        <v>545</v>
      </c>
      <c r="J136" s="8">
        <v>27</v>
      </c>
      <c r="K136" s="8">
        <v>30</v>
      </c>
    </row>
    <row r="137" spans="1:11" x14ac:dyDescent="0.25">
      <c r="A137" s="8">
        <v>134</v>
      </c>
      <c r="B137" s="150">
        <v>42263</v>
      </c>
      <c r="C137" s="8" t="s">
        <v>521</v>
      </c>
      <c r="D137" s="8" t="s">
        <v>538</v>
      </c>
      <c r="E137" s="8" t="s">
        <v>531</v>
      </c>
      <c r="F137" s="102">
        <v>24.95</v>
      </c>
      <c r="G137" s="8">
        <v>7</v>
      </c>
      <c r="H137" s="102">
        <v>174.65</v>
      </c>
      <c r="I137" s="8" t="s">
        <v>543</v>
      </c>
      <c r="J137" s="8">
        <v>54</v>
      </c>
      <c r="K137" s="8">
        <v>35</v>
      </c>
    </row>
    <row r="138" spans="1:11" x14ac:dyDescent="0.25">
      <c r="A138" s="8">
        <v>135</v>
      </c>
      <c r="B138" s="150">
        <v>42036</v>
      </c>
      <c r="C138" s="8" t="s">
        <v>534</v>
      </c>
      <c r="D138" s="8" t="s">
        <v>530</v>
      </c>
      <c r="E138" s="8" t="s">
        <v>531</v>
      </c>
      <c r="F138" s="102">
        <v>24.95</v>
      </c>
      <c r="G138" s="8">
        <v>1</v>
      </c>
      <c r="H138" s="102">
        <v>24.95</v>
      </c>
      <c r="I138" s="8" t="s">
        <v>545</v>
      </c>
      <c r="J138" s="8">
        <v>25</v>
      </c>
      <c r="K138" s="8">
        <v>30</v>
      </c>
    </row>
    <row r="139" spans="1:11" x14ac:dyDescent="0.25">
      <c r="A139" s="8">
        <v>136</v>
      </c>
      <c r="B139" s="150">
        <v>42188</v>
      </c>
      <c r="C139" s="8" t="s">
        <v>534</v>
      </c>
      <c r="D139" s="8" t="s">
        <v>538</v>
      </c>
      <c r="E139" s="8" t="s">
        <v>542</v>
      </c>
      <c r="F139" s="102">
        <v>24.95</v>
      </c>
      <c r="G139" s="8">
        <v>2</v>
      </c>
      <c r="H139" s="102">
        <v>49.9</v>
      </c>
      <c r="I139" s="8" t="s">
        <v>543</v>
      </c>
      <c r="J139" s="8">
        <v>25</v>
      </c>
      <c r="K139" s="8">
        <v>35</v>
      </c>
    </row>
    <row r="140" spans="1:11" x14ac:dyDescent="0.25">
      <c r="A140" s="8">
        <v>137</v>
      </c>
      <c r="B140" s="150">
        <v>42246</v>
      </c>
      <c r="C140" s="8" t="s">
        <v>534</v>
      </c>
      <c r="D140" s="8" t="s">
        <v>539</v>
      </c>
      <c r="E140" s="8" t="s">
        <v>535</v>
      </c>
      <c r="F140" s="102">
        <v>19.95</v>
      </c>
      <c r="G140" s="8">
        <v>1</v>
      </c>
      <c r="H140" s="102">
        <v>19.95</v>
      </c>
      <c r="I140" s="8" t="s">
        <v>533</v>
      </c>
      <c r="J140" s="8">
        <v>30</v>
      </c>
      <c r="K140" s="8">
        <v>25</v>
      </c>
    </row>
    <row r="141" spans="1:11" x14ac:dyDescent="0.25">
      <c r="A141" s="8">
        <v>138</v>
      </c>
      <c r="B141" s="150">
        <v>42265</v>
      </c>
      <c r="C141" s="8" t="s">
        <v>521</v>
      </c>
      <c r="D141" s="8" t="s">
        <v>530</v>
      </c>
      <c r="E141" s="8" t="s">
        <v>540</v>
      </c>
      <c r="F141" s="102">
        <v>19.95</v>
      </c>
      <c r="G141" s="8">
        <v>2</v>
      </c>
      <c r="H141" s="102">
        <v>39.9</v>
      </c>
      <c r="I141" s="8" t="s">
        <v>533</v>
      </c>
      <c r="J141" s="8">
        <v>59</v>
      </c>
      <c r="K141" s="8">
        <v>25</v>
      </c>
    </row>
    <row r="142" spans="1:11" x14ac:dyDescent="0.25">
      <c r="A142" s="8">
        <v>139</v>
      </c>
      <c r="B142" s="150">
        <v>42332</v>
      </c>
      <c r="C142" s="8" t="s">
        <v>534</v>
      </c>
      <c r="D142" s="8" t="s">
        <v>538</v>
      </c>
      <c r="E142" s="8" t="s">
        <v>531</v>
      </c>
      <c r="F142" s="102">
        <v>22.95</v>
      </c>
      <c r="G142" s="8">
        <v>2</v>
      </c>
      <c r="H142" s="102">
        <v>45.9</v>
      </c>
      <c r="I142" s="8" t="s">
        <v>532</v>
      </c>
      <c r="J142" s="8">
        <v>51</v>
      </c>
      <c r="K142" s="8">
        <v>20</v>
      </c>
    </row>
    <row r="143" spans="1:11" x14ac:dyDescent="0.25">
      <c r="A143" s="8">
        <v>140</v>
      </c>
      <c r="B143" s="150">
        <v>42360</v>
      </c>
      <c r="C143" s="8" t="s">
        <v>534</v>
      </c>
      <c r="D143" s="8" t="s">
        <v>538</v>
      </c>
      <c r="E143" s="8" t="s">
        <v>531</v>
      </c>
      <c r="F143" s="102">
        <v>29.95</v>
      </c>
      <c r="G143" s="8">
        <v>6</v>
      </c>
      <c r="H143" s="102">
        <v>179.7</v>
      </c>
      <c r="I143" s="8" t="s">
        <v>544</v>
      </c>
      <c r="J143" s="8">
        <v>38</v>
      </c>
      <c r="K143" s="8">
        <v>45</v>
      </c>
    </row>
    <row r="144" spans="1:11" x14ac:dyDescent="0.25">
      <c r="A144" s="8">
        <v>141</v>
      </c>
      <c r="B144" s="150">
        <v>42117</v>
      </c>
      <c r="C144" s="8" t="s">
        <v>534</v>
      </c>
      <c r="D144" s="8" t="s">
        <v>539</v>
      </c>
      <c r="E144" s="8" t="s">
        <v>540</v>
      </c>
      <c r="F144" s="102">
        <v>22.95</v>
      </c>
      <c r="G144" s="8">
        <v>7</v>
      </c>
      <c r="H144" s="102">
        <v>160.65</v>
      </c>
      <c r="I144" s="8" t="s">
        <v>532</v>
      </c>
      <c r="J144" s="8">
        <v>28</v>
      </c>
      <c r="K144" s="8">
        <v>20</v>
      </c>
    </row>
    <row r="145" spans="1:11" x14ac:dyDescent="0.25">
      <c r="A145" s="8">
        <v>142</v>
      </c>
      <c r="B145" s="150">
        <v>42326</v>
      </c>
      <c r="C145" s="8" t="s">
        <v>521</v>
      </c>
      <c r="D145" s="8" t="s">
        <v>541</v>
      </c>
      <c r="E145" s="8" t="s">
        <v>531</v>
      </c>
      <c r="F145" s="102">
        <v>21.95</v>
      </c>
      <c r="G145" s="8">
        <v>1</v>
      </c>
      <c r="H145" s="102">
        <v>21.95</v>
      </c>
      <c r="I145" s="8" t="s">
        <v>536</v>
      </c>
      <c r="J145" s="8">
        <v>30</v>
      </c>
      <c r="K145" s="8">
        <v>22</v>
      </c>
    </row>
    <row r="146" spans="1:11" x14ac:dyDescent="0.25">
      <c r="A146" s="8">
        <v>143</v>
      </c>
      <c r="B146" s="150">
        <v>42305</v>
      </c>
      <c r="C146" s="8" t="s">
        <v>534</v>
      </c>
      <c r="D146" s="8" t="s">
        <v>538</v>
      </c>
      <c r="E146" s="8" t="s">
        <v>540</v>
      </c>
      <c r="F146" s="102">
        <v>24.95</v>
      </c>
      <c r="G146" s="8">
        <v>5</v>
      </c>
      <c r="H146" s="102">
        <v>124.75</v>
      </c>
      <c r="I146" s="8" t="s">
        <v>545</v>
      </c>
      <c r="J146" s="8">
        <v>43</v>
      </c>
      <c r="K146" s="8">
        <v>30</v>
      </c>
    </row>
    <row r="147" spans="1:11" x14ac:dyDescent="0.25">
      <c r="A147" s="8">
        <v>144</v>
      </c>
      <c r="B147" s="150">
        <v>42230</v>
      </c>
      <c r="C147" s="8" t="s">
        <v>534</v>
      </c>
      <c r="D147" s="8" t="s">
        <v>539</v>
      </c>
      <c r="E147" s="8" t="s">
        <v>531</v>
      </c>
      <c r="F147" s="102">
        <v>29.95</v>
      </c>
      <c r="G147" s="8">
        <v>3</v>
      </c>
      <c r="H147" s="102">
        <v>89.85</v>
      </c>
      <c r="I147" s="8" t="s">
        <v>544</v>
      </c>
      <c r="J147" s="8">
        <v>42</v>
      </c>
      <c r="K147" s="8">
        <v>45</v>
      </c>
    </row>
    <row r="148" spans="1:11" x14ac:dyDescent="0.25">
      <c r="A148" s="8">
        <v>145</v>
      </c>
      <c r="B148" s="150">
        <v>42129</v>
      </c>
      <c r="C148" s="8" t="s">
        <v>534</v>
      </c>
      <c r="D148" s="8" t="s">
        <v>538</v>
      </c>
      <c r="E148" s="8" t="s">
        <v>542</v>
      </c>
      <c r="F148" s="102">
        <v>24.95</v>
      </c>
      <c r="G148" s="8">
        <v>2</v>
      </c>
      <c r="H148" s="102">
        <v>49.9</v>
      </c>
      <c r="I148" s="8" t="s">
        <v>545</v>
      </c>
      <c r="J148" s="8">
        <v>24</v>
      </c>
      <c r="K148" s="8">
        <v>30</v>
      </c>
    </row>
    <row r="149" spans="1:11" x14ac:dyDescent="0.25">
      <c r="A149" s="8">
        <v>146</v>
      </c>
      <c r="B149" s="150">
        <v>42241</v>
      </c>
      <c r="C149" s="8" t="s">
        <v>521</v>
      </c>
      <c r="D149" s="8" t="s">
        <v>538</v>
      </c>
      <c r="E149" s="8" t="s">
        <v>542</v>
      </c>
      <c r="F149" s="102">
        <v>22.95</v>
      </c>
      <c r="G149" s="8">
        <v>1</v>
      </c>
      <c r="H149" s="102">
        <v>22.95</v>
      </c>
      <c r="I149" s="8" t="s">
        <v>532</v>
      </c>
      <c r="J149" s="8">
        <v>47</v>
      </c>
      <c r="K149" s="8">
        <v>20</v>
      </c>
    </row>
    <row r="150" spans="1:11" x14ac:dyDescent="0.25">
      <c r="A150" s="8">
        <v>147</v>
      </c>
      <c r="B150" s="150">
        <v>42302</v>
      </c>
      <c r="C150" s="8" t="s">
        <v>534</v>
      </c>
      <c r="D150" s="8" t="s">
        <v>539</v>
      </c>
      <c r="E150" s="8" t="s">
        <v>542</v>
      </c>
      <c r="F150" s="102">
        <v>19.95</v>
      </c>
      <c r="G150" s="8">
        <v>1</v>
      </c>
      <c r="H150" s="102">
        <v>19.95</v>
      </c>
      <c r="I150" s="8" t="s">
        <v>533</v>
      </c>
      <c r="J150" s="8">
        <v>23</v>
      </c>
      <c r="K150" s="8">
        <v>25</v>
      </c>
    </row>
    <row r="151" spans="1:11" x14ac:dyDescent="0.25">
      <c r="A151" s="8">
        <v>148</v>
      </c>
      <c r="B151" s="150">
        <v>42216</v>
      </c>
      <c r="C151" s="8" t="s">
        <v>534</v>
      </c>
      <c r="D151" s="8" t="s">
        <v>539</v>
      </c>
      <c r="E151" s="8" t="s">
        <v>535</v>
      </c>
      <c r="F151" s="102">
        <v>19.95</v>
      </c>
      <c r="G151" s="8">
        <v>5</v>
      </c>
      <c r="H151" s="102">
        <v>99.75</v>
      </c>
      <c r="I151" s="8" t="s">
        <v>533</v>
      </c>
      <c r="J151" s="8">
        <v>59</v>
      </c>
      <c r="K151" s="8">
        <v>25</v>
      </c>
    </row>
    <row r="152" spans="1:11" x14ac:dyDescent="0.25">
      <c r="A152" s="8">
        <v>149</v>
      </c>
      <c r="B152" s="150">
        <v>42210</v>
      </c>
      <c r="C152" s="8" t="s">
        <v>521</v>
      </c>
      <c r="D152" s="8" t="s">
        <v>530</v>
      </c>
      <c r="E152" s="8" t="s">
        <v>531</v>
      </c>
      <c r="F152" s="102">
        <v>22.95</v>
      </c>
      <c r="G152" s="8">
        <v>4</v>
      </c>
      <c r="H152" s="102">
        <v>91.8</v>
      </c>
      <c r="I152" s="8" t="s">
        <v>532</v>
      </c>
      <c r="J152" s="8">
        <v>22</v>
      </c>
      <c r="K152" s="8">
        <v>20</v>
      </c>
    </row>
    <row r="153" spans="1:11" x14ac:dyDescent="0.25">
      <c r="A153" s="8">
        <v>150</v>
      </c>
      <c r="B153" s="150">
        <v>42277</v>
      </c>
      <c r="C153" s="8" t="s">
        <v>521</v>
      </c>
      <c r="D153" s="8" t="s">
        <v>538</v>
      </c>
      <c r="E153" s="8" t="s">
        <v>542</v>
      </c>
      <c r="F153" s="102">
        <v>24.95</v>
      </c>
      <c r="G153" s="8">
        <v>2</v>
      </c>
      <c r="H153" s="102">
        <v>49.9</v>
      </c>
      <c r="I153" s="8" t="s">
        <v>545</v>
      </c>
      <c r="J153" s="8">
        <v>27</v>
      </c>
      <c r="K153" s="8">
        <v>30</v>
      </c>
    </row>
    <row r="154" spans="1:11" x14ac:dyDescent="0.25">
      <c r="A154" s="8">
        <v>151</v>
      </c>
      <c r="B154" s="150">
        <v>42280</v>
      </c>
      <c r="C154" s="8" t="s">
        <v>534</v>
      </c>
      <c r="D154" s="8" t="s">
        <v>541</v>
      </c>
      <c r="E154" s="8" t="s">
        <v>535</v>
      </c>
      <c r="F154" s="102">
        <v>21.95</v>
      </c>
      <c r="G154" s="8">
        <v>1</v>
      </c>
      <c r="H154" s="102">
        <v>21.95</v>
      </c>
      <c r="I154" s="8" t="s">
        <v>536</v>
      </c>
      <c r="J154" s="8">
        <v>65</v>
      </c>
      <c r="K154" s="8">
        <v>22</v>
      </c>
    </row>
    <row r="155" spans="1:11" x14ac:dyDescent="0.25">
      <c r="A155" s="8">
        <v>152</v>
      </c>
      <c r="B155" s="150">
        <v>42095</v>
      </c>
      <c r="C155" s="8" t="s">
        <v>534</v>
      </c>
      <c r="D155" s="8" t="s">
        <v>530</v>
      </c>
      <c r="E155" s="8" t="s">
        <v>542</v>
      </c>
      <c r="F155" s="102">
        <v>22.95</v>
      </c>
      <c r="G155" s="8">
        <v>2</v>
      </c>
      <c r="H155" s="102">
        <v>45.9</v>
      </c>
      <c r="I155" s="8" t="s">
        <v>532</v>
      </c>
      <c r="J155" s="8">
        <v>27</v>
      </c>
      <c r="K155" s="8">
        <v>20</v>
      </c>
    </row>
    <row r="156" spans="1:11" x14ac:dyDescent="0.25">
      <c r="A156" s="8">
        <v>153</v>
      </c>
      <c r="B156" s="150">
        <v>42353</v>
      </c>
      <c r="C156" s="8" t="s">
        <v>534</v>
      </c>
      <c r="D156" s="8" t="s">
        <v>537</v>
      </c>
      <c r="E156" s="8" t="s">
        <v>535</v>
      </c>
      <c r="F156" s="102">
        <v>22.95</v>
      </c>
      <c r="G156" s="8">
        <v>1</v>
      </c>
      <c r="H156" s="102">
        <v>22.95</v>
      </c>
      <c r="I156" s="8" t="s">
        <v>532</v>
      </c>
      <c r="J156" s="8">
        <v>27</v>
      </c>
      <c r="K156" s="8">
        <v>20</v>
      </c>
    </row>
    <row r="157" spans="1:11" x14ac:dyDescent="0.25">
      <c r="A157" s="8">
        <v>154</v>
      </c>
      <c r="B157" s="150">
        <v>42011</v>
      </c>
      <c r="C157" s="8" t="s">
        <v>534</v>
      </c>
      <c r="D157" s="8" t="s">
        <v>539</v>
      </c>
      <c r="E157" s="8" t="s">
        <v>531</v>
      </c>
      <c r="F157" s="102">
        <v>22.95</v>
      </c>
      <c r="G157" s="8">
        <v>2</v>
      </c>
      <c r="H157" s="102">
        <v>45.9</v>
      </c>
      <c r="I157" s="8" t="s">
        <v>532</v>
      </c>
      <c r="J157" s="8">
        <v>28</v>
      </c>
      <c r="K157" s="8">
        <v>20</v>
      </c>
    </row>
    <row r="158" spans="1:11" x14ac:dyDescent="0.25">
      <c r="A158" s="8">
        <v>155</v>
      </c>
      <c r="B158" s="150">
        <v>42208</v>
      </c>
      <c r="C158" s="8" t="s">
        <v>521</v>
      </c>
      <c r="D158" s="8" t="s">
        <v>539</v>
      </c>
      <c r="E158" s="8" t="s">
        <v>531</v>
      </c>
      <c r="F158" s="102">
        <v>24.95</v>
      </c>
      <c r="G158" s="8">
        <v>1</v>
      </c>
      <c r="H158" s="102">
        <v>24.95</v>
      </c>
      <c r="I158" s="8" t="s">
        <v>545</v>
      </c>
      <c r="J158" s="8">
        <v>22</v>
      </c>
      <c r="K158" s="8">
        <v>30</v>
      </c>
    </row>
    <row r="159" spans="1:11" x14ac:dyDescent="0.25">
      <c r="A159" s="8">
        <v>156</v>
      </c>
      <c r="B159" s="150">
        <v>42079</v>
      </c>
      <c r="C159" s="8" t="s">
        <v>534</v>
      </c>
      <c r="D159" s="8" t="s">
        <v>539</v>
      </c>
      <c r="E159" s="8" t="s">
        <v>535</v>
      </c>
      <c r="F159" s="102">
        <v>19.95</v>
      </c>
      <c r="G159" s="8">
        <v>2</v>
      </c>
      <c r="H159" s="102">
        <v>39.9</v>
      </c>
      <c r="I159" s="8" t="s">
        <v>533</v>
      </c>
      <c r="J159" s="8">
        <v>42</v>
      </c>
      <c r="K159" s="8">
        <v>25</v>
      </c>
    </row>
    <row r="160" spans="1:11" x14ac:dyDescent="0.25">
      <c r="A160" s="8">
        <v>157</v>
      </c>
      <c r="B160" s="150">
        <v>42342</v>
      </c>
      <c r="C160" s="8" t="s">
        <v>534</v>
      </c>
      <c r="D160" s="8" t="s">
        <v>537</v>
      </c>
      <c r="E160" s="8" t="s">
        <v>535</v>
      </c>
      <c r="F160" s="102">
        <v>29.95</v>
      </c>
      <c r="G160" s="8">
        <v>6</v>
      </c>
      <c r="H160" s="102">
        <v>179.7</v>
      </c>
      <c r="I160" s="8" t="s">
        <v>544</v>
      </c>
      <c r="J160" s="8">
        <v>25</v>
      </c>
      <c r="K160" s="8">
        <v>45</v>
      </c>
    </row>
    <row r="161" spans="1:11" x14ac:dyDescent="0.25">
      <c r="A161" s="8">
        <v>158</v>
      </c>
      <c r="B161" s="150">
        <v>42012</v>
      </c>
      <c r="C161" s="8" t="s">
        <v>521</v>
      </c>
      <c r="D161" s="8" t="s">
        <v>530</v>
      </c>
      <c r="E161" s="8" t="s">
        <v>531</v>
      </c>
      <c r="F161" s="102">
        <v>21.95</v>
      </c>
      <c r="G161" s="8">
        <v>1</v>
      </c>
      <c r="H161" s="102">
        <v>21.95</v>
      </c>
      <c r="I161" s="8" t="s">
        <v>536</v>
      </c>
      <c r="J161" s="8">
        <v>41</v>
      </c>
      <c r="K161" s="8">
        <v>22</v>
      </c>
    </row>
    <row r="162" spans="1:11" x14ac:dyDescent="0.25">
      <c r="A162" s="8">
        <v>159</v>
      </c>
      <c r="B162" s="150">
        <v>42157</v>
      </c>
      <c r="C162" s="8" t="s">
        <v>521</v>
      </c>
      <c r="D162" s="8" t="s">
        <v>539</v>
      </c>
      <c r="E162" s="8" t="s">
        <v>531</v>
      </c>
      <c r="F162" s="102">
        <v>24.95</v>
      </c>
      <c r="G162" s="8">
        <v>1</v>
      </c>
      <c r="H162" s="102">
        <v>24.95</v>
      </c>
      <c r="I162" s="8" t="s">
        <v>545</v>
      </c>
      <c r="J162" s="8">
        <v>46</v>
      </c>
      <c r="K162" s="8">
        <v>30</v>
      </c>
    </row>
    <row r="163" spans="1:11" x14ac:dyDescent="0.25">
      <c r="A163" s="8">
        <v>160</v>
      </c>
      <c r="B163" s="150">
        <v>42234</v>
      </c>
      <c r="C163" s="8" t="s">
        <v>534</v>
      </c>
      <c r="D163" s="8" t="s">
        <v>541</v>
      </c>
      <c r="E163" s="8" t="s">
        <v>531</v>
      </c>
      <c r="F163" s="102">
        <v>24.95</v>
      </c>
      <c r="G163" s="8">
        <v>3</v>
      </c>
      <c r="H163" s="102">
        <v>74.849999999999994</v>
      </c>
      <c r="I163" s="8" t="s">
        <v>543</v>
      </c>
      <c r="J163" s="8">
        <v>41</v>
      </c>
      <c r="K163" s="8">
        <v>35</v>
      </c>
    </row>
    <row r="164" spans="1:11" x14ac:dyDescent="0.25">
      <c r="A164" s="8">
        <v>161</v>
      </c>
      <c r="B164" s="150">
        <v>42118</v>
      </c>
      <c r="C164" s="8" t="s">
        <v>534</v>
      </c>
      <c r="D164" s="8" t="s">
        <v>530</v>
      </c>
      <c r="E164" s="8" t="s">
        <v>531</v>
      </c>
      <c r="F164" s="102">
        <v>19.95</v>
      </c>
      <c r="G164" s="8">
        <v>4</v>
      </c>
      <c r="H164" s="102">
        <v>79.8</v>
      </c>
      <c r="I164" s="8" t="s">
        <v>533</v>
      </c>
      <c r="J164" s="8">
        <v>29</v>
      </c>
      <c r="K164" s="8">
        <v>25</v>
      </c>
    </row>
    <row r="165" spans="1:11" x14ac:dyDescent="0.25">
      <c r="A165" s="8">
        <v>162</v>
      </c>
      <c r="B165" s="150">
        <v>42339</v>
      </c>
      <c r="C165" s="8" t="s">
        <v>534</v>
      </c>
      <c r="D165" s="8" t="s">
        <v>538</v>
      </c>
      <c r="E165" s="8" t="s">
        <v>542</v>
      </c>
      <c r="F165" s="102">
        <v>19.95</v>
      </c>
      <c r="G165" s="8">
        <v>1</v>
      </c>
      <c r="H165" s="102">
        <v>19.95</v>
      </c>
      <c r="I165" s="8" t="s">
        <v>533</v>
      </c>
      <c r="J165" s="8">
        <v>50</v>
      </c>
      <c r="K165" s="8">
        <v>25</v>
      </c>
    </row>
    <row r="166" spans="1:11" x14ac:dyDescent="0.25">
      <c r="A166" s="8">
        <v>163</v>
      </c>
      <c r="B166" s="150">
        <v>42369</v>
      </c>
      <c r="C166" s="8" t="s">
        <v>521</v>
      </c>
      <c r="D166" s="8" t="s">
        <v>538</v>
      </c>
      <c r="E166" s="8" t="s">
        <v>542</v>
      </c>
      <c r="F166" s="102">
        <v>22.95</v>
      </c>
      <c r="G166" s="8">
        <v>1</v>
      </c>
      <c r="H166" s="102">
        <v>22.95</v>
      </c>
      <c r="I166" s="8" t="s">
        <v>532</v>
      </c>
      <c r="J166" s="8">
        <v>50</v>
      </c>
      <c r="K166" s="8">
        <v>20</v>
      </c>
    </row>
    <row r="167" spans="1:11" x14ac:dyDescent="0.25">
      <c r="A167" s="8">
        <v>164</v>
      </c>
      <c r="B167" s="150">
        <v>42124</v>
      </c>
      <c r="C167" s="8" t="s">
        <v>521</v>
      </c>
      <c r="D167" s="8" t="s">
        <v>539</v>
      </c>
      <c r="E167" s="8" t="s">
        <v>542</v>
      </c>
      <c r="F167" s="102">
        <v>22.95</v>
      </c>
      <c r="G167" s="8">
        <v>2</v>
      </c>
      <c r="H167" s="102">
        <v>45.9</v>
      </c>
      <c r="I167" s="8" t="s">
        <v>532</v>
      </c>
      <c r="J167" s="8">
        <v>34</v>
      </c>
      <c r="K167" s="8">
        <v>20</v>
      </c>
    </row>
    <row r="168" spans="1:11" x14ac:dyDescent="0.25">
      <c r="A168" s="8">
        <v>165</v>
      </c>
      <c r="B168" s="150">
        <v>42079</v>
      </c>
      <c r="C168" s="8" t="s">
        <v>521</v>
      </c>
      <c r="D168" s="8" t="s">
        <v>537</v>
      </c>
      <c r="E168" s="8" t="s">
        <v>531</v>
      </c>
      <c r="F168" s="102">
        <v>21.95</v>
      </c>
      <c r="G168" s="8">
        <v>3</v>
      </c>
      <c r="H168" s="102">
        <v>65.849999999999994</v>
      </c>
      <c r="I168" s="8" t="s">
        <v>536</v>
      </c>
      <c r="J168" s="8">
        <v>24</v>
      </c>
      <c r="K168" s="8">
        <v>22</v>
      </c>
    </row>
    <row r="169" spans="1:11" x14ac:dyDescent="0.25">
      <c r="A169" s="8">
        <v>166</v>
      </c>
      <c r="B169" s="150">
        <v>42032</v>
      </c>
      <c r="C169" s="8" t="s">
        <v>534</v>
      </c>
      <c r="D169" s="8" t="s">
        <v>530</v>
      </c>
      <c r="E169" s="8" t="s">
        <v>531</v>
      </c>
      <c r="F169" s="102">
        <v>19.95</v>
      </c>
      <c r="G169" s="8">
        <v>7</v>
      </c>
      <c r="H169" s="102">
        <v>139.65</v>
      </c>
      <c r="I169" s="8" t="s">
        <v>533</v>
      </c>
      <c r="J169" s="8">
        <v>29</v>
      </c>
      <c r="K169" s="8">
        <v>25</v>
      </c>
    </row>
    <row r="170" spans="1:11" x14ac:dyDescent="0.25">
      <c r="A170" s="8">
        <v>167</v>
      </c>
      <c r="B170" s="150">
        <v>42219</v>
      </c>
      <c r="C170" s="8" t="s">
        <v>534</v>
      </c>
      <c r="D170" s="8" t="s">
        <v>530</v>
      </c>
      <c r="E170" s="8" t="s">
        <v>542</v>
      </c>
      <c r="F170" s="102">
        <v>22.95</v>
      </c>
      <c r="G170" s="8">
        <v>1</v>
      </c>
      <c r="H170" s="102">
        <v>22.95</v>
      </c>
      <c r="I170" s="8" t="s">
        <v>532</v>
      </c>
      <c r="J170" s="8">
        <v>35</v>
      </c>
      <c r="K170" s="8">
        <v>20</v>
      </c>
    </row>
    <row r="171" spans="1:11" x14ac:dyDescent="0.25">
      <c r="A171" s="8">
        <v>168</v>
      </c>
      <c r="B171" s="150">
        <v>42319</v>
      </c>
      <c r="C171" s="8" t="s">
        <v>534</v>
      </c>
      <c r="D171" s="8" t="s">
        <v>538</v>
      </c>
      <c r="E171" s="8" t="s">
        <v>531</v>
      </c>
      <c r="F171" s="102">
        <v>19.95</v>
      </c>
      <c r="G171" s="8">
        <v>2</v>
      </c>
      <c r="H171" s="102">
        <v>39.9</v>
      </c>
      <c r="I171" s="8" t="s">
        <v>533</v>
      </c>
      <c r="J171" s="8">
        <v>24</v>
      </c>
      <c r="K171" s="8">
        <v>25</v>
      </c>
    </row>
    <row r="172" spans="1:11" x14ac:dyDescent="0.25">
      <c r="A172" s="8">
        <v>169</v>
      </c>
      <c r="B172" s="150">
        <v>42351</v>
      </c>
      <c r="C172" s="8" t="s">
        <v>521</v>
      </c>
      <c r="D172" s="8" t="s">
        <v>538</v>
      </c>
      <c r="E172" s="8" t="s">
        <v>540</v>
      </c>
      <c r="F172" s="102">
        <v>21.95</v>
      </c>
      <c r="G172" s="8">
        <v>5</v>
      </c>
      <c r="H172" s="102">
        <v>109.75</v>
      </c>
      <c r="I172" s="8" t="s">
        <v>536</v>
      </c>
      <c r="J172" s="8">
        <v>23</v>
      </c>
      <c r="K172" s="8">
        <v>22</v>
      </c>
    </row>
    <row r="173" spans="1:11" x14ac:dyDescent="0.25">
      <c r="A173" s="8">
        <v>170</v>
      </c>
      <c r="B173" s="150">
        <v>42090</v>
      </c>
      <c r="C173" s="8" t="s">
        <v>534</v>
      </c>
      <c r="D173" s="8" t="s">
        <v>539</v>
      </c>
      <c r="E173" s="8" t="s">
        <v>542</v>
      </c>
      <c r="F173" s="102">
        <v>22.95</v>
      </c>
      <c r="G173" s="8">
        <v>7</v>
      </c>
      <c r="H173" s="102">
        <v>160.65</v>
      </c>
      <c r="I173" s="8" t="s">
        <v>532</v>
      </c>
      <c r="J173" s="8">
        <v>31</v>
      </c>
      <c r="K173" s="8">
        <v>20</v>
      </c>
    </row>
    <row r="174" spans="1:11" x14ac:dyDescent="0.25">
      <c r="A174" s="8">
        <v>171</v>
      </c>
      <c r="B174" s="150">
        <v>42285</v>
      </c>
      <c r="C174" s="8" t="s">
        <v>521</v>
      </c>
      <c r="D174" s="8" t="s">
        <v>539</v>
      </c>
      <c r="E174" s="8" t="s">
        <v>542</v>
      </c>
      <c r="F174" s="102">
        <v>24.95</v>
      </c>
      <c r="G174" s="8">
        <v>2</v>
      </c>
      <c r="H174" s="102">
        <v>49.9</v>
      </c>
      <c r="I174" s="8" t="s">
        <v>545</v>
      </c>
      <c r="J174" s="8">
        <v>24</v>
      </c>
      <c r="K174" s="8">
        <v>30</v>
      </c>
    </row>
    <row r="175" spans="1:11" x14ac:dyDescent="0.25">
      <c r="A175" s="8">
        <v>172</v>
      </c>
      <c r="B175" s="150">
        <v>42219</v>
      </c>
      <c r="C175" s="8" t="s">
        <v>534</v>
      </c>
      <c r="D175" s="8" t="s">
        <v>538</v>
      </c>
      <c r="E175" s="8" t="s">
        <v>542</v>
      </c>
      <c r="F175" s="102">
        <v>22.95</v>
      </c>
      <c r="G175" s="8">
        <v>1</v>
      </c>
      <c r="H175" s="102">
        <v>22.95</v>
      </c>
      <c r="I175" s="8" t="s">
        <v>532</v>
      </c>
      <c r="J175" s="8">
        <v>30</v>
      </c>
      <c r="K175" s="8">
        <v>20</v>
      </c>
    </row>
    <row r="176" spans="1:11" x14ac:dyDescent="0.25">
      <c r="A176" s="8">
        <v>173</v>
      </c>
      <c r="B176" s="150">
        <v>42073</v>
      </c>
      <c r="C176" s="8" t="s">
        <v>521</v>
      </c>
      <c r="D176" s="8" t="s">
        <v>538</v>
      </c>
      <c r="E176" s="8" t="s">
        <v>531</v>
      </c>
      <c r="F176" s="102">
        <v>22.95</v>
      </c>
      <c r="G176" s="8">
        <v>2</v>
      </c>
      <c r="H176" s="102">
        <v>45.9</v>
      </c>
      <c r="I176" s="8" t="s">
        <v>532</v>
      </c>
      <c r="J176" s="8">
        <v>22</v>
      </c>
      <c r="K176" s="8">
        <v>20</v>
      </c>
    </row>
    <row r="177" spans="1:11" x14ac:dyDescent="0.25">
      <c r="A177" s="8">
        <v>174</v>
      </c>
      <c r="B177" s="150">
        <v>42065</v>
      </c>
      <c r="C177" s="8" t="s">
        <v>534</v>
      </c>
      <c r="D177" s="8" t="s">
        <v>538</v>
      </c>
      <c r="E177" s="8" t="s">
        <v>535</v>
      </c>
      <c r="F177" s="102">
        <v>22.95</v>
      </c>
      <c r="G177" s="8">
        <v>3</v>
      </c>
      <c r="H177" s="102">
        <v>68.849999999999994</v>
      </c>
      <c r="I177" s="8" t="s">
        <v>532</v>
      </c>
      <c r="J177" s="8">
        <v>43</v>
      </c>
      <c r="K177" s="8">
        <v>20</v>
      </c>
    </row>
    <row r="178" spans="1:11" x14ac:dyDescent="0.25">
      <c r="A178" s="8">
        <v>175</v>
      </c>
      <c r="B178" s="150">
        <v>42030</v>
      </c>
      <c r="C178" s="8" t="s">
        <v>534</v>
      </c>
      <c r="D178" s="8" t="s">
        <v>538</v>
      </c>
      <c r="E178" s="8" t="s">
        <v>531</v>
      </c>
      <c r="F178" s="102">
        <v>22.95</v>
      </c>
      <c r="G178" s="8">
        <v>10</v>
      </c>
      <c r="H178" s="102">
        <v>229.5</v>
      </c>
      <c r="I178" s="8" t="s">
        <v>532</v>
      </c>
      <c r="J178" s="8">
        <v>55</v>
      </c>
      <c r="K178" s="8">
        <v>20</v>
      </c>
    </row>
    <row r="179" spans="1:11" x14ac:dyDescent="0.25">
      <c r="A179" s="8">
        <v>176</v>
      </c>
      <c r="B179" s="150">
        <v>42130</v>
      </c>
      <c r="C179" s="8" t="s">
        <v>534</v>
      </c>
      <c r="D179" s="8" t="s">
        <v>537</v>
      </c>
      <c r="E179" s="8" t="s">
        <v>531</v>
      </c>
      <c r="F179" s="102">
        <v>29.95</v>
      </c>
      <c r="G179" s="8">
        <v>1</v>
      </c>
      <c r="H179" s="102">
        <v>29.95</v>
      </c>
      <c r="I179" s="8" t="s">
        <v>544</v>
      </c>
      <c r="J179" s="8">
        <v>38</v>
      </c>
      <c r="K179" s="8">
        <v>45</v>
      </c>
    </row>
    <row r="180" spans="1:11" x14ac:dyDescent="0.25">
      <c r="A180" s="8">
        <v>177</v>
      </c>
      <c r="B180" s="150">
        <v>42073</v>
      </c>
      <c r="C180" s="8" t="s">
        <v>521</v>
      </c>
      <c r="D180" s="8" t="s">
        <v>538</v>
      </c>
      <c r="E180" s="8" t="s">
        <v>531</v>
      </c>
      <c r="F180" s="102">
        <v>19.95</v>
      </c>
      <c r="G180" s="8">
        <v>2</v>
      </c>
      <c r="H180" s="102">
        <v>39.9</v>
      </c>
      <c r="I180" s="8" t="s">
        <v>533</v>
      </c>
      <c r="J180" s="8">
        <v>28</v>
      </c>
      <c r="K180" s="8">
        <v>25</v>
      </c>
    </row>
    <row r="181" spans="1:11" x14ac:dyDescent="0.25">
      <c r="A181" s="8">
        <v>178</v>
      </c>
      <c r="B181" s="150">
        <v>42326</v>
      </c>
      <c r="C181" s="8" t="s">
        <v>521</v>
      </c>
      <c r="D181" s="8" t="s">
        <v>539</v>
      </c>
      <c r="E181" s="8" t="s">
        <v>542</v>
      </c>
      <c r="F181" s="102">
        <v>21.95</v>
      </c>
      <c r="G181" s="8">
        <v>2</v>
      </c>
      <c r="H181" s="102">
        <v>43.9</v>
      </c>
      <c r="I181" s="8" t="s">
        <v>536</v>
      </c>
      <c r="J181" s="8">
        <v>30</v>
      </c>
      <c r="K181" s="8">
        <v>22</v>
      </c>
    </row>
    <row r="182" spans="1:11" x14ac:dyDescent="0.25">
      <c r="A182" s="8">
        <v>179</v>
      </c>
      <c r="B182" s="150">
        <v>42034</v>
      </c>
      <c r="C182" s="8" t="s">
        <v>521</v>
      </c>
      <c r="D182" s="8" t="s">
        <v>541</v>
      </c>
      <c r="E182" s="8" t="s">
        <v>531</v>
      </c>
      <c r="F182" s="102">
        <v>19.95</v>
      </c>
      <c r="G182" s="8">
        <v>1</v>
      </c>
      <c r="H182" s="102">
        <v>19.95</v>
      </c>
      <c r="I182" s="8" t="s">
        <v>533</v>
      </c>
      <c r="J182" s="8">
        <v>35</v>
      </c>
      <c r="K182" s="8">
        <v>25</v>
      </c>
    </row>
    <row r="183" spans="1:11" x14ac:dyDescent="0.25">
      <c r="A183" s="8">
        <v>180</v>
      </c>
      <c r="B183" s="150">
        <v>42187</v>
      </c>
      <c r="C183" s="8" t="s">
        <v>534</v>
      </c>
      <c r="D183" s="8" t="s">
        <v>538</v>
      </c>
      <c r="E183" s="8" t="s">
        <v>531</v>
      </c>
      <c r="F183" s="102">
        <v>29.95</v>
      </c>
      <c r="G183" s="8">
        <v>2</v>
      </c>
      <c r="H183" s="102">
        <v>59.9</v>
      </c>
      <c r="I183" s="8" t="s">
        <v>544</v>
      </c>
      <c r="J183" s="8">
        <v>41</v>
      </c>
      <c r="K183" s="8">
        <v>45</v>
      </c>
    </row>
    <row r="184" spans="1:11" x14ac:dyDescent="0.25">
      <c r="A184" s="8">
        <v>181</v>
      </c>
      <c r="B184" s="150">
        <v>42290</v>
      </c>
      <c r="C184" s="8" t="s">
        <v>521</v>
      </c>
      <c r="D184" s="8" t="s">
        <v>541</v>
      </c>
      <c r="E184" s="8" t="s">
        <v>535</v>
      </c>
      <c r="F184" s="102">
        <v>19.95</v>
      </c>
      <c r="G184" s="8">
        <v>5</v>
      </c>
      <c r="H184" s="102">
        <v>99.75</v>
      </c>
      <c r="I184" s="8" t="s">
        <v>533</v>
      </c>
      <c r="J184" s="8">
        <v>28</v>
      </c>
      <c r="K184" s="8">
        <v>25</v>
      </c>
    </row>
    <row r="185" spans="1:11" x14ac:dyDescent="0.25">
      <c r="A185" s="8">
        <v>182</v>
      </c>
      <c r="B185" s="150">
        <v>42042</v>
      </c>
      <c r="C185" s="8" t="s">
        <v>534</v>
      </c>
      <c r="D185" s="8" t="s">
        <v>541</v>
      </c>
      <c r="E185" s="8" t="s">
        <v>542</v>
      </c>
      <c r="F185" s="102">
        <v>24.95</v>
      </c>
      <c r="G185" s="8">
        <v>7</v>
      </c>
      <c r="H185" s="102">
        <v>174.65</v>
      </c>
      <c r="I185" s="8" t="s">
        <v>545</v>
      </c>
      <c r="J185" s="8">
        <v>65</v>
      </c>
      <c r="K185" s="8">
        <v>30</v>
      </c>
    </row>
    <row r="186" spans="1:11" x14ac:dyDescent="0.25">
      <c r="A186" s="8">
        <v>183</v>
      </c>
      <c r="B186" s="150">
        <v>42160</v>
      </c>
      <c r="C186" s="8" t="s">
        <v>534</v>
      </c>
      <c r="D186" s="8" t="s">
        <v>530</v>
      </c>
      <c r="E186" s="8" t="s">
        <v>531</v>
      </c>
      <c r="F186" s="102">
        <v>21.95</v>
      </c>
      <c r="G186" s="8">
        <v>3</v>
      </c>
      <c r="H186" s="102">
        <v>65.849999999999994</v>
      </c>
      <c r="I186" s="8" t="s">
        <v>536</v>
      </c>
      <c r="J186" s="8">
        <v>20</v>
      </c>
      <c r="K186" s="8">
        <v>22</v>
      </c>
    </row>
    <row r="187" spans="1:11" x14ac:dyDescent="0.25">
      <c r="A187" s="8">
        <v>184</v>
      </c>
      <c r="B187" s="150">
        <v>42310</v>
      </c>
      <c r="C187" s="8" t="s">
        <v>534</v>
      </c>
      <c r="D187" s="8" t="s">
        <v>538</v>
      </c>
      <c r="E187" s="8" t="s">
        <v>542</v>
      </c>
      <c r="F187" s="102">
        <v>24.95</v>
      </c>
      <c r="G187" s="8">
        <v>5</v>
      </c>
      <c r="H187" s="102">
        <v>124.75</v>
      </c>
      <c r="I187" s="8" t="s">
        <v>543</v>
      </c>
      <c r="J187" s="8">
        <v>39</v>
      </c>
      <c r="K187" s="8">
        <v>35</v>
      </c>
    </row>
    <row r="188" spans="1:11" x14ac:dyDescent="0.25">
      <c r="A188" s="8">
        <v>185</v>
      </c>
      <c r="B188" s="150">
        <v>42351</v>
      </c>
      <c r="C188" s="8" t="s">
        <v>534</v>
      </c>
      <c r="D188" s="8" t="s">
        <v>538</v>
      </c>
      <c r="E188" s="8" t="s">
        <v>535</v>
      </c>
      <c r="F188" s="102">
        <v>21.95</v>
      </c>
      <c r="G188" s="8">
        <v>4</v>
      </c>
      <c r="H188" s="102">
        <v>87.8</v>
      </c>
      <c r="I188" s="8" t="s">
        <v>536</v>
      </c>
      <c r="J188" s="8">
        <v>19</v>
      </c>
      <c r="K188" s="8">
        <v>22</v>
      </c>
    </row>
    <row r="189" spans="1:11" x14ac:dyDescent="0.25">
      <c r="A189" s="8">
        <v>186</v>
      </c>
      <c r="B189" s="150">
        <v>42300</v>
      </c>
      <c r="C189" s="8" t="s">
        <v>534</v>
      </c>
      <c r="D189" s="8" t="s">
        <v>538</v>
      </c>
      <c r="E189" s="8" t="s">
        <v>531</v>
      </c>
      <c r="F189" s="102">
        <v>22.95</v>
      </c>
      <c r="G189" s="8">
        <v>10</v>
      </c>
      <c r="H189" s="102">
        <v>229.5</v>
      </c>
      <c r="I189" s="8" t="s">
        <v>532</v>
      </c>
      <c r="J189" s="8">
        <v>64</v>
      </c>
      <c r="K189" s="8">
        <v>20</v>
      </c>
    </row>
    <row r="190" spans="1:11" x14ac:dyDescent="0.25">
      <c r="A190" s="8">
        <v>187</v>
      </c>
      <c r="B190" s="150">
        <v>42360</v>
      </c>
      <c r="C190" s="8" t="s">
        <v>521</v>
      </c>
      <c r="D190" s="8" t="s">
        <v>539</v>
      </c>
      <c r="E190" s="8" t="s">
        <v>540</v>
      </c>
      <c r="F190" s="102">
        <v>19.95</v>
      </c>
      <c r="G190" s="8">
        <v>5</v>
      </c>
      <c r="H190" s="102">
        <v>99.75</v>
      </c>
      <c r="I190" s="8" t="s">
        <v>533</v>
      </c>
      <c r="J190" s="8">
        <v>42</v>
      </c>
      <c r="K190" s="8">
        <v>25</v>
      </c>
    </row>
    <row r="191" spans="1:11" x14ac:dyDescent="0.25">
      <c r="A191" s="8">
        <v>188</v>
      </c>
      <c r="B191" s="150">
        <v>42237</v>
      </c>
      <c r="C191" s="8" t="s">
        <v>521</v>
      </c>
      <c r="D191" s="8" t="s">
        <v>539</v>
      </c>
      <c r="E191" s="8" t="s">
        <v>542</v>
      </c>
      <c r="F191" s="102">
        <v>19.95</v>
      </c>
      <c r="G191" s="8">
        <v>1</v>
      </c>
      <c r="H191" s="102">
        <v>19.95</v>
      </c>
      <c r="I191" s="8" t="s">
        <v>533</v>
      </c>
      <c r="J191" s="8">
        <v>24</v>
      </c>
      <c r="K191" s="8">
        <v>25</v>
      </c>
    </row>
    <row r="192" spans="1:11" x14ac:dyDescent="0.25">
      <c r="A192" s="8">
        <v>189</v>
      </c>
      <c r="B192" s="150">
        <v>42244</v>
      </c>
      <c r="C192" s="8" t="s">
        <v>521</v>
      </c>
      <c r="D192" s="8" t="s">
        <v>539</v>
      </c>
      <c r="E192" s="8" t="s">
        <v>542</v>
      </c>
      <c r="F192" s="102">
        <v>19.95</v>
      </c>
      <c r="G192" s="8">
        <v>1</v>
      </c>
      <c r="H192" s="102">
        <v>19.95</v>
      </c>
      <c r="I192" s="8" t="s">
        <v>533</v>
      </c>
      <c r="J192" s="8">
        <v>24</v>
      </c>
      <c r="K192" s="8">
        <v>25</v>
      </c>
    </row>
    <row r="193" spans="1:11" x14ac:dyDescent="0.25">
      <c r="A193" s="8">
        <v>190</v>
      </c>
      <c r="B193" s="150">
        <v>42175</v>
      </c>
      <c r="C193" s="8" t="s">
        <v>534</v>
      </c>
      <c r="D193" s="8" t="s">
        <v>537</v>
      </c>
      <c r="E193" s="8" t="s">
        <v>542</v>
      </c>
      <c r="F193" s="102">
        <v>24.95</v>
      </c>
      <c r="G193" s="8">
        <v>4</v>
      </c>
      <c r="H193" s="102">
        <v>99.8</v>
      </c>
      <c r="I193" s="8" t="s">
        <v>545</v>
      </c>
      <c r="J193" s="8">
        <v>18</v>
      </c>
      <c r="K193" s="8">
        <v>30</v>
      </c>
    </row>
    <row r="194" spans="1:11" x14ac:dyDescent="0.25">
      <c r="A194" s="8">
        <v>191</v>
      </c>
      <c r="B194" s="150">
        <v>42124</v>
      </c>
      <c r="C194" s="8" t="s">
        <v>521</v>
      </c>
      <c r="D194" s="8" t="s">
        <v>530</v>
      </c>
      <c r="E194" s="8" t="s">
        <v>535</v>
      </c>
      <c r="F194" s="102">
        <v>24.95</v>
      </c>
      <c r="G194" s="8">
        <v>1</v>
      </c>
      <c r="H194" s="102">
        <v>24.95</v>
      </c>
      <c r="I194" s="8" t="s">
        <v>545</v>
      </c>
      <c r="J194" s="8">
        <v>36</v>
      </c>
      <c r="K194" s="8">
        <v>30</v>
      </c>
    </row>
    <row r="195" spans="1:11" x14ac:dyDescent="0.25">
      <c r="A195" s="8">
        <v>192</v>
      </c>
      <c r="B195" s="150">
        <v>42291</v>
      </c>
      <c r="C195" s="8" t="s">
        <v>534</v>
      </c>
      <c r="D195" s="8" t="s">
        <v>530</v>
      </c>
      <c r="E195" s="8" t="s">
        <v>542</v>
      </c>
      <c r="F195" s="102">
        <v>22.95</v>
      </c>
      <c r="G195" s="8">
        <v>5</v>
      </c>
      <c r="H195" s="102">
        <v>114.75</v>
      </c>
      <c r="I195" s="8" t="s">
        <v>532</v>
      </c>
      <c r="J195" s="8">
        <v>61</v>
      </c>
      <c r="K195" s="8">
        <v>20</v>
      </c>
    </row>
    <row r="196" spans="1:11" x14ac:dyDescent="0.25">
      <c r="A196" s="8">
        <v>193</v>
      </c>
      <c r="B196" s="150">
        <v>42220</v>
      </c>
      <c r="C196" s="8" t="s">
        <v>534</v>
      </c>
      <c r="D196" s="8" t="s">
        <v>538</v>
      </c>
      <c r="E196" s="8" t="s">
        <v>531</v>
      </c>
      <c r="F196" s="102">
        <v>19.95</v>
      </c>
      <c r="G196" s="8">
        <v>3</v>
      </c>
      <c r="H196" s="102">
        <v>59.849999999999994</v>
      </c>
      <c r="I196" s="8" t="s">
        <v>533</v>
      </c>
      <c r="J196" s="8">
        <v>22</v>
      </c>
      <c r="K196" s="8">
        <v>25</v>
      </c>
    </row>
    <row r="197" spans="1:11" x14ac:dyDescent="0.25">
      <c r="A197" s="8">
        <v>194</v>
      </c>
      <c r="B197" s="150">
        <v>42305</v>
      </c>
      <c r="C197" s="8" t="s">
        <v>521</v>
      </c>
      <c r="D197" s="8" t="s">
        <v>539</v>
      </c>
      <c r="E197" s="8" t="s">
        <v>531</v>
      </c>
      <c r="F197" s="102">
        <v>21.95</v>
      </c>
      <c r="G197" s="8">
        <v>2</v>
      </c>
      <c r="H197" s="102">
        <v>43.9</v>
      </c>
      <c r="I197" s="8" t="s">
        <v>536</v>
      </c>
      <c r="J197" s="8">
        <v>55</v>
      </c>
      <c r="K197" s="8">
        <v>22</v>
      </c>
    </row>
    <row r="198" spans="1:11" x14ac:dyDescent="0.25">
      <c r="A198" s="8">
        <v>195</v>
      </c>
      <c r="B198" s="150">
        <v>42312</v>
      </c>
      <c r="C198" s="8" t="s">
        <v>534</v>
      </c>
      <c r="D198" s="8" t="s">
        <v>537</v>
      </c>
      <c r="E198" s="8" t="s">
        <v>531</v>
      </c>
      <c r="F198" s="102">
        <v>24.95</v>
      </c>
      <c r="G198" s="8">
        <v>3</v>
      </c>
      <c r="H198" s="102">
        <v>74.849999999999994</v>
      </c>
      <c r="I198" s="8" t="s">
        <v>543</v>
      </c>
      <c r="J198" s="8">
        <v>27</v>
      </c>
      <c r="K198" s="8">
        <v>35</v>
      </c>
    </row>
    <row r="199" spans="1:11" x14ac:dyDescent="0.25">
      <c r="A199" s="8">
        <v>196</v>
      </c>
      <c r="B199" s="150">
        <v>42009</v>
      </c>
      <c r="C199" s="8" t="s">
        <v>534</v>
      </c>
      <c r="D199" s="8" t="s">
        <v>539</v>
      </c>
      <c r="E199" s="8" t="s">
        <v>542</v>
      </c>
      <c r="F199" s="102">
        <v>19.95</v>
      </c>
      <c r="G199" s="8">
        <v>1</v>
      </c>
      <c r="H199" s="102">
        <v>19.95</v>
      </c>
      <c r="I199" s="8" t="s">
        <v>533</v>
      </c>
      <c r="J199" s="8">
        <v>49</v>
      </c>
      <c r="K199" s="8">
        <v>25</v>
      </c>
    </row>
    <row r="200" spans="1:11" x14ac:dyDescent="0.25">
      <c r="A200" s="8">
        <v>197</v>
      </c>
      <c r="B200" s="150">
        <v>42349</v>
      </c>
      <c r="C200" s="8" t="s">
        <v>521</v>
      </c>
      <c r="D200" s="8" t="s">
        <v>538</v>
      </c>
      <c r="E200" s="8" t="s">
        <v>531</v>
      </c>
      <c r="F200" s="102">
        <v>22.95</v>
      </c>
      <c r="G200" s="8">
        <v>1</v>
      </c>
      <c r="H200" s="102">
        <v>22.95</v>
      </c>
      <c r="I200" s="8" t="s">
        <v>532</v>
      </c>
      <c r="J200" s="8">
        <v>29</v>
      </c>
      <c r="K200" s="8">
        <v>20</v>
      </c>
    </row>
    <row r="201" spans="1:11" x14ac:dyDescent="0.25">
      <c r="A201" s="8">
        <v>198</v>
      </c>
      <c r="B201" s="150">
        <v>42203</v>
      </c>
      <c r="C201" s="8" t="s">
        <v>534</v>
      </c>
      <c r="D201" s="8" t="s">
        <v>539</v>
      </c>
      <c r="E201" s="8" t="s">
        <v>531</v>
      </c>
      <c r="F201" s="102">
        <v>21.95</v>
      </c>
      <c r="G201" s="8">
        <v>7</v>
      </c>
      <c r="H201" s="102">
        <v>153.65</v>
      </c>
      <c r="I201" s="8" t="s">
        <v>536</v>
      </c>
      <c r="J201" s="8">
        <v>33</v>
      </c>
      <c r="K201" s="8">
        <v>22</v>
      </c>
    </row>
    <row r="202" spans="1:11" x14ac:dyDescent="0.25">
      <c r="A202" s="8">
        <v>199</v>
      </c>
      <c r="B202" s="150">
        <v>42155</v>
      </c>
      <c r="C202" s="8" t="s">
        <v>534</v>
      </c>
      <c r="D202" s="8" t="s">
        <v>538</v>
      </c>
      <c r="E202" s="8" t="s">
        <v>531</v>
      </c>
      <c r="F202" s="102">
        <v>19.95</v>
      </c>
      <c r="G202" s="8">
        <v>2</v>
      </c>
      <c r="H202" s="102">
        <v>39.9</v>
      </c>
      <c r="I202" s="8" t="s">
        <v>533</v>
      </c>
      <c r="J202" s="8">
        <v>52</v>
      </c>
      <c r="K202" s="8">
        <v>25</v>
      </c>
    </row>
    <row r="203" spans="1:11" x14ac:dyDescent="0.25">
      <c r="A203" s="8">
        <v>200</v>
      </c>
      <c r="B203" s="150">
        <v>42354</v>
      </c>
      <c r="C203" s="8" t="s">
        <v>521</v>
      </c>
      <c r="D203" s="8" t="s">
        <v>539</v>
      </c>
      <c r="E203" s="8" t="s">
        <v>531</v>
      </c>
      <c r="F203" s="102">
        <v>21.95</v>
      </c>
      <c r="G203" s="8">
        <v>6</v>
      </c>
      <c r="H203" s="102">
        <v>131.69999999999999</v>
      </c>
      <c r="I203" s="8" t="s">
        <v>536</v>
      </c>
      <c r="J203" s="8">
        <v>26</v>
      </c>
      <c r="K203" s="8">
        <v>22</v>
      </c>
    </row>
  </sheetData>
  <mergeCells count="1">
    <mergeCell ref="A1:K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FF0000"/>
  </sheetPr>
  <dimension ref="A1:P203"/>
  <sheetViews>
    <sheetView topLeftCell="E3" workbookViewId="0">
      <selection activeCell="N3" sqref="N3"/>
    </sheetView>
  </sheetViews>
  <sheetFormatPr defaultRowHeight="15" x14ac:dyDescent="0.25"/>
  <cols>
    <col min="1" max="1" width="9.140625" style="5"/>
    <col min="2" max="2" width="11.85546875" style="5" bestFit="1" customWidth="1"/>
    <col min="3" max="3" width="10.85546875" style="5" bestFit="1" customWidth="1"/>
    <col min="4" max="4" width="16.7109375" style="5" bestFit="1" customWidth="1"/>
    <col min="5" max="5" width="15.28515625" style="5" bestFit="1" customWidth="1"/>
    <col min="6" max="6" width="11.7109375" style="5" bestFit="1" customWidth="1"/>
    <col min="7" max="7" width="9.140625" style="5"/>
    <col min="8" max="8" width="11.85546875" style="5" customWidth="1"/>
    <col min="9" max="9" width="13.5703125" style="5" customWidth="1"/>
    <col min="10" max="10" width="9.85546875" style="5" customWidth="1"/>
    <col min="11" max="11" width="14" style="5" customWidth="1"/>
    <col min="12" max="13" width="9.140625" style="5"/>
    <col min="14" max="14" width="27.28515625" style="5" customWidth="1"/>
    <col min="15" max="16384" width="9.140625" style="5"/>
  </cols>
  <sheetData>
    <row r="1" spans="1:16" ht="74.25" customHeight="1" x14ac:dyDescent="0.5">
      <c r="A1" s="279" t="s">
        <v>519</v>
      </c>
      <c r="B1" s="279"/>
      <c r="C1" s="279"/>
      <c r="D1" s="279"/>
      <c r="E1" s="279"/>
      <c r="F1" s="279"/>
      <c r="G1" s="279"/>
      <c r="H1" s="279"/>
      <c r="I1" s="279"/>
      <c r="J1" s="279"/>
      <c r="K1" s="279"/>
    </row>
    <row r="2" spans="1:16" ht="15.75" thickBot="1" x14ac:dyDescent="0.3">
      <c r="M2"/>
      <c r="N2"/>
      <c r="O2"/>
      <c r="P2"/>
    </row>
    <row r="3" spans="1:16" ht="63" x14ac:dyDescent="0.25">
      <c r="A3" s="149" t="s">
        <v>520</v>
      </c>
      <c r="B3" s="149" t="s">
        <v>192</v>
      </c>
      <c r="C3" s="149" t="s">
        <v>521</v>
      </c>
      <c r="D3" s="149" t="s">
        <v>522</v>
      </c>
      <c r="E3" s="149" t="s">
        <v>523</v>
      </c>
      <c r="F3" s="149" t="s">
        <v>524</v>
      </c>
      <c r="G3" s="149" t="s">
        <v>525</v>
      </c>
      <c r="H3" s="149" t="s">
        <v>526</v>
      </c>
      <c r="I3" s="149" t="s">
        <v>527</v>
      </c>
      <c r="J3" s="149" t="s">
        <v>528</v>
      </c>
      <c r="K3" s="149" t="s">
        <v>529</v>
      </c>
      <c r="M3"/>
      <c r="N3" s="136" t="s">
        <v>526</v>
      </c>
      <c r="O3" s="136"/>
      <c r="P3"/>
    </row>
    <row r="4" spans="1:16" x14ac:dyDescent="0.25">
      <c r="A4" s="8">
        <v>1</v>
      </c>
      <c r="B4" s="150">
        <v>42146</v>
      </c>
      <c r="C4" s="8" t="s">
        <v>521</v>
      </c>
      <c r="D4" s="8" t="s">
        <v>530</v>
      </c>
      <c r="E4" s="8" t="s">
        <v>531</v>
      </c>
      <c r="F4" s="102">
        <v>22.95</v>
      </c>
      <c r="G4" s="8">
        <v>2</v>
      </c>
      <c r="H4" s="102">
        <v>45.9</v>
      </c>
      <c r="I4" s="8" t="s">
        <v>532</v>
      </c>
      <c r="J4" s="8">
        <v>21</v>
      </c>
      <c r="K4" s="8">
        <v>20</v>
      </c>
      <c r="M4"/>
      <c r="N4" s="124"/>
      <c r="O4" s="124"/>
      <c r="P4"/>
    </row>
    <row r="5" spans="1:16" x14ac:dyDescent="0.25">
      <c r="A5" s="8">
        <v>2</v>
      </c>
      <c r="B5" s="150">
        <v>42184</v>
      </c>
      <c r="C5" s="8" t="s">
        <v>521</v>
      </c>
      <c r="D5" s="8" t="s">
        <v>530</v>
      </c>
      <c r="E5" s="8" t="s">
        <v>531</v>
      </c>
      <c r="F5" s="102">
        <v>19.95</v>
      </c>
      <c r="G5" s="8">
        <v>1</v>
      </c>
      <c r="H5" s="102">
        <v>19.95</v>
      </c>
      <c r="I5" s="8" t="s">
        <v>533</v>
      </c>
      <c r="J5" s="8">
        <v>57</v>
      </c>
      <c r="K5" s="8">
        <v>25</v>
      </c>
      <c r="M5"/>
      <c r="N5" s="124" t="s">
        <v>85</v>
      </c>
      <c r="O5" s="124">
        <v>75.057750000000041</v>
      </c>
      <c r="P5"/>
    </row>
    <row r="6" spans="1:16" x14ac:dyDescent="0.25">
      <c r="A6" s="8">
        <v>3</v>
      </c>
      <c r="B6" s="150">
        <v>42313</v>
      </c>
      <c r="C6" s="8" t="s">
        <v>534</v>
      </c>
      <c r="D6" s="8" t="s">
        <v>530</v>
      </c>
      <c r="E6" s="8" t="s">
        <v>535</v>
      </c>
      <c r="F6" s="102">
        <v>21.95</v>
      </c>
      <c r="G6" s="8">
        <v>1</v>
      </c>
      <c r="H6" s="102">
        <v>21.95</v>
      </c>
      <c r="I6" s="8" t="s">
        <v>536</v>
      </c>
      <c r="J6" s="8">
        <v>25</v>
      </c>
      <c r="K6" s="8">
        <v>22</v>
      </c>
      <c r="M6"/>
      <c r="N6" s="124" t="s">
        <v>471</v>
      </c>
      <c r="O6" s="124">
        <v>3.9247905890668311</v>
      </c>
      <c r="P6"/>
    </row>
    <row r="7" spans="1:16" x14ac:dyDescent="0.25">
      <c r="A7" s="8">
        <v>4</v>
      </c>
      <c r="B7" s="150">
        <v>42247</v>
      </c>
      <c r="C7" s="8" t="s">
        <v>534</v>
      </c>
      <c r="D7" s="8" t="s">
        <v>537</v>
      </c>
      <c r="E7" s="8" t="s">
        <v>531</v>
      </c>
      <c r="F7" s="102">
        <v>19.95</v>
      </c>
      <c r="G7" s="8">
        <v>1</v>
      </c>
      <c r="H7" s="102">
        <v>19.95</v>
      </c>
      <c r="I7" s="8" t="s">
        <v>533</v>
      </c>
      <c r="J7" s="8">
        <v>38</v>
      </c>
      <c r="K7" s="8">
        <v>25</v>
      </c>
      <c r="M7"/>
      <c r="N7" s="124" t="s">
        <v>86</v>
      </c>
      <c r="O7" s="124">
        <v>59.849999999999994</v>
      </c>
      <c r="P7"/>
    </row>
    <row r="8" spans="1:16" x14ac:dyDescent="0.25">
      <c r="A8" s="8">
        <v>5</v>
      </c>
      <c r="B8" s="150">
        <v>42154</v>
      </c>
      <c r="C8" s="8" t="s">
        <v>521</v>
      </c>
      <c r="D8" s="8" t="s">
        <v>538</v>
      </c>
      <c r="E8" s="8" t="s">
        <v>531</v>
      </c>
      <c r="F8" s="102">
        <v>19.95</v>
      </c>
      <c r="G8" s="8">
        <v>4</v>
      </c>
      <c r="H8" s="102">
        <v>79.8</v>
      </c>
      <c r="I8" s="8" t="s">
        <v>533</v>
      </c>
      <c r="J8" s="8">
        <v>22</v>
      </c>
      <c r="K8" s="8">
        <v>25</v>
      </c>
      <c r="M8"/>
      <c r="N8" s="124" t="s">
        <v>87</v>
      </c>
      <c r="O8" s="124">
        <v>19.95</v>
      </c>
      <c r="P8"/>
    </row>
    <row r="9" spans="1:16" x14ac:dyDescent="0.25">
      <c r="A9" s="8">
        <v>6</v>
      </c>
      <c r="B9" s="150">
        <v>42282</v>
      </c>
      <c r="C9" s="8" t="s">
        <v>521</v>
      </c>
      <c r="D9" s="8" t="s">
        <v>539</v>
      </c>
      <c r="E9" s="8" t="s">
        <v>540</v>
      </c>
      <c r="F9" s="102">
        <v>19.95</v>
      </c>
      <c r="G9" s="8">
        <v>4</v>
      </c>
      <c r="H9" s="102">
        <v>79.8</v>
      </c>
      <c r="I9" s="8" t="s">
        <v>533</v>
      </c>
      <c r="J9" s="8">
        <v>29</v>
      </c>
      <c r="K9" s="8">
        <v>25</v>
      </c>
      <c r="M9"/>
      <c r="N9" s="124" t="s">
        <v>98</v>
      </c>
      <c r="O9" s="124">
        <v>55.504920805326016</v>
      </c>
      <c r="P9"/>
    </row>
    <row r="10" spans="1:16" x14ac:dyDescent="0.25">
      <c r="A10" s="8">
        <v>7</v>
      </c>
      <c r="B10" s="150">
        <v>42085</v>
      </c>
      <c r="C10" s="8" t="s">
        <v>521</v>
      </c>
      <c r="D10" s="8" t="s">
        <v>538</v>
      </c>
      <c r="E10" s="8" t="s">
        <v>531</v>
      </c>
      <c r="F10" s="102">
        <v>19.95</v>
      </c>
      <c r="G10" s="8">
        <v>3</v>
      </c>
      <c r="H10" s="102">
        <v>59.849999999999994</v>
      </c>
      <c r="I10" s="8" t="s">
        <v>533</v>
      </c>
      <c r="J10" s="8">
        <v>18</v>
      </c>
      <c r="K10" s="8">
        <v>25</v>
      </c>
      <c r="M10"/>
      <c r="N10" s="124" t="s">
        <v>472</v>
      </c>
      <c r="O10" s="124">
        <v>3080.7962336055125</v>
      </c>
      <c r="P10"/>
    </row>
    <row r="11" spans="1:16" x14ac:dyDescent="0.25">
      <c r="A11" s="8">
        <v>8</v>
      </c>
      <c r="B11" s="150">
        <v>42169</v>
      </c>
      <c r="C11" s="8" t="s">
        <v>534</v>
      </c>
      <c r="D11" s="8" t="s">
        <v>541</v>
      </c>
      <c r="E11" s="8" t="s">
        <v>531</v>
      </c>
      <c r="F11" s="102">
        <v>19.95</v>
      </c>
      <c r="G11" s="8">
        <v>7</v>
      </c>
      <c r="H11" s="102">
        <v>139.65</v>
      </c>
      <c r="I11" s="8" t="s">
        <v>533</v>
      </c>
      <c r="J11" s="8">
        <v>64</v>
      </c>
      <c r="K11" s="8">
        <v>25</v>
      </c>
      <c r="M11"/>
      <c r="N11" s="124" t="s">
        <v>473</v>
      </c>
      <c r="O11" s="124">
        <v>1.3861851155914824</v>
      </c>
      <c r="P11"/>
    </row>
    <row r="12" spans="1:16" x14ac:dyDescent="0.25">
      <c r="A12" s="8">
        <v>9</v>
      </c>
      <c r="B12" s="150">
        <v>42133</v>
      </c>
      <c r="C12" s="8" t="s">
        <v>534</v>
      </c>
      <c r="D12" s="8" t="s">
        <v>537</v>
      </c>
      <c r="E12" s="8" t="s">
        <v>531</v>
      </c>
      <c r="F12" s="102">
        <v>19.95</v>
      </c>
      <c r="G12" s="8">
        <v>6</v>
      </c>
      <c r="H12" s="102">
        <v>119.69999999999999</v>
      </c>
      <c r="I12" s="8" t="s">
        <v>533</v>
      </c>
      <c r="J12" s="8">
        <v>27</v>
      </c>
      <c r="K12" s="8">
        <v>25</v>
      </c>
      <c r="M12"/>
      <c r="N12" s="124" t="s">
        <v>474</v>
      </c>
      <c r="O12" s="124">
        <v>1.2141941767956757</v>
      </c>
      <c r="P12"/>
    </row>
    <row r="13" spans="1:16" x14ac:dyDescent="0.25">
      <c r="A13" s="8">
        <v>10</v>
      </c>
      <c r="B13" s="150">
        <v>42244</v>
      </c>
      <c r="C13" s="8" t="s">
        <v>534</v>
      </c>
      <c r="D13" s="8" t="s">
        <v>538</v>
      </c>
      <c r="E13" s="8" t="s">
        <v>531</v>
      </c>
      <c r="F13" s="102">
        <v>21.95</v>
      </c>
      <c r="G13" s="8">
        <v>2</v>
      </c>
      <c r="H13" s="102">
        <v>43.9</v>
      </c>
      <c r="I13" s="8" t="s">
        <v>536</v>
      </c>
      <c r="J13" s="8">
        <v>22</v>
      </c>
      <c r="K13" s="8">
        <v>22</v>
      </c>
      <c r="M13"/>
      <c r="N13" s="124" t="s">
        <v>95</v>
      </c>
      <c r="O13" s="124">
        <v>279.55</v>
      </c>
      <c r="P13"/>
    </row>
    <row r="14" spans="1:16" x14ac:dyDescent="0.25">
      <c r="A14" s="8">
        <v>11</v>
      </c>
      <c r="B14" s="150">
        <v>42338</v>
      </c>
      <c r="C14" s="8" t="s">
        <v>521</v>
      </c>
      <c r="D14" s="8" t="s">
        <v>539</v>
      </c>
      <c r="E14" s="8" t="s">
        <v>542</v>
      </c>
      <c r="F14" s="102">
        <v>21.95</v>
      </c>
      <c r="G14" s="8">
        <v>2</v>
      </c>
      <c r="H14" s="102">
        <v>43.9</v>
      </c>
      <c r="I14" s="8" t="s">
        <v>536</v>
      </c>
      <c r="J14" s="8">
        <v>39</v>
      </c>
      <c r="K14" s="8">
        <v>22</v>
      </c>
      <c r="M14"/>
      <c r="N14" s="124" t="s">
        <v>475</v>
      </c>
      <c r="O14" s="124">
        <v>19.95</v>
      </c>
      <c r="P14"/>
    </row>
    <row r="15" spans="1:16" x14ac:dyDescent="0.25">
      <c r="A15" s="8">
        <v>12</v>
      </c>
      <c r="B15" s="150">
        <v>42260</v>
      </c>
      <c r="C15" s="8" t="s">
        <v>534</v>
      </c>
      <c r="D15" s="8" t="s">
        <v>530</v>
      </c>
      <c r="E15" s="8" t="s">
        <v>542</v>
      </c>
      <c r="F15" s="102">
        <v>19.95</v>
      </c>
      <c r="G15" s="8">
        <v>5</v>
      </c>
      <c r="H15" s="102">
        <v>99.75</v>
      </c>
      <c r="I15" s="8" t="s">
        <v>533</v>
      </c>
      <c r="J15" s="8">
        <v>61</v>
      </c>
      <c r="K15" s="8">
        <v>25</v>
      </c>
      <c r="M15"/>
      <c r="N15" s="124" t="s">
        <v>476</v>
      </c>
      <c r="O15" s="124">
        <v>299.5</v>
      </c>
      <c r="P15"/>
    </row>
    <row r="16" spans="1:16" x14ac:dyDescent="0.25">
      <c r="A16" s="8">
        <v>13</v>
      </c>
      <c r="B16" s="150">
        <v>42300</v>
      </c>
      <c r="C16" s="8" t="s">
        <v>534</v>
      </c>
      <c r="D16" s="8" t="s">
        <v>538</v>
      </c>
      <c r="E16" s="8" t="s">
        <v>542</v>
      </c>
      <c r="F16" s="102">
        <v>22.95</v>
      </c>
      <c r="G16" s="8">
        <v>5</v>
      </c>
      <c r="H16" s="102">
        <v>114.75</v>
      </c>
      <c r="I16" s="8" t="s">
        <v>532</v>
      </c>
      <c r="J16" s="8">
        <v>18</v>
      </c>
      <c r="K16" s="8">
        <v>20</v>
      </c>
      <c r="M16"/>
      <c r="N16" s="124" t="s">
        <v>477</v>
      </c>
      <c r="O16" s="124">
        <v>15011.550000000008</v>
      </c>
      <c r="P16"/>
    </row>
    <row r="17" spans="1:16" x14ac:dyDescent="0.25">
      <c r="A17" s="8">
        <v>14</v>
      </c>
      <c r="B17" s="150">
        <v>42266</v>
      </c>
      <c r="C17" s="8" t="s">
        <v>534</v>
      </c>
      <c r="D17" s="8" t="s">
        <v>539</v>
      </c>
      <c r="E17" s="8" t="s">
        <v>531</v>
      </c>
      <c r="F17" s="102">
        <v>22.95</v>
      </c>
      <c r="G17" s="8">
        <v>4</v>
      </c>
      <c r="H17" s="102">
        <v>91.8</v>
      </c>
      <c r="I17" s="8" t="s">
        <v>532</v>
      </c>
      <c r="J17" s="8">
        <v>22</v>
      </c>
      <c r="K17" s="8">
        <v>20</v>
      </c>
      <c r="M17"/>
      <c r="N17" s="124" t="s">
        <v>375</v>
      </c>
      <c r="O17" s="124">
        <v>200</v>
      </c>
      <c r="P17"/>
    </row>
    <row r="18" spans="1:16" x14ac:dyDescent="0.25">
      <c r="A18" s="8">
        <v>15</v>
      </c>
      <c r="B18" s="150">
        <v>42267</v>
      </c>
      <c r="C18" s="8" t="s">
        <v>534</v>
      </c>
      <c r="D18" s="8" t="s">
        <v>537</v>
      </c>
      <c r="E18" s="8" t="s">
        <v>542</v>
      </c>
      <c r="F18" s="102">
        <v>22.95</v>
      </c>
      <c r="G18" s="8">
        <v>5</v>
      </c>
      <c r="H18" s="102">
        <v>114.75</v>
      </c>
      <c r="I18" s="8" t="s">
        <v>532</v>
      </c>
      <c r="J18" s="8">
        <v>52</v>
      </c>
      <c r="K18" s="8">
        <v>20</v>
      </c>
      <c r="M18"/>
      <c r="N18" s="124" t="s">
        <v>963</v>
      </c>
      <c r="O18" s="124">
        <v>249.5</v>
      </c>
      <c r="P18"/>
    </row>
    <row r="19" spans="1:16" ht="15.75" thickBot="1" x14ac:dyDescent="0.3">
      <c r="A19" s="8">
        <v>16</v>
      </c>
      <c r="B19" s="150">
        <v>42022</v>
      </c>
      <c r="C19" s="8" t="s">
        <v>521</v>
      </c>
      <c r="D19" s="8" t="s">
        <v>538</v>
      </c>
      <c r="E19" s="8" t="s">
        <v>531</v>
      </c>
      <c r="F19" s="102">
        <v>22.95</v>
      </c>
      <c r="G19" s="8">
        <v>1</v>
      </c>
      <c r="H19" s="102">
        <v>22.95</v>
      </c>
      <c r="I19" s="8" t="s">
        <v>532</v>
      </c>
      <c r="J19" s="8">
        <v>22</v>
      </c>
      <c r="K19" s="8">
        <v>20</v>
      </c>
      <c r="M19"/>
      <c r="N19" s="127" t="s">
        <v>964</v>
      </c>
      <c r="O19" s="127">
        <v>19.95</v>
      </c>
      <c r="P19"/>
    </row>
    <row r="20" spans="1:16" x14ac:dyDescent="0.25">
      <c r="A20" s="8">
        <v>17</v>
      </c>
      <c r="B20" s="150">
        <v>42213</v>
      </c>
      <c r="C20" s="8" t="s">
        <v>534</v>
      </c>
      <c r="D20" s="8" t="s">
        <v>541</v>
      </c>
      <c r="E20" s="8" t="s">
        <v>531</v>
      </c>
      <c r="F20" s="102">
        <v>24.95</v>
      </c>
      <c r="G20" s="8">
        <v>5</v>
      </c>
      <c r="H20" s="102">
        <v>124.75</v>
      </c>
      <c r="I20" s="8" t="s">
        <v>543</v>
      </c>
      <c r="J20" s="8">
        <v>18</v>
      </c>
      <c r="K20" s="8">
        <v>35</v>
      </c>
      <c r="M20"/>
      <c r="N20"/>
      <c r="O20"/>
      <c r="P20"/>
    </row>
    <row r="21" spans="1:16" x14ac:dyDescent="0.25">
      <c r="A21" s="8">
        <v>18</v>
      </c>
      <c r="B21" s="150">
        <v>42161</v>
      </c>
      <c r="C21" s="8" t="s">
        <v>534</v>
      </c>
      <c r="D21" s="8" t="s">
        <v>539</v>
      </c>
      <c r="E21" s="8" t="s">
        <v>540</v>
      </c>
      <c r="F21" s="102">
        <v>19.95</v>
      </c>
      <c r="G21" s="8">
        <v>1</v>
      </c>
      <c r="H21" s="102">
        <v>19.95</v>
      </c>
      <c r="I21" s="8" t="s">
        <v>533</v>
      </c>
      <c r="J21" s="8">
        <v>55</v>
      </c>
      <c r="K21" s="8">
        <v>25</v>
      </c>
      <c r="M21"/>
      <c r="N21"/>
      <c r="O21"/>
      <c r="P21"/>
    </row>
    <row r="22" spans="1:16" x14ac:dyDescent="0.25">
      <c r="A22" s="8">
        <v>19</v>
      </c>
      <c r="B22" s="150">
        <v>42034</v>
      </c>
      <c r="C22" s="8" t="s">
        <v>534</v>
      </c>
      <c r="D22" s="8" t="s">
        <v>539</v>
      </c>
      <c r="E22" s="8" t="s">
        <v>535</v>
      </c>
      <c r="F22" s="102">
        <v>21.95</v>
      </c>
      <c r="G22" s="8">
        <v>4</v>
      </c>
      <c r="H22" s="102">
        <v>87.8</v>
      </c>
      <c r="I22" s="8" t="s">
        <v>536</v>
      </c>
      <c r="J22" s="8">
        <v>20</v>
      </c>
      <c r="K22" s="8">
        <v>22</v>
      </c>
      <c r="M22"/>
      <c r="N22"/>
      <c r="O22"/>
      <c r="P22"/>
    </row>
    <row r="23" spans="1:16" x14ac:dyDescent="0.25">
      <c r="A23" s="8">
        <v>20</v>
      </c>
      <c r="B23" s="150">
        <v>42286</v>
      </c>
      <c r="C23" s="8" t="s">
        <v>521</v>
      </c>
      <c r="D23" s="8" t="s">
        <v>539</v>
      </c>
      <c r="E23" s="8" t="s">
        <v>542</v>
      </c>
      <c r="F23" s="102">
        <v>22.95</v>
      </c>
      <c r="G23" s="8">
        <v>1</v>
      </c>
      <c r="H23" s="102">
        <v>22.95</v>
      </c>
      <c r="I23" s="8" t="s">
        <v>532</v>
      </c>
      <c r="J23" s="8">
        <v>42</v>
      </c>
      <c r="K23" s="8">
        <v>20</v>
      </c>
    </row>
    <row r="24" spans="1:16" x14ac:dyDescent="0.25">
      <c r="A24" s="8">
        <v>21</v>
      </c>
      <c r="B24" s="150">
        <v>42189</v>
      </c>
      <c r="C24" s="8" t="s">
        <v>534</v>
      </c>
      <c r="D24" s="8" t="s">
        <v>539</v>
      </c>
      <c r="E24" s="8" t="s">
        <v>540</v>
      </c>
      <c r="F24" s="102">
        <v>29.95</v>
      </c>
      <c r="G24" s="8">
        <v>10</v>
      </c>
      <c r="H24" s="102">
        <v>299.5</v>
      </c>
      <c r="I24" s="8" t="s">
        <v>544</v>
      </c>
      <c r="J24" s="8">
        <v>30</v>
      </c>
      <c r="K24" s="8">
        <v>45</v>
      </c>
    </row>
    <row r="25" spans="1:16" x14ac:dyDescent="0.25">
      <c r="A25" s="8">
        <v>22</v>
      </c>
      <c r="B25" s="150">
        <v>42316</v>
      </c>
      <c r="C25" s="8" t="s">
        <v>521</v>
      </c>
      <c r="D25" s="8" t="s">
        <v>538</v>
      </c>
      <c r="E25" s="8" t="s">
        <v>542</v>
      </c>
      <c r="F25" s="102">
        <v>19.95</v>
      </c>
      <c r="G25" s="8">
        <v>1</v>
      </c>
      <c r="H25" s="102">
        <v>19.95</v>
      </c>
      <c r="I25" s="8" t="s">
        <v>533</v>
      </c>
      <c r="J25" s="8">
        <v>64</v>
      </c>
      <c r="K25" s="8">
        <v>25</v>
      </c>
    </row>
    <row r="26" spans="1:16" x14ac:dyDescent="0.25">
      <c r="A26" s="8">
        <v>23</v>
      </c>
      <c r="B26" s="150">
        <v>42164</v>
      </c>
      <c r="C26" s="8" t="s">
        <v>521</v>
      </c>
      <c r="D26" s="8" t="s">
        <v>539</v>
      </c>
      <c r="E26" s="8" t="s">
        <v>542</v>
      </c>
      <c r="F26" s="102">
        <v>19.95</v>
      </c>
      <c r="G26" s="8">
        <v>5</v>
      </c>
      <c r="H26" s="102">
        <v>99.75</v>
      </c>
      <c r="I26" s="8" t="s">
        <v>533</v>
      </c>
      <c r="J26" s="8">
        <v>63</v>
      </c>
      <c r="K26" s="8">
        <v>25</v>
      </c>
    </row>
    <row r="27" spans="1:16" x14ac:dyDescent="0.25">
      <c r="A27" s="8">
        <v>24</v>
      </c>
      <c r="B27" s="150">
        <v>42080</v>
      </c>
      <c r="C27" s="8" t="s">
        <v>521</v>
      </c>
      <c r="D27" s="8" t="s">
        <v>530</v>
      </c>
      <c r="E27" s="8" t="s">
        <v>540</v>
      </c>
      <c r="F27" s="102">
        <v>19.95</v>
      </c>
      <c r="G27" s="8">
        <v>2</v>
      </c>
      <c r="H27" s="102">
        <v>39.9</v>
      </c>
      <c r="I27" s="8" t="s">
        <v>533</v>
      </c>
      <c r="J27" s="8">
        <v>41</v>
      </c>
      <c r="K27" s="8">
        <v>25</v>
      </c>
    </row>
    <row r="28" spans="1:16" x14ac:dyDescent="0.25">
      <c r="A28" s="8">
        <v>25</v>
      </c>
      <c r="B28" s="150">
        <v>42101</v>
      </c>
      <c r="C28" s="8" t="s">
        <v>534</v>
      </c>
      <c r="D28" s="8" t="s">
        <v>538</v>
      </c>
      <c r="E28" s="8" t="s">
        <v>535</v>
      </c>
      <c r="F28" s="102">
        <v>21.95</v>
      </c>
      <c r="G28" s="8">
        <v>3</v>
      </c>
      <c r="H28" s="102">
        <v>65.849999999999994</v>
      </c>
      <c r="I28" s="8" t="s">
        <v>536</v>
      </c>
      <c r="J28" s="8">
        <v>21</v>
      </c>
      <c r="K28" s="8">
        <v>22</v>
      </c>
    </row>
    <row r="29" spans="1:16" x14ac:dyDescent="0.25">
      <c r="A29" s="8">
        <v>26</v>
      </c>
      <c r="B29" s="150">
        <v>42009</v>
      </c>
      <c r="C29" s="8" t="s">
        <v>534</v>
      </c>
      <c r="D29" s="8" t="s">
        <v>539</v>
      </c>
      <c r="E29" s="8" t="s">
        <v>535</v>
      </c>
      <c r="F29" s="102">
        <v>24.95</v>
      </c>
      <c r="G29" s="8">
        <v>1</v>
      </c>
      <c r="H29" s="102">
        <v>24.95</v>
      </c>
      <c r="I29" s="8" t="s">
        <v>543</v>
      </c>
      <c r="J29" s="8">
        <v>63</v>
      </c>
      <c r="K29" s="8">
        <v>35</v>
      </c>
    </row>
    <row r="30" spans="1:16" x14ac:dyDescent="0.25">
      <c r="A30" s="8">
        <v>27</v>
      </c>
      <c r="B30" s="150">
        <v>42207</v>
      </c>
      <c r="C30" s="8" t="s">
        <v>534</v>
      </c>
      <c r="D30" s="8" t="s">
        <v>537</v>
      </c>
      <c r="E30" s="8" t="s">
        <v>531</v>
      </c>
      <c r="F30" s="102">
        <v>21.95</v>
      </c>
      <c r="G30" s="8">
        <v>1</v>
      </c>
      <c r="H30" s="102">
        <v>21.95</v>
      </c>
      <c r="I30" s="8" t="s">
        <v>536</v>
      </c>
      <c r="J30" s="8">
        <v>54</v>
      </c>
      <c r="K30" s="8">
        <v>22</v>
      </c>
    </row>
    <row r="31" spans="1:16" x14ac:dyDescent="0.25">
      <c r="A31" s="8">
        <v>28</v>
      </c>
      <c r="B31" s="150">
        <v>42320</v>
      </c>
      <c r="C31" s="8" t="s">
        <v>534</v>
      </c>
      <c r="D31" s="8" t="s">
        <v>537</v>
      </c>
      <c r="E31" s="8" t="s">
        <v>531</v>
      </c>
      <c r="F31" s="102">
        <v>19.95</v>
      </c>
      <c r="G31" s="8">
        <v>1</v>
      </c>
      <c r="H31" s="102">
        <v>19.95</v>
      </c>
      <c r="I31" s="8" t="s">
        <v>533</v>
      </c>
      <c r="J31" s="8">
        <v>18</v>
      </c>
      <c r="K31" s="8">
        <v>25</v>
      </c>
    </row>
    <row r="32" spans="1:16" x14ac:dyDescent="0.25">
      <c r="A32" s="8">
        <v>29</v>
      </c>
      <c r="B32" s="150">
        <v>42135</v>
      </c>
      <c r="C32" s="8" t="s">
        <v>534</v>
      </c>
      <c r="D32" s="8" t="s">
        <v>541</v>
      </c>
      <c r="E32" s="8" t="s">
        <v>531</v>
      </c>
      <c r="F32" s="102">
        <v>22.95</v>
      </c>
      <c r="G32" s="8">
        <v>4</v>
      </c>
      <c r="H32" s="102">
        <v>91.8</v>
      </c>
      <c r="I32" s="8" t="s">
        <v>532</v>
      </c>
      <c r="J32" s="8">
        <v>26</v>
      </c>
      <c r="K32" s="8">
        <v>20</v>
      </c>
    </row>
    <row r="33" spans="1:11" x14ac:dyDescent="0.25">
      <c r="A33" s="8">
        <v>30</v>
      </c>
      <c r="B33" s="150">
        <v>42108</v>
      </c>
      <c r="C33" s="8" t="s">
        <v>534</v>
      </c>
      <c r="D33" s="8" t="s">
        <v>539</v>
      </c>
      <c r="E33" s="8" t="s">
        <v>542</v>
      </c>
      <c r="F33" s="102">
        <v>21.95</v>
      </c>
      <c r="G33" s="8">
        <v>3</v>
      </c>
      <c r="H33" s="102">
        <v>65.849999999999994</v>
      </c>
      <c r="I33" s="8" t="s">
        <v>536</v>
      </c>
      <c r="J33" s="8">
        <v>59</v>
      </c>
      <c r="K33" s="8">
        <v>22</v>
      </c>
    </row>
    <row r="34" spans="1:11" x14ac:dyDescent="0.25">
      <c r="A34" s="8">
        <v>31</v>
      </c>
      <c r="B34" s="150">
        <v>42227</v>
      </c>
      <c r="C34" s="8" t="s">
        <v>534</v>
      </c>
      <c r="D34" s="8" t="s">
        <v>541</v>
      </c>
      <c r="E34" s="8" t="s">
        <v>531</v>
      </c>
      <c r="F34" s="102">
        <v>19.95</v>
      </c>
      <c r="G34" s="8">
        <v>2</v>
      </c>
      <c r="H34" s="102">
        <v>39.9</v>
      </c>
      <c r="I34" s="8" t="s">
        <v>533</v>
      </c>
      <c r="J34" s="8">
        <v>30</v>
      </c>
      <c r="K34" s="8">
        <v>25</v>
      </c>
    </row>
    <row r="35" spans="1:11" x14ac:dyDescent="0.25">
      <c r="A35" s="8">
        <v>32</v>
      </c>
      <c r="B35" s="150">
        <v>42322</v>
      </c>
      <c r="C35" s="8" t="s">
        <v>534</v>
      </c>
      <c r="D35" s="8" t="s">
        <v>538</v>
      </c>
      <c r="E35" s="8" t="s">
        <v>531</v>
      </c>
      <c r="F35" s="102">
        <v>21.95</v>
      </c>
      <c r="G35" s="8">
        <v>2</v>
      </c>
      <c r="H35" s="102">
        <v>43.9</v>
      </c>
      <c r="I35" s="8" t="s">
        <v>536</v>
      </c>
      <c r="J35" s="8">
        <v>64</v>
      </c>
      <c r="K35" s="8">
        <v>22</v>
      </c>
    </row>
    <row r="36" spans="1:11" x14ac:dyDescent="0.25">
      <c r="A36" s="8">
        <v>33</v>
      </c>
      <c r="B36" s="150">
        <v>42025</v>
      </c>
      <c r="C36" s="8" t="s">
        <v>534</v>
      </c>
      <c r="D36" s="8" t="s">
        <v>539</v>
      </c>
      <c r="E36" s="8" t="s">
        <v>531</v>
      </c>
      <c r="F36" s="102">
        <v>21.95</v>
      </c>
      <c r="G36" s="8">
        <v>3</v>
      </c>
      <c r="H36" s="102">
        <v>65.849999999999994</v>
      </c>
      <c r="I36" s="8" t="s">
        <v>536</v>
      </c>
      <c r="J36" s="8">
        <v>30</v>
      </c>
      <c r="K36" s="8">
        <v>22</v>
      </c>
    </row>
    <row r="37" spans="1:11" x14ac:dyDescent="0.25">
      <c r="A37" s="8">
        <v>34</v>
      </c>
      <c r="B37" s="150">
        <v>42106</v>
      </c>
      <c r="C37" s="8" t="s">
        <v>521</v>
      </c>
      <c r="D37" s="8" t="s">
        <v>537</v>
      </c>
      <c r="E37" s="8" t="s">
        <v>531</v>
      </c>
      <c r="F37" s="102">
        <v>21.95</v>
      </c>
      <c r="G37" s="8">
        <v>2</v>
      </c>
      <c r="H37" s="102">
        <v>43.9</v>
      </c>
      <c r="I37" s="8" t="s">
        <v>536</v>
      </c>
      <c r="J37" s="8">
        <v>41</v>
      </c>
      <c r="K37" s="8">
        <v>22</v>
      </c>
    </row>
    <row r="38" spans="1:11" x14ac:dyDescent="0.25">
      <c r="A38" s="8">
        <v>35</v>
      </c>
      <c r="B38" s="150">
        <v>42159</v>
      </c>
      <c r="C38" s="8" t="s">
        <v>521</v>
      </c>
      <c r="D38" s="8" t="s">
        <v>530</v>
      </c>
      <c r="E38" s="8" t="s">
        <v>540</v>
      </c>
      <c r="F38" s="102">
        <v>19.95</v>
      </c>
      <c r="G38" s="8">
        <v>5</v>
      </c>
      <c r="H38" s="102">
        <v>99.75</v>
      </c>
      <c r="I38" s="8" t="s">
        <v>533</v>
      </c>
      <c r="J38" s="8">
        <v>23</v>
      </c>
      <c r="K38" s="8">
        <v>25</v>
      </c>
    </row>
    <row r="39" spans="1:11" x14ac:dyDescent="0.25">
      <c r="A39" s="8">
        <v>36</v>
      </c>
      <c r="B39" s="150">
        <v>42296</v>
      </c>
      <c r="C39" s="8" t="s">
        <v>521</v>
      </c>
      <c r="D39" s="8" t="s">
        <v>538</v>
      </c>
      <c r="E39" s="8" t="s">
        <v>531</v>
      </c>
      <c r="F39" s="102">
        <v>29.95</v>
      </c>
      <c r="G39" s="8">
        <v>1</v>
      </c>
      <c r="H39" s="102">
        <v>29.95</v>
      </c>
      <c r="I39" s="8" t="s">
        <v>544</v>
      </c>
      <c r="J39" s="8">
        <v>52</v>
      </c>
      <c r="K39" s="8">
        <v>45</v>
      </c>
    </row>
    <row r="40" spans="1:11" x14ac:dyDescent="0.25">
      <c r="A40" s="8">
        <v>37</v>
      </c>
      <c r="B40" s="150">
        <v>42254</v>
      </c>
      <c r="C40" s="8" t="s">
        <v>534</v>
      </c>
      <c r="D40" s="8" t="s">
        <v>539</v>
      </c>
      <c r="E40" s="8" t="s">
        <v>531</v>
      </c>
      <c r="F40" s="102">
        <v>21.95</v>
      </c>
      <c r="G40" s="8">
        <v>3</v>
      </c>
      <c r="H40" s="102">
        <v>65.849999999999994</v>
      </c>
      <c r="I40" s="8" t="s">
        <v>536</v>
      </c>
      <c r="J40" s="8">
        <v>18</v>
      </c>
      <c r="K40" s="8">
        <v>22</v>
      </c>
    </row>
    <row r="41" spans="1:11" x14ac:dyDescent="0.25">
      <c r="A41" s="8">
        <v>38</v>
      </c>
      <c r="B41" s="150">
        <v>42266</v>
      </c>
      <c r="C41" s="8" t="s">
        <v>534</v>
      </c>
      <c r="D41" s="8" t="s">
        <v>539</v>
      </c>
      <c r="E41" s="8" t="s">
        <v>531</v>
      </c>
      <c r="F41" s="102">
        <v>22.95</v>
      </c>
      <c r="G41" s="8">
        <v>1</v>
      </c>
      <c r="H41" s="102">
        <v>22.95</v>
      </c>
      <c r="I41" s="8" t="s">
        <v>532</v>
      </c>
      <c r="J41" s="8">
        <v>32</v>
      </c>
      <c r="K41" s="8">
        <v>20</v>
      </c>
    </row>
    <row r="42" spans="1:11" x14ac:dyDescent="0.25">
      <c r="A42" s="8">
        <v>39</v>
      </c>
      <c r="B42" s="150">
        <v>42021</v>
      </c>
      <c r="C42" s="8" t="s">
        <v>521</v>
      </c>
      <c r="D42" s="8" t="s">
        <v>537</v>
      </c>
      <c r="E42" s="8" t="s">
        <v>542</v>
      </c>
      <c r="F42" s="102">
        <v>19.95</v>
      </c>
      <c r="G42" s="8">
        <v>1</v>
      </c>
      <c r="H42" s="102">
        <v>19.95</v>
      </c>
      <c r="I42" s="8" t="s">
        <v>533</v>
      </c>
      <c r="J42" s="8">
        <v>22</v>
      </c>
      <c r="K42" s="8">
        <v>25</v>
      </c>
    </row>
    <row r="43" spans="1:11" x14ac:dyDescent="0.25">
      <c r="A43" s="8">
        <v>40</v>
      </c>
      <c r="B43" s="150">
        <v>42078</v>
      </c>
      <c r="C43" s="8" t="s">
        <v>521</v>
      </c>
      <c r="D43" s="8" t="s">
        <v>539</v>
      </c>
      <c r="E43" s="8" t="s">
        <v>540</v>
      </c>
      <c r="F43" s="102">
        <v>19.95</v>
      </c>
      <c r="G43" s="8">
        <v>5</v>
      </c>
      <c r="H43" s="102">
        <v>99.75</v>
      </c>
      <c r="I43" s="8" t="s">
        <v>533</v>
      </c>
      <c r="J43" s="8">
        <v>29</v>
      </c>
      <c r="K43" s="8">
        <v>25</v>
      </c>
    </row>
    <row r="44" spans="1:11" x14ac:dyDescent="0.25">
      <c r="A44" s="8">
        <v>41</v>
      </c>
      <c r="B44" s="150">
        <v>42354</v>
      </c>
      <c r="C44" s="8" t="s">
        <v>534</v>
      </c>
      <c r="D44" s="8" t="s">
        <v>530</v>
      </c>
      <c r="E44" s="8" t="s">
        <v>542</v>
      </c>
      <c r="F44" s="102">
        <v>24.95</v>
      </c>
      <c r="G44" s="8">
        <v>5</v>
      </c>
      <c r="H44" s="102">
        <v>124.75</v>
      </c>
      <c r="I44" s="8" t="s">
        <v>545</v>
      </c>
      <c r="J44" s="8">
        <v>25</v>
      </c>
      <c r="K44" s="8">
        <v>30</v>
      </c>
    </row>
    <row r="45" spans="1:11" x14ac:dyDescent="0.25">
      <c r="A45" s="8">
        <v>42</v>
      </c>
      <c r="B45" s="150">
        <v>42193</v>
      </c>
      <c r="C45" s="8" t="s">
        <v>534</v>
      </c>
      <c r="D45" s="8" t="s">
        <v>539</v>
      </c>
      <c r="E45" s="8" t="s">
        <v>531</v>
      </c>
      <c r="F45" s="102">
        <v>21.95</v>
      </c>
      <c r="G45" s="8">
        <v>1</v>
      </c>
      <c r="H45" s="102">
        <v>21.95</v>
      </c>
      <c r="I45" s="8" t="s">
        <v>536</v>
      </c>
      <c r="J45" s="8">
        <v>63</v>
      </c>
      <c r="K45" s="8">
        <v>22</v>
      </c>
    </row>
    <row r="46" spans="1:11" x14ac:dyDescent="0.25">
      <c r="A46" s="8">
        <v>43</v>
      </c>
      <c r="B46" s="150">
        <v>42137</v>
      </c>
      <c r="C46" s="8" t="s">
        <v>534</v>
      </c>
      <c r="D46" s="8" t="s">
        <v>530</v>
      </c>
      <c r="E46" s="8" t="s">
        <v>542</v>
      </c>
      <c r="F46" s="102">
        <v>24.95</v>
      </c>
      <c r="G46" s="8">
        <v>7</v>
      </c>
      <c r="H46" s="102">
        <v>174.65</v>
      </c>
      <c r="I46" s="8" t="s">
        <v>543</v>
      </c>
      <c r="J46" s="8">
        <v>26</v>
      </c>
      <c r="K46" s="8">
        <v>35</v>
      </c>
    </row>
    <row r="47" spans="1:11" x14ac:dyDescent="0.25">
      <c r="A47" s="8">
        <v>44</v>
      </c>
      <c r="B47" s="150">
        <v>42066</v>
      </c>
      <c r="C47" s="8" t="s">
        <v>521</v>
      </c>
      <c r="D47" s="8" t="s">
        <v>541</v>
      </c>
      <c r="E47" s="8" t="s">
        <v>531</v>
      </c>
      <c r="F47" s="102">
        <v>29.95</v>
      </c>
      <c r="G47" s="8">
        <v>1</v>
      </c>
      <c r="H47" s="102">
        <v>29.95</v>
      </c>
      <c r="I47" s="8" t="s">
        <v>544</v>
      </c>
      <c r="J47" s="8">
        <v>31</v>
      </c>
      <c r="K47" s="8">
        <v>45</v>
      </c>
    </row>
    <row r="48" spans="1:11" x14ac:dyDescent="0.25">
      <c r="A48" s="8">
        <v>45</v>
      </c>
      <c r="B48" s="150">
        <v>42124</v>
      </c>
      <c r="C48" s="8" t="s">
        <v>534</v>
      </c>
      <c r="D48" s="8" t="s">
        <v>539</v>
      </c>
      <c r="E48" s="8" t="s">
        <v>542</v>
      </c>
      <c r="F48" s="102">
        <v>29.95</v>
      </c>
      <c r="G48" s="8">
        <v>5</v>
      </c>
      <c r="H48" s="102">
        <v>149.75</v>
      </c>
      <c r="I48" s="8" t="s">
        <v>544</v>
      </c>
      <c r="J48" s="8">
        <v>23</v>
      </c>
      <c r="K48" s="8">
        <v>45</v>
      </c>
    </row>
    <row r="49" spans="1:11" x14ac:dyDescent="0.25">
      <c r="A49" s="8">
        <v>46</v>
      </c>
      <c r="B49" s="150">
        <v>42196</v>
      </c>
      <c r="C49" s="8" t="s">
        <v>521</v>
      </c>
      <c r="D49" s="8" t="s">
        <v>539</v>
      </c>
      <c r="E49" s="8" t="s">
        <v>542</v>
      </c>
      <c r="F49" s="102">
        <v>29.95</v>
      </c>
      <c r="G49" s="8">
        <v>1</v>
      </c>
      <c r="H49" s="102">
        <v>29.95</v>
      </c>
      <c r="I49" s="8" t="s">
        <v>544</v>
      </c>
      <c r="J49" s="8">
        <v>42</v>
      </c>
      <c r="K49" s="8">
        <v>45</v>
      </c>
    </row>
    <row r="50" spans="1:11" x14ac:dyDescent="0.25">
      <c r="A50" s="8">
        <v>47</v>
      </c>
      <c r="B50" s="150">
        <v>42085</v>
      </c>
      <c r="C50" s="8" t="s">
        <v>521</v>
      </c>
      <c r="D50" s="8" t="s">
        <v>538</v>
      </c>
      <c r="E50" s="8" t="s">
        <v>535</v>
      </c>
      <c r="F50" s="102">
        <v>22.95</v>
      </c>
      <c r="G50" s="8">
        <v>2</v>
      </c>
      <c r="H50" s="102">
        <v>45.9</v>
      </c>
      <c r="I50" s="8" t="s">
        <v>532</v>
      </c>
      <c r="J50" s="8">
        <v>28</v>
      </c>
      <c r="K50" s="8">
        <v>20</v>
      </c>
    </row>
    <row r="51" spans="1:11" x14ac:dyDescent="0.25">
      <c r="A51" s="8">
        <v>48</v>
      </c>
      <c r="B51" s="150">
        <v>42243</v>
      </c>
      <c r="C51" s="8" t="s">
        <v>534</v>
      </c>
      <c r="D51" s="8" t="s">
        <v>538</v>
      </c>
      <c r="E51" s="8" t="s">
        <v>531</v>
      </c>
      <c r="F51" s="102">
        <v>22.95</v>
      </c>
      <c r="G51" s="8">
        <v>7</v>
      </c>
      <c r="H51" s="102">
        <v>160.65</v>
      </c>
      <c r="I51" s="8" t="s">
        <v>532</v>
      </c>
      <c r="J51" s="8">
        <v>23</v>
      </c>
      <c r="K51" s="8">
        <v>20</v>
      </c>
    </row>
    <row r="52" spans="1:11" x14ac:dyDescent="0.25">
      <c r="A52" s="8">
        <v>49</v>
      </c>
      <c r="B52" s="150">
        <v>42324</v>
      </c>
      <c r="C52" s="8" t="s">
        <v>534</v>
      </c>
      <c r="D52" s="8" t="s">
        <v>530</v>
      </c>
      <c r="E52" s="8" t="s">
        <v>542</v>
      </c>
      <c r="F52" s="102">
        <v>22.95</v>
      </c>
      <c r="G52" s="8">
        <v>7</v>
      </c>
      <c r="H52" s="102">
        <v>160.65</v>
      </c>
      <c r="I52" s="8" t="s">
        <v>532</v>
      </c>
      <c r="J52" s="8">
        <v>19</v>
      </c>
      <c r="K52" s="8">
        <v>20</v>
      </c>
    </row>
    <row r="53" spans="1:11" x14ac:dyDescent="0.25">
      <c r="A53" s="8">
        <v>50</v>
      </c>
      <c r="B53" s="150">
        <v>42030</v>
      </c>
      <c r="C53" s="8" t="s">
        <v>521</v>
      </c>
      <c r="D53" s="8" t="s">
        <v>538</v>
      </c>
      <c r="E53" s="8" t="s">
        <v>531</v>
      </c>
      <c r="F53" s="102">
        <v>19.95</v>
      </c>
      <c r="G53" s="8">
        <v>6</v>
      </c>
      <c r="H53" s="102">
        <v>119.69999999999999</v>
      </c>
      <c r="I53" s="8" t="s">
        <v>533</v>
      </c>
      <c r="J53" s="8">
        <v>37</v>
      </c>
      <c r="K53" s="8">
        <v>25</v>
      </c>
    </row>
    <row r="54" spans="1:11" x14ac:dyDescent="0.25">
      <c r="A54" s="8">
        <v>51</v>
      </c>
      <c r="B54" s="150">
        <v>42130</v>
      </c>
      <c r="C54" s="8" t="s">
        <v>534</v>
      </c>
      <c r="D54" s="8" t="s">
        <v>530</v>
      </c>
      <c r="E54" s="8" t="s">
        <v>535</v>
      </c>
      <c r="F54" s="102">
        <v>21.95</v>
      </c>
      <c r="G54" s="8">
        <v>2</v>
      </c>
      <c r="H54" s="102">
        <v>43.9</v>
      </c>
      <c r="I54" s="8" t="s">
        <v>536</v>
      </c>
      <c r="J54" s="8">
        <v>38</v>
      </c>
      <c r="K54" s="8">
        <v>22</v>
      </c>
    </row>
    <row r="55" spans="1:11" x14ac:dyDescent="0.25">
      <c r="A55" s="8">
        <v>52</v>
      </c>
      <c r="B55" s="150">
        <v>42081</v>
      </c>
      <c r="C55" s="8" t="s">
        <v>521</v>
      </c>
      <c r="D55" s="8" t="s">
        <v>530</v>
      </c>
      <c r="E55" s="8" t="s">
        <v>542</v>
      </c>
      <c r="F55" s="102">
        <v>19.95</v>
      </c>
      <c r="G55" s="8">
        <v>6</v>
      </c>
      <c r="H55" s="102">
        <v>119.69999999999999</v>
      </c>
      <c r="I55" s="8" t="s">
        <v>533</v>
      </c>
      <c r="J55" s="8">
        <v>50</v>
      </c>
      <c r="K55" s="8">
        <v>25</v>
      </c>
    </row>
    <row r="56" spans="1:11" x14ac:dyDescent="0.25">
      <c r="A56" s="8">
        <v>53</v>
      </c>
      <c r="B56" s="150">
        <v>42110</v>
      </c>
      <c r="C56" s="8" t="s">
        <v>534</v>
      </c>
      <c r="D56" s="8" t="s">
        <v>541</v>
      </c>
      <c r="E56" s="8" t="s">
        <v>531</v>
      </c>
      <c r="F56" s="102">
        <v>21.95</v>
      </c>
      <c r="G56" s="8">
        <v>3</v>
      </c>
      <c r="H56" s="102">
        <v>65.849999999999994</v>
      </c>
      <c r="I56" s="8" t="s">
        <v>536</v>
      </c>
      <c r="J56" s="8">
        <v>26</v>
      </c>
      <c r="K56" s="8">
        <v>22</v>
      </c>
    </row>
    <row r="57" spans="1:11" x14ac:dyDescent="0.25">
      <c r="A57" s="8">
        <v>54</v>
      </c>
      <c r="B57" s="150">
        <v>42009</v>
      </c>
      <c r="C57" s="8" t="s">
        <v>534</v>
      </c>
      <c r="D57" s="8" t="s">
        <v>539</v>
      </c>
      <c r="E57" s="8" t="s">
        <v>540</v>
      </c>
      <c r="F57" s="102">
        <v>22.95</v>
      </c>
      <c r="G57" s="8">
        <v>1</v>
      </c>
      <c r="H57" s="102">
        <v>22.95</v>
      </c>
      <c r="I57" s="8" t="s">
        <v>532</v>
      </c>
      <c r="J57" s="8">
        <v>33</v>
      </c>
      <c r="K57" s="8">
        <v>20</v>
      </c>
    </row>
    <row r="58" spans="1:11" x14ac:dyDescent="0.25">
      <c r="A58" s="8">
        <v>55</v>
      </c>
      <c r="B58" s="150">
        <v>42317</v>
      </c>
      <c r="C58" s="8" t="s">
        <v>534</v>
      </c>
      <c r="D58" s="8" t="s">
        <v>539</v>
      </c>
      <c r="E58" s="8" t="s">
        <v>542</v>
      </c>
      <c r="F58" s="102">
        <v>21.95</v>
      </c>
      <c r="G58" s="8">
        <v>3</v>
      </c>
      <c r="H58" s="102">
        <v>65.849999999999994</v>
      </c>
      <c r="I58" s="8" t="s">
        <v>536</v>
      </c>
      <c r="J58" s="8">
        <v>59</v>
      </c>
      <c r="K58" s="8">
        <v>22</v>
      </c>
    </row>
    <row r="59" spans="1:11" x14ac:dyDescent="0.25">
      <c r="A59" s="8">
        <v>56</v>
      </c>
      <c r="B59" s="150">
        <v>42214</v>
      </c>
      <c r="C59" s="8" t="s">
        <v>534</v>
      </c>
      <c r="D59" s="8" t="s">
        <v>538</v>
      </c>
      <c r="E59" s="8" t="s">
        <v>542</v>
      </c>
      <c r="F59" s="102">
        <v>21.95</v>
      </c>
      <c r="G59" s="8">
        <v>5</v>
      </c>
      <c r="H59" s="102">
        <v>109.75</v>
      </c>
      <c r="I59" s="8" t="s">
        <v>536</v>
      </c>
      <c r="J59" s="8">
        <v>32</v>
      </c>
      <c r="K59" s="8">
        <v>22</v>
      </c>
    </row>
    <row r="60" spans="1:11" x14ac:dyDescent="0.25">
      <c r="A60" s="8">
        <v>57</v>
      </c>
      <c r="B60" s="150">
        <v>42345</v>
      </c>
      <c r="C60" s="8" t="s">
        <v>534</v>
      </c>
      <c r="D60" s="8" t="s">
        <v>538</v>
      </c>
      <c r="E60" s="8" t="s">
        <v>542</v>
      </c>
      <c r="F60" s="102">
        <v>22.95</v>
      </c>
      <c r="G60" s="8">
        <v>5</v>
      </c>
      <c r="H60" s="102">
        <v>114.75</v>
      </c>
      <c r="I60" s="8" t="s">
        <v>532</v>
      </c>
      <c r="J60" s="8">
        <v>27</v>
      </c>
      <c r="K60" s="8">
        <v>20</v>
      </c>
    </row>
    <row r="61" spans="1:11" x14ac:dyDescent="0.25">
      <c r="A61" s="8">
        <v>58</v>
      </c>
      <c r="B61" s="150">
        <v>42330</v>
      </c>
      <c r="C61" s="8" t="s">
        <v>521</v>
      </c>
      <c r="D61" s="8" t="s">
        <v>537</v>
      </c>
      <c r="E61" s="8" t="s">
        <v>531</v>
      </c>
      <c r="F61" s="102">
        <v>24.95</v>
      </c>
      <c r="G61" s="8">
        <v>10</v>
      </c>
      <c r="H61" s="102">
        <v>249.5</v>
      </c>
      <c r="I61" s="8" t="s">
        <v>545</v>
      </c>
      <c r="J61" s="8">
        <v>54</v>
      </c>
      <c r="K61" s="8">
        <v>30</v>
      </c>
    </row>
    <row r="62" spans="1:11" x14ac:dyDescent="0.25">
      <c r="A62" s="8">
        <v>59</v>
      </c>
      <c r="B62" s="150">
        <v>42014</v>
      </c>
      <c r="C62" s="8" t="s">
        <v>534</v>
      </c>
      <c r="D62" s="8" t="s">
        <v>539</v>
      </c>
      <c r="E62" s="8" t="s">
        <v>531</v>
      </c>
      <c r="F62" s="102">
        <v>21.95</v>
      </c>
      <c r="G62" s="8">
        <v>5</v>
      </c>
      <c r="H62" s="102">
        <v>109.75</v>
      </c>
      <c r="I62" s="8" t="s">
        <v>536</v>
      </c>
      <c r="J62" s="8">
        <v>63</v>
      </c>
      <c r="K62" s="8">
        <v>22</v>
      </c>
    </row>
    <row r="63" spans="1:11" x14ac:dyDescent="0.25">
      <c r="A63" s="8">
        <v>60</v>
      </c>
      <c r="B63" s="150">
        <v>42156</v>
      </c>
      <c r="C63" s="8" t="s">
        <v>534</v>
      </c>
      <c r="D63" s="8" t="s">
        <v>538</v>
      </c>
      <c r="E63" s="8" t="s">
        <v>535</v>
      </c>
      <c r="F63" s="102">
        <v>22.95</v>
      </c>
      <c r="G63" s="8">
        <v>5</v>
      </c>
      <c r="H63" s="102">
        <v>114.75</v>
      </c>
      <c r="I63" s="8" t="s">
        <v>532</v>
      </c>
      <c r="J63" s="8">
        <v>48</v>
      </c>
      <c r="K63" s="8">
        <v>20</v>
      </c>
    </row>
    <row r="64" spans="1:11" x14ac:dyDescent="0.25">
      <c r="A64" s="8">
        <v>61</v>
      </c>
      <c r="B64" s="150">
        <v>42126</v>
      </c>
      <c r="C64" s="8" t="s">
        <v>534</v>
      </c>
      <c r="D64" s="8" t="s">
        <v>537</v>
      </c>
      <c r="E64" s="8" t="s">
        <v>535</v>
      </c>
      <c r="F64" s="102">
        <v>22.95</v>
      </c>
      <c r="G64" s="8">
        <v>5</v>
      </c>
      <c r="H64" s="102">
        <v>114.75</v>
      </c>
      <c r="I64" s="8" t="s">
        <v>532</v>
      </c>
      <c r="J64" s="8">
        <v>29</v>
      </c>
      <c r="K64" s="8">
        <v>20</v>
      </c>
    </row>
    <row r="65" spans="1:11" x14ac:dyDescent="0.25">
      <c r="A65" s="8">
        <v>62</v>
      </c>
      <c r="B65" s="150">
        <v>42168</v>
      </c>
      <c r="C65" s="8" t="s">
        <v>521</v>
      </c>
      <c r="D65" s="8" t="s">
        <v>538</v>
      </c>
      <c r="E65" s="8" t="s">
        <v>531</v>
      </c>
      <c r="F65" s="102">
        <v>29.95</v>
      </c>
      <c r="G65" s="8">
        <v>4</v>
      </c>
      <c r="H65" s="102">
        <v>119.8</v>
      </c>
      <c r="I65" s="8" t="s">
        <v>544</v>
      </c>
      <c r="J65" s="8">
        <v>38</v>
      </c>
      <c r="K65" s="8">
        <v>45</v>
      </c>
    </row>
    <row r="66" spans="1:11" x14ac:dyDescent="0.25">
      <c r="A66" s="8">
        <v>63</v>
      </c>
      <c r="B66" s="150">
        <v>42051</v>
      </c>
      <c r="C66" s="8" t="s">
        <v>521</v>
      </c>
      <c r="D66" s="8" t="s">
        <v>530</v>
      </c>
      <c r="E66" s="8" t="s">
        <v>535</v>
      </c>
      <c r="F66" s="102">
        <v>29.95</v>
      </c>
      <c r="G66" s="8">
        <v>1</v>
      </c>
      <c r="H66" s="102">
        <v>29.95</v>
      </c>
      <c r="I66" s="8" t="s">
        <v>544</v>
      </c>
      <c r="J66" s="8">
        <v>24</v>
      </c>
      <c r="K66" s="8">
        <v>45</v>
      </c>
    </row>
    <row r="67" spans="1:11" x14ac:dyDescent="0.25">
      <c r="A67" s="8">
        <v>64</v>
      </c>
      <c r="B67" s="150">
        <v>42218</v>
      </c>
      <c r="C67" s="8" t="s">
        <v>534</v>
      </c>
      <c r="D67" s="8" t="s">
        <v>538</v>
      </c>
      <c r="E67" s="8" t="s">
        <v>531</v>
      </c>
      <c r="F67" s="102">
        <v>22.95</v>
      </c>
      <c r="G67" s="8">
        <v>5</v>
      </c>
      <c r="H67" s="102">
        <v>114.75</v>
      </c>
      <c r="I67" s="8" t="s">
        <v>532</v>
      </c>
      <c r="J67" s="8">
        <v>51</v>
      </c>
      <c r="K67" s="8">
        <v>20</v>
      </c>
    </row>
    <row r="68" spans="1:11" x14ac:dyDescent="0.25">
      <c r="A68" s="8">
        <v>65</v>
      </c>
      <c r="B68" s="150">
        <v>42309</v>
      </c>
      <c r="C68" s="8" t="s">
        <v>521</v>
      </c>
      <c r="D68" s="8" t="s">
        <v>530</v>
      </c>
      <c r="E68" s="8" t="s">
        <v>531</v>
      </c>
      <c r="F68" s="102">
        <v>29.95</v>
      </c>
      <c r="G68" s="8">
        <v>7</v>
      </c>
      <c r="H68" s="102">
        <v>209.65</v>
      </c>
      <c r="I68" s="8" t="s">
        <v>544</v>
      </c>
      <c r="J68" s="8">
        <v>25</v>
      </c>
      <c r="K68" s="8">
        <v>45</v>
      </c>
    </row>
    <row r="69" spans="1:11" x14ac:dyDescent="0.25">
      <c r="A69" s="8">
        <v>66</v>
      </c>
      <c r="B69" s="150">
        <v>42316</v>
      </c>
      <c r="C69" s="8" t="s">
        <v>534</v>
      </c>
      <c r="D69" s="8" t="s">
        <v>538</v>
      </c>
      <c r="E69" s="8" t="s">
        <v>531</v>
      </c>
      <c r="F69" s="102">
        <v>22.95</v>
      </c>
      <c r="G69" s="8">
        <v>5</v>
      </c>
      <c r="H69" s="102">
        <v>114.75</v>
      </c>
      <c r="I69" s="8" t="s">
        <v>532</v>
      </c>
      <c r="J69" s="8">
        <v>65</v>
      </c>
      <c r="K69" s="8">
        <v>20</v>
      </c>
    </row>
    <row r="70" spans="1:11" x14ac:dyDescent="0.25">
      <c r="A70" s="8">
        <v>67</v>
      </c>
      <c r="B70" s="150">
        <v>42233</v>
      </c>
      <c r="C70" s="8" t="s">
        <v>534</v>
      </c>
      <c r="D70" s="8" t="s">
        <v>539</v>
      </c>
      <c r="E70" s="8" t="s">
        <v>542</v>
      </c>
      <c r="F70" s="102">
        <v>19.95</v>
      </c>
      <c r="G70" s="8">
        <v>3</v>
      </c>
      <c r="H70" s="102">
        <v>59.849999999999994</v>
      </c>
      <c r="I70" s="8" t="s">
        <v>533</v>
      </c>
      <c r="J70" s="8">
        <v>35</v>
      </c>
      <c r="K70" s="8">
        <v>25</v>
      </c>
    </row>
    <row r="71" spans="1:11" x14ac:dyDescent="0.25">
      <c r="A71" s="8">
        <v>68</v>
      </c>
      <c r="B71" s="150">
        <v>42274</v>
      </c>
      <c r="C71" s="8" t="s">
        <v>534</v>
      </c>
      <c r="D71" s="8" t="s">
        <v>530</v>
      </c>
      <c r="E71" s="8" t="s">
        <v>535</v>
      </c>
      <c r="F71" s="102">
        <v>24.95</v>
      </c>
      <c r="G71" s="8">
        <v>5</v>
      </c>
      <c r="H71" s="102">
        <v>124.75</v>
      </c>
      <c r="I71" s="8" t="s">
        <v>543</v>
      </c>
      <c r="J71" s="8">
        <v>35</v>
      </c>
      <c r="K71" s="8">
        <v>35</v>
      </c>
    </row>
    <row r="72" spans="1:11" x14ac:dyDescent="0.25">
      <c r="A72" s="8">
        <v>69</v>
      </c>
      <c r="B72" s="150">
        <v>42013</v>
      </c>
      <c r="C72" s="8" t="s">
        <v>534</v>
      </c>
      <c r="D72" s="8" t="s">
        <v>538</v>
      </c>
      <c r="E72" s="8" t="s">
        <v>542</v>
      </c>
      <c r="F72" s="102">
        <v>19.95</v>
      </c>
      <c r="G72" s="8">
        <v>2</v>
      </c>
      <c r="H72" s="102">
        <v>39.9</v>
      </c>
      <c r="I72" s="8" t="s">
        <v>533</v>
      </c>
      <c r="J72" s="8">
        <v>21</v>
      </c>
      <c r="K72" s="8">
        <v>25</v>
      </c>
    </row>
    <row r="73" spans="1:11" x14ac:dyDescent="0.25">
      <c r="A73" s="8">
        <v>70</v>
      </c>
      <c r="B73" s="150">
        <v>42287</v>
      </c>
      <c r="C73" s="8" t="s">
        <v>534</v>
      </c>
      <c r="D73" s="8" t="s">
        <v>530</v>
      </c>
      <c r="E73" s="8" t="s">
        <v>531</v>
      </c>
      <c r="F73" s="102">
        <v>24.95</v>
      </c>
      <c r="G73" s="8">
        <v>5</v>
      </c>
      <c r="H73" s="102">
        <v>124.75</v>
      </c>
      <c r="I73" s="8" t="s">
        <v>543</v>
      </c>
      <c r="J73" s="8">
        <v>47</v>
      </c>
      <c r="K73" s="8">
        <v>35</v>
      </c>
    </row>
    <row r="74" spans="1:11" x14ac:dyDescent="0.25">
      <c r="A74" s="8">
        <v>71</v>
      </c>
      <c r="B74" s="150">
        <v>42369</v>
      </c>
      <c r="C74" s="8" t="s">
        <v>534</v>
      </c>
      <c r="D74" s="8" t="s">
        <v>541</v>
      </c>
      <c r="E74" s="8" t="s">
        <v>535</v>
      </c>
      <c r="F74" s="102">
        <v>24.95</v>
      </c>
      <c r="G74" s="8">
        <v>1</v>
      </c>
      <c r="H74" s="102">
        <v>24.95</v>
      </c>
      <c r="I74" s="8" t="s">
        <v>543</v>
      </c>
      <c r="J74" s="8">
        <v>62</v>
      </c>
      <c r="K74" s="8">
        <v>35</v>
      </c>
    </row>
    <row r="75" spans="1:11" x14ac:dyDescent="0.25">
      <c r="A75" s="8">
        <v>72</v>
      </c>
      <c r="B75" s="150">
        <v>42344</v>
      </c>
      <c r="C75" s="8" t="s">
        <v>534</v>
      </c>
      <c r="D75" s="8" t="s">
        <v>539</v>
      </c>
      <c r="E75" s="8" t="s">
        <v>535</v>
      </c>
      <c r="F75" s="102">
        <v>22.95</v>
      </c>
      <c r="G75" s="8">
        <v>1</v>
      </c>
      <c r="H75" s="102">
        <v>22.95</v>
      </c>
      <c r="I75" s="8" t="s">
        <v>532</v>
      </c>
      <c r="J75" s="8">
        <v>63</v>
      </c>
      <c r="K75" s="8">
        <v>20</v>
      </c>
    </row>
    <row r="76" spans="1:11" x14ac:dyDescent="0.25">
      <c r="A76" s="8">
        <v>73</v>
      </c>
      <c r="B76" s="150">
        <v>42081</v>
      </c>
      <c r="C76" s="8" t="s">
        <v>534</v>
      </c>
      <c r="D76" s="8" t="s">
        <v>537</v>
      </c>
      <c r="E76" s="8" t="s">
        <v>542</v>
      </c>
      <c r="F76" s="102">
        <v>24.95</v>
      </c>
      <c r="G76" s="8">
        <v>10</v>
      </c>
      <c r="H76" s="102">
        <v>249.5</v>
      </c>
      <c r="I76" s="8" t="s">
        <v>545</v>
      </c>
      <c r="J76" s="8">
        <v>23</v>
      </c>
      <c r="K76" s="8">
        <v>30</v>
      </c>
    </row>
    <row r="77" spans="1:11" x14ac:dyDescent="0.25">
      <c r="A77" s="8">
        <v>74</v>
      </c>
      <c r="B77" s="150">
        <v>42085</v>
      </c>
      <c r="C77" s="8" t="s">
        <v>534</v>
      </c>
      <c r="D77" s="8" t="s">
        <v>538</v>
      </c>
      <c r="E77" s="8" t="s">
        <v>540</v>
      </c>
      <c r="F77" s="102">
        <v>19.95</v>
      </c>
      <c r="G77" s="8">
        <v>3</v>
      </c>
      <c r="H77" s="102">
        <v>59.849999999999994</v>
      </c>
      <c r="I77" s="8" t="s">
        <v>533</v>
      </c>
      <c r="J77" s="8">
        <v>59</v>
      </c>
      <c r="K77" s="8">
        <v>25</v>
      </c>
    </row>
    <row r="78" spans="1:11" x14ac:dyDescent="0.25">
      <c r="A78" s="8">
        <v>75</v>
      </c>
      <c r="B78" s="150">
        <v>42261</v>
      </c>
      <c r="C78" s="8" t="s">
        <v>521</v>
      </c>
      <c r="D78" s="8" t="s">
        <v>538</v>
      </c>
      <c r="E78" s="8" t="s">
        <v>531</v>
      </c>
      <c r="F78" s="102">
        <v>21.95</v>
      </c>
      <c r="G78" s="8">
        <v>2</v>
      </c>
      <c r="H78" s="102">
        <v>43.9</v>
      </c>
      <c r="I78" s="8" t="s">
        <v>536</v>
      </c>
      <c r="J78" s="8">
        <v>48</v>
      </c>
      <c r="K78" s="8">
        <v>22</v>
      </c>
    </row>
    <row r="79" spans="1:11" x14ac:dyDescent="0.25">
      <c r="A79" s="8">
        <v>76</v>
      </c>
      <c r="B79" s="150">
        <v>42044</v>
      </c>
      <c r="C79" s="8" t="s">
        <v>534</v>
      </c>
      <c r="D79" s="8" t="s">
        <v>530</v>
      </c>
      <c r="E79" s="8" t="s">
        <v>540</v>
      </c>
      <c r="F79" s="102">
        <v>19.95</v>
      </c>
      <c r="G79" s="8">
        <v>1</v>
      </c>
      <c r="H79" s="102">
        <v>19.95</v>
      </c>
      <c r="I79" s="8" t="s">
        <v>533</v>
      </c>
      <c r="J79" s="8">
        <v>57</v>
      </c>
      <c r="K79" s="8">
        <v>25</v>
      </c>
    </row>
    <row r="80" spans="1:11" x14ac:dyDescent="0.25">
      <c r="A80" s="8">
        <v>77</v>
      </c>
      <c r="B80" s="150">
        <v>42087</v>
      </c>
      <c r="C80" s="8" t="s">
        <v>534</v>
      </c>
      <c r="D80" s="8" t="s">
        <v>541</v>
      </c>
      <c r="E80" s="8" t="s">
        <v>542</v>
      </c>
      <c r="F80" s="102">
        <v>29.95</v>
      </c>
      <c r="G80" s="8">
        <v>1</v>
      </c>
      <c r="H80" s="102">
        <v>29.95</v>
      </c>
      <c r="I80" s="8" t="s">
        <v>544</v>
      </c>
      <c r="J80" s="8">
        <v>19</v>
      </c>
      <c r="K80" s="8">
        <v>45</v>
      </c>
    </row>
    <row r="81" spans="1:11" x14ac:dyDescent="0.25">
      <c r="A81" s="8">
        <v>78</v>
      </c>
      <c r="B81" s="150">
        <v>42213</v>
      </c>
      <c r="C81" s="8" t="s">
        <v>521</v>
      </c>
      <c r="D81" s="8" t="s">
        <v>530</v>
      </c>
      <c r="E81" s="8" t="s">
        <v>542</v>
      </c>
      <c r="F81" s="102">
        <v>19.95</v>
      </c>
      <c r="G81" s="8">
        <v>1</v>
      </c>
      <c r="H81" s="102">
        <v>19.95</v>
      </c>
      <c r="I81" s="8" t="s">
        <v>533</v>
      </c>
      <c r="J81" s="8">
        <v>48</v>
      </c>
      <c r="K81" s="8">
        <v>25</v>
      </c>
    </row>
    <row r="82" spans="1:11" x14ac:dyDescent="0.25">
      <c r="A82" s="8">
        <v>79</v>
      </c>
      <c r="B82" s="150">
        <v>42242</v>
      </c>
      <c r="C82" s="8" t="s">
        <v>521</v>
      </c>
      <c r="D82" s="8" t="s">
        <v>530</v>
      </c>
      <c r="E82" s="8" t="s">
        <v>540</v>
      </c>
      <c r="F82" s="102">
        <v>21.95</v>
      </c>
      <c r="G82" s="8">
        <v>3</v>
      </c>
      <c r="H82" s="102">
        <v>65.849999999999994</v>
      </c>
      <c r="I82" s="8" t="s">
        <v>536</v>
      </c>
      <c r="J82" s="8">
        <v>21</v>
      </c>
      <c r="K82" s="8">
        <v>22</v>
      </c>
    </row>
    <row r="83" spans="1:11" x14ac:dyDescent="0.25">
      <c r="A83" s="8">
        <v>80</v>
      </c>
      <c r="B83" s="150">
        <v>42068</v>
      </c>
      <c r="C83" s="8" t="s">
        <v>534</v>
      </c>
      <c r="D83" s="8" t="s">
        <v>537</v>
      </c>
      <c r="E83" s="8" t="s">
        <v>531</v>
      </c>
      <c r="F83" s="102">
        <v>22.95</v>
      </c>
      <c r="G83" s="8">
        <v>1</v>
      </c>
      <c r="H83" s="102">
        <v>22.95</v>
      </c>
      <c r="I83" s="8" t="s">
        <v>532</v>
      </c>
      <c r="J83" s="8">
        <v>40</v>
      </c>
      <c r="K83" s="8">
        <v>20</v>
      </c>
    </row>
    <row r="84" spans="1:11" x14ac:dyDescent="0.25">
      <c r="A84" s="8">
        <v>81</v>
      </c>
      <c r="B84" s="150">
        <v>42234</v>
      </c>
      <c r="C84" s="8" t="s">
        <v>534</v>
      </c>
      <c r="D84" s="8" t="s">
        <v>538</v>
      </c>
      <c r="E84" s="8" t="s">
        <v>542</v>
      </c>
      <c r="F84" s="102">
        <v>19.95</v>
      </c>
      <c r="G84" s="8">
        <v>4</v>
      </c>
      <c r="H84" s="102">
        <v>79.8</v>
      </c>
      <c r="I84" s="8" t="s">
        <v>533</v>
      </c>
      <c r="J84" s="8">
        <v>25</v>
      </c>
      <c r="K84" s="8">
        <v>25</v>
      </c>
    </row>
    <row r="85" spans="1:11" x14ac:dyDescent="0.25">
      <c r="A85" s="8">
        <v>82</v>
      </c>
      <c r="B85" s="150">
        <v>42310</v>
      </c>
      <c r="C85" s="8" t="s">
        <v>521</v>
      </c>
      <c r="D85" s="8" t="s">
        <v>530</v>
      </c>
      <c r="E85" s="8" t="s">
        <v>540</v>
      </c>
      <c r="F85" s="102">
        <v>19.95</v>
      </c>
      <c r="G85" s="8">
        <v>4</v>
      </c>
      <c r="H85" s="102">
        <v>79.8</v>
      </c>
      <c r="I85" s="8" t="s">
        <v>533</v>
      </c>
      <c r="J85" s="8">
        <v>59</v>
      </c>
      <c r="K85" s="8">
        <v>25</v>
      </c>
    </row>
    <row r="86" spans="1:11" x14ac:dyDescent="0.25">
      <c r="A86" s="8">
        <v>83</v>
      </c>
      <c r="B86" s="150">
        <v>42357</v>
      </c>
      <c r="C86" s="8" t="s">
        <v>534</v>
      </c>
      <c r="D86" s="8" t="s">
        <v>538</v>
      </c>
      <c r="E86" s="8" t="s">
        <v>531</v>
      </c>
      <c r="F86" s="102">
        <v>22.95</v>
      </c>
      <c r="G86" s="8">
        <v>5</v>
      </c>
      <c r="H86" s="102">
        <v>114.75</v>
      </c>
      <c r="I86" s="8" t="s">
        <v>532</v>
      </c>
      <c r="J86" s="8">
        <v>57</v>
      </c>
      <c r="K86" s="8">
        <v>20</v>
      </c>
    </row>
    <row r="87" spans="1:11" x14ac:dyDescent="0.25">
      <c r="A87" s="8">
        <v>84</v>
      </c>
      <c r="B87" s="150">
        <v>42190</v>
      </c>
      <c r="C87" s="8" t="s">
        <v>521</v>
      </c>
      <c r="D87" s="8" t="s">
        <v>541</v>
      </c>
      <c r="E87" s="8" t="s">
        <v>531</v>
      </c>
      <c r="F87" s="102">
        <v>22.95</v>
      </c>
      <c r="G87" s="8">
        <v>1</v>
      </c>
      <c r="H87" s="102">
        <v>22.95</v>
      </c>
      <c r="I87" s="8" t="s">
        <v>532</v>
      </c>
      <c r="J87" s="8">
        <v>56</v>
      </c>
      <c r="K87" s="8">
        <v>20</v>
      </c>
    </row>
    <row r="88" spans="1:11" x14ac:dyDescent="0.25">
      <c r="A88" s="8">
        <v>85</v>
      </c>
      <c r="B88" s="150">
        <v>42110</v>
      </c>
      <c r="C88" s="8" t="s">
        <v>534</v>
      </c>
      <c r="D88" s="8" t="s">
        <v>538</v>
      </c>
      <c r="E88" s="8" t="s">
        <v>531</v>
      </c>
      <c r="F88" s="102">
        <v>19.95</v>
      </c>
      <c r="G88" s="8">
        <v>1</v>
      </c>
      <c r="H88" s="102">
        <v>19.95</v>
      </c>
      <c r="I88" s="8" t="s">
        <v>533</v>
      </c>
      <c r="J88" s="8">
        <v>19</v>
      </c>
      <c r="K88" s="8">
        <v>25</v>
      </c>
    </row>
    <row r="89" spans="1:11" x14ac:dyDescent="0.25">
      <c r="A89" s="8">
        <v>86</v>
      </c>
      <c r="B89" s="150">
        <v>42361</v>
      </c>
      <c r="C89" s="8" t="s">
        <v>534</v>
      </c>
      <c r="D89" s="8" t="s">
        <v>538</v>
      </c>
      <c r="E89" s="8" t="s">
        <v>542</v>
      </c>
      <c r="F89" s="102">
        <v>21.95</v>
      </c>
      <c r="G89" s="8">
        <v>5</v>
      </c>
      <c r="H89" s="102">
        <v>109.75</v>
      </c>
      <c r="I89" s="8" t="s">
        <v>536</v>
      </c>
      <c r="J89" s="8">
        <v>54</v>
      </c>
      <c r="K89" s="8">
        <v>22</v>
      </c>
    </row>
    <row r="90" spans="1:11" x14ac:dyDescent="0.25">
      <c r="A90" s="8">
        <v>87</v>
      </c>
      <c r="B90" s="150">
        <v>42153</v>
      </c>
      <c r="C90" s="8" t="s">
        <v>534</v>
      </c>
      <c r="D90" s="8" t="s">
        <v>539</v>
      </c>
      <c r="E90" s="8" t="s">
        <v>542</v>
      </c>
      <c r="F90" s="102">
        <v>29.95</v>
      </c>
      <c r="G90" s="8">
        <v>2</v>
      </c>
      <c r="H90" s="102">
        <v>59.9</v>
      </c>
      <c r="I90" s="8" t="s">
        <v>544</v>
      </c>
      <c r="J90" s="8">
        <v>65</v>
      </c>
      <c r="K90" s="8">
        <v>45</v>
      </c>
    </row>
    <row r="91" spans="1:11" x14ac:dyDescent="0.25">
      <c r="A91" s="8">
        <v>88</v>
      </c>
      <c r="B91" s="150">
        <v>42125</v>
      </c>
      <c r="C91" s="8" t="s">
        <v>521</v>
      </c>
      <c r="D91" s="8" t="s">
        <v>539</v>
      </c>
      <c r="E91" s="8" t="s">
        <v>531</v>
      </c>
      <c r="F91" s="102">
        <v>21.95</v>
      </c>
      <c r="G91" s="8">
        <v>2</v>
      </c>
      <c r="H91" s="102">
        <v>43.9</v>
      </c>
      <c r="I91" s="8" t="s">
        <v>536</v>
      </c>
      <c r="J91" s="8">
        <v>25</v>
      </c>
      <c r="K91" s="8">
        <v>22</v>
      </c>
    </row>
    <row r="92" spans="1:11" x14ac:dyDescent="0.25">
      <c r="A92" s="8">
        <v>89</v>
      </c>
      <c r="B92" s="150">
        <v>42188</v>
      </c>
      <c r="C92" s="8" t="s">
        <v>534</v>
      </c>
      <c r="D92" s="8" t="s">
        <v>537</v>
      </c>
      <c r="E92" s="8" t="s">
        <v>531</v>
      </c>
      <c r="F92" s="102">
        <v>19.95</v>
      </c>
      <c r="G92" s="8">
        <v>2</v>
      </c>
      <c r="H92" s="102">
        <v>39.9</v>
      </c>
      <c r="I92" s="8" t="s">
        <v>533</v>
      </c>
      <c r="J92" s="8">
        <v>30</v>
      </c>
      <c r="K92" s="8">
        <v>25</v>
      </c>
    </row>
    <row r="93" spans="1:11" x14ac:dyDescent="0.25">
      <c r="A93" s="8">
        <v>90</v>
      </c>
      <c r="B93" s="150">
        <v>42228</v>
      </c>
      <c r="C93" s="8" t="s">
        <v>534</v>
      </c>
      <c r="D93" s="8" t="s">
        <v>530</v>
      </c>
      <c r="E93" s="8" t="s">
        <v>531</v>
      </c>
      <c r="F93" s="102">
        <v>29.95</v>
      </c>
      <c r="G93" s="8">
        <v>7</v>
      </c>
      <c r="H93" s="102">
        <v>209.65</v>
      </c>
      <c r="I93" s="8" t="s">
        <v>544</v>
      </c>
      <c r="J93" s="8">
        <v>57</v>
      </c>
      <c r="K93" s="8">
        <v>45</v>
      </c>
    </row>
    <row r="94" spans="1:11" x14ac:dyDescent="0.25">
      <c r="A94" s="8">
        <v>91</v>
      </c>
      <c r="B94" s="150">
        <v>42176</v>
      </c>
      <c r="C94" s="8" t="s">
        <v>521</v>
      </c>
      <c r="D94" s="8" t="s">
        <v>539</v>
      </c>
      <c r="E94" s="8" t="s">
        <v>531</v>
      </c>
      <c r="F94" s="102">
        <v>19.95</v>
      </c>
      <c r="G94" s="8">
        <v>1</v>
      </c>
      <c r="H94" s="102">
        <v>19.95</v>
      </c>
      <c r="I94" s="8" t="s">
        <v>533</v>
      </c>
      <c r="J94" s="8">
        <v>43</v>
      </c>
      <c r="K94" s="8">
        <v>25</v>
      </c>
    </row>
    <row r="95" spans="1:11" x14ac:dyDescent="0.25">
      <c r="A95" s="8">
        <v>92</v>
      </c>
      <c r="B95" s="150">
        <v>42353</v>
      </c>
      <c r="C95" s="8" t="s">
        <v>534</v>
      </c>
      <c r="D95" s="8" t="s">
        <v>530</v>
      </c>
      <c r="E95" s="8" t="s">
        <v>540</v>
      </c>
      <c r="F95" s="102">
        <v>19.95</v>
      </c>
      <c r="G95" s="8">
        <v>4</v>
      </c>
      <c r="H95" s="102">
        <v>79.8</v>
      </c>
      <c r="I95" s="8" t="s">
        <v>533</v>
      </c>
      <c r="J95" s="8">
        <v>44</v>
      </c>
      <c r="K95" s="8">
        <v>25</v>
      </c>
    </row>
    <row r="96" spans="1:11" x14ac:dyDescent="0.25">
      <c r="A96" s="8">
        <v>93</v>
      </c>
      <c r="B96" s="150">
        <v>42149</v>
      </c>
      <c r="C96" s="8" t="s">
        <v>534</v>
      </c>
      <c r="D96" s="8" t="s">
        <v>539</v>
      </c>
      <c r="E96" s="8" t="s">
        <v>535</v>
      </c>
      <c r="F96" s="102">
        <v>24.95</v>
      </c>
      <c r="G96" s="8">
        <v>5</v>
      </c>
      <c r="H96" s="102">
        <v>124.75</v>
      </c>
      <c r="I96" s="8" t="s">
        <v>545</v>
      </c>
      <c r="J96" s="8">
        <v>21</v>
      </c>
      <c r="K96" s="8">
        <v>30</v>
      </c>
    </row>
    <row r="97" spans="1:11" x14ac:dyDescent="0.25">
      <c r="A97" s="8">
        <v>94</v>
      </c>
      <c r="B97" s="150">
        <v>42086</v>
      </c>
      <c r="C97" s="8" t="s">
        <v>534</v>
      </c>
      <c r="D97" s="8" t="s">
        <v>539</v>
      </c>
      <c r="E97" s="8" t="s">
        <v>531</v>
      </c>
      <c r="F97" s="102">
        <v>24.95</v>
      </c>
      <c r="G97" s="8">
        <v>1</v>
      </c>
      <c r="H97" s="102">
        <v>24.95</v>
      </c>
      <c r="I97" s="8" t="s">
        <v>545</v>
      </c>
      <c r="J97" s="8">
        <v>20</v>
      </c>
      <c r="K97" s="8">
        <v>30</v>
      </c>
    </row>
    <row r="98" spans="1:11" x14ac:dyDescent="0.25">
      <c r="A98" s="8">
        <v>95</v>
      </c>
      <c r="B98" s="150">
        <v>42026</v>
      </c>
      <c r="C98" s="8" t="s">
        <v>521</v>
      </c>
      <c r="D98" s="8" t="s">
        <v>538</v>
      </c>
      <c r="E98" s="8" t="s">
        <v>531</v>
      </c>
      <c r="F98" s="102">
        <v>22.95</v>
      </c>
      <c r="G98" s="8">
        <v>7</v>
      </c>
      <c r="H98" s="102">
        <v>160.65</v>
      </c>
      <c r="I98" s="8" t="s">
        <v>532</v>
      </c>
      <c r="J98" s="8">
        <v>49</v>
      </c>
      <c r="K98" s="8">
        <v>20</v>
      </c>
    </row>
    <row r="99" spans="1:11" x14ac:dyDescent="0.25">
      <c r="A99" s="8">
        <v>96</v>
      </c>
      <c r="B99" s="150">
        <v>42273</v>
      </c>
      <c r="C99" s="8" t="s">
        <v>534</v>
      </c>
      <c r="D99" s="8" t="s">
        <v>530</v>
      </c>
      <c r="E99" s="8" t="s">
        <v>540</v>
      </c>
      <c r="F99" s="102">
        <v>21.95</v>
      </c>
      <c r="G99" s="8">
        <v>3</v>
      </c>
      <c r="H99" s="102">
        <v>65.849999999999994</v>
      </c>
      <c r="I99" s="8" t="s">
        <v>536</v>
      </c>
      <c r="J99" s="8">
        <v>37</v>
      </c>
      <c r="K99" s="8">
        <v>22</v>
      </c>
    </row>
    <row r="100" spans="1:11" x14ac:dyDescent="0.25">
      <c r="A100" s="8">
        <v>97</v>
      </c>
      <c r="B100" s="150">
        <v>42365</v>
      </c>
      <c r="C100" s="8" t="s">
        <v>534</v>
      </c>
      <c r="D100" s="8" t="s">
        <v>539</v>
      </c>
      <c r="E100" s="8" t="s">
        <v>531</v>
      </c>
      <c r="F100" s="102">
        <v>22.95</v>
      </c>
      <c r="G100" s="8">
        <v>6</v>
      </c>
      <c r="H100" s="102">
        <v>137.69999999999999</v>
      </c>
      <c r="I100" s="8" t="s">
        <v>532</v>
      </c>
      <c r="J100" s="8">
        <v>69</v>
      </c>
      <c r="K100" s="8">
        <v>20</v>
      </c>
    </row>
    <row r="101" spans="1:11" x14ac:dyDescent="0.25">
      <c r="A101" s="8">
        <v>98</v>
      </c>
      <c r="B101" s="150">
        <v>42209</v>
      </c>
      <c r="C101" s="8" t="s">
        <v>534</v>
      </c>
      <c r="D101" s="8" t="s">
        <v>530</v>
      </c>
      <c r="E101" s="8" t="s">
        <v>535</v>
      </c>
      <c r="F101" s="102">
        <v>29.95</v>
      </c>
      <c r="G101" s="8">
        <v>1</v>
      </c>
      <c r="H101" s="102">
        <v>29.95</v>
      </c>
      <c r="I101" s="8" t="s">
        <v>544</v>
      </c>
      <c r="J101" s="8">
        <v>62</v>
      </c>
      <c r="K101" s="8">
        <v>45</v>
      </c>
    </row>
    <row r="102" spans="1:11" x14ac:dyDescent="0.25">
      <c r="A102" s="8">
        <v>99</v>
      </c>
      <c r="B102" s="150">
        <v>42121</v>
      </c>
      <c r="C102" s="8" t="s">
        <v>534</v>
      </c>
      <c r="D102" s="8" t="s">
        <v>539</v>
      </c>
      <c r="E102" s="8" t="s">
        <v>531</v>
      </c>
      <c r="F102" s="102">
        <v>19.95</v>
      </c>
      <c r="G102" s="8">
        <v>6</v>
      </c>
      <c r="H102" s="102">
        <v>119.69999999999999</v>
      </c>
      <c r="I102" s="8" t="s">
        <v>533</v>
      </c>
      <c r="J102" s="8">
        <v>38</v>
      </c>
      <c r="K102" s="8">
        <v>25</v>
      </c>
    </row>
    <row r="103" spans="1:11" x14ac:dyDescent="0.25">
      <c r="A103" s="8">
        <v>100</v>
      </c>
      <c r="B103" s="150">
        <v>42131</v>
      </c>
      <c r="C103" s="8" t="s">
        <v>534</v>
      </c>
      <c r="D103" s="8" t="s">
        <v>538</v>
      </c>
      <c r="E103" s="8" t="s">
        <v>531</v>
      </c>
      <c r="F103" s="102">
        <v>19.95</v>
      </c>
      <c r="G103" s="8">
        <v>1</v>
      </c>
      <c r="H103" s="102">
        <v>19.95</v>
      </c>
      <c r="I103" s="8" t="s">
        <v>533</v>
      </c>
      <c r="J103" s="8">
        <v>55</v>
      </c>
      <c r="K103" s="8">
        <v>25</v>
      </c>
    </row>
    <row r="104" spans="1:11" x14ac:dyDescent="0.25">
      <c r="A104" s="8">
        <v>101</v>
      </c>
      <c r="B104" s="150">
        <v>42066</v>
      </c>
      <c r="C104" s="8" t="s">
        <v>521</v>
      </c>
      <c r="D104" s="8" t="s">
        <v>537</v>
      </c>
      <c r="E104" s="8" t="s">
        <v>535</v>
      </c>
      <c r="F104" s="102">
        <v>19.95</v>
      </c>
      <c r="G104" s="8">
        <v>2</v>
      </c>
      <c r="H104" s="102">
        <v>39.9</v>
      </c>
      <c r="I104" s="8" t="s">
        <v>533</v>
      </c>
      <c r="J104" s="8">
        <v>24</v>
      </c>
      <c r="K104" s="8">
        <v>25</v>
      </c>
    </row>
    <row r="105" spans="1:11" x14ac:dyDescent="0.25">
      <c r="A105" s="8">
        <v>102</v>
      </c>
      <c r="B105" s="150">
        <v>42086</v>
      </c>
      <c r="C105" s="8" t="s">
        <v>534</v>
      </c>
      <c r="D105" s="8" t="s">
        <v>539</v>
      </c>
      <c r="E105" s="8" t="s">
        <v>542</v>
      </c>
      <c r="F105" s="102">
        <v>22.95</v>
      </c>
      <c r="G105" s="8">
        <v>5</v>
      </c>
      <c r="H105" s="102">
        <v>114.75</v>
      </c>
      <c r="I105" s="8" t="s">
        <v>532</v>
      </c>
      <c r="J105" s="8">
        <v>30</v>
      </c>
      <c r="K105" s="8">
        <v>20</v>
      </c>
    </row>
    <row r="106" spans="1:11" x14ac:dyDescent="0.25">
      <c r="A106" s="8">
        <v>103</v>
      </c>
      <c r="B106" s="150">
        <v>42343</v>
      </c>
      <c r="C106" s="8" t="s">
        <v>521</v>
      </c>
      <c r="D106" s="8" t="s">
        <v>538</v>
      </c>
      <c r="E106" s="8" t="s">
        <v>542</v>
      </c>
      <c r="F106" s="102">
        <v>21.95</v>
      </c>
      <c r="G106" s="8">
        <v>1</v>
      </c>
      <c r="H106" s="102">
        <v>21.95</v>
      </c>
      <c r="I106" s="8" t="s">
        <v>536</v>
      </c>
      <c r="J106" s="8">
        <v>39</v>
      </c>
      <c r="K106" s="8">
        <v>22</v>
      </c>
    </row>
    <row r="107" spans="1:11" x14ac:dyDescent="0.25">
      <c r="A107" s="8">
        <v>104</v>
      </c>
      <c r="B107" s="150">
        <v>42319</v>
      </c>
      <c r="C107" s="8" t="s">
        <v>521</v>
      </c>
      <c r="D107" s="8" t="s">
        <v>539</v>
      </c>
      <c r="E107" s="8" t="s">
        <v>540</v>
      </c>
      <c r="F107" s="102">
        <v>29.95</v>
      </c>
      <c r="G107" s="8">
        <v>6</v>
      </c>
      <c r="H107" s="102">
        <v>179.7</v>
      </c>
      <c r="I107" s="8" t="s">
        <v>544</v>
      </c>
      <c r="J107" s="8">
        <v>59</v>
      </c>
      <c r="K107" s="8">
        <v>45</v>
      </c>
    </row>
    <row r="108" spans="1:11" x14ac:dyDescent="0.25">
      <c r="A108" s="8">
        <v>105</v>
      </c>
      <c r="B108" s="150">
        <v>42107</v>
      </c>
      <c r="C108" s="8" t="s">
        <v>534</v>
      </c>
      <c r="D108" s="8" t="s">
        <v>541</v>
      </c>
      <c r="E108" s="8" t="s">
        <v>535</v>
      </c>
      <c r="F108" s="102">
        <v>19.95</v>
      </c>
      <c r="G108" s="8">
        <v>2</v>
      </c>
      <c r="H108" s="102">
        <v>39.9</v>
      </c>
      <c r="I108" s="8" t="s">
        <v>533</v>
      </c>
      <c r="J108" s="8">
        <v>26</v>
      </c>
      <c r="K108" s="8">
        <v>25</v>
      </c>
    </row>
    <row r="109" spans="1:11" x14ac:dyDescent="0.25">
      <c r="A109" s="8">
        <v>106</v>
      </c>
      <c r="B109" s="150">
        <v>42351</v>
      </c>
      <c r="C109" s="8" t="s">
        <v>534</v>
      </c>
      <c r="D109" s="8" t="s">
        <v>538</v>
      </c>
      <c r="E109" s="8" t="s">
        <v>542</v>
      </c>
      <c r="F109" s="102">
        <v>24.95</v>
      </c>
      <c r="G109" s="8">
        <v>1</v>
      </c>
      <c r="H109" s="102">
        <v>24.95</v>
      </c>
      <c r="I109" s="8" t="s">
        <v>543</v>
      </c>
      <c r="J109" s="8">
        <v>33</v>
      </c>
      <c r="K109" s="8">
        <v>35</v>
      </c>
    </row>
    <row r="110" spans="1:11" x14ac:dyDescent="0.25">
      <c r="A110" s="8">
        <v>107</v>
      </c>
      <c r="B110" s="150">
        <v>42282</v>
      </c>
      <c r="C110" s="8" t="s">
        <v>534</v>
      </c>
      <c r="D110" s="8" t="s">
        <v>538</v>
      </c>
      <c r="E110" s="8" t="s">
        <v>531</v>
      </c>
      <c r="F110" s="102">
        <v>24.95</v>
      </c>
      <c r="G110" s="8">
        <v>4</v>
      </c>
      <c r="H110" s="102">
        <v>99.8</v>
      </c>
      <c r="I110" s="8" t="s">
        <v>545</v>
      </c>
      <c r="J110" s="8">
        <v>20</v>
      </c>
      <c r="K110" s="8">
        <v>30</v>
      </c>
    </row>
    <row r="111" spans="1:11" x14ac:dyDescent="0.25">
      <c r="A111" s="8">
        <v>108</v>
      </c>
      <c r="B111" s="150">
        <v>42006</v>
      </c>
      <c r="C111" s="8" t="s">
        <v>534</v>
      </c>
      <c r="D111" s="8" t="s">
        <v>538</v>
      </c>
      <c r="E111" s="8" t="s">
        <v>531</v>
      </c>
      <c r="F111" s="102">
        <v>21.95</v>
      </c>
      <c r="G111" s="8">
        <v>4</v>
      </c>
      <c r="H111" s="102">
        <v>87.8</v>
      </c>
      <c r="I111" s="8" t="s">
        <v>536</v>
      </c>
      <c r="J111" s="8">
        <v>18</v>
      </c>
      <c r="K111" s="8">
        <v>22</v>
      </c>
    </row>
    <row r="112" spans="1:11" x14ac:dyDescent="0.25">
      <c r="A112" s="8">
        <v>109</v>
      </c>
      <c r="B112" s="150">
        <v>42312</v>
      </c>
      <c r="C112" s="8" t="s">
        <v>521</v>
      </c>
      <c r="D112" s="8" t="s">
        <v>539</v>
      </c>
      <c r="E112" s="8" t="s">
        <v>535</v>
      </c>
      <c r="F112" s="102">
        <v>19.95</v>
      </c>
      <c r="G112" s="8">
        <v>2</v>
      </c>
      <c r="H112" s="102">
        <v>39.9</v>
      </c>
      <c r="I112" s="8" t="s">
        <v>533</v>
      </c>
      <c r="J112" s="8">
        <v>19</v>
      </c>
      <c r="K112" s="8">
        <v>25</v>
      </c>
    </row>
    <row r="113" spans="1:11" x14ac:dyDescent="0.25">
      <c r="A113" s="8">
        <v>110</v>
      </c>
      <c r="B113" s="150">
        <v>42123</v>
      </c>
      <c r="C113" s="8" t="s">
        <v>534</v>
      </c>
      <c r="D113" s="8" t="s">
        <v>539</v>
      </c>
      <c r="E113" s="8" t="s">
        <v>531</v>
      </c>
      <c r="F113" s="102">
        <v>21.95</v>
      </c>
      <c r="G113" s="8">
        <v>3</v>
      </c>
      <c r="H113" s="102">
        <v>65.849999999999994</v>
      </c>
      <c r="I113" s="8" t="s">
        <v>536</v>
      </c>
      <c r="J113" s="8">
        <v>61</v>
      </c>
      <c r="K113" s="8">
        <v>22</v>
      </c>
    </row>
    <row r="114" spans="1:11" x14ac:dyDescent="0.25">
      <c r="A114" s="8">
        <v>111</v>
      </c>
      <c r="B114" s="150">
        <v>42279</v>
      </c>
      <c r="C114" s="8" t="s">
        <v>521</v>
      </c>
      <c r="D114" s="8" t="s">
        <v>539</v>
      </c>
      <c r="E114" s="8" t="s">
        <v>535</v>
      </c>
      <c r="F114" s="102">
        <v>19.95</v>
      </c>
      <c r="G114" s="8">
        <v>10</v>
      </c>
      <c r="H114" s="102">
        <v>199.5</v>
      </c>
      <c r="I114" s="8" t="s">
        <v>533</v>
      </c>
      <c r="J114" s="8">
        <v>39</v>
      </c>
      <c r="K114" s="8">
        <v>25</v>
      </c>
    </row>
    <row r="115" spans="1:11" x14ac:dyDescent="0.25">
      <c r="A115" s="8">
        <v>112</v>
      </c>
      <c r="B115" s="150">
        <v>42364</v>
      </c>
      <c r="C115" s="8" t="s">
        <v>521</v>
      </c>
      <c r="D115" s="8" t="s">
        <v>541</v>
      </c>
      <c r="E115" s="8" t="s">
        <v>531</v>
      </c>
      <c r="F115" s="102">
        <v>21.95</v>
      </c>
      <c r="G115" s="8">
        <v>1</v>
      </c>
      <c r="H115" s="102">
        <v>21.95</v>
      </c>
      <c r="I115" s="8" t="s">
        <v>536</v>
      </c>
      <c r="J115" s="8">
        <v>52</v>
      </c>
      <c r="K115" s="8">
        <v>22</v>
      </c>
    </row>
    <row r="116" spans="1:11" x14ac:dyDescent="0.25">
      <c r="A116" s="8">
        <v>113</v>
      </c>
      <c r="B116" s="150">
        <v>42313</v>
      </c>
      <c r="C116" s="8" t="s">
        <v>534</v>
      </c>
      <c r="D116" s="8" t="s">
        <v>538</v>
      </c>
      <c r="E116" s="8" t="s">
        <v>531</v>
      </c>
      <c r="F116" s="102">
        <v>24.95</v>
      </c>
      <c r="G116" s="8">
        <v>5</v>
      </c>
      <c r="H116" s="102">
        <v>124.75</v>
      </c>
      <c r="I116" s="8" t="s">
        <v>543</v>
      </c>
      <c r="J116" s="8">
        <v>20</v>
      </c>
      <c r="K116" s="8">
        <v>35</v>
      </c>
    </row>
    <row r="117" spans="1:11" x14ac:dyDescent="0.25">
      <c r="A117" s="8">
        <v>114</v>
      </c>
      <c r="B117" s="150">
        <v>42323</v>
      </c>
      <c r="C117" s="8" t="s">
        <v>534</v>
      </c>
      <c r="D117" s="8" t="s">
        <v>538</v>
      </c>
      <c r="E117" s="8" t="s">
        <v>531</v>
      </c>
      <c r="F117" s="102">
        <v>29.95</v>
      </c>
      <c r="G117" s="8">
        <v>1</v>
      </c>
      <c r="H117" s="102">
        <v>29.95</v>
      </c>
      <c r="I117" s="8" t="s">
        <v>544</v>
      </c>
      <c r="J117" s="8">
        <v>50</v>
      </c>
      <c r="K117" s="8">
        <v>45</v>
      </c>
    </row>
    <row r="118" spans="1:11" x14ac:dyDescent="0.25">
      <c r="A118" s="8">
        <v>115</v>
      </c>
      <c r="B118" s="150">
        <v>42182</v>
      </c>
      <c r="C118" s="8" t="s">
        <v>521</v>
      </c>
      <c r="D118" s="8" t="s">
        <v>539</v>
      </c>
      <c r="E118" s="8" t="s">
        <v>540</v>
      </c>
      <c r="F118" s="102">
        <v>21.95</v>
      </c>
      <c r="G118" s="8">
        <v>1</v>
      </c>
      <c r="H118" s="102">
        <v>21.95</v>
      </c>
      <c r="I118" s="8" t="s">
        <v>536</v>
      </c>
      <c r="J118" s="8">
        <v>29</v>
      </c>
      <c r="K118" s="8">
        <v>22</v>
      </c>
    </row>
    <row r="119" spans="1:11" x14ac:dyDescent="0.25">
      <c r="A119" s="8">
        <v>116</v>
      </c>
      <c r="B119" s="150">
        <v>42115</v>
      </c>
      <c r="C119" s="8" t="s">
        <v>534</v>
      </c>
      <c r="D119" s="8" t="s">
        <v>538</v>
      </c>
      <c r="E119" s="8" t="s">
        <v>531</v>
      </c>
      <c r="F119" s="102">
        <v>29.95</v>
      </c>
      <c r="G119" s="8">
        <v>4</v>
      </c>
      <c r="H119" s="102">
        <v>119.8</v>
      </c>
      <c r="I119" s="8" t="s">
        <v>544</v>
      </c>
      <c r="J119" s="8">
        <v>55</v>
      </c>
      <c r="K119" s="8">
        <v>45</v>
      </c>
    </row>
    <row r="120" spans="1:11" x14ac:dyDescent="0.25">
      <c r="A120" s="8">
        <v>117</v>
      </c>
      <c r="B120" s="150">
        <v>42272</v>
      </c>
      <c r="C120" s="8" t="s">
        <v>534</v>
      </c>
      <c r="D120" s="8" t="s">
        <v>537</v>
      </c>
      <c r="E120" s="8" t="s">
        <v>531</v>
      </c>
      <c r="F120" s="102">
        <v>29.95</v>
      </c>
      <c r="G120" s="8">
        <v>3</v>
      </c>
      <c r="H120" s="102">
        <v>89.85</v>
      </c>
      <c r="I120" s="8" t="s">
        <v>544</v>
      </c>
      <c r="J120" s="8">
        <v>18</v>
      </c>
      <c r="K120" s="8">
        <v>45</v>
      </c>
    </row>
    <row r="121" spans="1:11" x14ac:dyDescent="0.25">
      <c r="A121" s="8">
        <v>118</v>
      </c>
      <c r="B121" s="150">
        <v>42028</v>
      </c>
      <c r="C121" s="8" t="s">
        <v>521</v>
      </c>
      <c r="D121" s="8" t="s">
        <v>530</v>
      </c>
      <c r="E121" s="8" t="s">
        <v>542</v>
      </c>
      <c r="F121" s="102">
        <v>21.95</v>
      </c>
      <c r="G121" s="8">
        <v>3</v>
      </c>
      <c r="H121" s="102">
        <v>65.849999999999994</v>
      </c>
      <c r="I121" s="8" t="s">
        <v>536</v>
      </c>
      <c r="J121" s="8">
        <v>39</v>
      </c>
      <c r="K121" s="8">
        <v>22</v>
      </c>
    </row>
    <row r="122" spans="1:11" x14ac:dyDescent="0.25">
      <c r="A122" s="8">
        <v>119</v>
      </c>
      <c r="B122" s="150">
        <v>42008</v>
      </c>
      <c r="C122" s="8" t="s">
        <v>534</v>
      </c>
      <c r="D122" s="8" t="s">
        <v>538</v>
      </c>
      <c r="E122" s="8" t="s">
        <v>540</v>
      </c>
      <c r="F122" s="102">
        <v>22.95</v>
      </c>
      <c r="G122" s="8">
        <v>4</v>
      </c>
      <c r="H122" s="102">
        <v>91.8</v>
      </c>
      <c r="I122" s="8" t="s">
        <v>532</v>
      </c>
      <c r="J122" s="8">
        <v>35</v>
      </c>
      <c r="K122" s="8">
        <v>20</v>
      </c>
    </row>
    <row r="123" spans="1:11" x14ac:dyDescent="0.25">
      <c r="A123" s="8">
        <v>120</v>
      </c>
      <c r="B123" s="150">
        <v>42130</v>
      </c>
      <c r="C123" s="8" t="s">
        <v>521</v>
      </c>
      <c r="D123" s="8" t="s">
        <v>537</v>
      </c>
      <c r="E123" s="8" t="s">
        <v>540</v>
      </c>
      <c r="F123" s="102">
        <v>24.95</v>
      </c>
      <c r="G123" s="8">
        <v>6</v>
      </c>
      <c r="H123" s="102">
        <v>149.69999999999999</v>
      </c>
      <c r="I123" s="8" t="s">
        <v>545</v>
      </c>
      <c r="J123" s="8">
        <v>38</v>
      </c>
      <c r="K123" s="8">
        <v>30</v>
      </c>
    </row>
    <row r="124" spans="1:11" x14ac:dyDescent="0.25">
      <c r="A124" s="8">
        <v>121</v>
      </c>
      <c r="B124" s="150">
        <v>42177</v>
      </c>
      <c r="C124" s="8" t="s">
        <v>534</v>
      </c>
      <c r="D124" s="8" t="s">
        <v>538</v>
      </c>
      <c r="E124" s="8" t="s">
        <v>535</v>
      </c>
      <c r="F124" s="102">
        <v>19.95</v>
      </c>
      <c r="G124" s="8">
        <v>3</v>
      </c>
      <c r="H124" s="102">
        <v>59.849999999999994</v>
      </c>
      <c r="I124" s="8" t="s">
        <v>533</v>
      </c>
      <c r="J124" s="8">
        <v>20</v>
      </c>
      <c r="K124" s="8">
        <v>25</v>
      </c>
    </row>
    <row r="125" spans="1:11" x14ac:dyDescent="0.25">
      <c r="A125" s="8">
        <v>122</v>
      </c>
      <c r="B125" s="150">
        <v>42197</v>
      </c>
      <c r="C125" s="8" t="s">
        <v>534</v>
      </c>
      <c r="D125" s="8" t="s">
        <v>541</v>
      </c>
      <c r="E125" s="8" t="s">
        <v>542</v>
      </c>
      <c r="F125" s="102">
        <v>21.95</v>
      </c>
      <c r="G125" s="8">
        <v>6</v>
      </c>
      <c r="H125" s="102">
        <v>131.69999999999999</v>
      </c>
      <c r="I125" s="8" t="s">
        <v>536</v>
      </c>
      <c r="J125" s="8">
        <v>60</v>
      </c>
      <c r="K125" s="8">
        <v>22</v>
      </c>
    </row>
    <row r="126" spans="1:11" x14ac:dyDescent="0.25">
      <c r="A126" s="8">
        <v>123</v>
      </c>
      <c r="B126" s="150">
        <v>42127</v>
      </c>
      <c r="C126" s="8" t="s">
        <v>534</v>
      </c>
      <c r="D126" s="8" t="s">
        <v>538</v>
      </c>
      <c r="E126" s="8" t="s">
        <v>542</v>
      </c>
      <c r="F126" s="102">
        <v>24.95</v>
      </c>
      <c r="G126" s="8">
        <v>2</v>
      </c>
      <c r="H126" s="102">
        <v>49.9</v>
      </c>
      <c r="I126" s="8" t="s">
        <v>543</v>
      </c>
      <c r="J126" s="8">
        <v>61</v>
      </c>
      <c r="K126" s="8">
        <v>35</v>
      </c>
    </row>
    <row r="127" spans="1:11" x14ac:dyDescent="0.25">
      <c r="A127" s="8">
        <v>124</v>
      </c>
      <c r="B127" s="150">
        <v>42072</v>
      </c>
      <c r="C127" s="8" t="s">
        <v>521</v>
      </c>
      <c r="D127" s="8" t="s">
        <v>539</v>
      </c>
      <c r="E127" s="8" t="s">
        <v>531</v>
      </c>
      <c r="F127" s="102">
        <v>21.95</v>
      </c>
      <c r="G127" s="8">
        <v>2</v>
      </c>
      <c r="H127" s="102">
        <v>43.9</v>
      </c>
      <c r="I127" s="8" t="s">
        <v>536</v>
      </c>
      <c r="J127" s="8">
        <v>67</v>
      </c>
      <c r="K127" s="8">
        <v>22</v>
      </c>
    </row>
    <row r="128" spans="1:11" x14ac:dyDescent="0.25">
      <c r="A128" s="8">
        <v>125</v>
      </c>
      <c r="B128" s="150">
        <v>42065</v>
      </c>
      <c r="C128" s="8" t="s">
        <v>534</v>
      </c>
      <c r="D128" s="8" t="s">
        <v>538</v>
      </c>
      <c r="E128" s="8" t="s">
        <v>542</v>
      </c>
      <c r="F128" s="102">
        <v>19.95</v>
      </c>
      <c r="G128" s="8">
        <v>1</v>
      </c>
      <c r="H128" s="102">
        <v>19.95</v>
      </c>
      <c r="I128" s="8" t="s">
        <v>533</v>
      </c>
      <c r="J128" s="8">
        <v>21</v>
      </c>
      <c r="K128" s="8">
        <v>25</v>
      </c>
    </row>
    <row r="129" spans="1:11" x14ac:dyDescent="0.25">
      <c r="A129" s="8">
        <v>126</v>
      </c>
      <c r="B129" s="150">
        <v>42091</v>
      </c>
      <c r="C129" s="8" t="s">
        <v>534</v>
      </c>
      <c r="D129" s="8" t="s">
        <v>541</v>
      </c>
      <c r="E129" s="8" t="s">
        <v>540</v>
      </c>
      <c r="F129" s="102">
        <v>21.95</v>
      </c>
      <c r="G129" s="8">
        <v>1</v>
      </c>
      <c r="H129" s="102">
        <v>21.95</v>
      </c>
      <c r="I129" s="8" t="s">
        <v>536</v>
      </c>
      <c r="J129" s="8">
        <v>40</v>
      </c>
      <c r="K129" s="8">
        <v>22</v>
      </c>
    </row>
    <row r="130" spans="1:11" x14ac:dyDescent="0.25">
      <c r="A130" s="8">
        <v>127</v>
      </c>
      <c r="B130" s="150">
        <v>42019</v>
      </c>
      <c r="C130" s="8" t="s">
        <v>534</v>
      </c>
      <c r="D130" s="8" t="s">
        <v>538</v>
      </c>
      <c r="E130" s="8" t="s">
        <v>531</v>
      </c>
      <c r="F130" s="102">
        <v>24.95</v>
      </c>
      <c r="G130" s="8">
        <v>1</v>
      </c>
      <c r="H130" s="102">
        <v>24.95</v>
      </c>
      <c r="I130" s="8" t="s">
        <v>545</v>
      </c>
      <c r="J130" s="8">
        <v>25</v>
      </c>
      <c r="K130" s="8">
        <v>30</v>
      </c>
    </row>
    <row r="131" spans="1:11" x14ac:dyDescent="0.25">
      <c r="A131" s="8">
        <v>128</v>
      </c>
      <c r="B131" s="150">
        <v>42326</v>
      </c>
      <c r="C131" s="8" t="s">
        <v>534</v>
      </c>
      <c r="D131" s="8" t="s">
        <v>530</v>
      </c>
      <c r="E131" s="8" t="s">
        <v>531</v>
      </c>
      <c r="F131" s="102">
        <v>19.95</v>
      </c>
      <c r="G131" s="8">
        <v>2</v>
      </c>
      <c r="H131" s="102">
        <v>39.9</v>
      </c>
      <c r="I131" s="8" t="s">
        <v>533</v>
      </c>
      <c r="J131" s="8">
        <v>50</v>
      </c>
      <c r="K131" s="8">
        <v>25</v>
      </c>
    </row>
    <row r="132" spans="1:11" x14ac:dyDescent="0.25">
      <c r="A132" s="8">
        <v>129</v>
      </c>
      <c r="B132" s="150">
        <v>42090</v>
      </c>
      <c r="C132" s="8" t="s">
        <v>534</v>
      </c>
      <c r="D132" s="8" t="s">
        <v>538</v>
      </c>
      <c r="E132" s="8" t="s">
        <v>531</v>
      </c>
      <c r="F132" s="102">
        <v>24.95</v>
      </c>
      <c r="G132" s="8">
        <v>1</v>
      </c>
      <c r="H132" s="102">
        <v>24.95</v>
      </c>
      <c r="I132" s="8" t="s">
        <v>545</v>
      </c>
      <c r="J132" s="8">
        <v>24</v>
      </c>
      <c r="K132" s="8">
        <v>30</v>
      </c>
    </row>
    <row r="133" spans="1:11" x14ac:dyDescent="0.25">
      <c r="A133" s="8">
        <v>130</v>
      </c>
      <c r="B133" s="150">
        <v>42227</v>
      </c>
      <c r="C133" s="8" t="s">
        <v>521</v>
      </c>
      <c r="D133" s="8" t="s">
        <v>539</v>
      </c>
      <c r="E133" s="8" t="s">
        <v>531</v>
      </c>
      <c r="F133" s="102">
        <v>22.95</v>
      </c>
      <c r="G133" s="8">
        <v>5</v>
      </c>
      <c r="H133" s="102">
        <v>114.75</v>
      </c>
      <c r="I133" s="8" t="s">
        <v>532</v>
      </c>
      <c r="J133" s="8">
        <v>28</v>
      </c>
      <c r="K133" s="8">
        <v>20</v>
      </c>
    </row>
    <row r="134" spans="1:11" x14ac:dyDescent="0.25">
      <c r="A134" s="8">
        <v>131</v>
      </c>
      <c r="B134" s="150">
        <v>42362</v>
      </c>
      <c r="C134" s="8" t="s">
        <v>534</v>
      </c>
      <c r="D134" s="8" t="s">
        <v>538</v>
      </c>
      <c r="E134" s="8" t="s">
        <v>542</v>
      </c>
      <c r="F134" s="102">
        <v>19.95</v>
      </c>
      <c r="G134" s="8">
        <v>6</v>
      </c>
      <c r="H134" s="102">
        <v>119.69999999999999</v>
      </c>
      <c r="I134" s="8" t="s">
        <v>533</v>
      </c>
      <c r="J134" s="8">
        <v>22</v>
      </c>
      <c r="K134" s="8">
        <v>25</v>
      </c>
    </row>
    <row r="135" spans="1:11" x14ac:dyDescent="0.25">
      <c r="A135" s="8">
        <v>132</v>
      </c>
      <c r="B135" s="150">
        <v>42335</v>
      </c>
      <c r="C135" s="8" t="s">
        <v>534</v>
      </c>
      <c r="D135" s="8" t="s">
        <v>539</v>
      </c>
      <c r="E135" s="8" t="s">
        <v>531</v>
      </c>
      <c r="F135" s="102">
        <v>21.95</v>
      </c>
      <c r="G135" s="8">
        <v>2</v>
      </c>
      <c r="H135" s="102">
        <v>43.9</v>
      </c>
      <c r="I135" s="8" t="s">
        <v>536</v>
      </c>
      <c r="J135" s="8">
        <v>22</v>
      </c>
      <c r="K135" s="8">
        <v>22</v>
      </c>
    </row>
    <row r="136" spans="1:11" x14ac:dyDescent="0.25">
      <c r="A136" s="8">
        <v>133</v>
      </c>
      <c r="B136" s="150">
        <v>42075</v>
      </c>
      <c r="C136" s="8" t="s">
        <v>534</v>
      </c>
      <c r="D136" s="8" t="s">
        <v>538</v>
      </c>
      <c r="E136" s="8" t="s">
        <v>531</v>
      </c>
      <c r="F136" s="102">
        <v>24.95</v>
      </c>
      <c r="G136" s="8">
        <v>1</v>
      </c>
      <c r="H136" s="102">
        <v>24.95</v>
      </c>
      <c r="I136" s="8" t="s">
        <v>545</v>
      </c>
      <c r="J136" s="8">
        <v>27</v>
      </c>
      <c r="K136" s="8">
        <v>30</v>
      </c>
    </row>
    <row r="137" spans="1:11" x14ac:dyDescent="0.25">
      <c r="A137" s="8">
        <v>134</v>
      </c>
      <c r="B137" s="150">
        <v>42263</v>
      </c>
      <c r="C137" s="8" t="s">
        <v>521</v>
      </c>
      <c r="D137" s="8" t="s">
        <v>538</v>
      </c>
      <c r="E137" s="8" t="s">
        <v>531</v>
      </c>
      <c r="F137" s="102">
        <v>24.95</v>
      </c>
      <c r="G137" s="8">
        <v>7</v>
      </c>
      <c r="H137" s="102">
        <v>174.65</v>
      </c>
      <c r="I137" s="8" t="s">
        <v>543</v>
      </c>
      <c r="J137" s="8">
        <v>54</v>
      </c>
      <c r="K137" s="8">
        <v>35</v>
      </c>
    </row>
    <row r="138" spans="1:11" x14ac:dyDescent="0.25">
      <c r="A138" s="8">
        <v>135</v>
      </c>
      <c r="B138" s="150">
        <v>42036</v>
      </c>
      <c r="C138" s="8" t="s">
        <v>534</v>
      </c>
      <c r="D138" s="8" t="s">
        <v>530</v>
      </c>
      <c r="E138" s="8" t="s">
        <v>531</v>
      </c>
      <c r="F138" s="102">
        <v>24.95</v>
      </c>
      <c r="G138" s="8">
        <v>1</v>
      </c>
      <c r="H138" s="102">
        <v>24.95</v>
      </c>
      <c r="I138" s="8" t="s">
        <v>545</v>
      </c>
      <c r="J138" s="8">
        <v>25</v>
      </c>
      <c r="K138" s="8">
        <v>30</v>
      </c>
    </row>
    <row r="139" spans="1:11" x14ac:dyDescent="0.25">
      <c r="A139" s="8">
        <v>136</v>
      </c>
      <c r="B139" s="150">
        <v>42188</v>
      </c>
      <c r="C139" s="8" t="s">
        <v>534</v>
      </c>
      <c r="D139" s="8" t="s">
        <v>538</v>
      </c>
      <c r="E139" s="8" t="s">
        <v>542</v>
      </c>
      <c r="F139" s="102">
        <v>24.95</v>
      </c>
      <c r="G139" s="8">
        <v>2</v>
      </c>
      <c r="H139" s="102">
        <v>49.9</v>
      </c>
      <c r="I139" s="8" t="s">
        <v>543</v>
      </c>
      <c r="J139" s="8">
        <v>25</v>
      </c>
      <c r="K139" s="8">
        <v>35</v>
      </c>
    </row>
    <row r="140" spans="1:11" x14ac:dyDescent="0.25">
      <c r="A140" s="8">
        <v>137</v>
      </c>
      <c r="B140" s="150">
        <v>42246</v>
      </c>
      <c r="C140" s="8" t="s">
        <v>534</v>
      </c>
      <c r="D140" s="8" t="s">
        <v>539</v>
      </c>
      <c r="E140" s="8" t="s">
        <v>535</v>
      </c>
      <c r="F140" s="102">
        <v>19.95</v>
      </c>
      <c r="G140" s="8">
        <v>1</v>
      </c>
      <c r="H140" s="102">
        <v>19.95</v>
      </c>
      <c r="I140" s="8" t="s">
        <v>533</v>
      </c>
      <c r="J140" s="8">
        <v>30</v>
      </c>
      <c r="K140" s="8">
        <v>25</v>
      </c>
    </row>
    <row r="141" spans="1:11" x14ac:dyDescent="0.25">
      <c r="A141" s="8">
        <v>138</v>
      </c>
      <c r="B141" s="150">
        <v>42265</v>
      </c>
      <c r="C141" s="8" t="s">
        <v>521</v>
      </c>
      <c r="D141" s="8" t="s">
        <v>530</v>
      </c>
      <c r="E141" s="8" t="s">
        <v>540</v>
      </c>
      <c r="F141" s="102">
        <v>19.95</v>
      </c>
      <c r="G141" s="8">
        <v>2</v>
      </c>
      <c r="H141" s="102">
        <v>39.9</v>
      </c>
      <c r="I141" s="8" t="s">
        <v>533</v>
      </c>
      <c r="J141" s="8">
        <v>59</v>
      </c>
      <c r="K141" s="8">
        <v>25</v>
      </c>
    </row>
    <row r="142" spans="1:11" x14ac:dyDescent="0.25">
      <c r="A142" s="8">
        <v>139</v>
      </c>
      <c r="B142" s="150">
        <v>42332</v>
      </c>
      <c r="C142" s="8" t="s">
        <v>534</v>
      </c>
      <c r="D142" s="8" t="s">
        <v>538</v>
      </c>
      <c r="E142" s="8" t="s">
        <v>531</v>
      </c>
      <c r="F142" s="102">
        <v>22.95</v>
      </c>
      <c r="G142" s="8">
        <v>2</v>
      </c>
      <c r="H142" s="102">
        <v>45.9</v>
      </c>
      <c r="I142" s="8" t="s">
        <v>532</v>
      </c>
      <c r="J142" s="8">
        <v>51</v>
      </c>
      <c r="K142" s="8">
        <v>20</v>
      </c>
    </row>
    <row r="143" spans="1:11" x14ac:dyDescent="0.25">
      <c r="A143" s="8">
        <v>140</v>
      </c>
      <c r="B143" s="150">
        <v>42360</v>
      </c>
      <c r="C143" s="8" t="s">
        <v>534</v>
      </c>
      <c r="D143" s="8" t="s">
        <v>538</v>
      </c>
      <c r="E143" s="8" t="s">
        <v>531</v>
      </c>
      <c r="F143" s="102">
        <v>29.95</v>
      </c>
      <c r="G143" s="8">
        <v>6</v>
      </c>
      <c r="H143" s="102">
        <v>179.7</v>
      </c>
      <c r="I143" s="8" t="s">
        <v>544</v>
      </c>
      <c r="J143" s="8">
        <v>38</v>
      </c>
      <c r="K143" s="8">
        <v>45</v>
      </c>
    </row>
    <row r="144" spans="1:11" x14ac:dyDescent="0.25">
      <c r="A144" s="8">
        <v>141</v>
      </c>
      <c r="B144" s="150">
        <v>42117</v>
      </c>
      <c r="C144" s="8" t="s">
        <v>534</v>
      </c>
      <c r="D144" s="8" t="s">
        <v>539</v>
      </c>
      <c r="E144" s="8" t="s">
        <v>540</v>
      </c>
      <c r="F144" s="102">
        <v>22.95</v>
      </c>
      <c r="G144" s="8">
        <v>7</v>
      </c>
      <c r="H144" s="102">
        <v>160.65</v>
      </c>
      <c r="I144" s="8" t="s">
        <v>532</v>
      </c>
      <c r="J144" s="8">
        <v>28</v>
      </c>
      <c r="K144" s="8">
        <v>20</v>
      </c>
    </row>
    <row r="145" spans="1:11" x14ac:dyDescent="0.25">
      <c r="A145" s="8">
        <v>142</v>
      </c>
      <c r="B145" s="150">
        <v>42326</v>
      </c>
      <c r="C145" s="8" t="s">
        <v>521</v>
      </c>
      <c r="D145" s="8" t="s">
        <v>541</v>
      </c>
      <c r="E145" s="8" t="s">
        <v>531</v>
      </c>
      <c r="F145" s="102">
        <v>21.95</v>
      </c>
      <c r="G145" s="8">
        <v>1</v>
      </c>
      <c r="H145" s="102">
        <v>21.95</v>
      </c>
      <c r="I145" s="8" t="s">
        <v>536</v>
      </c>
      <c r="J145" s="8">
        <v>30</v>
      </c>
      <c r="K145" s="8">
        <v>22</v>
      </c>
    </row>
    <row r="146" spans="1:11" x14ac:dyDescent="0.25">
      <c r="A146" s="8">
        <v>143</v>
      </c>
      <c r="B146" s="150">
        <v>42305</v>
      </c>
      <c r="C146" s="8" t="s">
        <v>534</v>
      </c>
      <c r="D146" s="8" t="s">
        <v>538</v>
      </c>
      <c r="E146" s="8" t="s">
        <v>540</v>
      </c>
      <c r="F146" s="102">
        <v>24.95</v>
      </c>
      <c r="G146" s="8">
        <v>5</v>
      </c>
      <c r="H146" s="102">
        <v>124.75</v>
      </c>
      <c r="I146" s="8" t="s">
        <v>545</v>
      </c>
      <c r="J146" s="8">
        <v>43</v>
      </c>
      <c r="K146" s="8">
        <v>30</v>
      </c>
    </row>
    <row r="147" spans="1:11" x14ac:dyDescent="0.25">
      <c r="A147" s="8">
        <v>144</v>
      </c>
      <c r="B147" s="150">
        <v>42230</v>
      </c>
      <c r="C147" s="8" t="s">
        <v>534</v>
      </c>
      <c r="D147" s="8" t="s">
        <v>539</v>
      </c>
      <c r="E147" s="8" t="s">
        <v>531</v>
      </c>
      <c r="F147" s="102">
        <v>29.95</v>
      </c>
      <c r="G147" s="8">
        <v>3</v>
      </c>
      <c r="H147" s="102">
        <v>89.85</v>
      </c>
      <c r="I147" s="8" t="s">
        <v>544</v>
      </c>
      <c r="J147" s="8">
        <v>42</v>
      </c>
      <c r="K147" s="8">
        <v>45</v>
      </c>
    </row>
    <row r="148" spans="1:11" x14ac:dyDescent="0.25">
      <c r="A148" s="8">
        <v>145</v>
      </c>
      <c r="B148" s="150">
        <v>42129</v>
      </c>
      <c r="C148" s="8" t="s">
        <v>534</v>
      </c>
      <c r="D148" s="8" t="s">
        <v>538</v>
      </c>
      <c r="E148" s="8" t="s">
        <v>542</v>
      </c>
      <c r="F148" s="102">
        <v>24.95</v>
      </c>
      <c r="G148" s="8">
        <v>2</v>
      </c>
      <c r="H148" s="102">
        <v>49.9</v>
      </c>
      <c r="I148" s="8" t="s">
        <v>545</v>
      </c>
      <c r="J148" s="8">
        <v>24</v>
      </c>
      <c r="K148" s="8">
        <v>30</v>
      </c>
    </row>
    <row r="149" spans="1:11" x14ac:dyDescent="0.25">
      <c r="A149" s="8">
        <v>146</v>
      </c>
      <c r="B149" s="150">
        <v>42241</v>
      </c>
      <c r="C149" s="8" t="s">
        <v>521</v>
      </c>
      <c r="D149" s="8" t="s">
        <v>538</v>
      </c>
      <c r="E149" s="8" t="s">
        <v>542</v>
      </c>
      <c r="F149" s="102">
        <v>22.95</v>
      </c>
      <c r="G149" s="8">
        <v>1</v>
      </c>
      <c r="H149" s="102">
        <v>22.95</v>
      </c>
      <c r="I149" s="8" t="s">
        <v>532</v>
      </c>
      <c r="J149" s="8">
        <v>47</v>
      </c>
      <c r="K149" s="8">
        <v>20</v>
      </c>
    </row>
    <row r="150" spans="1:11" x14ac:dyDescent="0.25">
      <c r="A150" s="8">
        <v>147</v>
      </c>
      <c r="B150" s="150">
        <v>42302</v>
      </c>
      <c r="C150" s="8" t="s">
        <v>534</v>
      </c>
      <c r="D150" s="8" t="s">
        <v>539</v>
      </c>
      <c r="E150" s="8" t="s">
        <v>542</v>
      </c>
      <c r="F150" s="102">
        <v>19.95</v>
      </c>
      <c r="G150" s="8">
        <v>1</v>
      </c>
      <c r="H150" s="102">
        <v>19.95</v>
      </c>
      <c r="I150" s="8" t="s">
        <v>533</v>
      </c>
      <c r="J150" s="8">
        <v>23</v>
      </c>
      <c r="K150" s="8">
        <v>25</v>
      </c>
    </row>
    <row r="151" spans="1:11" x14ac:dyDescent="0.25">
      <c r="A151" s="8">
        <v>148</v>
      </c>
      <c r="B151" s="150">
        <v>42216</v>
      </c>
      <c r="C151" s="8" t="s">
        <v>534</v>
      </c>
      <c r="D151" s="8" t="s">
        <v>539</v>
      </c>
      <c r="E151" s="8" t="s">
        <v>535</v>
      </c>
      <c r="F151" s="102">
        <v>19.95</v>
      </c>
      <c r="G151" s="8">
        <v>5</v>
      </c>
      <c r="H151" s="102">
        <v>99.75</v>
      </c>
      <c r="I151" s="8" t="s">
        <v>533</v>
      </c>
      <c r="J151" s="8">
        <v>59</v>
      </c>
      <c r="K151" s="8">
        <v>25</v>
      </c>
    </row>
    <row r="152" spans="1:11" x14ac:dyDescent="0.25">
      <c r="A152" s="8">
        <v>149</v>
      </c>
      <c r="B152" s="150">
        <v>42210</v>
      </c>
      <c r="C152" s="8" t="s">
        <v>521</v>
      </c>
      <c r="D152" s="8" t="s">
        <v>530</v>
      </c>
      <c r="E152" s="8" t="s">
        <v>531</v>
      </c>
      <c r="F152" s="102">
        <v>22.95</v>
      </c>
      <c r="G152" s="8">
        <v>4</v>
      </c>
      <c r="H152" s="102">
        <v>91.8</v>
      </c>
      <c r="I152" s="8" t="s">
        <v>532</v>
      </c>
      <c r="J152" s="8">
        <v>22</v>
      </c>
      <c r="K152" s="8">
        <v>20</v>
      </c>
    </row>
    <row r="153" spans="1:11" x14ac:dyDescent="0.25">
      <c r="A153" s="8">
        <v>150</v>
      </c>
      <c r="B153" s="150">
        <v>42277</v>
      </c>
      <c r="C153" s="8" t="s">
        <v>521</v>
      </c>
      <c r="D153" s="8" t="s">
        <v>538</v>
      </c>
      <c r="E153" s="8" t="s">
        <v>542</v>
      </c>
      <c r="F153" s="102">
        <v>24.95</v>
      </c>
      <c r="G153" s="8">
        <v>2</v>
      </c>
      <c r="H153" s="102">
        <v>49.9</v>
      </c>
      <c r="I153" s="8" t="s">
        <v>545</v>
      </c>
      <c r="J153" s="8">
        <v>27</v>
      </c>
      <c r="K153" s="8">
        <v>30</v>
      </c>
    </row>
    <row r="154" spans="1:11" x14ac:dyDescent="0.25">
      <c r="A154" s="8">
        <v>151</v>
      </c>
      <c r="B154" s="150">
        <v>42280</v>
      </c>
      <c r="C154" s="8" t="s">
        <v>534</v>
      </c>
      <c r="D154" s="8" t="s">
        <v>541</v>
      </c>
      <c r="E154" s="8" t="s">
        <v>535</v>
      </c>
      <c r="F154" s="102">
        <v>21.95</v>
      </c>
      <c r="G154" s="8">
        <v>1</v>
      </c>
      <c r="H154" s="102">
        <v>21.95</v>
      </c>
      <c r="I154" s="8" t="s">
        <v>536</v>
      </c>
      <c r="J154" s="8">
        <v>65</v>
      </c>
      <c r="K154" s="8">
        <v>22</v>
      </c>
    </row>
    <row r="155" spans="1:11" x14ac:dyDescent="0.25">
      <c r="A155" s="8">
        <v>152</v>
      </c>
      <c r="B155" s="150">
        <v>42095</v>
      </c>
      <c r="C155" s="8" t="s">
        <v>534</v>
      </c>
      <c r="D155" s="8" t="s">
        <v>530</v>
      </c>
      <c r="E155" s="8" t="s">
        <v>542</v>
      </c>
      <c r="F155" s="102">
        <v>22.95</v>
      </c>
      <c r="G155" s="8">
        <v>2</v>
      </c>
      <c r="H155" s="102">
        <v>45.9</v>
      </c>
      <c r="I155" s="8" t="s">
        <v>532</v>
      </c>
      <c r="J155" s="8">
        <v>27</v>
      </c>
      <c r="K155" s="8">
        <v>20</v>
      </c>
    </row>
    <row r="156" spans="1:11" x14ac:dyDescent="0.25">
      <c r="A156" s="8">
        <v>153</v>
      </c>
      <c r="B156" s="150">
        <v>42353</v>
      </c>
      <c r="C156" s="8" t="s">
        <v>534</v>
      </c>
      <c r="D156" s="8" t="s">
        <v>537</v>
      </c>
      <c r="E156" s="8" t="s">
        <v>535</v>
      </c>
      <c r="F156" s="102">
        <v>22.95</v>
      </c>
      <c r="G156" s="8">
        <v>1</v>
      </c>
      <c r="H156" s="102">
        <v>22.95</v>
      </c>
      <c r="I156" s="8" t="s">
        <v>532</v>
      </c>
      <c r="J156" s="8">
        <v>27</v>
      </c>
      <c r="K156" s="8">
        <v>20</v>
      </c>
    </row>
    <row r="157" spans="1:11" x14ac:dyDescent="0.25">
      <c r="A157" s="8">
        <v>154</v>
      </c>
      <c r="B157" s="150">
        <v>42011</v>
      </c>
      <c r="C157" s="8" t="s">
        <v>534</v>
      </c>
      <c r="D157" s="8" t="s">
        <v>539</v>
      </c>
      <c r="E157" s="8" t="s">
        <v>531</v>
      </c>
      <c r="F157" s="102">
        <v>22.95</v>
      </c>
      <c r="G157" s="8">
        <v>2</v>
      </c>
      <c r="H157" s="102">
        <v>45.9</v>
      </c>
      <c r="I157" s="8" t="s">
        <v>532</v>
      </c>
      <c r="J157" s="8">
        <v>28</v>
      </c>
      <c r="K157" s="8">
        <v>20</v>
      </c>
    </row>
    <row r="158" spans="1:11" x14ac:dyDescent="0.25">
      <c r="A158" s="8">
        <v>155</v>
      </c>
      <c r="B158" s="150">
        <v>42208</v>
      </c>
      <c r="C158" s="8" t="s">
        <v>521</v>
      </c>
      <c r="D158" s="8" t="s">
        <v>539</v>
      </c>
      <c r="E158" s="8" t="s">
        <v>531</v>
      </c>
      <c r="F158" s="102">
        <v>24.95</v>
      </c>
      <c r="G158" s="8">
        <v>1</v>
      </c>
      <c r="H158" s="102">
        <v>24.95</v>
      </c>
      <c r="I158" s="8" t="s">
        <v>545</v>
      </c>
      <c r="J158" s="8">
        <v>22</v>
      </c>
      <c r="K158" s="8">
        <v>30</v>
      </c>
    </row>
    <row r="159" spans="1:11" x14ac:dyDescent="0.25">
      <c r="A159" s="8">
        <v>156</v>
      </c>
      <c r="B159" s="150">
        <v>42079</v>
      </c>
      <c r="C159" s="8" t="s">
        <v>534</v>
      </c>
      <c r="D159" s="8" t="s">
        <v>539</v>
      </c>
      <c r="E159" s="8" t="s">
        <v>535</v>
      </c>
      <c r="F159" s="102">
        <v>19.95</v>
      </c>
      <c r="G159" s="8">
        <v>2</v>
      </c>
      <c r="H159" s="102">
        <v>39.9</v>
      </c>
      <c r="I159" s="8" t="s">
        <v>533</v>
      </c>
      <c r="J159" s="8">
        <v>42</v>
      </c>
      <c r="K159" s="8">
        <v>25</v>
      </c>
    </row>
    <row r="160" spans="1:11" x14ac:dyDescent="0.25">
      <c r="A160" s="8">
        <v>157</v>
      </c>
      <c r="B160" s="150">
        <v>42342</v>
      </c>
      <c r="C160" s="8" t="s">
        <v>534</v>
      </c>
      <c r="D160" s="8" t="s">
        <v>537</v>
      </c>
      <c r="E160" s="8" t="s">
        <v>535</v>
      </c>
      <c r="F160" s="102">
        <v>29.95</v>
      </c>
      <c r="G160" s="8">
        <v>6</v>
      </c>
      <c r="H160" s="102">
        <v>179.7</v>
      </c>
      <c r="I160" s="8" t="s">
        <v>544</v>
      </c>
      <c r="J160" s="8">
        <v>25</v>
      </c>
      <c r="K160" s="8">
        <v>45</v>
      </c>
    </row>
    <row r="161" spans="1:11" x14ac:dyDescent="0.25">
      <c r="A161" s="8">
        <v>158</v>
      </c>
      <c r="B161" s="150">
        <v>42012</v>
      </c>
      <c r="C161" s="8" t="s">
        <v>521</v>
      </c>
      <c r="D161" s="8" t="s">
        <v>530</v>
      </c>
      <c r="E161" s="8" t="s">
        <v>531</v>
      </c>
      <c r="F161" s="102">
        <v>21.95</v>
      </c>
      <c r="G161" s="8">
        <v>1</v>
      </c>
      <c r="H161" s="102">
        <v>21.95</v>
      </c>
      <c r="I161" s="8" t="s">
        <v>536</v>
      </c>
      <c r="J161" s="8">
        <v>41</v>
      </c>
      <c r="K161" s="8">
        <v>22</v>
      </c>
    </row>
    <row r="162" spans="1:11" x14ac:dyDescent="0.25">
      <c r="A162" s="8">
        <v>159</v>
      </c>
      <c r="B162" s="150">
        <v>42157</v>
      </c>
      <c r="C162" s="8" t="s">
        <v>521</v>
      </c>
      <c r="D162" s="8" t="s">
        <v>539</v>
      </c>
      <c r="E162" s="8" t="s">
        <v>531</v>
      </c>
      <c r="F162" s="102">
        <v>24.95</v>
      </c>
      <c r="G162" s="8">
        <v>1</v>
      </c>
      <c r="H162" s="102">
        <v>24.95</v>
      </c>
      <c r="I162" s="8" t="s">
        <v>545</v>
      </c>
      <c r="J162" s="8">
        <v>46</v>
      </c>
      <c r="K162" s="8">
        <v>30</v>
      </c>
    </row>
    <row r="163" spans="1:11" x14ac:dyDescent="0.25">
      <c r="A163" s="8">
        <v>160</v>
      </c>
      <c r="B163" s="150">
        <v>42234</v>
      </c>
      <c r="C163" s="8" t="s">
        <v>534</v>
      </c>
      <c r="D163" s="8" t="s">
        <v>541</v>
      </c>
      <c r="E163" s="8" t="s">
        <v>531</v>
      </c>
      <c r="F163" s="102">
        <v>24.95</v>
      </c>
      <c r="G163" s="8">
        <v>3</v>
      </c>
      <c r="H163" s="102">
        <v>74.849999999999994</v>
      </c>
      <c r="I163" s="8" t="s">
        <v>543</v>
      </c>
      <c r="J163" s="8">
        <v>41</v>
      </c>
      <c r="K163" s="8">
        <v>35</v>
      </c>
    </row>
    <row r="164" spans="1:11" x14ac:dyDescent="0.25">
      <c r="A164" s="8">
        <v>161</v>
      </c>
      <c r="B164" s="150">
        <v>42118</v>
      </c>
      <c r="C164" s="8" t="s">
        <v>534</v>
      </c>
      <c r="D164" s="8" t="s">
        <v>530</v>
      </c>
      <c r="E164" s="8" t="s">
        <v>531</v>
      </c>
      <c r="F164" s="102">
        <v>19.95</v>
      </c>
      <c r="G164" s="8">
        <v>4</v>
      </c>
      <c r="H164" s="102">
        <v>79.8</v>
      </c>
      <c r="I164" s="8" t="s">
        <v>533</v>
      </c>
      <c r="J164" s="8">
        <v>29</v>
      </c>
      <c r="K164" s="8">
        <v>25</v>
      </c>
    </row>
    <row r="165" spans="1:11" x14ac:dyDescent="0.25">
      <c r="A165" s="8">
        <v>162</v>
      </c>
      <c r="B165" s="150">
        <v>42339</v>
      </c>
      <c r="C165" s="8" t="s">
        <v>534</v>
      </c>
      <c r="D165" s="8" t="s">
        <v>538</v>
      </c>
      <c r="E165" s="8" t="s">
        <v>542</v>
      </c>
      <c r="F165" s="102">
        <v>19.95</v>
      </c>
      <c r="G165" s="8">
        <v>1</v>
      </c>
      <c r="H165" s="102">
        <v>19.95</v>
      </c>
      <c r="I165" s="8" t="s">
        <v>533</v>
      </c>
      <c r="J165" s="8">
        <v>50</v>
      </c>
      <c r="K165" s="8">
        <v>25</v>
      </c>
    </row>
    <row r="166" spans="1:11" x14ac:dyDescent="0.25">
      <c r="A166" s="8">
        <v>163</v>
      </c>
      <c r="B166" s="150">
        <v>42369</v>
      </c>
      <c r="C166" s="8" t="s">
        <v>521</v>
      </c>
      <c r="D166" s="8" t="s">
        <v>538</v>
      </c>
      <c r="E166" s="8" t="s">
        <v>542</v>
      </c>
      <c r="F166" s="102">
        <v>22.95</v>
      </c>
      <c r="G166" s="8">
        <v>1</v>
      </c>
      <c r="H166" s="102">
        <v>22.95</v>
      </c>
      <c r="I166" s="8" t="s">
        <v>532</v>
      </c>
      <c r="J166" s="8">
        <v>50</v>
      </c>
      <c r="K166" s="8">
        <v>20</v>
      </c>
    </row>
    <row r="167" spans="1:11" x14ac:dyDescent="0.25">
      <c r="A167" s="8">
        <v>164</v>
      </c>
      <c r="B167" s="150">
        <v>42124</v>
      </c>
      <c r="C167" s="8" t="s">
        <v>521</v>
      </c>
      <c r="D167" s="8" t="s">
        <v>539</v>
      </c>
      <c r="E167" s="8" t="s">
        <v>542</v>
      </c>
      <c r="F167" s="102">
        <v>22.95</v>
      </c>
      <c r="G167" s="8">
        <v>2</v>
      </c>
      <c r="H167" s="102">
        <v>45.9</v>
      </c>
      <c r="I167" s="8" t="s">
        <v>532</v>
      </c>
      <c r="J167" s="8">
        <v>34</v>
      </c>
      <c r="K167" s="8">
        <v>20</v>
      </c>
    </row>
    <row r="168" spans="1:11" x14ac:dyDescent="0.25">
      <c r="A168" s="8">
        <v>165</v>
      </c>
      <c r="B168" s="150">
        <v>42079</v>
      </c>
      <c r="C168" s="8" t="s">
        <v>521</v>
      </c>
      <c r="D168" s="8" t="s">
        <v>537</v>
      </c>
      <c r="E168" s="8" t="s">
        <v>531</v>
      </c>
      <c r="F168" s="102">
        <v>21.95</v>
      </c>
      <c r="G168" s="8">
        <v>3</v>
      </c>
      <c r="H168" s="102">
        <v>65.849999999999994</v>
      </c>
      <c r="I168" s="8" t="s">
        <v>536</v>
      </c>
      <c r="J168" s="8">
        <v>24</v>
      </c>
      <c r="K168" s="8">
        <v>22</v>
      </c>
    </row>
    <row r="169" spans="1:11" x14ac:dyDescent="0.25">
      <c r="A169" s="8">
        <v>166</v>
      </c>
      <c r="B169" s="150">
        <v>42032</v>
      </c>
      <c r="C169" s="8" t="s">
        <v>534</v>
      </c>
      <c r="D169" s="8" t="s">
        <v>530</v>
      </c>
      <c r="E169" s="8" t="s">
        <v>531</v>
      </c>
      <c r="F169" s="102">
        <v>19.95</v>
      </c>
      <c r="G169" s="8">
        <v>7</v>
      </c>
      <c r="H169" s="102">
        <v>139.65</v>
      </c>
      <c r="I169" s="8" t="s">
        <v>533</v>
      </c>
      <c r="J169" s="8">
        <v>29</v>
      </c>
      <c r="K169" s="8">
        <v>25</v>
      </c>
    </row>
    <row r="170" spans="1:11" x14ac:dyDescent="0.25">
      <c r="A170" s="8">
        <v>167</v>
      </c>
      <c r="B170" s="150">
        <v>42219</v>
      </c>
      <c r="C170" s="8" t="s">
        <v>534</v>
      </c>
      <c r="D170" s="8" t="s">
        <v>530</v>
      </c>
      <c r="E170" s="8" t="s">
        <v>542</v>
      </c>
      <c r="F170" s="102">
        <v>22.95</v>
      </c>
      <c r="G170" s="8">
        <v>1</v>
      </c>
      <c r="H170" s="102">
        <v>22.95</v>
      </c>
      <c r="I170" s="8" t="s">
        <v>532</v>
      </c>
      <c r="J170" s="8">
        <v>35</v>
      </c>
      <c r="K170" s="8">
        <v>20</v>
      </c>
    </row>
    <row r="171" spans="1:11" x14ac:dyDescent="0.25">
      <c r="A171" s="8">
        <v>168</v>
      </c>
      <c r="B171" s="150">
        <v>42319</v>
      </c>
      <c r="C171" s="8" t="s">
        <v>534</v>
      </c>
      <c r="D171" s="8" t="s">
        <v>538</v>
      </c>
      <c r="E171" s="8" t="s">
        <v>531</v>
      </c>
      <c r="F171" s="102">
        <v>19.95</v>
      </c>
      <c r="G171" s="8">
        <v>2</v>
      </c>
      <c r="H171" s="102">
        <v>39.9</v>
      </c>
      <c r="I171" s="8" t="s">
        <v>533</v>
      </c>
      <c r="J171" s="8">
        <v>24</v>
      </c>
      <c r="K171" s="8">
        <v>25</v>
      </c>
    </row>
    <row r="172" spans="1:11" x14ac:dyDescent="0.25">
      <c r="A172" s="8">
        <v>169</v>
      </c>
      <c r="B172" s="150">
        <v>42351</v>
      </c>
      <c r="C172" s="8" t="s">
        <v>521</v>
      </c>
      <c r="D172" s="8" t="s">
        <v>538</v>
      </c>
      <c r="E172" s="8" t="s">
        <v>540</v>
      </c>
      <c r="F172" s="102">
        <v>21.95</v>
      </c>
      <c r="G172" s="8">
        <v>5</v>
      </c>
      <c r="H172" s="102">
        <v>109.75</v>
      </c>
      <c r="I172" s="8" t="s">
        <v>536</v>
      </c>
      <c r="J172" s="8">
        <v>23</v>
      </c>
      <c r="K172" s="8">
        <v>22</v>
      </c>
    </row>
    <row r="173" spans="1:11" x14ac:dyDescent="0.25">
      <c r="A173" s="8">
        <v>170</v>
      </c>
      <c r="B173" s="150">
        <v>42090</v>
      </c>
      <c r="C173" s="8" t="s">
        <v>534</v>
      </c>
      <c r="D173" s="8" t="s">
        <v>539</v>
      </c>
      <c r="E173" s="8" t="s">
        <v>542</v>
      </c>
      <c r="F173" s="102">
        <v>22.95</v>
      </c>
      <c r="G173" s="8">
        <v>7</v>
      </c>
      <c r="H173" s="102">
        <v>160.65</v>
      </c>
      <c r="I173" s="8" t="s">
        <v>532</v>
      </c>
      <c r="J173" s="8">
        <v>31</v>
      </c>
      <c r="K173" s="8">
        <v>20</v>
      </c>
    </row>
    <row r="174" spans="1:11" x14ac:dyDescent="0.25">
      <c r="A174" s="8">
        <v>171</v>
      </c>
      <c r="B174" s="150">
        <v>42285</v>
      </c>
      <c r="C174" s="8" t="s">
        <v>521</v>
      </c>
      <c r="D174" s="8" t="s">
        <v>539</v>
      </c>
      <c r="E174" s="8" t="s">
        <v>542</v>
      </c>
      <c r="F174" s="102">
        <v>24.95</v>
      </c>
      <c r="G174" s="8">
        <v>2</v>
      </c>
      <c r="H174" s="102">
        <v>49.9</v>
      </c>
      <c r="I174" s="8" t="s">
        <v>545</v>
      </c>
      <c r="J174" s="8">
        <v>24</v>
      </c>
      <c r="K174" s="8">
        <v>30</v>
      </c>
    </row>
    <row r="175" spans="1:11" x14ac:dyDescent="0.25">
      <c r="A175" s="8">
        <v>172</v>
      </c>
      <c r="B175" s="150">
        <v>42219</v>
      </c>
      <c r="C175" s="8" t="s">
        <v>534</v>
      </c>
      <c r="D175" s="8" t="s">
        <v>538</v>
      </c>
      <c r="E175" s="8" t="s">
        <v>542</v>
      </c>
      <c r="F175" s="102">
        <v>22.95</v>
      </c>
      <c r="G175" s="8">
        <v>1</v>
      </c>
      <c r="H175" s="102">
        <v>22.95</v>
      </c>
      <c r="I175" s="8" t="s">
        <v>532</v>
      </c>
      <c r="J175" s="8">
        <v>30</v>
      </c>
      <c r="K175" s="8">
        <v>20</v>
      </c>
    </row>
    <row r="176" spans="1:11" x14ac:dyDescent="0.25">
      <c r="A176" s="8">
        <v>173</v>
      </c>
      <c r="B176" s="150">
        <v>42073</v>
      </c>
      <c r="C176" s="8" t="s">
        <v>521</v>
      </c>
      <c r="D176" s="8" t="s">
        <v>538</v>
      </c>
      <c r="E176" s="8" t="s">
        <v>531</v>
      </c>
      <c r="F176" s="102">
        <v>22.95</v>
      </c>
      <c r="G176" s="8">
        <v>2</v>
      </c>
      <c r="H176" s="102">
        <v>45.9</v>
      </c>
      <c r="I176" s="8" t="s">
        <v>532</v>
      </c>
      <c r="J176" s="8">
        <v>22</v>
      </c>
      <c r="K176" s="8">
        <v>20</v>
      </c>
    </row>
    <row r="177" spans="1:11" x14ac:dyDescent="0.25">
      <c r="A177" s="8">
        <v>174</v>
      </c>
      <c r="B177" s="150">
        <v>42065</v>
      </c>
      <c r="C177" s="8" t="s">
        <v>534</v>
      </c>
      <c r="D177" s="8" t="s">
        <v>538</v>
      </c>
      <c r="E177" s="8" t="s">
        <v>535</v>
      </c>
      <c r="F177" s="102">
        <v>22.95</v>
      </c>
      <c r="G177" s="8">
        <v>3</v>
      </c>
      <c r="H177" s="102">
        <v>68.849999999999994</v>
      </c>
      <c r="I177" s="8" t="s">
        <v>532</v>
      </c>
      <c r="J177" s="8">
        <v>43</v>
      </c>
      <c r="K177" s="8">
        <v>20</v>
      </c>
    </row>
    <row r="178" spans="1:11" x14ac:dyDescent="0.25">
      <c r="A178" s="8">
        <v>175</v>
      </c>
      <c r="B178" s="150">
        <v>42030</v>
      </c>
      <c r="C178" s="8" t="s">
        <v>534</v>
      </c>
      <c r="D178" s="8" t="s">
        <v>538</v>
      </c>
      <c r="E178" s="8" t="s">
        <v>531</v>
      </c>
      <c r="F178" s="102">
        <v>22.95</v>
      </c>
      <c r="G178" s="8">
        <v>10</v>
      </c>
      <c r="H178" s="102">
        <v>229.5</v>
      </c>
      <c r="I178" s="8" t="s">
        <v>532</v>
      </c>
      <c r="J178" s="8">
        <v>55</v>
      </c>
      <c r="K178" s="8">
        <v>20</v>
      </c>
    </row>
    <row r="179" spans="1:11" x14ac:dyDescent="0.25">
      <c r="A179" s="8">
        <v>176</v>
      </c>
      <c r="B179" s="150">
        <v>42130</v>
      </c>
      <c r="C179" s="8" t="s">
        <v>534</v>
      </c>
      <c r="D179" s="8" t="s">
        <v>537</v>
      </c>
      <c r="E179" s="8" t="s">
        <v>531</v>
      </c>
      <c r="F179" s="102">
        <v>29.95</v>
      </c>
      <c r="G179" s="8">
        <v>1</v>
      </c>
      <c r="H179" s="102">
        <v>29.95</v>
      </c>
      <c r="I179" s="8" t="s">
        <v>544</v>
      </c>
      <c r="J179" s="8">
        <v>38</v>
      </c>
      <c r="K179" s="8">
        <v>45</v>
      </c>
    </row>
    <row r="180" spans="1:11" x14ac:dyDescent="0.25">
      <c r="A180" s="8">
        <v>177</v>
      </c>
      <c r="B180" s="150">
        <v>42073</v>
      </c>
      <c r="C180" s="8" t="s">
        <v>521</v>
      </c>
      <c r="D180" s="8" t="s">
        <v>538</v>
      </c>
      <c r="E180" s="8" t="s">
        <v>531</v>
      </c>
      <c r="F180" s="102">
        <v>19.95</v>
      </c>
      <c r="G180" s="8">
        <v>2</v>
      </c>
      <c r="H180" s="102">
        <v>39.9</v>
      </c>
      <c r="I180" s="8" t="s">
        <v>533</v>
      </c>
      <c r="J180" s="8">
        <v>28</v>
      </c>
      <c r="K180" s="8">
        <v>25</v>
      </c>
    </row>
    <row r="181" spans="1:11" x14ac:dyDescent="0.25">
      <c r="A181" s="8">
        <v>178</v>
      </c>
      <c r="B181" s="150">
        <v>42326</v>
      </c>
      <c r="C181" s="8" t="s">
        <v>521</v>
      </c>
      <c r="D181" s="8" t="s">
        <v>539</v>
      </c>
      <c r="E181" s="8" t="s">
        <v>542</v>
      </c>
      <c r="F181" s="102">
        <v>21.95</v>
      </c>
      <c r="G181" s="8">
        <v>2</v>
      </c>
      <c r="H181" s="102">
        <v>43.9</v>
      </c>
      <c r="I181" s="8" t="s">
        <v>536</v>
      </c>
      <c r="J181" s="8">
        <v>30</v>
      </c>
      <c r="K181" s="8">
        <v>22</v>
      </c>
    </row>
    <row r="182" spans="1:11" x14ac:dyDescent="0.25">
      <c r="A182" s="8">
        <v>179</v>
      </c>
      <c r="B182" s="150">
        <v>42034</v>
      </c>
      <c r="C182" s="8" t="s">
        <v>521</v>
      </c>
      <c r="D182" s="8" t="s">
        <v>541</v>
      </c>
      <c r="E182" s="8" t="s">
        <v>531</v>
      </c>
      <c r="F182" s="102">
        <v>19.95</v>
      </c>
      <c r="G182" s="8">
        <v>1</v>
      </c>
      <c r="H182" s="102">
        <v>19.95</v>
      </c>
      <c r="I182" s="8" t="s">
        <v>533</v>
      </c>
      <c r="J182" s="8">
        <v>35</v>
      </c>
      <c r="K182" s="8">
        <v>25</v>
      </c>
    </row>
    <row r="183" spans="1:11" x14ac:dyDescent="0.25">
      <c r="A183" s="8">
        <v>180</v>
      </c>
      <c r="B183" s="150">
        <v>42187</v>
      </c>
      <c r="C183" s="8" t="s">
        <v>534</v>
      </c>
      <c r="D183" s="8" t="s">
        <v>538</v>
      </c>
      <c r="E183" s="8" t="s">
        <v>531</v>
      </c>
      <c r="F183" s="102">
        <v>29.95</v>
      </c>
      <c r="G183" s="8">
        <v>2</v>
      </c>
      <c r="H183" s="102">
        <v>59.9</v>
      </c>
      <c r="I183" s="8" t="s">
        <v>544</v>
      </c>
      <c r="J183" s="8">
        <v>41</v>
      </c>
      <c r="K183" s="8">
        <v>45</v>
      </c>
    </row>
    <row r="184" spans="1:11" x14ac:dyDescent="0.25">
      <c r="A184" s="8">
        <v>181</v>
      </c>
      <c r="B184" s="150">
        <v>42290</v>
      </c>
      <c r="C184" s="8" t="s">
        <v>521</v>
      </c>
      <c r="D184" s="8" t="s">
        <v>541</v>
      </c>
      <c r="E184" s="8" t="s">
        <v>535</v>
      </c>
      <c r="F184" s="102">
        <v>19.95</v>
      </c>
      <c r="G184" s="8">
        <v>5</v>
      </c>
      <c r="H184" s="102">
        <v>99.75</v>
      </c>
      <c r="I184" s="8" t="s">
        <v>533</v>
      </c>
      <c r="J184" s="8">
        <v>28</v>
      </c>
      <c r="K184" s="8">
        <v>25</v>
      </c>
    </row>
    <row r="185" spans="1:11" x14ac:dyDescent="0.25">
      <c r="A185" s="8">
        <v>182</v>
      </c>
      <c r="B185" s="150">
        <v>42042</v>
      </c>
      <c r="C185" s="8" t="s">
        <v>534</v>
      </c>
      <c r="D185" s="8" t="s">
        <v>541</v>
      </c>
      <c r="E185" s="8" t="s">
        <v>542</v>
      </c>
      <c r="F185" s="102">
        <v>24.95</v>
      </c>
      <c r="G185" s="8">
        <v>7</v>
      </c>
      <c r="H185" s="102">
        <v>174.65</v>
      </c>
      <c r="I185" s="8" t="s">
        <v>545</v>
      </c>
      <c r="J185" s="8">
        <v>65</v>
      </c>
      <c r="K185" s="8">
        <v>30</v>
      </c>
    </row>
    <row r="186" spans="1:11" x14ac:dyDescent="0.25">
      <c r="A186" s="8">
        <v>183</v>
      </c>
      <c r="B186" s="150">
        <v>42160</v>
      </c>
      <c r="C186" s="8" t="s">
        <v>534</v>
      </c>
      <c r="D186" s="8" t="s">
        <v>530</v>
      </c>
      <c r="E186" s="8" t="s">
        <v>531</v>
      </c>
      <c r="F186" s="102">
        <v>21.95</v>
      </c>
      <c r="G186" s="8">
        <v>3</v>
      </c>
      <c r="H186" s="102">
        <v>65.849999999999994</v>
      </c>
      <c r="I186" s="8" t="s">
        <v>536</v>
      </c>
      <c r="J186" s="8">
        <v>20</v>
      </c>
      <c r="K186" s="8">
        <v>22</v>
      </c>
    </row>
    <row r="187" spans="1:11" x14ac:dyDescent="0.25">
      <c r="A187" s="8">
        <v>184</v>
      </c>
      <c r="B187" s="150">
        <v>42310</v>
      </c>
      <c r="C187" s="8" t="s">
        <v>534</v>
      </c>
      <c r="D187" s="8" t="s">
        <v>538</v>
      </c>
      <c r="E187" s="8" t="s">
        <v>542</v>
      </c>
      <c r="F187" s="102">
        <v>24.95</v>
      </c>
      <c r="G187" s="8">
        <v>5</v>
      </c>
      <c r="H187" s="102">
        <v>124.75</v>
      </c>
      <c r="I187" s="8" t="s">
        <v>543</v>
      </c>
      <c r="J187" s="8">
        <v>39</v>
      </c>
      <c r="K187" s="8">
        <v>35</v>
      </c>
    </row>
    <row r="188" spans="1:11" x14ac:dyDescent="0.25">
      <c r="A188" s="8">
        <v>185</v>
      </c>
      <c r="B188" s="150">
        <v>42351</v>
      </c>
      <c r="C188" s="8" t="s">
        <v>534</v>
      </c>
      <c r="D188" s="8" t="s">
        <v>538</v>
      </c>
      <c r="E188" s="8" t="s">
        <v>535</v>
      </c>
      <c r="F188" s="102">
        <v>21.95</v>
      </c>
      <c r="G188" s="8">
        <v>4</v>
      </c>
      <c r="H188" s="102">
        <v>87.8</v>
      </c>
      <c r="I188" s="8" t="s">
        <v>536</v>
      </c>
      <c r="J188" s="8">
        <v>19</v>
      </c>
      <c r="K188" s="8">
        <v>22</v>
      </c>
    </row>
    <row r="189" spans="1:11" x14ac:dyDescent="0.25">
      <c r="A189" s="8">
        <v>186</v>
      </c>
      <c r="B189" s="150">
        <v>42300</v>
      </c>
      <c r="C189" s="8" t="s">
        <v>534</v>
      </c>
      <c r="D189" s="8" t="s">
        <v>538</v>
      </c>
      <c r="E189" s="8" t="s">
        <v>531</v>
      </c>
      <c r="F189" s="102">
        <v>22.95</v>
      </c>
      <c r="G189" s="8">
        <v>10</v>
      </c>
      <c r="H189" s="102">
        <v>229.5</v>
      </c>
      <c r="I189" s="8" t="s">
        <v>532</v>
      </c>
      <c r="J189" s="8">
        <v>64</v>
      </c>
      <c r="K189" s="8">
        <v>20</v>
      </c>
    </row>
    <row r="190" spans="1:11" x14ac:dyDescent="0.25">
      <c r="A190" s="8">
        <v>187</v>
      </c>
      <c r="B190" s="150">
        <v>42360</v>
      </c>
      <c r="C190" s="8" t="s">
        <v>521</v>
      </c>
      <c r="D190" s="8" t="s">
        <v>539</v>
      </c>
      <c r="E190" s="8" t="s">
        <v>540</v>
      </c>
      <c r="F190" s="102">
        <v>19.95</v>
      </c>
      <c r="G190" s="8">
        <v>5</v>
      </c>
      <c r="H190" s="102">
        <v>99.75</v>
      </c>
      <c r="I190" s="8" t="s">
        <v>533</v>
      </c>
      <c r="J190" s="8">
        <v>42</v>
      </c>
      <c r="K190" s="8">
        <v>25</v>
      </c>
    </row>
    <row r="191" spans="1:11" x14ac:dyDescent="0.25">
      <c r="A191" s="8">
        <v>188</v>
      </c>
      <c r="B191" s="150">
        <v>42237</v>
      </c>
      <c r="C191" s="8" t="s">
        <v>521</v>
      </c>
      <c r="D191" s="8" t="s">
        <v>539</v>
      </c>
      <c r="E191" s="8" t="s">
        <v>542</v>
      </c>
      <c r="F191" s="102">
        <v>19.95</v>
      </c>
      <c r="G191" s="8">
        <v>1</v>
      </c>
      <c r="H191" s="102">
        <v>19.95</v>
      </c>
      <c r="I191" s="8" t="s">
        <v>533</v>
      </c>
      <c r="J191" s="8">
        <v>24</v>
      </c>
      <c r="K191" s="8">
        <v>25</v>
      </c>
    </row>
    <row r="192" spans="1:11" x14ac:dyDescent="0.25">
      <c r="A192" s="8">
        <v>189</v>
      </c>
      <c r="B192" s="150">
        <v>42244</v>
      </c>
      <c r="C192" s="8" t="s">
        <v>521</v>
      </c>
      <c r="D192" s="8" t="s">
        <v>539</v>
      </c>
      <c r="E192" s="8" t="s">
        <v>542</v>
      </c>
      <c r="F192" s="102">
        <v>19.95</v>
      </c>
      <c r="G192" s="8">
        <v>1</v>
      </c>
      <c r="H192" s="102">
        <v>19.95</v>
      </c>
      <c r="I192" s="8" t="s">
        <v>533</v>
      </c>
      <c r="J192" s="8">
        <v>24</v>
      </c>
      <c r="K192" s="8">
        <v>25</v>
      </c>
    </row>
    <row r="193" spans="1:11" x14ac:dyDescent="0.25">
      <c r="A193" s="8">
        <v>190</v>
      </c>
      <c r="B193" s="150">
        <v>42175</v>
      </c>
      <c r="C193" s="8" t="s">
        <v>534</v>
      </c>
      <c r="D193" s="8" t="s">
        <v>537</v>
      </c>
      <c r="E193" s="8" t="s">
        <v>542</v>
      </c>
      <c r="F193" s="102">
        <v>24.95</v>
      </c>
      <c r="G193" s="8">
        <v>4</v>
      </c>
      <c r="H193" s="102">
        <v>99.8</v>
      </c>
      <c r="I193" s="8" t="s">
        <v>545</v>
      </c>
      <c r="J193" s="8">
        <v>18</v>
      </c>
      <c r="K193" s="8">
        <v>30</v>
      </c>
    </row>
    <row r="194" spans="1:11" x14ac:dyDescent="0.25">
      <c r="A194" s="8">
        <v>191</v>
      </c>
      <c r="B194" s="150">
        <v>42124</v>
      </c>
      <c r="C194" s="8" t="s">
        <v>521</v>
      </c>
      <c r="D194" s="8" t="s">
        <v>530</v>
      </c>
      <c r="E194" s="8" t="s">
        <v>535</v>
      </c>
      <c r="F194" s="102">
        <v>24.95</v>
      </c>
      <c r="G194" s="8">
        <v>1</v>
      </c>
      <c r="H194" s="102">
        <v>24.95</v>
      </c>
      <c r="I194" s="8" t="s">
        <v>545</v>
      </c>
      <c r="J194" s="8">
        <v>36</v>
      </c>
      <c r="K194" s="8">
        <v>30</v>
      </c>
    </row>
    <row r="195" spans="1:11" x14ac:dyDescent="0.25">
      <c r="A195" s="8">
        <v>192</v>
      </c>
      <c r="B195" s="150">
        <v>42291</v>
      </c>
      <c r="C195" s="8" t="s">
        <v>534</v>
      </c>
      <c r="D195" s="8" t="s">
        <v>530</v>
      </c>
      <c r="E195" s="8" t="s">
        <v>542</v>
      </c>
      <c r="F195" s="102">
        <v>22.95</v>
      </c>
      <c r="G195" s="8">
        <v>5</v>
      </c>
      <c r="H195" s="102">
        <v>114.75</v>
      </c>
      <c r="I195" s="8" t="s">
        <v>532</v>
      </c>
      <c r="J195" s="8">
        <v>61</v>
      </c>
      <c r="K195" s="8">
        <v>20</v>
      </c>
    </row>
    <row r="196" spans="1:11" x14ac:dyDescent="0.25">
      <c r="A196" s="8">
        <v>193</v>
      </c>
      <c r="B196" s="150">
        <v>42220</v>
      </c>
      <c r="C196" s="8" t="s">
        <v>534</v>
      </c>
      <c r="D196" s="8" t="s">
        <v>538</v>
      </c>
      <c r="E196" s="8" t="s">
        <v>531</v>
      </c>
      <c r="F196" s="102">
        <v>19.95</v>
      </c>
      <c r="G196" s="8">
        <v>3</v>
      </c>
      <c r="H196" s="102">
        <v>59.849999999999994</v>
      </c>
      <c r="I196" s="8" t="s">
        <v>533</v>
      </c>
      <c r="J196" s="8">
        <v>22</v>
      </c>
      <c r="K196" s="8">
        <v>25</v>
      </c>
    </row>
    <row r="197" spans="1:11" x14ac:dyDescent="0.25">
      <c r="A197" s="8">
        <v>194</v>
      </c>
      <c r="B197" s="150">
        <v>42305</v>
      </c>
      <c r="C197" s="8" t="s">
        <v>521</v>
      </c>
      <c r="D197" s="8" t="s">
        <v>539</v>
      </c>
      <c r="E197" s="8" t="s">
        <v>531</v>
      </c>
      <c r="F197" s="102">
        <v>21.95</v>
      </c>
      <c r="G197" s="8">
        <v>2</v>
      </c>
      <c r="H197" s="102">
        <v>43.9</v>
      </c>
      <c r="I197" s="8" t="s">
        <v>536</v>
      </c>
      <c r="J197" s="8">
        <v>55</v>
      </c>
      <c r="K197" s="8">
        <v>22</v>
      </c>
    </row>
    <row r="198" spans="1:11" x14ac:dyDescent="0.25">
      <c r="A198" s="8">
        <v>195</v>
      </c>
      <c r="B198" s="150">
        <v>42312</v>
      </c>
      <c r="C198" s="8" t="s">
        <v>534</v>
      </c>
      <c r="D198" s="8" t="s">
        <v>537</v>
      </c>
      <c r="E198" s="8" t="s">
        <v>531</v>
      </c>
      <c r="F198" s="102">
        <v>24.95</v>
      </c>
      <c r="G198" s="8">
        <v>3</v>
      </c>
      <c r="H198" s="102">
        <v>74.849999999999994</v>
      </c>
      <c r="I198" s="8" t="s">
        <v>543</v>
      </c>
      <c r="J198" s="8">
        <v>27</v>
      </c>
      <c r="K198" s="8">
        <v>35</v>
      </c>
    </row>
    <row r="199" spans="1:11" x14ac:dyDescent="0.25">
      <c r="A199" s="8">
        <v>196</v>
      </c>
      <c r="B199" s="150">
        <v>42009</v>
      </c>
      <c r="C199" s="8" t="s">
        <v>534</v>
      </c>
      <c r="D199" s="8" t="s">
        <v>539</v>
      </c>
      <c r="E199" s="8" t="s">
        <v>542</v>
      </c>
      <c r="F199" s="102">
        <v>19.95</v>
      </c>
      <c r="G199" s="8">
        <v>1</v>
      </c>
      <c r="H199" s="102">
        <v>19.95</v>
      </c>
      <c r="I199" s="8" t="s">
        <v>533</v>
      </c>
      <c r="J199" s="8">
        <v>49</v>
      </c>
      <c r="K199" s="8">
        <v>25</v>
      </c>
    </row>
    <row r="200" spans="1:11" x14ac:dyDescent="0.25">
      <c r="A200" s="8">
        <v>197</v>
      </c>
      <c r="B200" s="150">
        <v>42349</v>
      </c>
      <c r="C200" s="8" t="s">
        <v>521</v>
      </c>
      <c r="D200" s="8" t="s">
        <v>538</v>
      </c>
      <c r="E200" s="8" t="s">
        <v>531</v>
      </c>
      <c r="F200" s="102">
        <v>22.95</v>
      </c>
      <c r="G200" s="8">
        <v>1</v>
      </c>
      <c r="H200" s="102">
        <v>22.95</v>
      </c>
      <c r="I200" s="8" t="s">
        <v>532</v>
      </c>
      <c r="J200" s="8">
        <v>29</v>
      </c>
      <c r="K200" s="8">
        <v>20</v>
      </c>
    </row>
    <row r="201" spans="1:11" x14ac:dyDescent="0.25">
      <c r="A201" s="8">
        <v>198</v>
      </c>
      <c r="B201" s="150">
        <v>42203</v>
      </c>
      <c r="C201" s="8" t="s">
        <v>534</v>
      </c>
      <c r="D201" s="8" t="s">
        <v>539</v>
      </c>
      <c r="E201" s="8" t="s">
        <v>531</v>
      </c>
      <c r="F201" s="102">
        <v>21.95</v>
      </c>
      <c r="G201" s="8">
        <v>7</v>
      </c>
      <c r="H201" s="102">
        <v>153.65</v>
      </c>
      <c r="I201" s="8" t="s">
        <v>536</v>
      </c>
      <c r="J201" s="8">
        <v>33</v>
      </c>
      <c r="K201" s="8">
        <v>22</v>
      </c>
    </row>
    <row r="202" spans="1:11" x14ac:dyDescent="0.25">
      <c r="A202" s="8">
        <v>199</v>
      </c>
      <c r="B202" s="150">
        <v>42155</v>
      </c>
      <c r="C202" s="8" t="s">
        <v>534</v>
      </c>
      <c r="D202" s="8" t="s">
        <v>538</v>
      </c>
      <c r="E202" s="8" t="s">
        <v>531</v>
      </c>
      <c r="F202" s="102">
        <v>19.95</v>
      </c>
      <c r="G202" s="8">
        <v>2</v>
      </c>
      <c r="H202" s="102">
        <v>39.9</v>
      </c>
      <c r="I202" s="8" t="s">
        <v>533</v>
      </c>
      <c r="J202" s="8">
        <v>52</v>
      </c>
      <c r="K202" s="8">
        <v>25</v>
      </c>
    </row>
    <row r="203" spans="1:11" x14ac:dyDescent="0.25">
      <c r="A203" s="8">
        <v>200</v>
      </c>
      <c r="B203" s="150">
        <v>42354</v>
      </c>
      <c r="C203" s="8" t="s">
        <v>521</v>
      </c>
      <c r="D203" s="8" t="s">
        <v>539</v>
      </c>
      <c r="E203" s="8" t="s">
        <v>531</v>
      </c>
      <c r="F203" s="102">
        <v>21.95</v>
      </c>
      <c r="G203" s="8">
        <v>6</v>
      </c>
      <c r="H203" s="102">
        <v>131.69999999999999</v>
      </c>
      <c r="I203" s="8" t="s">
        <v>536</v>
      </c>
      <c r="J203" s="8">
        <v>26</v>
      </c>
      <c r="K203" s="8">
        <v>22</v>
      </c>
    </row>
  </sheetData>
  <mergeCells count="1">
    <mergeCell ref="A1:K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rgb="FF0000FF"/>
  </sheetPr>
  <dimension ref="A1:K44"/>
  <sheetViews>
    <sheetView zoomScaleNormal="100" workbookViewId="0"/>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30" x14ac:dyDescent="0.25">
      <c r="B1" s="23" t="s">
        <v>623</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c r="C15" s="59"/>
      <c r="D15" s="59"/>
    </row>
    <row r="16" spans="1:11" x14ac:dyDescent="0.25">
      <c r="A16" t="s">
        <v>85</v>
      </c>
      <c r="B16" s="58">
        <f>AVERAGE(B21:B30)</f>
        <v>32.6</v>
      </c>
      <c r="C16" s="58">
        <f t="shared" ref="C16:D16" si="0">AVERAGE(C21:C30)</f>
        <v>24.59</v>
      </c>
      <c r="D16" s="58">
        <f t="shared" si="0"/>
        <v>14.39</v>
      </c>
    </row>
    <row r="17" spans="1:4" x14ac:dyDescent="0.25">
      <c r="A17" t="s">
        <v>86</v>
      </c>
      <c r="B17" s="58">
        <f>MEDIAN(B21:B30)</f>
        <v>34.5</v>
      </c>
      <c r="C17" s="58">
        <f t="shared" ref="C17:D17" si="1">MEDIAN(C21:C30)</f>
        <v>25</v>
      </c>
      <c r="D17" s="58">
        <f t="shared" si="1"/>
        <v>9</v>
      </c>
    </row>
    <row r="18" spans="1:4" x14ac:dyDescent="0.25">
      <c r="A18" t="s">
        <v>87</v>
      </c>
      <c r="B18" s="58">
        <f>_xlfn.MODE.SNGL(B21:B30)</f>
        <v>43</v>
      </c>
      <c r="C18" s="58">
        <f t="shared" ref="C18:D18" si="2">_xlfn.MODE.SNGL(C21:C30)</f>
        <v>25</v>
      </c>
      <c r="D18" s="58">
        <f t="shared" si="2"/>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tabColor rgb="FFFF0000"/>
  </sheetPr>
  <dimension ref="A1:K44"/>
  <sheetViews>
    <sheetView zoomScaleNormal="100" workbookViewId="0">
      <selection activeCell="D15" sqref="D15"/>
    </sheetView>
  </sheetViews>
  <sheetFormatPr defaultRowHeight="15" x14ac:dyDescent="0.25"/>
  <cols>
    <col min="2" max="4" width="23.140625" customWidth="1"/>
    <col min="5" max="6" width="20.28515625" customWidth="1"/>
    <col min="10" max="10" width="30.7109375" customWidth="1"/>
    <col min="258" max="260" width="23.140625" customWidth="1"/>
    <col min="261" max="262" width="20.28515625" customWidth="1"/>
    <col min="514" max="516" width="23.140625" customWidth="1"/>
    <col min="517" max="518" width="20.28515625" customWidth="1"/>
    <col min="770" max="772" width="23.140625" customWidth="1"/>
    <col min="773" max="774" width="20.28515625" customWidth="1"/>
    <col min="1026" max="1028" width="23.140625" customWidth="1"/>
    <col min="1029" max="1030" width="20.28515625" customWidth="1"/>
    <col min="1282" max="1284" width="23.140625" customWidth="1"/>
    <col min="1285" max="1286" width="20.28515625" customWidth="1"/>
    <col min="1538" max="1540" width="23.140625" customWidth="1"/>
    <col min="1541" max="1542" width="20.28515625" customWidth="1"/>
    <col min="1794" max="1796" width="23.140625" customWidth="1"/>
    <col min="1797" max="1798" width="20.28515625" customWidth="1"/>
    <col min="2050" max="2052" width="23.140625" customWidth="1"/>
    <col min="2053" max="2054" width="20.28515625" customWidth="1"/>
    <col min="2306" max="2308" width="23.140625" customWidth="1"/>
    <col min="2309" max="2310" width="20.28515625" customWidth="1"/>
    <col min="2562" max="2564" width="23.140625" customWidth="1"/>
    <col min="2565" max="2566" width="20.28515625" customWidth="1"/>
    <col min="2818" max="2820" width="23.140625" customWidth="1"/>
    <col min="2821" max="2822" width="20.28515625" customWidth="1"/>
    <col min="3074" max="3076" width="23.140625" customWidth="1"/>
    <col min="3077" max="3078" width="20.28515625" customWidth="1"/>
    <col min="3330" max="3332" width="23.140625" customWidth="1"/>
    <col min="3333" max="3334" width="20.28515625" customWidth="1"/>
    <col min="3586" max="3588" width="23.140625" customWidth="1"/>
    <col min="3589" max="3590" width="20.28515625" customWidth="1"/>
    <col min="3842" max="3844" width="23.140625" customWidth="1"/>
    <col min="3845" max="3846" width="20.28515625" customWidth="1"/>
    <col min="4098" max="4100" width="23.140625" customWidth="1"/>
    <col min="4101" max="4102" width="20.28515625" customWidth="1"/>
    <col min="4354" max="4356" width="23.140625" customWidth="1"/>
    <col min="4357" max="4358" width="20.28515625" customWidth="1"/>
    <col min="4610" max="4612" width="23.140625" customWidth="1"/>
    <col min="4613" max="4614" width="20.28515625" customWidth="1"/>
    <col min="4866" max="4868" width="23.140625" customWidth="1"/>
    <col min="4869" max="4870" width="20.28515625" customWidth="1"/>
    <col min="5122" max="5124" width="23.140625" customWidth="1"/>
    <col min="5125" max="5126" width="20.28515625" customWidth="1"/>
    <col min="5378" max="5380" width="23.140625" customWidth="1"/>
    <col min="5381" max="5382" width="20.28515625" customWidth="1"/>
    <col min="5634" max="5636" width="23.140625" customWidth="1"/>
    <col min="5637" max="5638" width="20.28515625" customWidth="1"/>
    <col min="5890" max="5892" width="23.140625" customWidth="1"/>
    <col min="5893" max="5894" width="20.28515625" customWidth="1"/>
    <col min="6146" max="6148" width="23.140625" customWidth="1"/>
    <col min="6149" max="6150" width="20.28515625" customWidth="1"/>
    <col min="6402" max="6404" width="23.140625" customWidth="1"/>
    <col min="6405" max="6406" width="20.28515625" customWidth="1"/>
    <col min="6658" max="6660" width="23.140625" customWidth="1"/>
    <col min="6661" max="6662" width="20.28515625" customWidth="1"/>
    <col min="6914" max="6916" width="23.140625" customWidth="1"/>
    <col min="6917" max="6918" width="20.28515625" customWidth="1"/>
    <col min="7170" max="7172" width="23.140625" customWidth="1"/>
    <col min="7173" max="7174" width="20.28515625" customWidth="1"/>
    <col min="7426" max="7428" width="23.140625" customWidth="1"/>
    <col min="7429" max="7430" width="20.28515625" customWidth="1"/>
    <col min="7682" max="7684" width="23.140625" customWidth="1"/>
    <col min="7685" max="7686" width="20.28515625" customWidth="1"/>
    <col min="7938" max="7940" width="23.140625" customWidth="1"/>
    <col min="7941" max="7942" width="20.28515625" customWidth="1"/>
    <col min="8194" max="8196" width="23.140625" customWidth="1"/>
    <col min="8197" max="8198" width="20.28515625" customWidth="1"/>
    <col min="8450" max="8452" width="23.140625" customWidth="1"/>
    <col min="8453" max="8454" width="20.28515625" customWidth="1"/>
    <col min="8706" max="8708" width="23.140625" customWidth="1"/>
    <col min="8709" max="8710" width="20.28515625" customWidth="1"/>
    <col min="8962" max="8964" width="23.140625" customWidth="1"/>
    <col min="8965" max="8966" width="20.28515625" customWidth="1"/>
    <col min="9218" max="9220" width="23.140625" customWidth="1"/>
    <col min="9221" max="9222" width="20.28515625" customWidth="1"/>
    <col min="9474" max="9476" width="23.140625" customWidth="1"/>
    <col min="9477" max="9478" width="20.28515625" customWidth="1"/>
    <col min="9730" max="9732" width="23.140625" customWidth="1"/>
    <col min="9733" max="9734" width="20.28515625" customWidth="1"/>
    <col min="9986" max="9988" width="23.140625" customWidth="1"/>
    <col min="9989" max="9990" width="20.28515625" customWidth="1"/>
    <col min="10242" max="10244" width="23.140625" customWidth="1"/>
    <col min="10245" max="10246" width="20.28515625" customWidth="1"/>
    <col min="10498" max="10500" width="23.140625" customWidth="1"/>
    <col min="10501" max="10502" width="20.28515625" customWidth="1"/>
    <col min="10754" max="10756" width="23.140625" customWidth="1"/>
    <col min="10757" max="10758" width="20.28515625" customWidth="1"/>
    <col min="11010" max="11012" width="23.140625" customWidth="1"/>
    <col min="11013" max="11014" width="20.28515625" customWidth="1"/>
    <col min="11266" max="11268" width="23.140625" customWidth="1"/>
    <col min="11269" max="11270" width="20.28515625" customWidth="1"/>
    <col min="11522" max="11524" width="23.140625" customWidth="1"/>
    <col min="11525" max="11526" width="20.28515625" customWidth="1"/>
    <col min="11778" max="11780" width="23.140625" customWidth="1"/>
    <col min="11781" max="11782" width="20.28515625" customWidth="1"/>
    <col min="12034" max="12036" width="23.140625" customWidth="1"/>
    <col min="12037" max="12038" width="20.28515625" customWidth="1"/>
    <col min="12290" max="12292" width="23.140625" customWidth="1"/>
    <col min="12293" max="12294" width="20.28515625" customWidth="1"/>
    <col min="12546" max="12548" width="23.140625" customWidth="1"/>
    <col min="12549" max="12550" width="20.28515625" customWidth="1"/>
    <col min="12802" max="12804" width="23.140625" customWidth="1"/>
    <col min="12805" max="12806" width="20.28515625" customWidth="1"/>
    <col min="13058" max="13060" width="23.140625" customWidth="1"/>
    <col min="13061" max="13062" width="20.28515625" customWidth="1"/>
    <col min="13314" max="13316" width="23.140625" customWidth="1"/>
    <col min="13317" max="13318" width="20.28515625" customWidth="1"/>
    <col min="13570" max="13572" width="23.140625" customWidth="1"/>
    <col min="13573" max="13574" width="20.28515625" customWidth="1"/>
    <col min="13826" max="13828" width="23.140625" customWidth="1"/>
    <col min="13829" max="13830" width="20.28515625" customWidth="1"/>
    <col min="14082" max="14084" width="23.140625" customWidth="1"/>
    <col min="14085" max="14086" width="20.28515625" customWidth="1"/>
    <col min="14338" max="14340" width="23.140625" customWidth="1"/>
    <col min="14341" max="14342" width="20.28515625" customWidth="1"/>
    <col min="14594" max="14596" width="23.140625" customWidth="1"/>
    <col min="14597" max="14598" width="20.28515625" customWidth="1"/>
    <col min="14850" max="14852" width="23.140625" customWidth="1"/>
    <col min="14853" max="14854" width="20.28515625" customWidth="1"/>
    <col min="15106" max="15108" width="23.140625" customWidth="1"/>
    <col min="15109" max="15110" width="20.28515625" customWidth="1"/>
    <col min="15362" max="15364" width="23.140625" customWidth="1"/>
    <col min="15365" max="15366" width="20.28515625" customWidth="1"/>
    <col min="15618" max="15620" width="23.140625" customWidth="1"/>
    <col min="15621" max="15622" width="20.28515625" customWidth="1"/>
    <col min="15874" max="15876" width="23.140625" customWidth="1"/>
    <col min="15877" max="15878" width="20.28515625" customWidth="1"/>
    <col min="16130" max="16132" width="23.140625" customWidth="1"/>
    <col min="16133" max="16134" width="20.28515625" customWidth="1"/>
  </cols>
  <sheetData>
    <row r="1" spans="1:11" ht="30" x14ac:dyDescent="0.25">
      <c r="B1" s="23" t="s">
        <v>623</v>
      </c>
      <c r="C1" s="23"/>
      <c r="D1" s="23"/>
      <c r="E1" s="23"/>
      <c r="F1" s="23"/>
    </row>
    <row r="2" spans="1:11" x14ac:dyDescent="0.25">
      <c r="B2" s="23" t="s">
        <v>189</v>
      </c>
      <c r="C2" s="23"/>
      <c r="D2" s="23"/>
      <c r="E2" s="23"/>
      <c r="F2" s="23"/>
    </row>
    <row r="3" spans="1:11" x14ac:dyDescent="0.25">
      <c r="B3" s="23" t="s">
        <v>188</v>
      </c>
      <c r="C3" s="23"/>
      <c r="D3" s="23"/>
      <c r="E3" s="23"/>
      <c r="F3" s="23"/>
    </row>
    <row r="6" spans="1:11" x14ac:dyDescent="0.25">
      <c r="H6" s="61" t="s">
        <v>198</v>
      </c>
      <c r="I6" s="26" t="s">
        <v>199</v>
      </c>
      <c r="J6" s="26" t="s">
        <v>200</v>
      </c>
      <c r="K6" s="26" t="s">
        <v>203</v>
      </c>
    </row>
    <row r="7" spans="1:11" x14ac:dyDescent="0.25">
      <c r="H7" s="61" t="s">
        <v>209</v>
      </c>
      <c r="I7" s="26" t="s">
        <v>199</v>
      </c>
      <c r="J7" s="26" t="s">
        <v>201</v>
      </c>
      <c r="K7" s="26" t="s">
        <v>204</v>
      </c>
    </row>
    <row r="8" spans="1:11" x14ac:dyDescent="0.25">
      <c r="H8" s="61" t="s">
        <v>202</v>
      </c>
      <c r="I8" s="26" t="s">
        <v>199</v>
      </c>
      <c r="J8" s="26" t="s">
        <v>205</v>
      </c>
      <c r="K8" s="26" t="s">
        <v>208</v>
      </c>
    </row>
    <row r="9" spans="1:11" x14ac:dyDescent="0.25">
      <c r="H9" s="61" t="s">
        <v>206</v>
      </c>
      <c r="I9" s="26" t="s">
        <v>199</v>
      </c>
      <c r="J9" s="26" t="s">
        <v>415</v>
      </c>
      <c r="K9" s="26" t="s">
        <v>207</v>
      </c>
    </row>
    <row r="10" spans="1:11" x14ac:dyDescent="0.25">
      <c r="H10" s="61" t="s">
        <v>401</v>
      </c>
      <c r="I10" s="26" t="s">
        <v>199</v>
      </c>
      <c r="J10" s="26" t="s">
        <v>402</v>
      </c>
      <c r="K10" s="26" t="s">
        <v>403</v>
      </c>
    </row>
    <row r="11" spans="1:11" x14ac:dyDescent="0.25">
      <c r="B11" s="57" t="s">
        <v>182</v>
      </c>
      <c r="C11" s="57" t="s">
        <v>181</v>
      </c>
      <c r="D11" s="57" t="s">
        <v>180</v>
      </c>
    </row>
    <row r="12" spans="1:11" ht="45" x14ac:dyDescent="0.25">
      <c r="B12" s="33" t="s">
        <v>187</v>
      </c>
      <c r="C12" s="33" t="s">
        <v>186</v>
      </c>
      <c r="D12" s="33" t="s">
        <v>185</v>
      </c>
    </row>
    <row r="13" spans="1:11" x14ac:dyDescent="0.25">
      <c r="A13" t="s">
        <v>184</v>
      </c>
      <c r="B13" s="60">
        <f>COUNT(B21:B30)</f>
        <v>10</v>
      </c>
      <c r="C13" s="60">
        <f>COUNT(C21:C30)</f>
        <v>10</v>
      </c>
      <c r="D13" s="60">
        <f>COUNT(D21:D30)</f>
        <v>10</v>
      </c>
    </row>
    <row r="14" spans="1:11" x14ac:dyDescent="0.25">
      <c r="A14" t="s">
        <v>183</v>
      </c>
      <c r="B14" s="59">
        <f>B13/((B13-1)*(B13-2))*SUMPRODUCT(((B21:B30-AVERAGE(B21:B30))/_xlfn.STDEV.S(B21:B30))^3)</f>
        <v>-0.64052176797398908</v>
      </c>
      <c r="C14" s="59">
        <f>C13/((C13-1)*(C13-2))*SUMPRODUCT(((C21:C30-AVERAGE(C21:C30))/_xlfn.STDEV.S(C21:C30))^3)</f>
        <v>-1.1277285554160596E-2</v>
      </c>
      <c r="D14" s="59">
        <f>D13/((D13-1)*(D13-2))*SUMPRODUCT(((D21:D30-AVERAGE(D21:D30))/_xlfn.STDEV.S(D21:D30))^3)</f>
        <v>1.5524906262931217</v>
      </c>
    </row>
    <row r="15" spans="1:11" x14ac:dyDescent="0.25">
      <c r="A15" t="s">
        <v>183</v>
      </c>
      <c r="B15" s="59">
        <f>SKEW(B21:B30)</f>
        <v>-0.64052176797398896</v>
      </c>
      <c r="C15" s="59">
        <f t="shared" ref="C15:D15" si="0">SKEW(C21:C30)</f>
        <v>-1.1277285554160533E-2</v>
      </c>
      <c r="D15" s="59">
        <f t="shared" si="0"/>
        <v>1.5524906262931217</v>
      </c>
    </row>
    <row r="16" spans="1:11" x14ac:dyDescent="0.25">
      <c r="A16" t="s">
        <v>85</v>
      </c>
      <c r="B16" s="58">
        <f>AVERAGE(B21:B30)</f>
        <v>32.6</v>
      </c>
      <c r="C16" s="58">
        <f t="shared" ref="C16:D16" si="1">AVERAGE(C21:C30)</f>
        <v>24.59</v>
      </c>
      <c r="D16" s="58">
        <f t="shared" si="1"/>
        <v>14.39</v>
      </c>
    </row>
    <row r="17" spans="1:4" x14ac:dyDescent="0.25">
      <c r="A17" t="s">
        <v>86</v>
      </c>
      <c r="B17" s="58">
        <f>MEDIAN(B21:B30)</f>
        <v>34.5</v>
      </c>
      <c r="C17" s="58">
        <f t="shared" ref="C17:D17" si="2">MEDIAN(C21:C30)</f>
        <v>25</v>
      </c>
      <c r="D17" s="58">
        <f t="shared" si="2"/>
        <v>9</v>
      </c>
    </row>
    <row r="18" spans="1:4" x14ac:dyDescent="0.25">
      <c r="A18" t="s">
        <v>87</v>
      </c>
      <c r="B18" s="58">
        <f>_xlfn.MODE.SNGL(B21:B30)</f>
        <v>43</v>
      </c>
      <c r="C18" s="58">
        <f t="shared" ref="C18:D18" si="3">_xlfn.MODE.SNGL(C21:C30)</f>
        <v>25</v>
      </c>
      <c r="D18" s="58">
        <f t="shared" si="3"/>
        <v>7</v>
      </c>
    </row>
    <row r="19" spans="1:4" x14ac:dyDescent="0.25">
      <c r="B19" s="57" t="s">
        <v>182</v>
      </c>
      <c r="C19" s="57" t="s">
        <v>181</v>
      </c>
      <c r="D19" s="57" t="s">
        <v>180</v>
      </c>
    </row>
    <row r="20" spans="1:4" x14ac:dyDescent="0.25">
      <c r="B20" s="1" t="s">
        <v>179</v>
      </c>
      <c r="C20" s="1" t="s">
        <v>178</v>
      </c>
      <c r="D20" s="1" t="s">
        <v>177</v>
      </c>
    </row>
    <row r="21" spans="1:4" x14ac:dyDescent="0.25">
      <c r="B21" s="26">
        <v>7</v>
      </c>
      <c r="C21" s="56">
        <v>7.9</v>
      </c>
      <c r="D21" s="26">
        <v>1</v>
      </c>
    </row>
    <row r="22" spans="1:4" x14ac:dyDescent="0.25">
      <c r="B22" s="26">
        <v>43</v>
      </c>
      <c r="C22" s="26">
        <v>15</v>
      </c>
      <c r="D22" s="26">
        <v>7</v>
      </c>
    </row>
    <row r="23" spans="1:4" x14ac:dyDescent="0.25">
      <c r="B23" s="26">
        <v>33</v>
      </c>
      <c r="C23" s="26">
        <v>11</v>
      </c>
      <c r="D23" s="26">
        <v>7</v>
      </c>
    </row>
    <row r="24" spans="1:4" x14ac:dyDescent="0.25">
      <c r="B24" s="26">
        <v>21</v>
      </c>
      <c r="C24" s="26">
        <v>21</v>
      </c>
      <c r="D24" s="26">
        <v>12</v>
      </c>
    </row>
    <row r="25" spans="1:4" x14ac:dyDescent="0.25">
      <c r="B25" s="26">
        <v>15</v>
      </c>
      <c r="C25" s="26">
        <v>25</v>
      </c>
      <c r="D25" s="26">
        <v>11</v>
      </c>
    </row>
    <row r="26" spans="1:4" x14ac:dyDescent="0.25">
      <c r="B26" s="26">
        <v>31</v>
      </c>
      <c r="C26" s="26">
        <v>25</v>
      </c>
      <c r="D26" s="26">
        <v>14</v>
      </c>
    </row>
    <row r="27" spans="1:4" x14ac:dyDescent="0.25">
      <c r="B27" s="26">
        <v>36</v>
      </c>
      <c r="C27" s="26">
        <v>27</v>
      </c>
      <c r="D27" s="26">
        <v>2</v>
      </c>
    </row>
    <row r="28" spans="1:4" x14ac:dyDescent="0.25">
      <c r="B28" s="26">
        <v>43</v>
      </c>
      <c r="C28" s="26">
        <v>35</v>
      </c>
      <c r="D28" s="26">
        <v>1.9</v>
      </c>
    </row>
    <row r="29" spans="1:4" x14ac:dyDescent="0.25">
      <c r="B29" s="26">
        <v>48</v>
      </c>
      <c r="C29" s="26">
        <v>38</v>
      </c>
      <c r="D29" s="26">
        <v>39</v>
      </c>
    </row>
    <row r="30" spans="1:4" x14ac:dyDescent="0.25">
      <c r="B30" s="26">
        <v>49</v>
      </c>
      <c r="C30" s="26">
        <v>41</v>
      </c>
      <c r="D30" s="26">
        <v>49</v>
      </c>
    </row>
    <row r="32" spans="1:4" x14ac:dyDescent="0.25">
      <c r="A32" s="1" t="s">
        <v>176</v>
      </c>
      <c r="B32" s="1" t="s">
        <v>164</v>
      </c>
      <c r="C32" s="1" t="s">
        <v>164</v>
      </c>
      <c r="D32" s="1" t="s">
        <v>164</v>
      </c>
    </row>
    <row r="33" spans="1:4" x14ac:dyDescent="0.25">
      <c r="A33" s="26" t="str">
        <f>A40&amp;"-"&amp;B40-1</f>
        <v>0-9</v>
      </c>
      <c r="B33" s="26">
        <f t="array" ref="B33:B37">FREQUENCY(B21:B30,B40:B44)</f>
        <v>1</v>
      </c>
      <c r="C33" s="26">
        <f t="array" ref="C33:C37">FREQUENCY(C21:C30,C40:C44)</f>
        <v>1</v>
      </c>
      <c r="D33" s="26">
        <f t="array" ref="D33:D37">FREQUENCY(D21:D30,D40:D44)</f>
        <v>5</v>
      </c>
    </row>
    <row r="34" spans="1:4" x14ac:dyDescent="0.25">
      <c r="A34" s="26" t="str">
        <f>A41&amp;"-"&amp;B41-1</f>
        <v>10-19</v>
      </c>
      <c r="B34" s="26">
        <v>1</v>
      </c>
      <c r="C34" s="26">
        <v>2</v>
      </c>
      <c r="D34" s="26">
        <v>3</v>
      </c>
    </row>
    <row r="35" spans="1:4" x14ac:dyDescent="0.25">
      <c r="A35" s="26" t="str">
        <f>A42&amp;"-"&amp;B42-1</f>
        <v>20-29</v>
      </c>
      <c r="B35" s="26">
        <v>1</v>
      </c>
      <c r="C35" s="26">
        <v>4</v>
      </c>
      <c r="D35" s="26">
        <v>0</v>
      </c>
    </row>
    <row r="36" spans="1:4" x14ac:dyDescent="0.25">
      <c r="A36" s="26" t="str">
        <f>A43&amp;"-"&amp;B43-1</f>
        <v>30-39</v>
      </c>
      <c r="B36" s="26">
        <v>3</v>
      </c>
      <c r="C36" s="26">
        <v>2</v>
      </c>
      <c r="D36" s="26">
        <v>1</v>
      </c>
    </row>
    <row r="37" spans="1:4" x14ac:dyDescent="0.25">
      <c r="A37" s="26" t="str">
        <f>A44&amp;"-"&amp;B44-1</f>
        <v>40-49</v>
      </c>
      <c r="B37" s="26">
        <v>4</v>
      </c>
      <c r="C37" s="26">
        <v>1</v>
      </c>
      <c r="D37" s="26">
        <v>1</v>
      </c>
    </row>
    <row r="39" spans="1:4" x14ac:dyDescent="0.25">
      <c r="A39" s="55" t="s">
        <v>175</v>
      </c>
      <c r="B39" s="55" t="s">
        <v>174</v>
      </c>
      <c r="C39" s="55" t="s">
        <v>174</v>
      </c>
      <c r="D39" s="55" t="s">
        <v>174</v>
      </c>
    </row>
    <row r="40" spans="1:4" x14ac:dyDescent="0.25">
      <c r="A40" s="26">
        <f>B40-10</f>
        <v>0</v>
      </c>
      <c r="B40" s="26">
        <v>10</v>
      </c>
      <c r="C40" s="26">
        <v>10</v>
      </c>
      <c r="D40" s="26">
        <v>10</v>
      </c>
    </row>
    <row r="41" spans="1:4" x14ac:dyDescent="0.25">
      <c r="A41" s="26">
        <f>B41-10</f>
        <v>10</v>
      </c>
      <c r="B41" s="26">
        <v>20</v>
      </c>
      <c r="C41" s="26">
        <v>20</v>
      </c>
      <c r="D41" s="26">
        <v>20</v>
      </c>
    </row>
    <row r="42" spans="1:4" x14ac:dyDescent="0.25">
      <c r="A42" s="26">
        <f>B42-10</f>
        <v>20</v>
      </c>
      <c r="B42" s="26">
        <v>30</v>
      </c>
      <c r="C42" s="26">
        <v>30</v>
      </c>
      <c r="D42" s="26">
        <v>30</v>
      </c>
    </row>
    <row r="43" spans="1:4" x14ac:dyDescent="0.25">
      <c r="A43" s="26">
        <f>B43-10</f>
        <v>30</v>
      </c>
      <c r="B43" s="26">
        <v>40</v>
      </c>
      <c r="C43" s="26">
        <v>40</v>
      </c>
      <c r="D43" s="26">
        <v>40</v>
      </c>
    </row>
    <row r="44" spans="1:4" x14ac:dyDescent="0.25">
      <c r="A44" s="26">
        <v>40</v>
      </c>
      <c r="B44" s="26">
        <v>50</v>
      </c>
      <c r="C44" s="26">
        <v>50</v>
      </c>
      <c r="D44" s="26">
        <v>50</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8">
    <tabColor rgb="FF0000FF"/>
  </sheetPr>
  <dimension ref="A16"/>
  <sheetViews>
    <sheetView zoomScale="87" zoomScaleNormal="87" workbookViewId="0">
      <selection activeCell="C2" sqref="C2"/>
    </sheetView>
  </sheetViews>
  <sheetFormatPr defaultRowHeight="15" x14ac:dyDescent="0.25"/>
  <cols>
    <col min="1" max="1" width="15.5703125" customWidth="1"/>
    <col min="2" max="4" width="9.28515625" bestFit="1" customWidth="1"/>
  </cols>
  <sheetData>
    <row r="16" ht="42.6" customHeight="1" x14ac:dyDescent="0.25"/>
  </sheetData>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9">
    <tabColor rgb="FF0000FF"/>
  </sheetPr>
  <dimension ref="A1:O93"/>
  <sheetViews>
    <sheetView zoomScale="85" zoomScaleNormal="85" workbookViewId="0">
      <selection activeCell="C2" sqref="C2"/>
    </sheetView>
  </sheetViews>
  <sheetFormatPr defaultRowHeight="15" x14ac:dyDescent="0.25"/>
  <cols>
    <col min="1" max="1" width="20.5703125" customWidth="1"/>
    <col min="2" max="2" width="6.7109375" customWidth="1"/>
    <col min="3" max="3" width="32.42578125" style="120" customWidth="1"/>
    <col min="4" max="4" width="12" bestFit="1" customWidth="1"/>
    <col min="5" max="5" width="6.7109375" customWidth="1"/>
    <col min="6" max="6" width="14.42578125"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0.5703125" customWidth="1"/>
    <col min="258" max="258" width="6.7109375" customWidth="1"/>
    <col min="259" max="259" width="32.42578125" customWidth="1"/>
    <col min="260" max="260" width="12" bestFit="1" customWidth="1"/>
    <col min="261" max="261" width="6.7109375" customWidth="1"/>
    <col min="262" max="262" width="14.42578125"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0.5703125" customWidth="1"/>
    <col min="514" max="514" width="6.7109375" customWidth="1"/>
    <col min="515" max="515" width="32.42578125" customWidth="1"/>
    <col min="516" max="516" width="12" bestFit="1" customWidth="1"/>
    <col min="517" max="517" width="6.7109375" customWidth="1"/>
    <col min="518" max="518" width="14.42578125"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0.5703125" customWidth="1"/>
    <col min="770" max="770" width="6.7109375" customWidth="1"/>
    <col min="771" max="771" width="32.42578125" customWidth="1"/>
    <col min="772" max="772" width="12" bestFit="1" customWidth="1"/>
    <col min="773" max="773" width="6.7109375" customWidth="1"/>
    <col min="774" max="774" width="14.42578125"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0.5703125" customWidth="1"/>
    <col min="1026" max="1026" width="6.7109375" customWidth="1"/>
    <col min="1027" max="1027" width="32.42578125" customWidth="1"/>
    <col min="1028" max="1028" width="12" bestFit="1" customWidth="1"/>
    <col min="1029" max="1029" width="6.7109375" customWidth="1"/>
    <col min="1030" max="1030" width="14.42578125"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0.5703125" customWidth="1"/>
    <col min="1282" max="1282" width="6.7109375" customWidth="1"/>
    <col min="1283" max="1283" width="32.42578125" customWidth="1"/>
    <col min="1284" max="1284" width="12" bestFit="1" customWidth="1"/>
    <col min="1285" max="1285" width="6.7109375" customWidth="1"/>
    <col min="1286" max="1286" width="14.42578125"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0.5703125" customWidth="1"/>
    <col min="1538" max="1538" width="6.7109375" customWidth="1"/>
    <col min="1539" max="1539" width="32.42578125" customWidth="1"/>
    <col min="1540" max="1540" width="12" bestFit="1" customWidth="1"/>
    <col min="1541" max="1541" width="6.7109375" customWidth="1"/>
    <col min="1542" max="1542" width="14.42578125"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0.5703125" customWidth="1"/>
    <col min="1794" max="1794" width="6.7109375" customWidth="1"/>
    <col min="1795" max="1795" width="32.42578125" customWidth="1"/>
    <col min="1796" max="1796" width="12" bestFit="1" customWidth="1"/>
    <col min="1797" max="1797" width="6.7109375" customWidth="1"/>
    <col min="1798" max="1798" width="14.42578125"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0.5703125" customWidth="1"/>
    <col min="2050" max="2050" width="6.7109375" customWidth="1"/>
    <col min="2051" max="2051" width="32.42578125" customWidth="1"/>
    <col min="2052" max="2052" width="12" bestFit="1" customWidth="1"/>
    <col min="2053" max="2053" width="6.7109375" customWidth="1"/>
    <col min="2054" max="2054" width="14.42578125"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0.5703125" customWidth="1"/>
    <col min="2306" max="2306" width="6.7109375" customWidth="1"/>
    <col min="2307" max="2307" width="32.42578125" customWidth="1"/>
    <col min="2308" max="2308" width="12" bestFit="1" customWidth="1"/>
    <col min="2309" max="2309" width="6.7109375" customWidth="1"/>
    <col min="2310" max="2310" width="14.42578125"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0.5703125" customWidth="1"/>
    <col min="2562" max="2562" width="6.7109375" customWidth="1"/>
    <col min="2563" max="2563" width="32.42578125" customWidth="1"/>
    <col min="2564" max="2564" width="12" bestFit="1" customWidth="1"/>
    <col min="2565" max="2565" width="6.7109375" customWidth="1"/>
    <col min="2566" max="2566" width="14.42578125"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0.5703125" customWidth="1"/>
    <col min="2818" max="2818" width="6.7109375" customWidth="1"/>
    <col min="2819" max="2819" width="32.42578125" customWidth="1"/>
    <col min="2820" max="2820" width="12" bestFit="1" customWidth="1"/>
    <col min="2821" max="2821" width="6.7109375" customWidth="1"/>
    <col min="2822" max="2822" width="14.42578125"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0.5703125" customWidth="1"/>
    <col min="3074" max="3074" width="6.7109375" customWidth="1"/>
    <col min="3075" max="3075" width="32.42578125" customWidth="1"/>
    <col min="3076" max="3076" width="12" bestFit="1" customWidth="1"/>
    <col min="3077" max="3077" width="6.7109375" customWidth="1"/>
    <col min="3078" max="3078" width="14.42578125"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0.5703125" customWidth="1"/>
    <col min="3330" max="3330" width="6.7109375" customWidth="1"/>
    <col min="3331" max="3331" width="32.42578125" customWidth="1"/>
    <col min="3332" max="3332" width="12" bestFit="1" customWidth="1"/>
    <col min="3333" max="3333" width="6.7109375" customWidth="1"/>
    <col min="3334" max="3334" width="14.42578125"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0.5703125" customWidth="1"/>
    <col min="3586" max="3586" width="6.7109375" customWidth="1"/>
    <col min="3587" max="3587" width="32.42578125" customWidth="1"/>
    <col min="3588" max="3588" width="12" bestFit="1" customWidth="1"/>
    <col min="3589" max="3589" width="6.7109375" customWidth="1"/>
    <col min="3590" max="3590" width="14.42578125"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0.5703125" customWidth="1"/>
    <col min="3842" max="3842" width="6.7109375" customWidth="1"/>
    <col min="3843" max="3843" width="32.42578125" customWidth="1"/>
    <col min="3844" max="3844" width="12" bestFit="1" customWidth="1"/>
    <col min="3845" max="3845" width="6.7109375" customWidth="1"/>
    <col min="3846" max="3846" width="14.42578125"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0.5703125" customWidth="1"/>
    <col min="4098" max="4098" width="6.7109375" customWidth="1"/>
    <col min="4099" max="4099" width="32.42578125" customWidth="1"/>
    <col min="4100" max="4100" width="12" bestFit="1" customWidth="1"/>
    <col min="4101" max="4101" width="6.7109375" customWidth="1"/>
    <col min="4102" max="4102" width="14.42578125"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0.5703125" customWidth="1"/>
    <col min="4354" max="4354" width="6.7109375" customWidth="1"/>
    <col min="4355" max="4355" width="32.42578125" customWidth="1"/>
    <col min="4356" max="4356" width="12" bestFit="1" customWidth="1"/>
    <col min="4357" max="4357" width="6.7109375" customWidth="1"/>
    <col min="4358" max="4358" width="14.42578125"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0.5703125" customWidth="1"/>
    <col min="4610" max="4610" width="6.7109375" customWidth="1"/>
    <col min="4611" max="4611" width="32.42578125" customWidth="1"/>
    <col min="4612" max="4612" width="12" bestFit="1" customWidth="1"/>
    <col min="4613" max="4613" width="6.7109375" customWidth="1"/>
    <col min="4614" max="4614" width="14.42578125"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0.5703125" customWidth="1"/>
    <col min="4866" max="4866" width="6.7109375" customWidth="1"/>
    <col min="4867" max="4867" width="32.42578125" customWidth="1"/>
    <col min="4868" max="4868" width="12" bestFit="1" customWidth="1"/>
    <col min="4869" max="4869" width="6.7109375" customWidth="1"/>
    <col min="4870" max="4870" width="14.42578125"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0.5703125" customWidth="1"/>
    <col min="5122" max="5122" width="6.7109375" customWidth="1"/>
    <col min="5123" max="5123" width="32.42578125" customWidth="1"/>
    <col min="5124" max="5124" width="12" bestFit="1" customWidth="1"/>
    <col min="5125" max="5125" width="6.7109375" customWidth="1"/>
    <col min="5126" max="5126" width="14.42578125"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0.5703125" customWidth="1"/>
    <col min="5378" max="5378" width="6.7109375" customWidth="1"/>
    <col min="5379" max="5379" width="32.42578125" customWidth="1"/>
    <col min="5380" max="5380" width="12" bestFit="1" customWidth="1"/>
    <col min="5381" max="5381" width="6.7109375" customWidth="1"/>
    <col min="5382" max="5382" width="14.42578125"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0.5703125" customWidth="1"/>
    <col min="5634" max="5634" width="6.7109375" customWidth="1"/>
    <col min="5635" max="5635" width="32.42578125" customWidth="1"/>
    <col min="5636" max="5636" width="12" bestFit="1" customWidth="1"/>
    <col min="5637" max="5637" width="6.7109375" customWidth="1"/>
    <col min="5638" max="5638" width="14.42578125"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0.5703125" customWidth="1"/>
    <col min="5890" max="5890" width="6.7109375" customWidth="1"/>
    <col min="5891" max="5891" width="32.42578125" customWidth="1"/>
    <col min="5892" max="5892" width="12" bestFit="1" customWidth="1"/>
    <col min="5893" max="5893" width="6.7109375" customWidth="1"/>
    <col min="5894" max="5894" width="14.42578125"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0.5703125" customWidth="1"/>
    <col min="6146" max="6146" width="6.7109375" customWidth="1"/>
    <col min="6147" max="6147" width="32.42578125" customWidth="1"/>
    <col min="6148" max="6148" width="12" bestFit="1" customWidth="1"/>
    <col min="6149" max="6149" width="6.7109375" customWidth="1"/>
    <col min="6150" max="6150" width="14.42578125"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0.5703125" customWidth="1"/>
    <col min="6402" max="6402" width="6.7109375" customWidth="1"/>
    <col min="6403" max="6403" width="32.42578125" customWidth="1"/>
    <col min="6404" max="6404" width="12" bestFit="1" customWidth="1"/>
    <col min="6405" max="6405" width="6.7109375" customWidth="1"/>
    <col min="6406" max="6406" width="14.42578125"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0.5703125" customWidth="1"/>
    <col min="6658" max="6658" width="6.7109375" customWidth="1"/>
    <col min="6659" max="6659" width="32.42578125" customWidth="1"/>
    <col min="6660" max="6660" width="12" bestFit="1" customWidth="1"/>
    <col min="6661" max="6661" width="6.7109375" customWidth="1"/>
    <col min="6662" max="6662" width="14.42578125"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0.5703125" customWidth="1"/>
    <col min="6914" max="6914" width="6.7109375" customWidth="1"/>
    <col min="6915" max="6915" width="32.42578125" customWidth="1"/>
    <col min="6916" max="6916" width="12" bestFit="1" customWidth="1"/>
    <col min="6917" max="6917" width="6.7109375" customWidth="1"/>
    <col min="6918" max="6918" width="14.42578125"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0.5703125" customWidth="1"/>
    <col min="7170" max="7170" width="6.7109375" customWidth="1"/>
    <col min="7171" max="7171" width="32.42578125" customWidth="1"/>
    <col min="7172" max="7172" width="12" bestFit="1" customWidth="1"/>
    <col min="7173" max="7173" width="6.7109375" customWidth="1"/>
    <col min="7174" max="7174" width="14.42578125"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0.5703125" customWidth="1"/>
    <col min="7426" max="7426" width="6.7109375" customWidth="1"/>
    <col min="7427" max="7427" width="32.42578125" customWidth="1"/>
    <col min="7428" max="7428" width="12" bestFit="1" customWidth="1"/>
    <col min="7429" max="7429" width="6.7109375" customWidth="1"/>
    <col min="7430" max="7430" width="14.42578125"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0.5703125" customWidth="1"/>
    <col min="7682" max="7682" width="6.7109375" customWidth="1"/>
    <col min="7683" max="7683" width="32.42578125" customWidth="1"/>
    <col min="7684" max="7684" width="12" bestFit="1" customWidth="1"/>
    <col min="7685" max="7685" width="6.7109375" customWidth="1"/>
    <col min="7686" max="7686" width="14.42578125"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0.5703125" customWidth="1"/>
    <col min="7938" max="7938" width="6.7109375" customWidth="1"/>
    <col min="7939" max="7939" width="32.42578125" customWidth="1"/>
    <col min="7940" max="7940" width="12" bestFit="1" customWidth="1"/>
    <col min="7941" max="7941" width="6.7109375" customWidth="1"/>
    <col min="7942" max="7942" width="14.42578125"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0.5703125" customWidth="1"/>
    <col min="8194" max="8194" width="6.7109375" customWidth="1"/>
    <col min="8195" max="8195" width="32.42578125" customWidth="1"/>
    <col min="8196" max="8196" width="12" bestFit="1" customWidth="1"/>
    <col min="8197" max="8197" width="6.7109375" customWidth="1"/>
    <col min="8198" max="8198" width="14.42578125"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0.5703125" customWidth="1"/>
    <col min="8450" max="8450" width="6.7109375" customWidth="1"/>
    <col min="8451" max="8451" width="32.42578125" customWidth="1"/>
    <col min="8452" max="8452" width="12" bestFit="1" customWidth="1"/>
    <col min="8453" max="8453" width="6.7109375" customWidth="1"/>
    <col min="8454" max="8454" width="14.42578125"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0.5703125" customWidth="1"/>
    <col min="8706" max="8706" width="6.7109375" customWidth="1"/>
    <col min="8707" max="8707" width="32.42578125" customWidth="1"/>
    <col min="8708" max="8708" width="12" bestFit="1" customWidth="1"/>
    <col min="8709" max="8709" width="6.7109375" customWidth="1"/>
    <col min="8710" max="8710" width="14.42578125"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0.5703125" customWidth="1"/>
    <col min="8962" max="8962" width="6.7109375" customWidth="1"/>
    <col min="8963" max="8963" width="32.42578125" customWidth="1"/>
    <col min="8964" max="8964" width="12" bestFit="1" customWidth="1"/>
    <col min="8965" max="8965" width="6.7109375" customWidth="1"/>
    <col min="8966" max="8966" width="14.42578125"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0.5703125" customWidth="1"/>
    <col min="9218" max="9218" width="6.7109375" customWidth="1"/>
    <col min="9219" max="9219" width="32.42578125" customWidth="1"/>
    <col min="9220" max="9220" width="12" bestFit="1" customWidth="1"/>
    <col min="9221" max="9221" width="6.7109375" customWidth="1"/>
    <col min="9222" max="9222" width="14.42578125"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0.5703125" customWidth="1"/>
    <col min="9474" max="9474" width="6.7109375" customWidth="1"/>
    <col min="9475" max="9475" width="32.42578125" customWidth="1"/>
    <col min="9476" max="9476" width="12" bestFit="1" customWidth="1"/>
    <col min="9477" max="9477" width="6.7109375" customWidth="1"/>
    <col min="9478" max="9478" width="14.42578125"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0.5703125" customWidth="1"/>
    <col min="9730" max="9730" width="6.7109375" customWidth="1"/>
    <col min="9731" max="9731" width="32.42578125" customWidth="1"/>
    <col min="9732" max="9732" width="12" bestFit="1" customWidth="1"/>
    <col min="9733" max="9733" width="6.7109375" customWidth="1"/>
    <col min="9734" max="9734" width="14.42578125"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0.5703125" customWidth="1"/>
    <col min="9986" max="9986" width="6.7109375" customWidth="1"/>
    <col min="9987" max="9987" width="32.42578125" customWidth="1"/>
    <col min="9988" max="9988" width="12" bestFit="1" customWidth="1"/>
    <col min="9989" max="9989" width="6.7109375" customWidth="1"/>
    <col min="9990" max="9990" width="14.42578125"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0.5703125" customWidth="1"/>
    <col min="10242" max="10242" width="6.7109375" customWidth="1"/>
    <col min="10243" max="10243" width="32.42578125" customWidth="1"/>
    <col min="10244" max="10244" width="12" bestFit="1" customWidth="1"/>
    <col min="10245" max="10245" width="6.7109375" customWidth="1"/>
    <col min="10246" max="10246" width="14.42578125"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0.5703125" customWidth="1"/>
    <col min="10498" max="10498" width="6.7109375" customWidth="1"/>
    <col min="10499" max="10499" width="32.42578125" customWidth="1"/>
    <col min="10500" max="10500" width="12" bestFit="1" customWidth="1"/>
    <col min="10501" max="10501" width="6.7109375" customWidth="1"/>
    <col min="10502" max="10502" width="14.42578125"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0.5703125" customWidth="1"/>
    <col min="10754" max="10754" width="6.7109375" customWidth="1"/>
    <col min="10755" max="10755" width="32.42578125" customWidth="1"/>
    <col min="10756" max="10756" width="12" bestFit="1" customWidth="1"/>
    <col min="10757" max="10757" width="6.7109375" customWidth="1"/>
    <col min="10758" max="10758" width="14.42578125"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0.5703125" customWidth="1"/>
    <col min="11010" max="11010" width="6.7109375" customWidth="1"/>
    <col min="11011" max="11011" width="32.42578125" customWidth="1"/>
    <col min="11012" max="11012" width="12" bestFit="1" customWidth="1"/>
    <col min="11013" max="11013" width="6.7109375" customWidth="1"/>
    <col min="11014" max="11014" width="14.42578125"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0.5703125" customWidth="1"/>
    <col min="11266" max="11266" width="6.7109375" customWidth="1"/>
    <col min="11267" max="11267" width="32.42578125" customWidth="1"/>
    <col min="11268" max="11268" width="12" bestFit="1" customWidth="1"/>
    <col min="11269" max="11269" width="6.7109375" customWidth="1"/>
    <col min="11270" max="11270" width="14.42578125"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0.5703125" customWidth="1"/>
    <col min="11522" max="11522" width="6.7109375" customWidth="1"/>
    <col min="11523" max="11523" width="32.42578125" customWidth="1"/>
    <col min="11524" max="11524" width="12" bestFit="1" customWidth="1"/>
    <col min="11525" max="11525" width="6.7109375" customWidth="1"/>
    <col min="11526" max="11526" width="14.42578125"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0.5703125" customWidth="1"/>
    <col min="11778" max="11778" width="6.7109375" customWidth="1"/>
    <col min="11779" max="11779" width="32.42578125" customWidth="1"/>
    <col min="11780" max="11780" width="12" bestFit="1" customWidth="1"/>
    <col min="11781" max="11781" width="6.7109375" customWidth="1"/>
    <col min="11782" max="11782" width="14.42578125"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0.5703125" customWidth="1"/>
    <col min="12034" max="12034" width="6.7109375" customWidth="1"/>
    <col min="12035" max="12035" width="32.42578125" customWidth="1"/>
    <col min="12036" max="12036" width="12" bestFit="1" customWidth="1"/>
    <col min="12037" max="12037" width="6.7109375" customWidth="1"/>
    <col min="12038" max="12038" width="14.42578125"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0.5703125" customWidth="1"/>
    <col min="12290" max="12290" width="6.7109375" customWidth="1"/>
    <col min="12291" max="12291" width="32.42578125" customWidth="1"/>
    <col min="12292" max="12292" width="12" bestFit="1" customWidth="1"/>
    <col min="12293" max="12293" width="6.7109375" customWidth="1"/>
    <col min="12294" max="12294" width="14.42578125"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0.5703125" customWidth="1"/>
    <col min="12546" max="12546" width="6.7109375" customWidth="1"/>
    <col min="12547" max="12547" width="32.42578125" customWidth="1"/>
    <col min="12548" max="12548" width="12" bestFit="1" customWidth="1"/>
    <col min="12549" max="12549" width="6.7109375" customWidth="1"/>
    <col min="12550" max="12550" width="14.42578125"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0.5703125" customWidth="1"/>
    <col min="12802" max="12802" width="6.7109375" customWidth="1"/>
    <col min="12803" max="12803" width="32.42578125" customWidth="1"/>
    <col min="12804" max="12804" width="12" bestFit="1" customWidth="1"/>
    <col min="12805" max="12805" width="6.7109375" customWidth="1"/>
    <col min="12806" max="12806" width="14.42578125"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0.5703125" customWidth="1"/>
    <col min="13058" max="13058" width="6.7109375" customWidth="1"/>
    <col min="13059" max="13059" width="32.42578125" customWidth="1"/>
    <col min="13060" max="13060" width="12" bestFit="1" customWidth="1"/>
    <col min="13061" max="13061" width="6.7109375" customWidth="1"/>
    <col min="13062" max="13062" width="14.42578125"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0.5703125" customWidth="1"/>
    <col min="13314" max="13314" width="6.7109375" customWidth="1"/>
    <col min="13315" max="13315" width="32.42578125" customWidth="1"/>
    <col min="13316" max="13316" width="12" bestFit="1" customWidth="1"/>
    <col min="13317" max="13317" width="6.7109375" customWidth="1"/>
    <col min="13318" max="13318" width="14.42578125"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0.5703125" customWidth="1"/>
    <col min="13570" max="13570" width="6.7109375" customWidth="1"/>
    <col min="13571" max="13571" width="32.42578125" customWidth="1"/>
    <col min="13572" max="13572" width="12" bestFit="1" customWidth="1"/>
    <col min="13573" max="13573" width="6.7109375" customWidth="1"/>
    <col min="13574" max="13574" width="14.42578125"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0.5703125" customWidth="1"/>
    <col min="13826" max="13826" width="6.7109375" customWidth="1"/>
    <col min="13827" max="13827" width="32.42578125" customWidth="1"/>
    <col min="13828" max="13828" width="12" bestFit="1" customWidth="1"/>
    <col min="13829" max="13829" width="6.7109375" customWidth="1"/>
    <col min="13830" max="13830" width="14.42578125"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0.5703125" customWidth="1"/>
    <col min="14082" max="14082" width="6.7109375" customWidth="1"/>
    <col min="14083" max="14083" width="32.42578125" customWidth="1"/>
    <col min="14084" max="14084" width="12" bestFit="1" customWidth="1"/>
    <col min="14085" max="14085" width="6.7109375" customWidth="1"/>
    <col min="14086" max="14086" width="14.42578125"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0.5703125" customWidth="1"/>
    <col min="14338" max="14338" width="6.7109375" customWidth="1"/>
    <col min="14339" max="14339" width="32.42578125" customWidth="1"/>
    <col min="14340" max="14340" width="12" bestFit="1" customWidth="1"/>
    <col min="14341" max="14341" width="6.7109375" customWidth="1"/>
    <col min="14342" max="14342" width="14.42578125"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0.5703125" customWidth="1"/>
    <col min="14594" max="14594" width="6.7109375" customWidth="1"/>
    <col min="14595" max="14595" width="32.42578125" customWidth="1"/>
    <col min="14596" max="14596" width="12" bestFit="1" customWidth="1"/>
    <col min="14597" max="14597" width="6.7109375" customWidth="1"/>
    <col min="14598" max="14598" width="14.42578125"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0.5703125" customWidth="1"/>
    <col min="14850" max="14850" width="6.7109375" customWidth="1"/>
    <col min="14851" max="14851" width="32.42578125" customWidth="1"/>
    <col min="14852" max="14852" width="12" bestFit="1" customWidth="1"/>
    <col min="14853" max="14853" width="6.7109375" customWidth="1"/>
    <col min="14854" max="14854" width="14.42578125"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0.5703125" customWidth="1"/>
    <col min="15106" max="15106" width="6.7109375" customWidth="1"/>
    <col min="15107" max="15107" width="32.42578125" customWidth="1"/>
    <col min="15108" max="15108" width="12" bestFit="1" customWidth="1"/>
    <col min="15109" max="15109" width="6.7109375" customWidth="1"/>
    <col min="15110" max="15110" width="14.42578125"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0.5703125" customWidth="1"/>
    <col min="15362" max="15362" width="6.7109375" customWidth="1"/>
    <col min="15363" max="15363" width="32.42578125" customWidth="1"/>
    <col min="15364" max="15364" width="12" bestFit="1" customWidth="1"/>
    <col min="15365" max="15365" width="6.7109375" customWidth="1"/>
    <col min="15366" max="15366" width="14.42578125"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0.5703125" customWidth="1"/>
    <col min="15618" max="15618" width="6.7109375" customWidth="1"/>
    <col min="15619" max="15619" width="32.42578125" customWidth="1"/>
    <col min="15620" max="15620" width="12" bestFit="1" customWidth="1"/>
    <col min="15621" max="15621" width="6.7109375" customWidth="1"/>
    <col min="15622" max="15622" width="14.42578125"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0.5703125" customWidth="1"/>
    <col min="15874" max="15874" width="6.7109375" customWidth="1"/>
    <col min="15875" max="15875" width="32.42578125" customWidth="1"/>
    <col min="15876" max="15876" width="12" bestFit="1" customWidth="1"/>
    <col min="15877" max="15877" width="6.7109375" customWidth="1"/>
    <col min="15878" max="15878" width="14.42578125"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0.5703125" customWidth="1"/>
    <col min="16130" max="16130" width="6.7109375" customWidth="1"/>
    <col min="16131" max="16131" width="32.42578125" customWidth="1"/>
    <col min="16132" max="16132" width="12" bestFit="1" customWidth="1"/>
    <col min="16133" max="16133" width="6.7109375" customWidth="1"/>
    <col min="16134" max="16134" width="14.42578125"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5" x14ac:dyDescent="0.25">
      <c r="A1" s="23" t="s">
        <v>607</v>
      </c>
      <c r="B1" s="23"/>
      <c r="C1" s="23"/>
      <c r="D1" s="23"/>
      <c r="O1" t="s">
        <v>606</v>
      </c>
    </row>
    <row r="2" spans="1:15" x14ac:dyDescent="0.25">
      <c r="O2" t="s">
        <v>605</v>
      </c>
    </row>
    <row r="4" spans="1:15" x14ac:dyDescent="0.25">
      <c r="O4" t="s">
        <v>183</v>
      </c>
    </row>
    <row r="5" spans="1:15" x14ac:dyDescent="0.25">
      <c r="O5">
        <f ca="1">SKEW(A7:A47)</f>
        <v>-1.114597833955518</v>
      </c>
    </row>
    <row r="6" spans="1:15" ht="75" x14ac:dyDescent="0.25">
      <c r="A6" s="159" t="s">
        <v>604</v>
      </c>
      <c r="C6" s="159" t="s">
        <v>602</v>
      </c>
      <c r="D6" s="30">
        <f ca="1">COUNT(A7:A47)</f>
        <v>41</v>
      </c>
    </row>
    <row r="7" spans="1:15" x14ac:dyDescent="0.25">
      <c r="A7" s="26">
        <f t="shared" ref="A7:A47" ca="1" si="0">IF(MOD(ROW(),4),RANDBETWEEN(65,100),RANDBETWEEN(0,100))</f>
        <v>77</v>
      </c>
      <c r="C7" s="159" t="s">
        <v>601</v>
      </c>
      <c r="D7" s="30">
        <f ca="1">MAX(A7:A47)</f>
        <v>100</v>
      </c>
    </row>
    <row r="8" spans="1:15" x14ac:dyDescent="0.25">
      <c r="A8" s="26">
        <f t="shared" ca="1" si="0"/>
        <v>87</v>
      </c>
      <c r="C8" s="159" t="s">
        <v>600</v>
      </c>
      <c r="D8" s="30">
        <f ca="1">MIN(A7:A47)</f>
        <v>24</v>
      </c>
    </row>
    <row r="9" spans="1:15" x14ac:dyDescent="0.25">
      <c r="A9" s="26">
        <f t="shared" ca="1" si="0"/>
        <v>90</v>
      </c>
      <c r="C9" s="158" t="str">
        <f ca="1">"Range = (MAX - MIN) = "&amp;D7&amp;" - "&amp;D8&amp;" ="</f>
        <v>Range = (MAX - MIN) = 100 - 24 =</v>
      </c>
      <c r="D9" s="30">
        <f ca="1">D7-D8</f>
        <v>76</v>
      </c>
    </row>
    <row r="10" spans="1:15" x14ac:dyDescent="0.25">
      <c r="A10" s="26">
        <f t="shared" ca="1" si="0"/>
        <v>65</v>
      </c>
      <c r="C10" s="159" t="s">
        <v>599</v>
      </c>
      <c r="D10" s="26">
        <v>7</v>
      </c>
      <c r="E10" t="s">
        <v>596</v>
      </c>
    </row>
    <row r="11" spans="1:15" x14ac:dyDescent="0.25">
      <c r="A11" s="26">
        <f t="shared" ca="1" si="0"/>
        <v>77</v>
      </c>
      <c r="C11" s="158" t="str">
        <f ca="1">"Is 2^"&amp;D10&amp;" ("&amp;2^D10&amp;") &gt;= "&amp;D6</f>
        <v>Is 2^7 (128) &gt;= 41</v>
      </c>
      <c r="D11" s="30" t="b">
        <f ca="1">2^D10&gt;=D6</f>
        <v>1</v>
      </c>
    </row>
    <row r="12" spans="1:15" ht="30" x14ac:dyDescent="0.25">
      <c r="A12" s="26">
        <f t="shared" ca="1" si="0"/>
        <v>24</v>
      </c>
      <c r="C12" s="158" t="str">
        <f ca="1">"Approximate Class Width = Range/k = "&amp;D9&amp;"/"&amp;D10&amp;" ="</f>
        <v>Approximate Class Width = Range/k = 76/7 =</v>
      </c>
      <c r="D12" s="30">
        <f ca="1">(D7-D8)/D10</f>
        <v>10.857142857142858</v>
      </c>
    </row>
    <row r="13" spans="1:15" x14ac:dyDescent="0.25">
      <c r="A13" s="26">
        <f t="shared" ca="1" si="0"/>
        <v>98</v>
      </c>
      <c r="C13" s="159" t="s">
        <v>598</v>
      </c>
      <c r="D13" s="26">
        <v>15</v>
      </c>
      <c r="E13" t="s">
        <v>596</v>
      </c>
    </row>
    <row r="14" spans="1:15" ht="30" x14ac:dyDescent="0.25">
      <c r="A14" s="26">
        <f t="shared" ca="1" si="0"/>
        <v>69</v>
      </c>
      <c r="C14" s="158" t="str">
        <f>"Actual Range for Classes = ClassWidth*k = "&amp;D13&amp;"*"&amp;D10&amp;" ="</f>
        <v>Actual Range for Classes = ClassWidth*k = 15*7 =</v>
      </c>
      <c r="D14" s="30">
        <f>D13*D10</f>
        <v>105</v>
      </c>
    </row>
    <row r="15" spans="1:15" ht="30" x14ac:dyDescent="0.25">
      <c r="A15" s="26">
        <f t="shared" ca="1" si="0"/>
        <v>78</v>
      </c>
      <c r="C15" s="157" t="s">
        <v>597</v>
      </c>
      <c r="D15" s="156">
        <v>0</v>
      </c>
      <c r="E15" t="s">
        <v>596</v>
      </c>
    </row>
    <row r="16" spans="1:15" x14ac:dyDescent="0.25">
      <c r="A16" s="26">
        <f t="shared" ca="1" si="0"/>
        <v>84</v>
      </c>
      <c r="C16"/>
      <c r="O16" t="s">
        <v>183</v>
      </c>
    </row>
    <row r="17" spans="1:15" x14ac:dyDescent="0.25">
      <c r="A17" s="26">
        <f t="shared" ca="1" si="0"/>
        <v>89</v>
      </c>
      <c r="C17"/>
      <c r="F17" s="155" t="s">
        <v>595</v>
      </c>
      <c r="G17" s="155" t="s">
        <v>164</v>
      </c>
      <c r="H17" s="155" t="s">
        <v>594</v>
      </c>
      <c r="O17">
        <f ca="1">SKEW(A53:A93)</f>
        <v>-0.13270492369187539</v>
      </c>
    </row>
    <row r="18" spans="1:15" x14ac:dyDescent="0.25">
      <c r="A18" s="26">
        <f t="shared" ca="1" si="0"/>
        <v>86</v>
      </c>
      <c r="D18" s="26">
        <f>D15</f>
        <v>0</v>
      </c>
      <c r="E18" s="26">
        <f t="shared" ref="E18:E24" si="1">D18+D$13</f>
        <v>15</v>
      </c>
      <c r="F18" s="26" t="str">
        <f t="shared" ref="F18:F24" si="2">D18&amp;" up to "&amp;E18</f>
        <v>0 up to 15</v>
      </c>
      <c r="G18" s="26">
        <f t="shared" ref="G18:G24" ca="1" si="3">COUNTIF($A$7:$A$47,"&lt;"&amp;E18)-COUNTIF($A$7:$A$47,"&lt;"&amp;D18)</f>
        <v>0</v>
      </c>
      <c r="H18" s="26">
        <f t="shared" ref="H18:H24" ca="1" si="4">G18/G$25</f>
        <v>0</v>
      </c>
    </row>
    <row r="19" spans="1:15" x14ac:dyDescent="0.25">
      <c r="A19" s="26">
        <f t="shared" ca="1" si="0"/>
        <v>84</v>
      </c>
      <c r="D19" s="26">
        <f t="shared" ref="D19:D24" si="5">E18</f>
        <v>15</v>
      </c>
      <c r="E19" s="26">
        <f t="shared" si="1"/>
        <v>30</v>
      </c>
      <c r="F19" s="26" t="str">
        <f t="shared" si="2"/>
        <v>15 up to 30</v>
      </c>
      <c r="G19" s="26">
        <f t="shared" ca="1" si="3"/>
        <v>2</v>
      </c>
      <c r="H19" s="26">
        <f t="shared" ca="1" si="4"/>
        <v>4.878048780487805E-2</v>
      </c>
    </row>
    <row r="20" spans="1:15" x14ac:dyDescent="0.25">
      <c r="A20" s="26">
        <f t="shared" ca="1" si="0"/>
        <v>34</v>
      </c>
      <c r="D20" s="26">
        <f t="shared" si="5"/>
        <v>30</v>
      </c>
      <c r="E20" s="26">
        <f t="shared" si="1"/>
        <v>45</v>
      </c>
      <c r="F20" s="26" t="str">
        <f t="shared" si="2"/>
        <v>30 up to 45</v>
      </c>
      <c r="G20" s="26">
        <f t="shared" ca="1" si="3"/>
        <v>5</v>
      </c>
      <c r="H20" s="26">
        <f t="shared" ca="1" si="4"/>
        <v>0.12195121951219512</v>
      </c>
    </row>
    <row r="21" spans="1:15" x14ac:dyDescent="0.25">
      <c r="A21" s="26">
        <f t="shared" ca="1" si="0"/>
        <v>67</v>
      </c>
      <c r="D21" s="26">
        <f t="shared" si="5"/>
        <v>45</v>
      </c>
      <c r="E21" s="26">
        <f t="shared" si="1"/>
        <v>60</v>
      </c>
      <c r="F21" s="26" t="str">
        <f t="shared" si="2"/>
        <v>45 up to 60</v>
      </c>
      <c r="G21" s="26">
        <f t="shared" ca="1" si="3"/>
        <v>0</v>
      </c>
      <c r="H21" s="26">
        <f t="shared" ca="1" si="4"/>
        <v>0</v>
      </c>
    </row>
    <row r="22" spans="1:15" x14ac:dyDescent="0.25">
      <c r="A22" s="26">
        <f t="shared" ca="1" si="0"/>
        <v>77</v>
      </c>
      <c r="D22" s="26">
        <f t="shared" si="5"/>
        <v>60</v>
      </c>
      <c r="E22" s="26">
        <f t="shared" si="1"/>
        <v>75</v>
      </c>
      <c r="F22" s="26" t="str">
        <f t="shared" si="2"/>
        <v>60 up to 75</v>
      </c>
      <c r="G22" s="26">
        <f t="shared" ca="1" si="3"/>
        <v>9</v>
      </c>
      <c r="H22" s="26">
        <f t="shared" ca="1" si="4"/>
        <v>0.21951219512195122</v>
      </c>
    </row>
    <row r="23" spans="1:15" x14ac:dyDescent="0.25">
      <c r="A23" s="26">
        <f t="shared" ca="1" si="0"/>
        <v>79</v>
      </c>
      <c r="D23" s="26">
        <f t="shared" si="5"/>
        <v>75</v>
      </c>
      <c r="E23" s="26">
        <f t="shared" si="1"/>
        <v>90</v>
      </c>
      <c r="F23" s="26" t="str">
        <f t="shared" si="2"/>
        <v>75 up to 90</v>
      </c>
      <c r="G23" s="26">
        <f t="shared" ca="1" si="3"/>
        <v>17</v>
      </c>
      <c r="H23" s="26">
        <f t="shared" ca="1" si="4"/>
        <v>0.41463414634146339</v>
      </c>
    </row>
    <row r="24" spans="1:15" x14ac:dyDescent="0.25">
      <c r="A24" s="26">
        <f t="shared" ca="1" si="0"/>
        <v>25</v>
      </c>
      <c r="D24" s="26">
        <f t="shared" si="5"/>
        <v>90</v>
      </c>
      <c r="E24" s="26">
        <f t="shared" si="1"/>
        <v>105</v>
      </c>
      <c r="F24" s="26" t="str">
        <f t="shared" si="2"/>
        <v>90 up to 105</v>
      </c>
      <c r="G24" s="26">
        <f t="shared" ca="1" si="3"/>
        <v>8</v>
      </c>
      <c r="H24" s="26">
        <f t="shared" ca="1" si="4"/>
        <v>0.1951219512195122</v>
      </c>
    </row>
    <row r="25" spans="1:15" x14ac:dyDescent="0.25">
      <c r="A25" s="26">
        <f t="shared" ca="1" si="0"/>
        <v>93</v>
      </c>
      <c r="G25" s="26">
        <f ca="1">SUM(G18:G24)</f>
        <v>41</v>
      </c>
      <c r="H25" s="26">
        <f ca="1">SUM(H18:H24)</f>
        <v>1</v>
      </c>
    </row>
    <row r="26" spans="1:15" x14ac:dyDescent="0.25">
      <c r="A26" s="26">
        <f t="shared" ca="1" si="0"/>
        <v>87</v>
      </c>
    </row>
    <row r="27" spans="1:15" x14ac:dyDescent="0.25">
      <c r="A27" s="26">
        <f t="shared" ca="1" si="0"/>
        <v>79</v>
      </c>
    </row>
    <row r="28" spans="1:15" x14ac:dyDescent="0.25">
      <c r="A28" s="26">
        <f t="shared" ca="1" si="0"/>
        <v>41</v>
      </c>
    </row>
    <row r="29" spans="1:15" x14ac:dyDescent="0.25">
      <c r="A29" s="26">
        <f t="shared" ca="1" si="0"/>
        <v>68</v>
      </c>
    </row>
    <row r="30" spans="1:15" x14ac:dyDescent="0.25">
      <c r="A30" s="26">
        <f t="shared" ca="1" si="0"/>
        <v>73</v>
      </c>
    </row>
    <row r="31" spans="1:15" x14ac:dyDescent="0.25">
      <c r="A31" s="26">
        <f t="shared" ca="1" si="0"/>
        <v>71</v>
      </c>
    </row>
    <row r="32" spans="1:15" x14ac:dyDescent="0.25">
      <c r="A32" s="26">
        <f t="shared" ca="1" si="0"/>
        <v>41</v>
      </c>
    </row>
    <row r="33" spans="1:1" x14ac:dyDescent="0.25">
      <c r="A33" s="26">
        <f t="shared" ca="1" si="0"/>
        <v>81</v>
      </c>
    </row>
    <row r="34" spans="1:1" x14ac:dyDescent="0.25">
      <c r="A34" s="26">
        <f t="shared" ca="1" si="0"/>
        <v>80</v>
      </c>
    </row>
    <row r="35" spans="1:1" x14ac:dyDescent="0.25">
      <c r="A35" s="26">
        <f t="shared" ca="1" si="0"/>
        <v>95</v>
      </c>
    </row>
    <row r="36" spans="1:1" x14ac:dyDescent="0.25">
      <c r="A36" s="26">
        <f t="shared" ca="1" si="0"/>
        <v>40</v>
      </c>
    </row>
    <row r="37" spans="1:1" x14ac:dyDescent="0.25">
      <c r="A37" s="26">
        <f t="shared" ca="1" si="0"/>
        <v>66</v>
      </c>
    </row>
    <row r="38" spans="1:1" x14ac:dyDescent="0.25">
      <c r="A38" s="26">
        <f t="shared" ca="1" si="0"/>
        <v>68</v>
      </c>
    </row>
    <row r="39" spans="1:1" x14ac:dyDescent="0.25">
      <c r="A39" s="26">
        <f t="shared" ca="1" si="0"/>
        <v>86</v>
      </c>
    </row>
    <row r="40" spans="1:1" x14ac:dyDescent="0.25">
      <c r="A40" s="26">
        <f t="shared" ca="1" si="0"/>
        <v>80</v>
      </c>
    </row>
    <row r="41" spans="1:1" x14ac:dyDescent="0.25">
      <c r="A41" s="26">
        <f t="shared" ca="1" si="0"/>
        <v>100</v>
      </c>
    </row>
    <row r="42" spans="1:1" x14ac:dyDescent="0.25">
      <c r="A42" s="26">
        <f t="shared" ca="1" si="0"/>
        <v>72</v>
      </c>
    </row>
    <row r="43" spans="1:1" x14ac:dyDescent="0.25">
      <c r="A43" s="26">
        <f t="shared" ca="1" si="0"/>
        <v>90</v>
      </c>
    </row>
    <row r="44" spans="1:1" x14ac:dyDescent="0.25">
      <c r="A44" s="26">
        <f t="shared" ca="1" si="0"/>
        <v>35</v>
      </c>
    </row>
    <row r="45" spans="1:1" x14ac:dyDescent="0.25">
      <c r="A45" s="26">
        <f t="shared" ca="1" si="0"/>
        <v>93</v>
      </c>
    </row>
    <row r="46" spans="1:1" x14ac:dyDescent="0.25">
      <c r="A46" s="26">
        <f t="shared" ca="1" si="0"/>
        <v>75</v>
      </c>
    </row>
    <row r="47" spans="1:1" x14ac:dyDescent="0.25">
      <c r="A47" s="26">
        <f t="shared" ca="1" si="0"/>
        <v>97</v>
      </c>
    </row>
    <row r="52" spans="1:8" ht="30" x14ac:dyDescent="0.25">
      <c r="A52" s="159" t="s">
        <v>603</v>
      </c>
      <c r="C52" s="159" t="s">
        <v>602</v>
      </c>
      <c r="D52" s="30">
        <f ca="1">COUNT(A53:A93)</f>
        <v>41</v>
      </c>
    </row>
    <row r="53" spans="1:8" x14ac:dyDescent="0.25">
      <c r="A53" s="26">
        <f t="shared" ref="A53:A93" ca="1" si="6">CHOOSE(RANDBETWEEN(1,5),RANDBETWEEN(0,30),RANDBETWEEN(0,30),RANDBETWEEN(60,100),RANDBETWEEN(60,100),RANDBETWEEN(0,100))</f>
        <v>28</v>
      </c>
      <c r="C53" s="159" t="s">
        <v>601</v>
      </c>
      <c r="D53" s="30">
        <f ca="1">MAX(A53:A93)</f>
        <v>100</v>
      </c>
    </row>
    <row r="54" spans="1:8" x14ac:dyDescent="0.25">
      <c r="A54" s="26">
        <f t="shared" ca="1" si="6"/>
        <v>75</v>
      </c>
      <c r="C54" s="159" t="s">
        <v>600</v>
      </c>
      <c r="D54" s="30">
        <f ca="1">MIN(A53:A93)</f>
        <v>4</v>
      </c>
    </row>
    <row r="55" spans="1:8" x14ac:dyDescent="0.25">
      <c r="A55" s="26">
        <f t="shared" ca="1" si="6"/>
        <v>85</v>
      </c>
      <c r="C55" s="158" t="str">
        <f ca="1">"Range = (MAX - MIN) = "&amp;D53&amp;" - "&amp;D54&amp;" ="</f>
        <v>Range = (MAX - MIN) = 100 - 4 =</v>
      </c>
      <c r="D55" s="30">
        <f ca="1">D53-D54</f>
        <v>96</v>
      </c>
    </row>
    <row r="56" spans="1:8" x14ac:dyDescent="0.25">
      <c r="A56" s="26">
        <f t="shared" ca="1" si="6"/>
        <v>15</v>
      </c>
      <c r="C56" s="159" t="s">
        <v>599</v>
      </c>
      <c r="D56" s="26">
        <v>7</v>
      </c>
      <c r="E56" t="s">
        <v>596</v>
      </c>
    </row>
    <row r="57" spans="1:8" x14ac:dyDescent="0.25">
      <c r="A57" s="26">
        <f t="shared" ca="1" si="6"/>
        <v>99</v>
      </c>
      <c r="C57" s="158" t="str">
        <f ca="1">"Is 2^"&amp;D56&amp;" ("&amp;2^D56&amp;") &gt;= "&amp;D52</f>
        <v>Is 2^7 (128) &gt;= 41</v>
      </c>
      <c r="D57" s="30" t="b">
        <f ca="1">2^D56&gt;=D52</f>
        <v>1</v>
      </c>
    </row>
    <row r="58" spans="1:8" ht="30" x14ac:dyDescent="0.25">
      <c r="A58" s="26">
        <f t="shared" ca="1" si="6"/>
        <v>77</v>
      </c>
      <c r="C58" s="158" t="str">
        <f ca="1">"Approximate Class Width = Range/k = "&amp;D55&amp;"/"&amp;D56&amp;" ="</f>
        <v>Approximate Class Width = Range/k = 96/7 =</v>
      </c>
      <c r="D58" s="30">
        <f ca="1">(D53-D54)/D56</f>
        <v>13.714285714285714</v>
      </c>
    </row>
    <row r="59" spans="1:8" x14ac:dyDescent="0.25">
      <c r="A59" s="26">
        <f t="shared" ca="1" si="6"/>
        <v>16</v>
      </c>
      <c r="C59" s="159" t="s">
        <v>598</v>
      </c>
      <c r="D59" s="26">
        <v>15</v>
      </c>
      <c r="E59" t="s">
        <v>596</v>
      </c>
    </row>
    <row r="60" spans="1:8" ht="30" x14ac:dyDescent="0.25">
      <c r="A60" s="26">
        <f t="shared" ca="1" si="6"/>
        <v>88</v>
      </c>
      <c r="C60" s="158" t="str">
        <f>"Actual Range for Classes = ClassWidth*k = "&amp;D59&amp;"*"&amp;D56&amp;" ="</f>
        <v>Actual Range for Classes = ClassWidth*k = 15*7 =</v>
      </c>
      <c r="D60" s="30">
        <f>D59*D56</f>
        <v>105</v>
      </c>
    </row>
    <row r="61" spans="1:8" ht="30" x14ac:dyDescent="0.25">
      <c r="A61" s="26">
        <f t="shared" ca="1" si="6"/>
        <v>28</v>
      </c>
      <c r="C61" s="157" t="s">
        <v>597</v>
      </c>
      <c r="D61" s="156">
        <v>0</v>
      </c>
      <c r="E61" t="s">
        <v>596</v>
      </c>
    </row>
    <row r="62" spans="1:8" x14ac:dyDescent="0.25">
      <c r="A62" s="26">
        <f t="shared" ca="1" si="6"/>
        <v>76</v>
      </c>
      <c r="C62"/>
    </row>
    <row r="63" spans="1:8" x14ac:dyDescent="0.25">
      <c r="A63" s="26">
        <f t="shared" ca="1" si="6"/>
        <v>99</v>
      </c>
      <c r="C63"/>
      <c r="F63" s="155" t="s">
        <v>595</v>
      </c>
      <c r="G63" s="155" t="s">
        <v>164</v>
      </c>
      <c r="H63" s="155" t="s">
        <v>594</v>
      </c>
    </row>
    <row r="64" spans="1:8" x14ac:dyDescent="0.25">
      <c r="A64" s="26">
        <f t="shared" ca="1" si="6"/>
        <v>26</v>
      </c>
      <c r="D64" s="26">
        <f>D61</f>
        <v>0</v>
      </c>
      <c r="E64" s="26">
        <f t="shared" ref="E64:E70" si="7">D64+D$59</f>
        <v>15</v>
      </c>
      <c r="F64" s="26" t="str">
        <f t="shared" ref="F64:F70" si="8">D64&amp;" up to "&amp;E64</f>
        <v>0 up to 15</v>
      </c>
      <c r="G64" s="26">
        <f t="shared" ref="G64:G70" ca="1" si="9">COUNTIF($A$53:$A$93,"&lt;"&amp;E64)-COUNTIF($A$53:$A$93,"&lt;"&amp;D64)</f>
        <v>5</v>
      </c>
      <c r="H64" s="26">
        <f t="shared" ref="H64:H70" ca="1" si="10">G64/G$25</f>
        <v>0.12195121951219512</v>
      </c>
    </row>
    <row r="65" spans="1:8" x14ac:dyDescent="0.25">
      <c r="A65" s="26">
        <f t="shared" ca="1" si="6"/>
        <v>97</v>
      </c>
      <c r="D65" s="26">
        <f t="shared" ref="D65:D70" si="11">E64</f>
        <v>15</v>
      </c>
      <c r="E65" s="26">
        <f t="shared" si="7"/>
        <v>30</v>
      </c>
      <c r="F65" s="26" t="str">
        <f t="shared" si="8"/>
        <v>15 up to 30</v>
      </c>
      <c r="G65" s="26">
        <f t="shared" ca="1" si="9"/>
        <v>11</v>
      </c>
      <c r="H65" s="26">
        <f t="shared" ca="1" si="10"/>
        <v>0.26829268292682928</v>
      </c>
    </row>
    <row r="66" spans="1:8" x14ac:dyDescent="0.25">
      <c r="A66" s="26">
        <f t="shared" ca="1" si="6"/>
        <v>98</v>
      </c>
      <c r="D66" s="26">
        <f t="shared" si="11"/>
        <v>30</v>
      </c>
      <c r="E66" s="26">
        <f t="shared" si="7"/>
        <v>45</v>
      </c>
      <c r="F66" s="26" t="str">
        <f t="shared" si="8"/>
        <v>30 up to 45</v>
      </c>
      <c r="G66" s="26">
        <f t="shared" ca="1" si="9"/>
        <v>2</v>
      </c>
      <c r="H66" s="26">
        <f t="shared" ca="1" si="10"/>
        <v>4.878048780487805E-2</v>
      </c>
    </row>
    <row r="67" spans="1:8" x14ac:dyDescent="0.25">
      <c r="A67" s="26">
        <f t="shared" ca="1" si="6"/>
        <v>26</v>
      </c>
      <c r="D67" s="26">
        <f t="shared" si="11"/>
        <v>45</v>
      </c>
      <c r="E67" s="26">
        <f t="shared" si="7"/>
        <v>60</v>
      </c>
      <c r="F67" s="26" t="str">
        <f t="shared" si="8"/>
        <v>45 up to 60</v>
      </c>
      <c r="G67" s="26">
        <f t="shared" ca="1" si="9"/>
        <v>1</v>
      </c>
      <c r="H67" s="26">
        <f t="shared" ca="1" si="10"/>
        <v>2.4390243902439025E-2</v>
      </c>
    </row>
    <row r="68" spans="1:8" x14ac:dyDescent="0.25">
      <c r="A68" s="26">
        <f t="shared" ca="1" si="6"/>
        <v>65</v>
      </c>
      <c r="D68" s="26">
        <f t="shared" si="11"/>
        <v>60</v>
      </c>
      <c r="E68" s="26">
        <f t="shared" si="7"/>
        <v>75</v>
      </c>
      <c r="F68" s="26" t="str">
        <f t="shared" si="8"/>
        <v>60 up to 75</v>
      </c>
      <c r="G68" s="26">
        <f t="shared" ca="1" si="9"/>
        <v>6</v>
      </c>
      <c r="H68" s="26">
        <f t="shared" ca="1" si="10"/>
        <v>0.14634146341463414</v>
      </c>
    </row>
    <row r="69" spans="1:8" x14ac:dyDescent="0.25">
      <c r="A69" s="26">
        <f t="shared" ca="1" si="6"/>
        <v>82</v>
      </c>
      <c r="D69" s="26">
        <f t="shared" si="11"/>
        <v>75</v>
      </c>
      <c r="E69" s="26">
        <f t="shared" si="7"/>
        <v>90</v>
      </c>
      <c r="F69" s="26" t="str">
        <f t="shared" si="8"/>
        <v>75 up to 90</v>
      </c>
      <c r="G69" s="26">
        <f t="shared" ca="1" si="9"/>
        <v>7</v>
      </c>
      <c r="H69" s="26">
        <f t="shared" ca="1" si="10"/>
        <v>0.17073170731707318</v>
      </c>
    </row>
    <row r="70" spans="1:8" x14ac:dyDescent="0.25">
      <c r="A70" s="26">
        <f t="shared" ca="1" si="6"/>
        <v>29</v>
      </c>
      <c r="D70" s="26">
        <f t="shared" si="11"/>
        <v>90</v>
      </c>
      <c r="E70" s="26">
        <f t="shared" si="7"/>
        <v>105</v>
      </c>
      <c r="F70" s="26" t="str">
        <f t="shared" si="8"/>
        <v>90 up to 105</v>
      </c>
      <c r="G70" s="26">
        <f t="shared" ca="1" si="9"/>
        <v>9</v>
      </c>
      <c r="H70" s="26">
        <f t="shared" ca="1" si="10"/>
        <v>0.21951219512195122</v>
      </c>
    </row>
    <row r="71" spans="1:8" x14ac:dyDescent="0.25">
      <c r="A71" s="26">
        <f t="shared" ca="1" si="6"/>
        <v>87</v>
      </c>
      <c r="G71" s="26">
        <f ca="1">SUM(G64:G70)</f>
        <v>41</v>
      </c>
      <c r="H71" s="26">
        <f ca="1">SUM(H64:H70)</f>
        <v>1</v>
      </c>
    </row>
    <row r="72" spans="1:8" x14ac:dyDescent="0.25">
      <c r="A72" s="26">
        <f t="shared" ca="1" si="6"/>
        <v>7</v>
      </c>
    </row>
    <row r="73" spans="1:8" x14ac:dyDescent="0.25">
      <c r="A73" s="26">
        <f t="shared" ca="1" si="6"/>
        <v>92</v>
      </c>
    </row>
    <row r="74" spans="1:8" x14ac:dyDescent="0.25">
      <c r="A74" s="26">
        <f t="shared" ca="1" si="6"/>
        <v>4</v>
      </c>
    </row>
    <row r="75" spans="1:8" x14ac:dyDescent="0.25">
      <c r="A75" s="26">
        <f t="shared" ca="1" si="6"/>
        <v>22</v>
      </c>
    </row>
    <row r="76" spans="1:8" x14ac:dyDescent="0.25">
      <c r="A76" s="26">
        <f t="shared" ca="1" si="6"/>
        <v>15</v>
      </c>
    </row>
    <row r="77" spans="1:8" x14ac:dyDescent="0.25">
      <c r="A77" s="26">
        <f t="shared" ca="1" si="6"/>
        <v>28</v>
      </c>
    </row>
    <row r="78" spans="1:8" x14ac:dyDescent="0.25">
      <c r="A78" s="26">
        <f t="shared" ca="1" si="6"/>
        <v>91</v>
      </c>
    </row>
    <row r="79" spans="1:8" x14ac:dyDescent="0.25">
      <c r="A79" s="26">
        <f t="shared" ca="1" si="6"/>
        <v>9</v>
      </c>
    </row>
    <row r="80" spans="1:8" x14ac:dyDescent="0.25">
      <c r="A80" s="26">
        <f t="shared" ca="1" si="6"/>
        <v>26</v>
      </c>
    </row>
    <row r="81" spans="1:1" x14ac:dyDescent="0.25">
      <c r="A81" s="26">
        <f t="shared" ca="1" si="6"/>
        <v>7</v>
      </c>
    </row>
    <row r="82" spans="1:1" x14ac:dyDescent="0.25">
      <c r="A82" s="26">
        <f t="shared" ca="1" si="6"/>
        <v>72</v>
      </c>
    </row>
    <row r="83" spans="1:1" x14ac:dyDescent="0.25">
      <c r="A83" s="26">
        <f t="shared" ca="1" si="6"/>
        <v>33</v>
      </c>
    </row>
    <row r="84" spans="1:1" x14ac:dyDescent="0.25">
      <c r="A84" s="26">
        <f t="shared" ca="1" si="6"/>
        <v>72</v>
      </c>
    </row>
    <row r="85" spans="1:1" x14ac:dyDescent="0.25">
      <c r="A85" s="26">
        <f t="shared" ca="1" si="6"/>
        <v>68</v>
      </c>
    </row>
    <row r="86" spans="1:1" x14ac:dyDescent="0.25">
      <c r="A86" s="26">
        <f t="shared" ca="1" si="6"/>
        <v>96</v>
      </c>
    </row>
    <row r="87" spans="1:1" x14ac:dyDescent="0.25">
      <c r="A87" s="26">
        <f t="shared" ca="1" si="6"/>
        <v>62</v>
      </c>
    </row>
    <row r="88" spans="1:1" x14ac:dyDescent="0.25">
      <c r="A88" s="26">
        <f t="shared" ca="1" si="6"/>
        <v>12</v>
      </c>
    </row>
    <row r="89" spans="1:1" x14ac:dyDescent="0.25">
      <c r="A89" s="26">
        <f t="shared" ca="1" si="6"/>
        <v>41</v>
      </c>
    </row>
    <row r="90" spans="1:1" x14ac:dyDescent="0.25">
      <c r="A90" s="26">
        <f t="shared" ca="1" si="6"/>
        <v>91</v>
      </c>
    </row>
    <row r="91" spans="1:1" x14ac:dyDescent="0.25">
      <c r="A91" s="26">
        <f t="shared" ca="1" si="6"/>
        <v>58</v>
      </c>
    </row>
    <row r="92" spans="1:1" x14ac:dyDescent="0.25">
      <c r="A92" s="26">
        <f t="shared" ca="1" si="6"/>
        <v>71</v>
      </c>
    </row>
    <row r="93" spans="1:1" x14ac:dyDescent="0.25">
      <c r="A93" s="26">
        <f t="shared" ca="1" si="6"/>
        <v>100</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0">
    <tabColor rgb="FF0000FF"/>
  </sheetPr>
  <dimension ref="A1:R47"/>
  <sheetViews>
    <sheetView topLeftCell="I1" zoomScale="115" zoomScaleNormal="115" workbookViewId="0">
      <selection activeCell="C2" sqref="C2"/>
    </sheetView>
  </sheetViews>
  <sheetFormatPr defaultRowHeight="15" x14ac:dyDescent="0.25"/>
  <cols>
    <col min="1" max="1" width="26.7109375" bestFit="1" customWidth="1"/>
    <col min="2" max="2" width="6.7109375" customWidth="1"/>
    <col min="3" max="3" width="32.42578125" style="120" customWidth="1"/>
    <col min="4" max="4" width="12" bestFit="1" customWidth="1"/>
    <col min="5" max="5" width="6.7109375" customWidth="1"/>
    <col min="6" max="6" width="14.42578125"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6.7109375" bestFit="1" customWidth="1"/>
    <col min="258" max="258" width="6.7109375" customWidth="1"/>
    <col min="259" max="259" width="32.42578125" customWidth="1"/>
    <col min="260" max="260" width="12" bestFit="1" customWidth="1"/>
    <col min="261" max="261" width="6.7109375" customWidth="1"/>
    <col min="262" max="262" width="14.42578125"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6.7109375" bestFit="1" customWidth="1"/>
    <col min="514" max="514" width="6.7109375" customWidth="1"/>
    <col min="515" max="515" width="32.42578125" customWidth="1"/>
    <col min="516" max="516" width="12" bestFit="1" customWidth="1"/>
    <col min="517" max="517" width="6.7109375" customWidth="1"/>
    <col min="518" max="518" width="14.42578125"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6.7109375" bestFit="1" customWidth="1"/>
    <col min="770" max="770" width="6.7109375" customWidth="1"/>
    <col min="771" max="771" width="32.42578125" customWidth="1"/>
    <col min="772" max="772" width="12" bestFit="1" customWidth="1"/>
    <col min="773" max="773" width="6.7109375" customWidth="1"/>
    <col min="774" max="774" width="14.42578125"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6.7109375" bestFit="1" customWidth="1"/>
    <col min="1026" max="1026" width="6.7109375" customWidth="1"/>
    <col min="1027" max="1027" width="32.42578125" customWidth="1"/>
    <col min="1028" max="1028" width="12" bestFit="1" customWidth="1"/>
    <col min="1029" max="1029" width="6.7109375" customWidth="1"/>
    <col min="1030" max="1030" width="14.42578125"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6.7109375" bestFit="1" customWidth="1"/>
    <col min="1282" max="1282" width="6.7109375" customWidth="1"/>
    <col min="1283" max="1283" width="32.42578125" customWidth="1"/>
    <col min="1284" max="1284" width="12" bestFit="1" customWidth="1"/>
    <col min="1285" max="1285" width="6.7109375" customWidth="1"/>
    <col min="1286" max="1286" width="14.42578125"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6.7109375" bestFit="1" customWidth="1"/>
    <col min="1538" max="1538" width="6.7109375" customWidth="1"/>
    <col min="1539" max="1539" width="32.42578125" customWidth="1"/>
    <col min="1540" max="1540" width="12" bestFit="1" customWidth="1"/>
    <col min="1541" max="1541" width="6.7109375" customWidth="1"/>
    <col min="1542" max="1542" width="14.42578125"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6.7109375" bestFit="1" customWidth="1"/>
    <col min="1794" max="1794" width="6.7109375" customWidth="1"/>
    <col min="1795" max="1795" width="32.42578125" customWidth="1"/>
    <col min="1796" max="1796" width="12" bestFit="1" customWidth="1"/>
    <col min="1797" max="1797" width="6.7109375" customWidth="1"/>
    <col min="1798" max="1798" width="14.42578125"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6.7109375" bestFit="1" customWidth="1"/>
    <col min="2050" max="2050" width="6.7109375" customWidth="1"/>
    <col min="2051" max="2051" width="32.42578125" customWidth="1"/>
    <col min="2052" max="2052" width="12" bestFit="1" customWidth="1"/>
    <col min="2053" max="2053" width="6.7109375" customWidth="1"/>
    <col min="2054" max="2054" width="14.42578125"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6.7109375" bestFit="1" customWidth="1"/>
    <col min="2306" max="2306" width="6.7109375" customWidth="1"/>
    <col min="2307" max="2307" width="32.42578125" customWidth="1"/>
    <col min="2308" max="2308" width="12" bestFit="1" customWidth="1"/>
    <col min="2309" max="2309" width="6.7109375" customWidth="1"/>
    <col min="2310" max="2310" width="14.42578125"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6.7109375" bestFit="1" customWidth="1"/>
    <col min="2562" max="2562" width="6.7109375" customWidth="1"/>
    <col min="2563" max="2563" width="32.42578125" customWidth="1"/>
    <col min="2564" max="2564" width="12" bestFit="1" customWidth="1"/>
    <col min="2565" max="2565" width="6.7109375" customWidth="1"/>
    <col min="2566" max="2566" width="14.42578125"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6.7109375" bestFit="1" customWidth="1"/>
    <col min="2818" max="2818" width="6.7109375" customWidth="1"/>
    <col min="2819" max="2819" width="32.42578125" customWidth="1"/>
    <col min="2820" max="2820" width="12" bestFit="1" customWidth="1"/>
    <col min="2821" max="2821" width="6.7109375" customWidth="1"/>
    <col min="2822" max="2822" width="14.42578125"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6.7109375" bestFit="1" customWidth="1"/>
    <col min="3074" max="3074" width="6.7109375" customWidth="1"/>
    <col min="3075" max="3075" width="32.42578125" customWidth="1"/>
    <col min="3076" max="3076" width="12" bestFit="1" customWidth="1"/>
    <col min="3077" max="3077" width="6.7109375" customWidth="1"/>
    <col min="3078" max="3078" width="14.42578125"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6.7109375" bestFit="1" customWidth="1"/>
    <col min="3330" max="3330" width="6.7109375" customWidth="1"/>
    <col min="3331" max="3331" width="32.42578125" customWidth="1"/>
    <col min="3332" max="3332" width="12" bestFit="1" customWidth="1"/>
    <col min="3333" max="3333" width="6.7109375" customWidth="1"/>
    <col min="3334" max="3334" width="14.42578125"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6.7109375" bestFit="1" customWidth="1"/>
    <col min="3586" max="3586" width="6.7109375" customWidth="1"/>
    <col min="3587" max="3587" width="32.42578125" customWidth="1"/>
    <col min="3588" max="3588" width="12" bestFit="1" customWidth="1"/>
    <col min="3589" max="3589" width="6.7109375" customWidth="1"/>
    <col min="3590" max="3590" width="14.42578125"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6.7109375" bestFit="1" customWidth="1"/>
    <col min="3842" max="3842" width="6.7109375" customWidth="1"/>
    <col min="3843" max="3843" width="32.42578125" customWidth="1"/>
    <col min="3844" max="3844" width="12" bestFit="1" customWidth="1"/>
    <col min="3845" max="3845" width="6.7109375" customWidth="1"/>
    <col min="3846" max="3846" width="14.42578125"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6.7109375" bestFit="1" customWidth="1"/>
    <col min="4098" max="4098" width="6.7109375" customWidth="1"/>
    <col min="4099" max="4099" width="32.42578125" customWidth="1"/>
    <col min="4100" max="4100" width="12" bestFit="1" customWidth="1"/>
    <col min="4101" max="4101" width="6.7109375" customWidth="1"/>
    <col min="4102" max="4102" width="14.42578125"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6.7109375" bestFit="1" customWidth="1"/>
    <col min="4354" max="4354" width="6.7109375" customWidth="1"/>
    <col min="4355" max="4355" width="32.42578125" customWidth="1"/>
    <col min="4356" max="4356" width="12" bestFit="1" customWidth="1"/>
    <col min="4357" max="4357" width="6.7109375" customWidth="1"/>
    <col min="4358" max="4358" width="14.42578125"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6.7109375" bestFit="1" customWidth="1"/>
    <col min="4610" max="4610" width="6.7109375" customWidth="1"/>
    <col min="4611" max="4611" width="32.42578125" customWidth="1"/>
    <col min="4612" max="4612" width="12" bestFit="1" customWidth="1"/>
    <col min="4613" max="4613" width="6.7109375" customWidth="1"/>
    <col min="4614" max="4614" width="14.42578125"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6.7109375" bestFit="1" customWidth="1"/>
    <col min="4866" max="4866" width="6.7109375" customWidth="1"/>
    <col min="4867" max="4867" width="32.42578125" customWidth="1"/>
    <col min="4868" max="4868" width="12" bestFit="1" customWidth="1"/>
    <col min="4869" max="4869" width="6.7109375" customWidth="1"/>
    <col min="4870" max="4870" width="14.42578125"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6.7109375" bestFit="1" customWidth="1"/>
    <col min="5122" max="5122" width="6.7109375" customWidth="1"/>
    <col min="5123" max="5123" width="32.42578125" customWidth="1"/>
    <col min="5124" max="5124" width="12" bestFit="1" customWidth="1"/>
    <col min="5125" max="5125" width="6.7109375" customWidth="1"/>
    <col min="5126" max="5126" width="14.42578125"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6.7109375" bestFit="1" customWidth="1"/>
    <col min="5378" max="5378" width="6.7109375" customWidth="1"/>
    <col min="5379" max="5379" width="32.42578125" customWidth="1"/>
    <col min="5380" max="5380" width="12" bestFit="1" customWidth="1"/>
    <col min="5381" max="5381" width="6.7109375" customWidth="1"/>
    <col min="5382" max="5382" width="14.42578125"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6.7109375" bestFit="1" customWidth="1"/>
    <col min="5634" max="5634" width="6.7109375" customWidth="1"/>
    <col min="5635" max="5635" width="32.42578125" customWidth="1"/>
    <col min="5636" max="5636" width="12" bestFit="1" customWidth="1"/>
    <col min="5637" max="5637" width="6.7109375" customWidth="1"/>
    <col min="5638" max="5638" width="14.42578125"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6.7109375" bestFit="1" customWidth="1"/>
    <col min="5890" max="5890" width="6.7109375" customWidth="1"/>
    <col min="5891" max="5891" width="32.42578125" customWidth="1"/>
    <col min="5892" max="5892" width="12" bestFit="1" customWidth="1"/>
    <col min="5893" max="5893" width="6.7109375" customWidth="1"/>
    <col min="5894" max="5894" width="14.42578125"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6.7109375" bestFit="1" customWidth="1"/>
    <col min="6146" max="6146" width="6.7109375" customWidth="1"/>
    <col min="6147" max="6147" width="32.42578125" customWidth="1"/>
    <col min="6148" max="6148" width="12" bestFit="1" customWidth="1"/>
    <col min="6149" max="6149" width="6.7109375" customWidth="1"/>
    <col min="6150" max="6150" width="14.42578125"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6.7109375" bestFit="1" customWidth="1"/>
    <col min="6402" max="6402" width="6.7109375" customWidth="1"/>
    <col min="6403" max="6403" width="32.42578125" customWidth="1"/>
    <col min="6404" max="6404" width="12" bestFit="1" customWidth="1"/>
    <col min="6405" max="6405" width="6.7109375" customWidth="1"/>
    <col min="6406" max="6406" width="14.42578125"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6.7109375" bestFit="1" customWidth="1"/>
    <col min="6658" max="6658" width="6.7109375" customWidth="1"/>
    <col min="6659" max="6659" width="32.42578125" customWidth="1"/>
    <col min="6660" max="6660" width="12" bestFit="1" customWidth="1"/>
    <col min="6661" max="6661" width="6.7109375" customWidth="1"/>
    <col min="6662" max="6662" width="14.42578125"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6.7109375" bestFit="1" customWidth="1"/>
    <col min="6914" max="6914" width="6.7109375" customWidth="1"/>
    <col min="6915" max="6915" width="32.42578125" customWidth="1"/>
    <col min="6916" max="6916" width="12" bestFit="1" customWidth="1"/>
    <col min="6917" max="6917" width="6.7109375" customWidth="1"/>
    <col min="6918" max="6918" width="14.42578125"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6.7109375" bestFit="1" customWidth="1"/>
    <col min="7170" max="7170" width="6.7109375" customWidth="1"/>
    <col min="7171" max="7171" width="32.42578125" customWidth="1"/>
    <col min="7172" max="7172" width="12" bestFit="1" customWidth="1"/>
    <col min="7173" max="7173" width="6.7109375" customWidth="1"/>
    <col min="7174" max="7174" width="14.42578125"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6.7109375" bestFit="1" customWidth="1"/>
    <col min="7426" max="7426" width="6.7109375" customWidth="1"/>
    <col min="7427" max="7427" width="32.42578125" customWidth="1"/>
    <col min="7428" max="7428" width="12" bestFit="1" customWidth="1"/>
    <col min="7429" max="7429" width="6.7109375" customWidth="1"/>
    <col min="7430" max="7430" width="14.42578125"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6.7109375" bestFit="1" customWidth="1"/>
    <col min="7682" max="7682" width="6.7109375" customWidth="1"/>
    <col min="7683" max="7683" width="32.42578125" customWidth="1"/>
    <col min="7684" max="7684" width="12" bestFit="1" customWidth="1"/>
    <col min="7685" max="7685" width="6.7109375" customWidth="1"/>
    <col min="7686" max="7686" width="14.42578125"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6.7109375" bestFit="1" customWidth="1"/>
    <col min="7938" max="7938" width="6.7109375" customWidth="1"/>
    <col min="7939" max="7939" width="32.42578125" customWidth="1"/>
    <col min="7940" max="7940" width="12" bestFit="1" customWidth="1"/>
    <col min="7941" max="7941" width="6.7109375" customWidth="1"/>
    <col min="7942" max="7942" width="14.42578125"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6.7109375" bestFit="1" customWidth="1"/>
    <col min="8194" max="8194" width="6.7109375" customWidth="1"/>
    <col min="8195" max="8195" width="32.42578125" customWidth="1"/>
    <col min="8196" max="8196" width="12" bestFit="1" customWidth="1"/>
    <col min="8197" max="8197" width="6.7109375" customWidth="1"/>
    <col min="8198" max="8198" width="14.42578125"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6.7109375" bestFit="1" customWidth="1"/>
    <col min="8450" max="8450" width="6.7109375" customWidth="1"/>
    <col min="8451" max="8451" width="32.42578125" customWidth="1"/>
    <col min="8452" max="8452" width="12" bestFit="1" customWidth="1"/>
    <col min="8453" max="8453" width="6.7109375" customWidth="1"/>
    <col min="8454" max="8454" width="14.42578125"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6.7109375" bestFit="1" customWidth="1"/>
    <col min="8706" max="8706" width="6.7109375" customWidth="1"/>
    <col min="8707" max="8707" width="32.42578125" customWidth="1"/>
    <col min="8708" max="8708" width="12" bestFit="1" customWidth="1"/>
    <col min="8709" max="8709" width="6.7109375" customWidth="1"/>
    <col min="8710" max="8710" width="14.42578125"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6.7109375" bestFit="1" customWidth="1"/>
    <col min="8962" max="8962" width="6.7109375" customWidth="1"/>
    <col min="8963" max="8963" width="32.42578125" customWidth="1"/>
    <col min="8964" max="8964" width="12" bestFit="1" customWidth="1"/>
    <col min="8965" max="8965" width="6.7109375" customWidth="1"/>
    <col min="8966" max="8966" width="14.42578125"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6.7109375" bestFit="1" customWidth="1"/>
    <col min="9218" max="9218" width="6.7109375" customWidth="1"/>
    <col min="9219" max="9219" width="32.42578125" customWidth="1"/>
    <col min="9220" max="9220" width="12" bestFit="1" customWidth="1"/>
    <col min="9221" max="9221" width="6.7109375" customWidth="1"/>
    <col min="9222" max="9222" width="14.42578125"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6.7109375" bestFit="1" customWidth="1"/>
    <col min="9474" max="9474" width="6.7109375" customWidth="1"/>
    <col min="9475" max="9475" width="32.42578125" customWidth="1"/>
    <col min="9476" max="9476" width="12" bestFit="1" customWidth="1"/>
    <col min="9477" max="9477" width="6.7109375" customWidth="1"/>
    <col min="9478" max="9478" width="14.42578125"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6.7109375" bestFit="1" customWidth="1"/>
    <col min="9730" max="9730" width="6.7109375" customWidth="1"/>
    <col min="9731" max="9731" width="32.42578125" customWidth="1"/>
    <col min="9732" max="9732" width="12" bestFit="1" customWidth="1"/>
    <col min="9733" max="9733" width="6.7109375" customWidth="1"/>
    <col min="9734" max="9734" width="14.42578125"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6.7109375" bestFit="1" customWidth="1"/>
    <col min="9986" max="9986" width="6.7109375" customWidth="1"/>
    <col min="9987" max="9987" width="32.42578125" customWidth="1"/>
    <col min="9988" max="9988" width="12" bestFit="1" customWidth="1"/>
    <col min="9989" max="9989" width="6.7109375" customWidth="1"/>
    <col min="9990" max="9990" width="14.42578125"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6.7109375" bestFit="1" customWidth="1"/>
    <col min="10242" max="10242" width="6.7109375" customWidth="1"/>
    <col min="10243" max="10243" width="32.42578125" customWidth="1"/>
    <col min="10244" max="10244" width="12" bestFit="1" customWidth="1"/>
    <col min="10245" max="10245" width="6.7109375" customWidth="1"/>
    <col min="10246" max="10246" width="14.42578125"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6.7109375" bestFit="1" customWidth="1"/>
    <col min="10498" max="10498" width="6.7109375" customWidth="1"/>
    <col min="10499" max="10499" width="32.42578125" customWidth="1"/>
    <col min="10500" max="10500" width="12" bestFit="1" customWidth="1"/>
    <col min="10501" max="10501" width="6.7109375" customWidth="1"/>
    <col min="10502" max="10502" width="14.42578125"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6.7109375" bestFit="1" customWidth="1"/>
    <col min="10754" max="10754" width="6.7109375" customWidth="1"/>
    <col min="10755" max="10755" width="32.42578125" customWidth="1"/>
    <col min="10756" max="10756" width="12" bestFit="1" customWidth="1"/>
    <col min="10757" max="10757" width="6.7109375" customWidth="1"/>
    <col min="10758" max="10758" width="14.42578125"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6.7109375" bestFit="1" customWidth="1"/>
    <col min="11010" max="11010" width="6.7109375" customWidth="1"/>
    <col min="11011" max="11011" width="32.42578125" customWidth="1"/>
    <col min="11012" max="11012" width="12" bestFit="1" customWidth="1"/>
    <col min="11013" max="11013" width="6.7109375" customWidth="1"/>
    <col min="11014" max="11014" width="14.42578125"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6.7109375" bestFit="1" customWidth="1"/>
    <col min="11266" max="11266" width="6.7109375" customWidth="1"/>
    <col min="11267" max="11267" width="32.42578125" customWidth="1"/>
    <col min="11268" max="11268" width="12" bestFit="1" customWidth="1"/>
    <col min="11269" max="11269" width="6.7109375" customWidth="1"/>
    <col min="11270" max="11270" width="14.42578125"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6.7109375" bestFit="1" customWidth="1"/>
    <col min="11522" max="11522" width="6.7109375" customWidth="1"/>
    <col min="11523" max="11523" width="32.42578125" customWidth="1"/>
    <col min="11524" max="11524" width="12" bestFit="1" customWidth="1"/>
    <col min="11525" max="11525" width="6.7109375" customWidth="1"/>
    <col min="11526" max="11526" width="14.42578125"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6.7109375" bestFit="1" customWidth="1"/>
    <col min="11778" max="11778" width="6.7109375" customWidth="1"/>
    <col min="11779" max="11779" width="32.42578125" customWidth="1"/>
    <col min="11780" max="11780" width="12" bestFit="1" customWidth="1"/>
    <col min="11781" max="11781" width="6.7109375" customWidth="1"/>
    <col min="11782" max="11782" width="14.42578125"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6.7109375" bestFit="1" customWidth="1"/>
    <col min="12034" max="12034" width="6.7109375" customWidth="1"/>
    <col min="12035" max="12035" width="32.42578125" customWidth="1"/>
    <col min="12036" max="12036" width="12" bestFit="1" customWidth="1"/>
    <col min="12037" max="12037" width="6.7109375" customWidth="1"/>
    <col min="12038" max="12038" width="14.42578125"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6.7109375" bestFit="1" customWidth="1"/>
    <col min="12290" max="12290" width="6.7109375" customWidth="1"/>
    <col min="12291" max="12291" width="32.42578125" customWidth="1"/>
    <col min="12292" max="12292" width="12" bestFit="1" customWidth="1"/>
    <col min="12293" max="12293" width="6.7109375" customWidth="1"/>
    <col min="12294" max="12294" width="14.42578125"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6.7109375" bestFit="1" customWidth="1"/>
    <col min="12546" max="12546" width="6.7109375" customWidth="1"/>
    <col min="12547" max="12547" width="32.42578125" customWidth="1"/>
    <col min="12548" max="12548" width="12" bestFit="1" customWidth="1"/>
    <col min="12549" max="12549" width="6.7109375" customWidth="1"/>
    <col min="12550" max="12550" width="14.42578125"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6.7109375" bestFit="1" customWidth="1"/>
    <col min="12802" max="12802" width="6.7109375" customWidth="1"/>
    <col min="12803" max="12803" width="32.42578125" customWidth="1"/>
    <col min="12804" max="12804" width="12" bestFit="1" customWidth="1"/>
    <col min="12805" max="12805" width="6.7109375" customWidth="1"/>
    <col min="12806" max="12806" width="14.42578125"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6.7109375" bestFit="1" customWidth="1"/>
    <col min="13058" max="13058" width="6.7109375" customWidth="1"/>
    <col min="13059" max="13059" width="32.42578125" customWidth="1"/>
    <col min="13060" max="13060" width="12" bestFit="1" customWidth="1"/>
    <col min="13061" max="13061" width="6.7109375" customWidth="1"/>
    <col min="13062" max="13062" width="14.42578125"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6.7109375" bestFit="1" customWidth="1"/>
    <col min="13314" max="13314" width="6.7109375" customWidth="1"/>
    <col min="13315" max="13315" width="32.42578125" customWidth="1"/>
    <col min="13316" max="13316" width="12" bestFit="1" customWidth="1"/>
    <col min="13317" max="13317" width="6.7109375" customWidth="1"/>
    <col min="13318" max="13318" width="14.42578125"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6.7109375" bestFit="1" customWidth="1"/>
    <col min="13570" max="13570" width="6.7109375" customWidth="1"/>
    <col min="13571" max="13571" width="32.42578125" customWidth="1"/>
    <col min="13572" max="13572" width="12" bestFit="1" customWidth="1"/>
    <col min="13573" max="13573" width="6.7109375" customWidth="1"/>
    <col min="13574" max="13574" width="14.42578125"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6.7109375" bestFit="1" customWidth="1"/>
    <col min="13826" max="13826" width="6.7109375" customWidth="1"/>
    <col min="13827" max="13827" width="32.42578125" customWidth="1"/>
    <col min="13828" max="13828" width="12" bestFit="1" customWidth="1"/>
    <col min="13829" max="13829" width="6.7109375" customWidth="1"/>
    <col min="13830" max="13830" width="14.42578125"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6.7109375" bestFit="1" customWidth="1"/>
    <col min="14082" max="14082" width="6.7109375" customWidth="1"/>
    <col min="14083" max="14083" width="32.42578125" customWidth="1"/>
    <col min="14084" max="14084" width="12" bestFit="1" customWidth="1"/>
    <col min="14085" max="14085" width="6.7109375" customWidth="1"/>
    <col min="14086" max="14086" width="14.42578125"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6.7109375" bestFit="1" customWidth="1"/>
    <col min="14338" max="14338" width="6.7109375" customWidth="1"/>
    <col min="14339" max="14339" width="32.42578125" customWidth="1"/>
    <col min="14340" max="14340" width="12" bestFit="1" customWidth="1"/>
    <col min="14341" max="14341" width="6.7109375" customWidth="1"/>
    <col min="14342" max="14342" width="14.42578125"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6.7109375" bestFit="1" customWidth="1"/>
    <col min="14594" max="14594" width="6.7109375" customWidth="1"/>
    <col min="14595" max="14595" width="32.42578125" customWidth="1"/>
    <col min="14596" max="14596" width="12" bestFit="1" customWidth="1"/>
    <col min="14597" max="14597" width="6.7109375" customWidth="1"/>
    <col min="14598" max="14598" width="14.42578125"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6.7109375" bestFit="1" customWidth="1"/>
    <col min="14850" max="14850" width="6.7109375" customWidth="1"/>
    <col min="14851" max="14851" width="32.42578125" customWidth="1"/>
    <col min="14852" max="14852" width="12" bestFit="1" customWidth="1"/>
    <col min="14853" max="14853" width="6.7109375" customWidth="1"/>
    <col min="14854" max="14854" width="14.42578125"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6.7109375" bestFit="1" customWidth="1"/>
    <col min="15106" max="15106" width="6.7109375" customWidth="1"/>
    <col min="15107" max="15107" width="32.42578125" customWidth="1"/>
    <col min="15108" max="15108" width="12" bestFit="1" customWidth="1"/>
    <col min="15109" max="15109" width="6.7109375" customWidth="1"/>
    <col min="15110" max="15110" width="14.42578125"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6.7109375" bestFit="1" customWidth="1"/>
    <col min="15362" max="15362" width="6.7109375" customWidth="1"/>
    <col min="15363" max="15363" width="32.42578125" customWidth="1"/>
    <col min="15364" max="15364" width="12" bestFit="1" customWidth="1"/>
    <col min="15365" max="15365" width="6.7109375" customWidth="1"/>
    <col min="15366" max="15366" width="14.42578125"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6.7109375" bestFit="1" customWidth="1"/>
    <col min="15618" max="15618" width="6.7109375" customWidth="1"/>
    <col min="15619" max="15619" width="32.42578125" customWidth="1"/>
    <col min="15620" max="15620" width="12" bestFit="1" customWidth="1"/>
    <col min="15621" max="15621" width="6.7109375" customWidth="1"/>
    <col min="15622" max="15622" width="14.42578125"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6.7109375" bestFit="1" customWidth="1"/>
    <col min="15874" max="15874" width="6.7109375" customWidth="1"/>
    <col min="15875" max="15875" width="32.42578125" customWidth="1"/>
    <col min="15876" max="15876" width="12" bestFit="1" customWidth="1"/>
    <col min="15877" max="15877" width="6.7109375" customWidth="1"/>
    <col min="15878" max="15878" width="14.42578125"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6.7109375" bestFit="1" customWidth="1"/>
    <col min="16130" max="16130" width="6.7109375" customWidth="1"/>
    <col min="16131" max="16131" width="32.42578125" customWidth="1"/>
    <col min="16132" max="16132" width="12" bestFit="1" customWidth="1"/>
    <col min="16133" max="16133" width="6.7109375" customWidth="1"/>
    <col min="16134" max="16134" width="14.42578125"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8" x14ac:dyDescent="0.25">
      <c r="A1" s="23" t="s">
        <v>607</v>
      </c>
      <c r="B1" s="23"/>
      <c r="C1" s="23"/>
      <c r="D1" s="23"/>
      <c r="R1" t="s">
        <v>613</v>
      </c>
    </row>
    <row r="2" spans="1:18" x14ac:dyDescent="0.25">
      <c r="R2" t="s">
        <v>612</v>
      </c>
    </row>
    <row r="3" spans="1:18" x14ac:dyDescent="0.25">
      <c r="R3" t="s">
        <v>611</v>
      </c>
    </row>
    <row r="4" spans="1:18" x14ac:dyDescent="0.25">
      <c r="R4" t="s">
        <v>610</v>
      </c>
    </row>
    <row r="5" spans="1:18" x14ac:dyDescent="0.25">
      <c r="R5" t="s">
        <v>609</v>
      </c>
    </row>
    <row r="6" spans="1:18" ht="75" x14ac:dyDescent="0.25">
      <c r="A6" s="159" t="s">
        <v>608</v>
      </c>
      <c r="C6" s="9" t="s">
        <v>602</v>
      </c>
      <c r="D6" s="30">
        <f ca="1">COUNT(A7:A47)</f>
        <v>41</v>
      </c>
    </row>
    <row r="7" spans="1:18" x14ac:dyDescent="0.25">
      <c r="A7" s="160">
        <f t="shared" ref="A7:A47" ca="1" si="0">IF(MOD(ROW(),4),RANDBETWEEN(450,650)/100,RANDBETWEEN(200,820)/100)</f>
        <v>6.03</v>
      </c>
      <c r="C7" s="9" t="s">
        <v>601</v>
      </c>
      <c r="D7" s="161">
        <f ca="1">MAX(A7:A47)</f>
        <v>7.63</v>
      </c>
      <c r="R7" s="26" t="s">
        <v>183</v>
      </c>
    </row>
    <row r="8" spans="1:18" x14ac:dyDescent="0.25">
      <c r="A8" s="160">
        <f t="shared" ca="1" si="0"/>
        <v>7.63</v>
      </c>
      <c r="C8" s="9" t="s">
        <v>600</v>
      </c>
      <c r="D8" s="161">
        <f ca="1">MIN(A7:A47)</f>
        <v>2.4900000000000002</v>
      </c>
      <c r="R8" s="30">
        <f ca="1">SKEW(A7:A47)</f>
        <v>-0.84895934546599916</v>
      </c>
    </row>
    <row r="9" spans="1:18" x14ac:dyDescent="0.25">
      <c r="A9" s="160">
        <f t="shared" ca="1" si="0"/>
        <v>6.17</v>
      </c>
      <c r="C9" s="158" t="str">
        <f ca="1">"Range = (MAX - MIN) = "&amp;D7&amp;" - "&amp;D8&amp;" ="</f>
        <v>Range = (MAX - MIN) = 7.63 - 2.49 =</v>
      </c>
      <c r="D9" s="161">
        <f ca="1">D7-D8</f>
        <v>5.14</v>
      </c>
    </row>
    <row r="10" spans="1:18" x14ac:dyDescent="0.25">
      <c r="A10" s="160">
        <f t="shared" ca="1" si="0"/>
        <v>5.8</v>
      </c>
      <c r="C10" s="159" t="s">
        <v>599</v>
      </c>
      <c r="D10" s="26">
        <v>7</v>
      </c>
      <c r="E10" t="s">
        <v>596</v>
      </c>
    </row>
    <row r="11" spans="1:18" x14ac:dyDescent="0.25">
      <c r="A11" s="160">
        <f t="shared" ca="1" si="0"/>
        <v>5.56</v>
      </c>
      <c r="C11" s="158" t="str">
        <f ca="1">"Is 2^"&amp;D10&amp;" ("&amp;2^D10&amp;") &gt;= "&amp;D6</f>
        <v>Is 2^7 (128) &gt;= 41</v>
      </c>
      <c r="D11" s="30" t="b">
        <f ca="1">2^D10&gt;=D6</f>
        <v>1</v>
      </c>
    </row>
    <row r="12" spans="1:18" ht="30" x14ac:dyDescent="0.25">
      <c r="A12" s="160">
        <f t="shared" ca="1" si="0"/>
        <v>6.65</v>
      </c>
      <c r="C12" s="158" t="str">
        <f ca="1">"Approximate Class Width = Range/k = "&amp;D9&amp;"/"&amp;D10&amp;" ="</f>
        <v>Approximate Class Width = Range/k = 5.14/7 =</v>
      </c>
      <c r="D12" s="30">
        <f ca="1">(D7-D8)/D10</f>
        <v>0.73428571428571421</v>
      </c>
    </row>
    <row r="13" spans="1:18" x14ac:dyDescent="0.25">
      <c r="A13" s="160">
        <f t="shared" ca="1" si="0"/>
        <v>5.33</v>
      </c>
      <c r="C13" s="9" t="s">
        <v>598</v>
      </c>
      <c r="D13" s="26">
        <v>1</v>
      </c>
      <c r="E13" t="s">
        <v>596</v>
      </c>
    </row>
    <row r="14" spans="1:18" ht="30" x14ac:dyDescent="0.25">
      <c r="A14" s="160">
        <f t="shared" ca="1" si="0"/>
        <v>5.09</v>
      </c>
      <c r="C14" s="158" t="str">
        <f>"Actual Range for Classes = ClassWidth*k = "&amp;D13&amp;"*"&amp;D10&amp;" ="</f>
        <v>Actual Range for Classes = ClassWidth*k = 1*7 =</v>
      </c>
      <c r="D14" s="30">
        <f>D13*D10</f>
        <v>7</v>
      </c>
    </row>
    <row r="15" spans="1:18" ht="30" x14ac:dyDescent="0.25">
      <c r="A15" s="160">
        <f t="shared" ca="1" si="0"/>
        <v>4.79</v>
      </c>
      <c r="C15" s="157" t="s">
        <v>597</v>
      </c>
      <c r="D15" s="156">
        <v>2</v>
      </c>
      <c r="E15" t="s">
        <v>596</v>
      </c>
    </row>
    <row r="16" spans="1:18" x14ac:dyDescent="0.25">
      <c r="A16" s="160">
        <f t="shared" ca="1" si="0"/>
        <v>4.91</v>
      </c>
      <c r="C16"/>
    </row>
    <row r="17" spans="1:8" x14ac:dyDescent="0.25">
      <c r="A17" s="160">
        <f t="shared" ca="1" si="0"/>
        <v>4.83</v>
      </c>
      <c r="C17"/>
      <c r="F17" s="155" t="s">
        <v>595</v>
      </c>
      <c r="G17" s="155" t="s">
        <v>164</v>
      </c>
      <c r="H17" s="155" t="s">
        <v>594</v>
      </c>
    </row>
    <row r="18" spans="1:8" x14ac:dyDescent="0.25">
      <c r="A18" s="160">
        <f t="shared" ca="1" si="0"/>
        <v>5.92</v>
      </c>
      <c r="D18" s="26">
        <f>D15</f>
        <v>2</v>
      </c>
      <c r="E18" s="26">
        <f t="shared" ref="E18:E24" si="1">D18+D$13</f>
        <v>3</v>
      </c>
      <c r="F18" s="26" t="str">
        <f t="shared" ref="F18:F24" si="2">D18&amp;" up to "&amp;E18</f>
        <v>2 up to 3</v>
      </c>
      <c r="G18" s="26">
        <f t="shared" ref="G18:G24" ca="1" si="3">COUNTIF($A$7:$A$47,"&lt;"&amp;E18)-COUNTIF($A$7:$A$47,"&lt;"&amp;D18)</f>
        <v>1</v>
      </c>
      <c r="H18" s="26">
        <f t="shared" ref="H18:H24" ca="1" si="4">G18/G$25</f>
        <v>2.4390243902439025E-2</v>
      </c>
    </row>
    <row r="19" spans="1:8" x14ac:dyDescent="0.25">
      <c r="A19" s="160">
        <f t="shared" ca="1" si="0"/>
        <v>4.7699999999999996</v>
      </c>
      <c r="D19" s="26">
        <f t="shared" ref="D19:D24" si="5">E18</f>
        <v>3</v>
      </c>
      <c r="E19" s="26">
        <f t="shared" si="1"/>
        <v>4</v>
      </c>
      <c r="F19" s="26" t="str">
        <f t="shared" si="2"/>
        <v>3 up to 4</v>
      </c>
      <c r="G19" s="26">
        <f t="shared" ca="1" si="3"/>
        <v>1</v>
      </c>
      <c r="H19" s="26">
        <f t="shared" ca="1" si="4"/>
        <v>2.4390243902439025E-2</v>
      </c>
    </row>
    <row r="20" spans="1:8" x14ac:dyDescent="0.25">
      <c r="A20" s="160">
        <f t="shared" ca="1" si="0"/>
        <v>2.4900000000000002</v>
      </c>
      <c r="D20" s="26">
        <f t="shared" si="5"/>
        <v>4</v>
      </c>
      <c r="E20" s="26">
        <f t="shared" si="1"/>
        <v>5</v>
      </c>
      <c r="F20" s="26" t="str">
        <f t="shared" si="2"/>
        <v>4 up to 5</v>
      </c>
      <c r="G20" s="26">
        <f t="shared" ca="1" si="3"/>
        <v>9</v>
      </c>
      <c r="H20" s="26">
        <f t="shared" ca="1" si="4"/>
        <v>0.21951219512195122</v>
      </c>
    </row>
    <row r="21" spans="1:8" x14ac:dyDescent="0.25">
      <c r="A21" s="160">
        <f t="shared" ca="1" si="0"/>
        <v>5.01</v>
      </c>
      <c r="D21" s="26">
        <f t="shared" si="5"/>
        <v>5</v>
      </c>
      <c r="E21" s="26">
        <f t="shared" si="1"/>
        <v>6</v>
      </c>
      <c r="F21" s="26" t="str">
        <f t="shared" si="2"/>
        <v>5 up to 6</v>
      </c>
      <c r="G21" s="26">
        <f t="shared" ca="1" si="3"/>
        <v>19</v>
      </c>
      <c r="H21" s="26">
        <f t="shared" ca="1" si="4"/>
        <v>0.46341463414634149</v>
      </c>
    </row>
    <row r="22" spans="1:8" x14ac:dyDescent="0.25">
      <c r="A22" s="160">
        <f t="shared" ca="1" si="0"/>
        <v>4.84</v>
      </c>
      <c r="D22" s="26">
        <f t="shared" si="5"/>
        <v>6</v>
      </c>
      <c r="E22" s="26">
        <f t="shared" si="1"/>
        <v>7</v>
      </c>
      <c r="F22" s="26" t="str">
        <f t="shared" si="2"/>
        <v>6 up to 7</v>
      </c>
      <c r="G22" s="26">
        <f t="shared" ca="1" si="3"/>
        <v>10</v>
      </c>
      <c r="H22" s="26">
        <f t="shared" ca="1" si="4"/>
        <v>0.24390243902439024</v>
      </c>
    </row>
    <row r="23" spans="1:8" x14ac:dyDescent="0.25">
      <c r="A23" s="160">
        <f t="shared" ca="1" si="0"/>
        <v>5.92</v>
      </c>
      <c r="D23" s="26">
        <f t="shared" si="5"/>
        <v>7</v>
      </c>
      <c r="E23" s="26">
        <f t="shared" si="1"/>
        <v>8</v>
      </c>
      <c r="F23" s="26" t="str">
        <f t="shared" si="2"/>
        <v>7 up to 8</v>
      </c>
      <c r="G23" s="26">
        <f t="shared" ca="1" si="3"/>
        <v>1</v>
      </c>
      <c r="H23" s="26">
        <f t="shared" ca="1" si="4"/>
        <v>2.4390243902439025E-2</v>
      </c>
    </row>
    <row r="24" spans="1:8" x14ac:dyDescent="0.25">
      <c r="A24" s="160">
        <f t="shared" ca="1" si="0"/>
        <v>5.35</v>
      </c>
      <c r="D24" s="26">
        <f t="shared" si="5"/>
        <v>8</v>
      </c>
      <c r="E24" s="26">
        <f t="shared" si="1"/>
        <v>9</v>
      </c>
      <c r="F24" s="26" t="str">
        <f t="shared" si="2"/>
        <v>8 up to 9</v>
      </c>
      <c r="G24" s="26">
        <f t="shared" ca="1" si="3"/>
        <v>0</v>
      </c>
      <c r="H24" s="26">
        <f t="shared" ca="1" si="4"/>
        <v>0</v>
      </c>
    </row>
    <row r="25" spans="1:8" x14ac:dyDescent="0.25">
      <c r="A25" s="160">
        <f t="shared" ca="1" si="0"/>
        <v>6.2</v>
      </c>
      <c r="G25" s="26">
        <f ca="1">SUM(G18:G24)</f>
        <v>41</v>
      </c>
      <c r="H25" s="26">
        <f ca="1">SUM(H18:H24)</f>
        <v>1</v>
      </c>
    </row>
    <row r="26" spans="1:8" x14ac:dyDescent="0.25">
      <c r="A26" s="160">
        <f t="shared" ca="1" si="0"/>
        <v>5.5</v>
      </c>
    </row>
    <row r="27" spans="1:8" x14ac:dyDescent="0.25">
      <c r="A27" s="160">
        <f t="shared" ca="1" si="0"/>
        <v>4.72</v>
      </c>
    </row>
    <row r="28" spans="1:8" x14ac:dyDescent="0.25">
      <c r="A28" s="160">
        <f t="shared" ca="1" si="0"/>
        <v>5.93</v>
      </c>
    </row>
    <row r="29" spans="1:8" x14ac:dyDescent="0.25">
      <c r="A29" s="160">
        <f t="shared" ca="1" si="0"/>
        <v>5.61</v>
      </c>
    </row>
    <row r="30" spans="1:8" x14ac:dyDescent="0.25">
      <c r="A30" s="160">
        <f t="shared" ca="1" si="0"/>
        <v>6.24</v>
      </c>
    </row>
    <row r="31" spans="1:8" x14ac:dyDescent="0.25">
      <c r="A31" s="160">
        <f t="shared" ca="1" si="0"/>
        <v>6.07</v>
      </c>
    </row>
    <row r="32" spans="1:8" x14ac:dyDescent="0.25">
      <c r="A32" s="160">
        <f t="shared" ca="1" si="0"/>
        <v>4.46</v>
      </c>
    </row>
    <row r="33" spans="1:1" x14ac:dyDescent="0.25">
      <c r="A33" s="160">
        <f t="shared" ca="1" si="0"/>
        <v>4.59</v>
      </c>
    </row>
    <row r="34" spans="1:1" x14ac:dyDescent="0.25">
      <c r="A34" s="160">
        <f t="shared" ca="1" si="0"/>
        <v>5.1100000000000003</v>
      </c>
    </row>
    <row r="35" spans="1:1" x14ac:dyDescent="0.25">
      <c r="A35" s="160">
        <f t="shared" ca="1" si="0"/>
        <v>5.8</v>
      </c>
    </row>
    <row r="36" spans="1:1" x14ac:dyDescent="0.25">
      <c r="A36" s="160">
        <f t="shared" ca="1" si="0"/>
        <v>5.83</v>
      </c>
    </row>
    <row r="37" spans="1:1" x14ac:dyDescent="0.25">
      <c r="A37" s="160">
        <f t="shared" ca="1" si="0"/>
        <v>5.9</v>
      </c>
    </row>
    <row r="38" spans="1:1" x14ac:dyDescent="0.25">
      <c r="A38" s="160">
        <f t="shared" ca="1" si="0"/>
        <v>6.29</v>
      </c>
    </row>
    <row r="39" spans="1:1" x14ac:dyDescent="0.25">
      <c r="A39" s="160">
        <f t="shared" ca="1" si="0"/>
        <v>5.46</v>
      </c>
    </row>
    <row r="40" spans="1:1" x14ac:dyDescent="0.25">
      <c r="A40" s="160">
        <f t="shared" ca="1" si="0"/>
        <v>6.66</v>
      </c>
    </row>
    <row r="41" spans="1:1" x14ac:dyDescent="0.25">
      <c r="A41" s="160">
        <f t="shared" ca="1" si="0"/>
        <v>4.66</v>
      </c>
    </row>
    <row r="42" spans="1:1" x14ac:dyDescent="0.25">
      <c r="A42" s="160">
        <f t="shared" ca="1" si="0"/>
        <v>6.44</v>
      </c>
    </row>
    <row r="43" spans="1:1" x14ac:dyDescent="0.25">
      <c r="A43" s="160">
        <f t="shared" ca="1" si="0"/>
        <v>5.7</v>
      </c>
    </row>
    <row r="44" spans="1:1" x14ac:dyDescent="0.25">
      <c r="A44" s="160">
        <f t="shared" ca="1" si="0"/>
        <v>3.36</v>
      </c>
    </row>
    <row r="45" spans="1:1" x14ac:dyDescent="0.25">
      <c r="A45" s="160">
        <f t="shared" ca="1" si="0"/>
        <v>5.59</v>
      </c>
    </row>
    <row r="46" spans="1:1" x14ac:dyDescent="0.25">
      <c r="A46" s="160">
        <f t="shared" ca="1" si="0"/>
        <v>5.2</v>
      </c>
    </row>
    <row r="47" spans="1:1" x14ac:dyDescent="0.25">
      <c r="A47" s="160">
        <f t="shared" ca="1" si="0"/>
        <v>6.39</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1">
    <tabColor rgb="FF0000FF"/>
  </sheetPr>
  <dimension ref="A1:R47"/>
  <sheetViews>
    <sheetView topLeftCell="J1" zoomScale="130" zoomScaleNormal="130" workbookViewId="0">
      <selection activeCell="C2" sqref="C2"/>
    </sheetView>
  </sheetViews>
  <sheetFormatPr defaultRowHeight="15" x14ac:dyDescent="0.25"/>
  <cols>
    <col min="1" max="1" width="18.7109375" customWidth="1"/>
    <col min="2" max="2" width="6.7109375" customWidth="1"/>
    <col min="3" max="3" width="32.42578125" style="120" customWidth="1"/>
    <col min="4" max="4" width="11.5703125" bestFit="1" customWidth="1"/>
    <col min="5" max="5" width="16.5703125" customWidth="1"/>
    <col min="6" max="6" width="23.5703125" bestFit="1"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18.7109375" customWidth="1"/>
    <col min="258" max="258" width="6.7109375" customWidth="1"/>
    <col min="259" max="259" width="32.42578125" customWidth="1"/>
    <col min="260" max="260" width="11.5703125" bestFit="1" customWidth="1"/>
    <col min="261" max="261" width="16.5703125" customWidth="1"/>
    <col min="262" max="262" width="23.5703125" bestFit="1"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18.7109375" customWidth="1"/>
    <col min="514" max="514" width="6.7109375" customWidth="1"/>
    <col min="515" max="515" width="32.42578125" customWidth="1"/>
    <col min="516" max="516" width="11.5703125" bestFit="1" customWidth="1"/>
    <col min="517" max="517" width="16.5703125" customWidth="1"/>
    <col min="518" max="518" width="23.5703125" bestFit="1"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18.7109375" customWidth="1"/>
    <col min="770" max="770" width="6.7109375" customWidth="1"/>
    <col min="771" max="771" width="32.42578125" customWidth="1"/>
    <col min="772" max="772" width="11.5703125" bestFit="1" customWidth="1"/>
    <col min="773" max="773" width="16.5703125" customWidth="1"/>
    <col min="774" max="774" width="23.5703125" bestFit="1"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18.7109375" customWidth="1"/>
    <col min="1026" max="1026" width="6.7109375" customWidth="1"/>
    <col min="1027" max="1027" width="32.42578125" customWidth="1"/>
    <col min="1028" max="1028" width="11.5703125" bestFit="1" customWidth="1"/>
    <col min="1029" max="1029" width="16.5703125" customWidth="1"/>
    <col min="1030" max="1030" width="23.5703125" bestFit="1"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18.7109375" customWidth="1"/>
    <col min="1282" max="1282" width="6.7109375" customWidth="1"/>
    <col min="1283" max="1283" width="32.42578125" customWidth="1"/>
    <col min="1284" max="1284" width="11.5703125" bestFit="1" customWidth="1"/>
    <col min="1285" max="1285" width="16.5703125" customWidth="1"/>
    <col min="1286" max="1286" width="23.5703125" bestFit="1"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18.7109375" customWidth="1"/>
    <col min="1538" max="1538" width="6.7109375" customWidth="1"/>
    <col min="1539" max="1539" width="32.42578125" customWidth="1"/>
    <col min="1540" max="1540" width="11.5703125" bestFit="1" customWidth="1"/>
    <col min="1541" max="1541" width="16.5703125" customWidth="1"/>
    <col min="1542" max="1542" width="23.5703125" bestFit="1"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18.7109375" customWidth="1"/>
    <col min="1794" max="1794" width="6.7109375" customWidth="1"/>
    <col min="1795" max="1795" width="32.42578125" customWidth="1"/>
    <col min="1796" max="1796" width="11.5703125" bestFit="1" customWidth="1"/>
    <col min="1797" max="1797" width="16.5703125" customWidth="1"/>
    <col min="1798" max="1798" width="23.5703125" bestFit="1"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18.7109375" customWidth="1"/>
    <col min="2050" max="2050" width="6.7109375" customWidth="1"/>
    <col min="2051" max="2051" width="32.42578125" customWidth="1"/>
    <col min="2052" max="2052" width="11.5703125" bestFit="1" customWidth="1"/>
    <col min="2053" max="2053" width="16.5703125" customWidth="1"/>
    <col min="2054" max="2054" width="23.5703125" bestFit="1"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18.7109375" customWidth="1"/>
    <col min="2306" max="2306" width="6.7109375" customWidth="1"/>
    <col min="2307" max="2307" width="32.42578125" customWidth="1"/>
    <col min="2308" max="2308" width="11.5703125" bestFit="1" customWidth="1"/>
    <col min="2309" max="2309" width="16.5703125" customWidth="1"/>
    <col min="2310" max="2310" width="23.5703125" bestFit="1"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18.7109375" customWidth="1"/>
    <col min="2562" max="2562" width="6.7109375" customWidth="1"/>
    <col min="2563" max="2563" width="32.42578125" customWidth="1"/>
    <col min="2564" max="2564" width="11.5703125" bestFit="1" customWidth="1"/>
    <col min="2565" max="2565" width="16.5703125" customWidth="1"/>
    <col min="2566" max="2566" width="23.5703125" bestFit="1"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18.7109375" customWidth="1"/>
    <col min="2818" max="2818" width="6.7109375" customWidth="1"/>
    <col min="2819" max="2819" width="32.42578125" customWidth="1"/>
    <col min="2820" max="2820" width="11.5703125" bestFit="1" customWidth="1"/>
    <col min="2821" max="2821" width="16.5703125" customWidth="1"/>
    <col min="2822" max="2822" width="23.5703125" bestFit="1"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18.7109375" customWidth="1"/>
    <col min="3074" max="3074" width="6.7109375" customWidth="1"/>
    <col min="3075" max="3075" width="32.42578125" customWidth="1"/>
    <col min="3076" max="3076" width="11.5703125" bestFit="1" customWidth="1"/>
    <col min="3077" max="3077" width="16.5703125" customWidth="1"/>
    <col min="3078" max="3078" width="23.5703125" bestFit="1"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18.7109375" customWidth="1"/>
    <col min="3330" max="3330" width="6.7109375" customWidth="1"/>
    <col min="3331" max="3331" width="32.42578125" customWidth="1"/>
    <col min="3332" max="3332" width="11.5703125" bestFit="1" customWidth="1"/>
    <col min="3333" max="3333" width="16.5703125" customWidth="1"/>
    <col min="3334" max="3334" width="23.5703125" bestFit="1"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18.7109375" customWidth="1"/>
    <col min="3586" max="3586" width="6.7109375" customWidth="1"/>
    <col min="3587" max="3587" width="32.42578125" customWidth="1"/>
    <col min="3588" max="3588" width="11.5703125" bestFit="1" customWidth="1"/>
    <col min="3589" max="3589" width="16.5703125" customWidth="1"/>
    <col min="3590" max="3590" width="23.5703125" bestFit="1"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18.7109375" customWidth="1"/>
    <col min="3842" max="3842" width="6.7109375" customWidth="1"/>
    <col min="3843" max="3843" width="32.42578125" customWidth="1"/>
    <col min="3844" max="3844" width="11.5703125" bestFit="1" customWidth="1"/>
    <col min="3845" max="3845" width="16.5703125" customWidth="1"/>
    <col min="3846" max="3846" width="23.5703125" bestFit="1"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18.7109375" customWidth="1"/>
    <col min="4098" max="4098" width="6.7109375" customWidth="1"/>
    <col min="4099" max="4099" width="32.42578125" customWidth="1"/>
    <col min="4100" max="4100" width="11.5703125" bestFit="1" customWidth="1"/>
    <col min="4101" max="4101" width="16.5703125" customWidth="1"/>
    <col min="4102" max="4102" width="23.5703125" bestFit="1"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18.7109375" customWidth="1"/>
    <col min="4354" max="4354" width="6.7109375" customWidth="1"/>
    <col min="4355" max="4355" width="32.42578125" customWidth="1"/>
    <col min="4356" max="4356" width="11.5703125" bestFit="1" customWidth="1"/>
    <col min="4357" max="4357" width="16.5703125" customWidth="1"/>
    <col min="4358" max="4358" width="23.5703125" bestFit="1"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18.7109375" customWidth="1"/>
    <col min="4610" max="4610" width="6.7109375" customWidth="1"/>
    <col min="4611" max="4611" width="32.42578125" customWidth="1"/>
    <col min="4612" max="4612" width="11.5703125" bestFit="1" customWidth="1"/>
    <col min="4613" max="4613" width="16.5703125" customWidth="1"/>
    <col min="4614" max="4614" width="23.5703125" bestFit="1"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18.7109375" customWidth="1"/>
    <col min="4866" max="4866" width="6.7109375" customWidth="1"/>
    <col min="4867" max="4867" width="32.42578125" customWidth="1"/>
    <col min="4868" max="4868" width="11.5703125" bestFit="1" customWidth="1"/>
    <col min="4869" max="4869" width="16.5703125" customWidth="1"/>
    <col min="4870" max="4870" width="23.5703125" bestFit="1"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18.7109375" customWidth="1"/>
    <col min="5122" max="5122" width="6.7109375" customWidth="1"/>
    <col min="5123" max="5123" width="32.42578125" customWidth="1"/>
    <col min="5124" max="5124" width="11.5703125" bestFit="1" customWidth="1"/>
    <col min="5125" max="5125" width="16.5703125" customWidth="1"/>
    <col min="5126" max="5126" width="23.5703125" bestFit="1"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18.7109375" customWidth="1"/>
    <col min="5378" max="5378" width="6.7109375" customWidth="1"/>
    <col min="5379" max="5379" width="32.42578125" customWidth="1"/>
    <col min="5380" max="5380" width="11.5703125" bestFit="1" customWidth="1"/>
    <col min="5381" max="5381" width="16.5703125" customWidth="1"/>
    <col min="5382" max="5382" width="23.5703125" bestFit="1"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18.7109375" customWidth="1"/>
    <col min="5634" max="5634" width="6.7109375" customWidth="1"/>
    <col min="5635" max="5635" width="32.42578125" customWidth="1"/>
    <col min="5636" max="5636" width="11.5703125" bestFit="1" customWidth="1"/>
    <col min="5637" max="5637" width="16.5703125" customWidth="1"/>
    <col min="5638" max="5638" width="23.5703125" bestFit="1"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18.7109375" customWidth="1"/>
    <col min="5890" max="5890" width="6.7109375" customWidth="1"/>
    <col min="5891" max="5891" width="32.42578125" customWidth="1"/>
    <col min="5892" max="5892" width="11.5703125" bestFit="1" customWidth="1"/>
    <col min="5893" max="5893" width="16.5703125" customWidth="1"/>
    <col min="5894" max="5894" width="23.5703125" bestFit="1"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18.7109375" customWidth="1"/>
    <col min="6146" max="6146" width="6.7109375" customWidth="1"/>
    <col min="6147" max="6147" width="32.42578125" customWidth="1"/>
    <col min="6148" max="6148" width="11.5703125" bestFit="1" customWidth="1"/>
    <col min="6149" max="6149" width="16.5703125" customWidth="1"/>
    <col min="6150" max="6150" width="23.5703125" bestFit="1"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18.7109375" customWidth="1"/>
    <col min="6402" max="6402" width="6.7109375" customWidth="1"/>
    <col min="6403" max="6403" width="32.42578125" customWidth="1"/>
    <col min="6404" max="6404" width="11.5703125" bestFit="1" customWidth="1"/>
    <col min="6405" max="6405" width="16.5703125" customWidth="1"/>
    <col min="6406" max="6406" width="23.5703125" bestFit="1"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18.7109375" customWidth="1"/>
    <col min="6658" max="6658" width="6.7109375" customWidth="1"/>
    <col min="6659" max="6659" width="32.42578125" customWidth="1"/>
    <col min="6660" max="6660" width="11.5703125" bestFit="1" customWidth="1"/>
    <col min="6661" max="6661" width="16.5703125" customWidth="1"/>
    <col min="6662" max="6662" width="23.5703125" bestFit="1"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18.7109375" customWidth="1"/>
    <col min="6914" max="6914" width="6.7109375" customWidth="1"/>
    <col min="6915" max="6915" width="32.42578125" customWidth="1"/>
    <col min="6916" max="6916" width="11.5703125" bestFit="1" customWidth="1"/>
    <col min="6917" max="6917" width="16.5703125" customWidth="1"/>
    <col min="6918" max="6918" width="23.5703125" bestFit="1"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18.7109375" customWidth="1"/>
    <col min="7170" max="7170" width="6.7109375" customWidth="1"/>
    <col min="7171" max="7171" width="32.42578125" customWidth="1"/>
    <col min="7172" max="7172" width="11.5703125" bestFit="1" customWidth="1"/>
    <col min="7173" max="7173" width="16.5703125" customWidth="1"/>
    <col min="7174" max="7174" width="23.5703125" bestFit="1"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18.7109375" customWidth="1"/>
    <col min="7426" max="7426" width="6.7109375" customWidth="1"/>
    <col min="7427" max="7427" width="32.42578125" customWidth="1"/>
    <col min="7428" max="7428" width="11.5703125" bestFit="1" customWidth="1"/>
    <col min="7429" max="7429" width="16.5703125" customWidth="1"/>
    <col min="7430" max="7430" width="23.5703125" bestFit="1"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18.7109375" customWidth="1"/>
    <col min="7682" max="7682" width="6.7109375" customWidth="1"/>
    <col min="7683" max="7683" width="32.42578125" customWidth="1"/>
    <col min="7684" max="7684" width="11.5703125" bestFit="1" customWidth="1"/>
    <col min="7685" max="7685" width="16.5703125" customWidth="1"/>
    <col min="7686" max="7686" width="23.5703125" bestFit="1"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18.7109375" customWidth="1"/>
    <col min="7938" max="7938" width="6.7109375" customWidth="1"/>
    <col min="7939" max="7939" width="32.42578125" customWidth="1"/>
    <col min="7940" max="7940" width="11.5703125" bestFit="1" customWidth="1"/>
    <col min="7941" max="7941" width="16.5703125" customWidth="1"/>
    <col min="7942" max="7942" width="23.5703125" bestFit="1"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18.7109375" customWidth="1"/>
    <col min="8194" max="8194" width="6.7109375" customWidth="1"/>
    <col min="8195" max="8195" width="32.42578125" customWidth="1"/>
    <col min="8196" max="8196" width="11.5703125" bestFit="1" customWidth="1"/>
    <col min="8197" max="8197" width="16.5703125" customWidth="1"/>
    <col min="8198" max="8198" width="23.5703125" bestFit="1"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18.7109375" customWidth="1"/>
    <col min="8450" max="8450" width="6.7109375" customWidth="1"/>
    <col min="8451" max="8451" width="32.42578125" customWidth="1"/>
    <col min="8452" max="8452" width="11.5703125" bestFit="1" customWidth="1"/>
    <col min="8453" max="8453" width="16.5703125" customWidth="1"/>
    <col min="8454" max="8454" width="23.5703125" bestFit="1"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18.7109375" customWidth="1"/>
    <col min="8706" max="8706" width="6.7109375" customWidth="1"/>
    <col min="8707" max="8707" width="32.42578125" customWidth="1"/>
    <col min="8708" max="8708" width="11.5703125" bestFit="1" customWidth="1"/>
    <col min="8709" max="8709" width="16.5703125" customWidth="1"/>
    <col min="8710" max="8710" width="23.5703125" bestFit="1"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18.7109375" customWidth="1"/>
    <col min="8962" max="8962" width="6.7109375" customWidth="1"/>
    <col min="8963" max="8963" width="32.42578125" customWidth="1"/>
    <col min="8964" max="8964" width="11.5703125" bestFit="1" customWidth="1"/>
    <col min="8965" max="8965" width="16.5703125" customWidth="1"/>
    <col min="8966" max="8966" width="23.5703125" bestFit="1"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18.7109375" customWidth="1"/>
    <col min="9218" max="9218" width="6.7109375" customWidth="1"/>
    <col min="9219" max="9219" width="32.42578125" customWidth="1"/>
    <col min="9220" max="9220" width="11.5703125" bestFit="1" customWidth="1"/>
    <col min="9221" max="9221" width="16.5703125" customWidth="1"/>
    <col min="9222" max="9222" width="23.5703125" bestFit="1"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18.7109375" customWidth="1"/>
    <col min="9474" max="9474" width="6.7109375" customWidth="1"/>
    <col min="9475" max="9475" width="32.42578125" customWidth="1"/>
    <col min="9476" max="9476" width="11.5703125" bestFit="1" customWidth="1"/>
    <col min="9477" max="9477" width="16.5703125" customWidth="1"/>
    <col min="9478" max="9478" width="23.5703125" bestFit="1"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18.7109375" customWidth="1"/>
    <col min="9730" max="9730" width="6.7109375" customWidth="1"/>
    <col min="9731" max="9731" width="32.42578125" customWidth="1"/>
    <col min="9732" max="9732" width="11.5703125" bestFit="1" customWidth="1"/>
    <col min="9733" max="9733" width="16.5703125" customWidth="1"/>
    <col min="9734" max="9734" width="23.5703125" bestFit="1"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18.7109375" customWidth="1"/>
    <col min="9986" max="9986" width="6.7109375" customWidth="1"/>
    <col min="9987" max="9987" width="32.42578125" customWidth="1"/>
    <col min="9988" max="9988" width="11.5703125" bestFit="1" customWidth="1"/>
    <col min="9989" max="9989" width="16.5703125" customWidth="1"/>
    <col min="9990" max="9990" width="23.5703125" bestFit="1"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18.7109375" customWidth="1"/>
    <col min="10242" max="10242" width="6.7109375" customWidth="1"/>
    <col min="10243" max="10243" width="32.42578125" customWidth="1"/>
    <col min="10244" max="10244" width="11.5703125" bestFit="1" customWidth="1"/>
    <col min="10245" max="10245" width="16.5703125" customWidth="1"/>
    <col min="10246" max="10246" width="23.5703125" bestFit="1"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18.7109375" customWidth="1"/>
    <col min="10498" max="10498" width="6.7109375" customWidth="1"/>
    <col min="10499" max="10499" width="32.42578125" customWidth="1"/>
    <col min="10500" max="10500" width="11.5703125" bestFit="1" customWidth="1"/>
    <col min="10501" max="10501" width="16.5703125" customWidth="1"/>
    <col min="10502" max="10502" width="23.5703125" bestFit="1"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18.7109375" customWidth="1"/>
    <col min="10754" max="10754" width="6.7109375" customWidth="1"/>
    <col min="10755" max="10755" width="32.42578125" customWidth="1"/>
    <col min="10756" max="10756" width="11.5703125" bestFit="1" customWidth="1"/>
    <col min="10757" max="10757" width="16.5703125" customWidth="1"/>
    <col min="10758" max="10758" width="23.5703125" bestFit="1"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18.7109375" customWidth="1"/>
    <col min="11010" max="11010" width="6.7109375" customWidth="1"/>
    <col min="11011" max="11011" width="32.42578125" customWidth="1"/>
    <col min="11012" max="11012" width="11.5703125" bestFit="1" customWidth="1"/>
    <col min="11013" max="11013" width="16.5703125" customWidth="1"/>
    <col min="11014" max="11014" width="23.5703125" bestFit="1"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18.7109375" customWidth="1"/>
    <col min="11266" max="11266" width="6.7109375" customWidth="1"/>
    <col min="11267" max="11267" width="32.42578125" customWidth="1"/>
    <col min="11268" max="11268" width="11.5703125" bestFit="1" customWidth="1"/>
    <col min="11269" max="11269" width="16.5703125" customWidth="1"/>
    <col min="11270" max="11270" width="23.5703125" bestFit="1"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18.7109375" customWidth="1"/>
    <col min="11522" max="11522" width="6.7109375" customWidth="1"/>
    <col min="11523" max="11523" width="32.42578125" customWidth="1"/>
    <col min="11524" max="11524" width="11.5703125" bestFit="1" customWidth="1"/>
    <col min="11525" max="11525" width="16.5703125" customWidth="1"/>
    <col min="11526" max="11526" width="23.5703125" bestFit="1"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18.7109375" customWidth="1"/>
    <col min="11778" max="11778" width="6.7109375" customWidth="1"/>
    <col min="11779" max="11779" width="32.42578125" customWidth="1"/>
    <col min="11780" max="11780" width="11.5703125" bestFit="1" customWidth="1"/>
    <col min="11781" max="11781" width="16.5703125" customWidth="1"/>
    <col min="11782" max="11782" width="23.5703125" bestFit="1"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18.7109375" customWidth="1"/>
    <col min="12034" max="12034" width="6.7109375" customWidth="1"/>
    <col min="12035" max="12035" width="32.42578125" customWidth="1"/>
    <col min="12036" max="12036" width="11.5703125" bestFit="1" customWidth="1"/>
    <col min="12037" max="12037" width="16.5703125" customWidth="1"/>
    <col min="12038" max="12038" width="23.5703125" bestFit="1"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18.7109375" customWidth="1"/>
    <col min="12290" max="12290" width="6.7109375" customWidth="1"/>
    <col min="12291" max="12291" width="32.42578125" customWidth="1"/>
    <col min="12292" max="12292" width="11.5703125" bestFit="1" customWidth="1"/>
    <col min="12293" max="12293" width="16.5703125" customWidth="1"/>
    <col min="12294" max="12294" width="23.5703125" bestFit="1"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18.7109375" customWidth="1"/>
    <col min="12546" max="12546" width="6.7109375" customWidth="1"/>
    <col min="12547" max="12547" width="32.42578125" customWidth="1"/>
    <col min="12548" max="12548" width="11.5703125" bestFit="1" customWidth="1"/>
    <col min="12549" max="12549" width="16.5703125" customWidth="1"/>
    <col min="12550" max="12550" width="23.5703125" bestFit="1"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18.7109375" customWidth="1"/>
    <col min="12802" max="12802" width="6.7109375" customWidth="1"/>
    <col min="12803" max="12803" width="32.42578125" customWidth="1"/>
    <col min="12804" max="12804" width="11.5703125" bestFit="1" customWidth="1"/>
    <col min="12805" max="12805" width="16.5703125" customWidth="1"/>
    <col min="12806" max="12806" width="23.5703125" bestFit="1"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18.7109375" customWidth="1"/>
    <col min="13058" max="13058" width="6.7109375" customWidth="1"/>
    <col min="13059" max="13059" width="32.42578125" customWidth="1"/>
    <col min="13060" max="13060" width="11.5703125" bestFit="1" customWidth="1"/>
    <col min="13061" max="13061" width="16.5703125" customWidth="1"/>
    <col min="13062" max="13062" width="23.5703125" bestFit="1"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18.7109375" customWidth="1"/>
    <col min="13314" max="13314" width="6.7109375" customWidth="1"/>
    <col min="13315" max="13315" width="32.42578125" customWidth="1"/>
    <col min="13316" max="13316" width="11.5703125" bestFit="1" customWidth="1"/>
    <col min="13317" max="13317" width="16.5703125" customWidth="1"/>
    <col min="13318" max="13318" width="23.5703125" bestFit="1"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18.7109375" customWidth="1"/>
    <col min="13570" max="13570" width="6.7109375" customWidth="1"/>
    <col min="13571" max="13571" width="32.42578125" customWidth="1"/>
    <col min="13572" max="13572" width="11.5703125" bestFit="1" customWidth="1"/>
    <col min="13573" max="13573" width="16.5703125" customWidth="1"/>
    <col min="13574" max="13574" width="23.5703125" bestFit="1"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18.7109375" customWidth="1"/>
    <col min="13826" max="13826" width="6.7109375" customWidth="1"/>
    <col min="13827" max="13827" width="32.42578125" customWidth="1"/>
    <col min="13828" max="13828" width="11.5703125" bestFit="1" customWidth="1"/>
    <col min="13829" max="13829" width="16.5703125" customWidth="1"/>
    <col min="13830" max="13830" width="23.5703125" bestFit="1"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18.7109375" customWidth="1"/>
    <col min="14082" max="14082" width="6.7109375" customWidth="1"/>
    <col min="14083" max="14083" width="32.42578125" customWidth="1"/>
    <col min="14084" max="14084" width="11.5703125" bestFit="1" customWidth="1"/>
    <col min="14085" max="14085" width="16.5703125" customWidth="1"/>
    <col min="14086" max="14086" width="23.5703125" bestFit="1"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18.7109375" customWidth="1"/>
    <col min="14338" max="14338" width="6.7109375" customWidth="1"/>
    <col min="14339" max="14339" width="32.42578125" customWidth="1"/>
    <col min="14340" max="14340" width="11.5703125" bestFit="1" customWidth="1"/>
    <col min="14341" max="14341" width="16.5703125" customWidth="1"/>
    <col min="14342" max="14342" width="23.5703125" bestFit="1"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18.7109375" customWidth="1"/>
    <col min="14594" max="14594" width="6.7109375" customWidth="1"/>
    <col min="14595" max="14595" width="32.42578125" customWidth="1"/>
    <col min="14596" max="14596" width="11.5703125" bestFit="1" customWidth="1"/>
    <col min="14597" max="14597" width="16.5703125" customWidth="1"/>
    <col min="14598" max="14598" width="23.5703125" bestFit="1"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18.7109375" customWidth="1"/>
    <col min="14850" max="14850" width="6.7109375" customWidth="1"/>
    <col min="14851" max="14851" width="32.42578125" customWidth="1"/>
    <col min="14852" max="14852" width="11.5703125" bestFit="1" customWidth="1"/>
    <col min="14853" max="14853" width="16.5703125" customWidth="1"/>
    <col min="14854" max="14854" width="23.5703125" bestFit="1"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18.7109375" customWidth="1"/>
    <col min="15106" max="15106" width="6.7109375" customWidth="1"/>
    <col min="15107" max="15107" width="32.42578125" customWidth="1"/>
    <col min="15108" max="15108" width="11.5703125" bestFit="1" customWidth="1"/>
    <col min="15109" max="15109" width="16.5703125" customWidth="1"/>
    <col min="15110" max="15110" width="23.5703125" bestFit="1"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18.7109375" customWidth="1"/>
    <col min="15362" max="15362" width="6.7109375" customWidth="1"/>
    <col min="15363" max="15363" width="32.42578125" customWidth="1"/>
    <col min="15364" max="15364" width="11.5703125" bestFit="1" customWidth="1"/>
    <col min="15365" max="15365" width="16.5703125" customWidth="1"/>
    <col min="15366" max="15366" width="23.5703125" bestFit="1"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18.7109375" customWidth="1"/>
    <col min="15618" max="15618" width="6.7109375" customWidth="1"/>
    <col min="15619" max="15619" width="32.42578125" customWidth="1"/>
    <col min="15620" max="15620" width="11.5703125" bestFit="1" customWidth="1"/>
    <col min="15621" max="15621" width="16.5703125" customWidth="1"/>
    <col min="15622" max="15622" width="23.5703125" bestFit="1"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18.7109375" customWidth="1"/>
    <col min="15874" max="15874" width="6.7109375" customWidth="1"/>
    <col min="15875" max="15875" width="32.42578125" customWidth="1"/>
    <col min="15876" max="15876" width="11.5703125" bestFit="1" customWidth="1"/>
    <col min="15877" max="15877" width="16.5703125" customWidth="1"/>
    <col min="15878" max="15878" width="23.5703125" bestFit="1"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18.7109375" customWidth="1"/>
    <col min="16130" max="16130" width="6.7109375" customWidth="1"/>
    <col min="16131" max="16131" width="32.42578125" customWidth="1"/>
    <col min="16132" max="16132" width="11.5703125" bestFit="1" customWidth="1"/>
    <col min="16133" max="16133" width="16.5703125" customWidth="1"/>
    <col min="16134" max="16134" width="23.5703125" bestFit="1"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18" x14ac:dyDescent="0.25">
      <c r="A1" s="23" t="s">
        <v>607</v>
      </c>
      <c r="B1" s="23"/>
      <c r="C1" s="23"/>
      <c r="D1" s="23"/>
      <c r="Q1" t="s">
        <v>620</v>
      </c>
    </row>
    <row r="2" spans="1:18" x14ac:dyDescent="0.25">
      <c r="Q2" t="s">
        <v>159</v>
      </c>
    </row>
    <row r="3" spans="1:18" x14ac:dyDescent="0.25">
      <c r="Q3" t="s">
        <v>619</v>
      </c>
    </row>
    <row r="4" spans="1:18" x14ac:dyDescent="0.25">
      <c r="Q4" t="s">
        <v>618</v>
      </c>
    </row>
    <row r="5" spans="1:18" x14ac:dyDescent="0.25">
      <c r="Q5" t="s">
        <v>329</v>
      </c>
    </row>
    <row r="6" spans="1:18" ht="11.45" customHeight="1" x14ac:dyDescent="0.25">
      <c r="A6" s="159" t="s">
        <v>617</v>
      </c>
      <c r="C6" s="9" t="s">
        <v>602</v>
      </c>
      <c r="D6" s="30">
        <f ca="1">COUNT(A7:A47)</f>
        <v>41</v>
      </c>
      <c r="Q6" t="s">
        <v>616</v>
      </c>
    </row>
    <row r="7" spans="1:18" x14ac:dyDescent="0.25">
      <c r="A7" s="162">
        <f t="shared" ref="A7:A47" ca="1" si="0">IF(MOD(ROW(),7),RANDBETWEEN(95000,500000),RANDBETWEEN(450000,1000000))</f>
        <v>687994</v>
      </c>
      <c r="C7" s="9" t="s">
        <v>601</v>
      </c>
      <c r="D7" s="166">
        <f ca="1">MAX(A7:A47)</f>
        <v>985653</v>
      </c>
      <c r="Q7" t="s">
        <v>615</v>
      </c>
    </row>
    <row r="8" spans="1:18" x14ac:dyDescent="0.25">
      <c r="A8" s="162">
        <f t="shared" ca="1" si="0"/>
        <v>464449</v>
      </c>
      <c r="C8" s="9" t="s">
        <v>600</v>
      </c>
      <c r="D8" s="166">
        <f ca="1">MIN(A7:A47)</f>
        <v>116334</v>
      </c>
    </row>
    <row r="9" spans="1:18" ht="30" x14ac:dyDescent="0.25">
      <c r="A9" s="162">
        <f t="shared" ca="1" si="0"/>
        <v>116334</v>
      </c>
      <c r="C9" s="158" t="str">
        <f ca="1">"Range = (MAX - MIN) = "&amp;D7&amp;" - "&amp;D8&amp;" ="</f>
        <v>Range = (MAX - MIN) = 985653 - 116334 =</v>
      </c>
      <c r="D9" s="165">
        <f ca="1">D7-D8</f>
        <v>869319</v>
      </c>
    </row>
    <row r="10" spans="1:18" x14ac:dyDescent="0.25">
      <c r="A10" s="162">
        <f t="shared" ca="1" si="0"/>
        <v>376054</v>
      </c>
      <c r="C10" s="159" t="s">
        <v>599</v>
      </c>
      <c r="D10" s="26">
        <v>7</v>
      </c>
      <c r="E10" t="s">
        <v>596</v>
      </c>
      <c r="R10" s="26" t="s">
        <v>614</v>
      </c>
    </row>
    <row r="11" spans="1:18" x14ac:dyDescent="0.25">
      <c r="A11" s="162">
        <f t="shared" ca="1" si="0"/>
        <v>137696</v>
      </c>
      <c r="C11" s="158" t="str">
        <f ca="1">"Is 2^"&amp;D10&amp;" ("&amp;2^D10&amp;") &gt;= "&amp;D6</f>
        <v>Is 2^7 (128) &gt;= 41</v>
      </c>
      <c r="D11" s="30" t="b">
        <f ca="1">2^D10&gt;=D6</f>
        <v>1</v>
      </c>
      <c r="R11" s="30">
        <f ca="1">SKEW(A7:A47)</f>
        <v>1.5098593505502658</v>
      </c>
    </row>
    <row r="12" spans="1:18" ht="30" x14ac:dyDescent="0.25">
      <c r="A12" s="162">
        <f t="shared" ca="1" si="0"/>
        <v>351977</v>
      </c>
      <c r="C12" s="158" t="str">
        <f ca="1">"Approximate Class Width = Range/k = "&amp;D9&amp;"/"&amp;D10&amp;" ="</f>
        <v>Approximate Class Width = Range/k = 869319/7 =</v>
      </c>
      <c r="D12" s="165">
        <f ca="1">(D7-D8)/D10</f>
        <v>124188.42857142857</v>
      </c>
    </row>
    <row r="13" spans="1:18" x14ac:dyDescent="0.25">
      <c r="A13" s="162">
        <f t="shared" ca="1" si="0"/>
        <v>384288</v>
      </c>
      <c r="C13" s="9" t="s">
        <v>598</v>
      </c>
      <c r="D13" s="26">
        <v>150000</v>
      </c>
      <c r="E13" t="s">
        <v>596</v>
      </c>
    </row>
    <row r="14" spans="1:18" ht="30" x14ac:dyDescent="0.25">
      <c r="A14" s="162">
        <f t="shared" ca="1" si="0"/>
        <v>984898</v>
      </c>
      <c r="C14" s="158" t="str">
        <f>"Actual Range for Classes = ClassWidth*k = "&amp;D13&amp;"*"&amp;D10&amp;" ="</f>
        <v>Actual Range for Classes = ClassWidth*k = 150000*7 =</v>
      </c>
      <c r="D14" s="165">
        <f>D13*D10</f>
        <v>1050000</v>
      </c>
    </row>
    <row r="15" spans="1:18" ht="30" x14ac:dyDescent="0.25">
      <c r="A15" s="162">
        <f t="shared" ca="1" si="0"/>
        <v>461891</v>
      </c>
      <c r="C15" s="157" t="s">
        <v>597</v>
      </c>
      <c r="D15" s="164">
        <v>0</v>
      </c>
      <c r="E15" t="s">
        <v>596</v>
      </c>
    </row>
    <row r="16" spans="1:18" x14ac:dyDescent="0.25">
      <c r="A16" s="162">
        <f t="shared" ca="1" si="0"/>
        <v>486768</v>
      </c>
      <c r="C16"/>
    </row>
    <row r="17" spans="1:8" x14ac:dyDescent="0.25">
      <c r="A17" s="162">
        <f t="shared" ca="1" si="0"/>
        <v>219694</v>
      </c>
      <c r="C17"/>
      <c r="F17" s="155" t="s">
        <v>595</v>
      </c>
      <c r="G17" s="155" t="s">
        <v>164</v>
      </c>
      <c r="H17" s="155" t="s">
        <v>594</v>
      </c>
    </row>
    <row r="18" spans="1:8" x14ac:dyDescent="0.25">
      <c r="A18" s="162">
        <f t="shared" ca="1" si="0"/>
        <v>294760</v>
      </c>
      <c r="D18" s="163">
        <f>D15</f>
        <v>0</v>
      </c>
      <c r="E18" s="163">
        <f t="shared" ref="E18:E24" si="1">D18+D$13</f>
        <v>150000</v>
      </c>
      <c r="F18" s="26" t="str">
        <f t="shared" ref="F18:F24" si="2">DOLLAR(D18,0)&amp;" up to "&amp;DOLLAR(E18,0)</f>
        <v>$0 up to $150,000</v>
      </c>
      <c r="G18" s="26">
        <f t="shared" ref="G18:G24" ca="1" si="3">COUNTIF($A$7:$A$47,"&lt;"&amp;E18)-COUNTIF($A$7:$A$47,"&lt;"&amp;D18)</f>
        <v>2</v>
      </c>
      <c r="H18" s="26">
        <f t="shared" ref="H18:H24" ca="1" si="4">G18/G$25</f>
        <v>4.878048780487805E-2</v>
      </c>
    </row>
    <row r="19" spans="1:8" x14ac:dyDescent="0.25">
      <c r="A19" s="162">
        <f t="shared" ca="1" si="0"/>
        <v>297284</v>
      </c>
      <c r="D19" s="163">
        <f t="shared" ref="D19:D24" si="5">E18</f>
        <v>150000</v>
      </c>
      <c r="E19" s="163">
        <f t="shared" si="1"/>
        <v>300000</v>
      </c>
      <c r="F19" s="26" t="str">
        <f t="shared" si="2"/>
        <v>$150,000 up to $300,000</v>
      </c>
      <c r="G19" s="26">
        <f t="shared" ca="1" si="3"/>
        <v>12</v>
      </c>
      <c r="H19" s="26">
        <f t="shared" ca="1" si="4"/>
        <v>0.29268292682926828</v>
      </c>
    </row>
    <row r="20" spans="1:8" x14ac:dyDescent="0.25">
      <c r="A20" s="162">
        <f t="shared" ca="1" si="0"/>
        <v>459875</v>
      </c>
      <c r="D20" s="163">
        <f t="shared" si="5"/>
        <v>300000</v>
      </c>
      <c r="E20" s="163">
        <f t="shared" si="1"/>
        <v>450000</v>
      </c>
      <c r="F20" s="26" t="str">
        <f t="shared" si="2"/>
        <v>$300,000 up to $450,000</v>
      </c>
      <c r="G20" s="26">
        <f t="shared" ca="1" si="3"/>
        <v>14</v>
      </c>
      <c r="H20" s="26">
        <f t="shared" ca="1" si="4"/>
        <v>0.34146341463414637</v>
      </c>
    </row>
    <row r="21" spans="1:8" x14ac:dyDescent="0.25">
      <c r="A21" s="162">
        <f t="shared" ca="1" si="0"/>
        <v>674494</v>
      </c>
      <c r="D21" s="163">
        <f t="shared" si="5"/>
        <v>450000</v>
      </c>
      <c r="E21" s="163">
        <f t="shared" si="1"/>
        <v>600000</v>
      </c>
      <c r="F21" s="26" t="str">
        <f t="shared" si="2"/>
        <v>$450,000 up to $600,000</v>
      </c>
      <c r="G21" s="26">
        <f t="shared" ca="1" si="3"/>
        <v>8</v>
      </c>
      <c r="H21" s="26">
        <f t="shared" ca="1" si="4"/>
        <v>0.1951219512195122</v>
      </c>
    </row>
    <row r="22" spans="1:8" x14ac:dyDescent="0.25">
      <c r="A22" s="162">
        <f t="shared" ca="1" si="0"/>
        <v>218634</v>
      </c>
      <c r="D22" s="163">
        <f t="shared" si="5"/>
        <v>600000</v>
      </c>
      <c r="E22" s="163">
        <f t="shared" si="1"/>
        <v>750000</v>
      </c>
      <c r="F22" s="26" t="str">
        <f t="shared" si="2"/>
        <v>$600,000 up to $750,000</v>
      </c>
      <c r="G22" s="26">
        <f t="shared" ca="1" si="3"/>
        <v>3</v>
      </c>
      <c r="H22" s="26">
        <f t="shared" ca="1" si="4"/>
        <v>7.3170731707317069E-2</v>
      </c>
    </row>
    <row r="23" spans="1:8" x14ac:dyDescent="0.25">
      <c r="A23" s="162">
        <f t="shared" ca="1" si="0"/>
        <v>384360</v>
      </c>
      <c r="D23" s="163">
        <f t="shared" si="5"/>
        <v>750000</v>
      </c>
      <c r="E23" s="163">
        <f t="shared" si="1"/>
        <v>900000</v>
      </c>
      <c r="F23" s="26" t="str">
        <f t="shared" si="2"/>
        <v>$750,000 up to $900,000</v>
      </c>
      <c r="G23" s="26">
        <f t="shared" ca="1" si="3"/>
        <v>0</v>
      </c>
      <c r="H23" s="26">
        <f t="shared" ca="1" si="4"/>
        <v>0</v>
      </c>
    </row>
    <row r="24" spans="1:8" x14ac:dyDescent="0.25">
      <c r="A24" s="162">
        <f t="shared" ca="1" si="0"/>
        <v>176561</v>
      </c>
      <c r="D24" s="163">
        <f t="shared" si="5"/>
        <v>900000</v>
      </c>
      <c r="E24" s="163">
        <f t="shared" si="1"/>
        <v>1050000</v>
      </c>
      <c r="F24" s="26" t="str">
        <f t="shared" si="2"/>
        <v>$900,000 up to $1,050,000</v>
      </c>
      <c r="G24" s="26">
        <f t="shared" ca="1" si="3"/>
        <v>2</v>
      </c>
      <c r="H24" s="26">
        <f t="shared" ca="1" si="4"/>
        <v>4.878048780487805E-2</v>
      </c>
    </row>
    <row r="25" spans="1:8" x14ac:dyDescent="0.25">
      <c r="A25" s="162">
        <f t="shared" ca="1" si="0"/>
        <v>312370</v>
      </c>
      <c r="G25" s="26">
        <f ca="1">SUM(G18:G24)</f>
        <v>41</v>
      </c>
      <c r="H25" s="26">
        <f ca="1">SUM(H18:H24)</f>
        <v>0.99999999999999989</v>
      </c>
    </row>
    <row r="26" spans="1:8" x14ac:dyDescent="0.25">
      <c r="A26" s="162">
        <f t="shared" ca="1" si="0"/>
        <v>398812</v>
      </c>
    </row>
    <row r="27" spans="1:8" x14ac:dyDescent="0.25">
      <c r="A27" s="162">
        <f t="shared" ca="1" si="0"/>
        <v>399422</v>
      </c>
    </row>
    <row r="28" spans="1:8" x14ac:dyDescent="0.25">
      <c r="A28" s="162">
        <f t="shared" ca="1" si="0"/>
        <v>733254</v>
      </c>
    </row>
    <row r="29" spans="1:8" x14ac:dyDescent="0.25">
      <c r="A29" s="162">
        <f t="shared" ca="1" si="0"/>
        <v>268974</v>
      </c>
    </row>
    <row r="30" spans="1:8" x14ac:dyDescent="0.25">
      <c r="A30" s="162">
        <f t="shared" ca="1" si="0"/>
        <v>241161</v>
      </c>
    </row>
    <row r="31" spans="1:8" x14ac:dyDescent="0.25">
      <c r="A31" s="162">
        <f t="shared" ca="1" si="0"/>
        <v>466917</v>
      </c>
    </row>
    <row r="32" spans="1:8" x14ac:dyDescent="0.25">
      <c r="A32" s="162">
        <f t="shared" ca="1" si="0"/>
        <v>378753</v>
      </c>
    </row>
    <row r="33" spans="1:1" x14ac:dyDescent="0.25">
      <c r="A33" s="162">
        <f t="shared" ca="1" si="0"/>
        <v>393819</v>
      </c>
    </row>
    <row r="34" spans="1:1" x14ac:dyDescent="0.25">
      <c r="A34" s="162">
        <f t="shared" ca="1" si="0"/>
        <v>379356</v>
      </c>
    </row>
    <row r="35" spans="1:1" x14ac:dyDescent="0.25">
      <c r="A35" s="162">
        <f t="shared" ca="1" si="0"/>
        <v>985653</v>
      </c>
    </row>
    <row r="36" spans="1:1" x14ac:dyDescent="0.25">
      <c r="A36" s="162">
        <f t="shared" ca="1" si="0"/>
        <v>262048</v>
      </c>
    </row>
    <row r="37" spans="1:1" x14ac:dyDescent="0.25">
      <c r="A37" s="162">
        <f t="shared" ca="1" si="0"/>
        <v>231511</v>
      </c>
    </row>
    <row r="38" spans="1:1" x14ac:dyDescent="0.25">
      <c r="A38" s="162">
        <f t="shared" ca="1" si="0"/>
        <v>346440</v>
      </c>
    </row>
    <row r="39" spans="1:1" x14ac:dyDescent="0.25">
      <c r="A39" s="162">
        <f t="shared" ca="1" si="0"/>
        <v>239109</v>
      </c>
    </row>
    <row r="40" spans="1:1" x14ac:dyDescent="0.25">
      <c r="A40" s="162">
        <f t="shared" ca="1" si="0"/>
        <v>462208</v>
      </c>
    </row>
    <row r="41" spans="1:1" x14ac:dyDescent="0.25">
      <c r="A41" s="162">
        <f t="shared" ca="1" si="0"/>
        <v>330965</v>
      </c>
    </row>
    <row r="42" spans="1:1" x14ac:dyDescent="0.25">
      <c r="A42" s="162">
        <f t="shared" ca="1" si="0"/>
        <v>597880</v>
      </c>
    </row>
    <row r="43" spans="1:1" x14ac:dyDescent="0.25">
      <c r="A43" s="162">
        <f t="shared" ca="1" si="0"/>
        <v>298475</v>
      </c>
    </row>
    <row r="44" spans="1:1" x14ac:dyDescent="0.25">
      <c r="A44" s="162">
        <f t="shared" ca="1" si="0"/>
        <v>278888</v>
      </c>
    </row>
    <row r="45" spans="1:1" x14ac:dyDescent="0.25">
      <c r="A45" s="162">
        <f t="shared" ca="1" si="0"/>
        <v>306951</v>
      </c>
    </row>
    <row r="46" spans="1:1" x14ac:dyDescent="0.25">
      <c r="A46" s="162">
        <f t="shared" ca="1" si="0"/>
        <v>305562</v>
      </c>
    </row>
    <row r="47" spans="1:1" x14ac:dyDescent="0.25">
      <c r="A47" s="162">
        <f t="shared" ca="1" si="0"/>
        <v>498623</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2">
    <tabColor rgb="FF0000FF"/>
  </sheetPr>
  <dimension ref="A1:H47"/>
  <sheetViews>
    <sheetView zoomScale="70" zoomScaleNormal="70" workbookViewId="0">
      <selection activeCell="C2" sqref="C2"/>
    </sheetView>
  </sheetViews>
  <sheetFormatPr defaultRowHeight="15" x14ac:dyDescent="0.25"/>
  <cols>
    <col min="1" max="1" width="25.5703125" bestFit="1" customWidth="1"/>
    <col min="2" max="2" width="6.7109375" customWidth="1"/>
    <col min="3" max="3" width="32.42578125" style="120" customWidth="1"/>
    <col min="4" max="4" width="12" bestFit="1" customWidth="1"/>
    <col min="5" max="5" width="6.7109375" customWidth="1"/>
    <col min="6" max="6" width="17.85546875" bestFit="1" customWidth="1"/>
    <col min="7" max="7" width="10.28515625" bestFit="1" customWidth="1"/>
    <col min="8" max="8" width="12.28515625" bestFit="1" customWidth="1"/>
    <col min="9" max="12" width="6.7109375" customWidth="1"/>
    <col min="14" max="14" width="15.28515625" bestFit="1" customWidth="1"/>
    <col min="16" max="16" width="26.7109375" bestFit="1" customWidth="1"/>
    <col min="18" max="18" width="25.5703125" bestFit="1" customWidth="1"/>
    <col min="257" max="257" width="25.5703125" bestFit="1" customWidth="1"/>
    <col min="258" max="258" width="6.7109375" customWidth="1"/>
    <col min="259" max="259" width="32.42578125" customWidth="1"/>
    <col min="260" max="260" width="12" bestFit="1" customWidth="1"/>
    <col min="261" max="261" width="6.7109375" customWidth="1"/>
    <col min="262" max="262" width="17.85546875" bestFit="1" customWidth="1"/>
    <col min="263" max="263" width="10.28515625" bestFit="1" customWidth="1"/>
    <col min="264" max="264" width="12.28515625" bestFit="1" customWidth="1"/>
    <col min="265" max="268" width="6.7109375" customWidth="1"/>
    <col min="270" max="270" width="15.28515625" bestFit="1" customWidth="1"/>
    <col min="272" max="272" width="26.7109375" bestFit="1" customWidth="1"/>
    <col min="274" max="274" width="25.5703125" bestFit="1" customWidth="1"/>
    <col min="513" max="513" width="25.5703125" bestFit="1" customWidth="1"/>
    <col min="514" max="514" width="6.7109375" customWidth="1"/>
    <col min="515" max="515" width="32.42578125" customWidth="1"/>
    <col min="516" max="516" width="12" bestFit="1" customWidth="1"/>
    <col min="517" max="517" width="6.7109375" customWidth="1"/>
    <col min="518" max="518" width="17.85546875" bestFit="1" customWidth="1"/>
    <col min="519" max="519" width="10.28515625" bestFit="1" customWidth="1"/>
    <col min="520" max="520" width="12.28515625" bestFit="1" customWidth="1"/>
    <col min="521" max="524" width="6.7109375" customWidth="1"/>
    <col min="526" max="526" width="15.28515625" bestFit="1" customWidth="1"/>
    <col min="528" max="528" width="26.7109375" bestFit="1" customWidth="1"/>
    <col min="530" max="530" width="25.5703125" bestFit="1" customWidth="1"/>
    <col min="769" max="769" width="25.5703125" bestFit="1" customWidth="1"/>
    <col min="770" max="770" width="6.7109375" customWidth="1"/>
    <col min="771" max="771" width="32.42578125" customWidth="1"/>
    <col min="772" max="772" width="12" bestFit="1" customWidth="1"/>
    <col min="773" max="773" width="6.7109375" customWidth="1"/>
    <col min="774" max="774" width="17.85546875" bestFit="1" customWidth="1"/>
    <col min="775" max="775" width="10.28515625" bestFit="1" customWidth="1"/>
    <col min="776" max="776" width="12.28515625" bestFit="1" customWidth="1"/>
    <col min="777" max="780" width="6.7109375" customWidth="1"/>
    <col min="782" max="782" width="15.28515625" bestFit="1" customWidth="1"/>
    <col min="784" max="784" width="26.7109375" bestFit="1" customWidth="1"/>
    <col min="786" max="786" width="25.5703125" bestFit="1" customWidth="1"/>
    <col min="1025" max="1025" width="25.5703125" bestFit="1" customWidth="1"/>
    <col min="1026" max="1026" width="6.7109375" customWidth="1"/>
    <col min="1027" max="1027" width="32.42578125" customWidth="1"/>
    <col min="1028" max="1028" width="12" bestFit="1" customWidth="1"/>
    <col min="1029" max="1029" width="6.7109375" customWidth="1"/>
    <col min="1030" max="1030" width="17.85546875" bestFit="1" customWidth="1"/>
    <col min="1031" max="1031" width="10.28515625" bestFit="1" customWidth="1"/>
    <col min="1032" max="1032" width="12.28515625" bestFit="1" customWidth="1"/>
    <col min="1033" max="1036" width="6.7109375" customWidth="1"/>
    <col min="1038" max="1038" width="15.28515625" bestFit="1" customWidth="1"/>
    <col min="1040" max="1040" width="26.7109375" bestFit="1" customWidth="1"/>
    <col min="1042" max="1042" width="25.5703125" bestFit="1" customWidth="1"/>
    <col min="1281" max="1281" width="25.5703125" bestFit="1" customWidth="1"/>
    <col min="1282" max="1282" width="6.7109375" customWidth="1"/>
    <col min="1283" max="1283" width="32.42578125" customWidth="1"/>
    <col min="1284" max="1284" width="12" bestFit="1" customWidth="1"/>
    <col min="1285" max="1285" width="6.7109375" customWidth="1"/>
    <col min="1286" max="1286" width="17.85546875" bestFit="1" customWidth="1"/>
    <col min="1287" max="1287" width="10.28515625" bestFit="1" customWidth="1"/>
    <col min="1288" max="1288" width="12.28515625" bestFit="1" customWidth="1"/>
    <col min="1289" max="1292" width="6.7109375" customWidth="1"/>
    <col min="1294" max="1294" width="15.28515625" bestFit="1" customWidth="1"/>
    <col min="1296" max="1296" width="26.7109375" bestFit="1" customWidth="1"/>
    <col min="1298" max="1298" width="25.5703125" bestFit="1" customWidth="1"/>
    <col min="1537" max="1537" width="25.5703125" bestFit="1" customWidth="1"/>
    <col min="1538" max="1538" width="6.7109375" customWidth="1"/>
    <col min="1539" max="1539" width="32.42578125" customWidth="1"/>
    <col min="1540" max="1540" width="12" bestFit="1" customWidth="1"/>
    <col min="1541" max="1541" width="6.7109375" customWidth="1"/>
    <col min="1542" max="1542" width="17.85546875" bestFit="1" customWidth="1"/>
    <col min="1543" max="1543" width="10.28515625" bestFit="1" customWidth="1"/>
    <col min="1544" max="1544" width="12.28515625" bestFit="1" customWidth="1"/>
    <col min="1545" max="1548" width="6.7109375" customWidth="1"/>
    <col min="1550" max="1550" width="15.28515625" bestFit="1" customWidth="1"/>
    <col min="1552" max="1552" width="26.7109375" bestFit="1" customWidth="1"/>
    <col min="1554" max="1554" width="25.5703125" bestFit="1" customWidth="1"/>
    <col min="1793" max="1793" width="25.5703125" bestFit="1" customWidth="1"/>
    <col min="1794" max="1794" width="6.7109375" customWidth="1"/>
    <col min="1795" max="1795" width="32.42578125" customWidth="1"/>
    <col min="1796" max="1796" width="12" bestFit="1" customWidth="1"/>
    <col min="1797" max="1797" width="6.7109375" customWidth="1"/>
    <col min="1798" max="1798" width="17.85546875" bestFit="1" customWidth="1"/>
    <col min="1799" max="1799" width="10.28515625" bestFit="1" customWidth="1"/>
    <col min="1800" max="1800" width="12.28515625" bestFit="1" customWidth="1"/>
    <col min="1801" max="1804" width="6.7109375" customWidth="1"/>
    <col min="1806" max="1806" width="15.28515625" bestFit="1" customWidth="1"/>
    <col min="1808" max="1808" width="26.7109375" bestFit="1" customWidth="1"/>
    <col min="1810" max="1810" width="25.5703125" bestFit="1" customWidth="1"/>
    <col min="2049" max="2049" width="25.5703125" bestFit="1" customWidth="1"/>
    <col min="2050" max="2050" width="6.7109375" customWidth="1"/>
    <col min="2051" max="2051" width="32.42578125" customWidth="1"/>
    <col min="2052" max="2052" width="12" bestFit="1" customWidth="1"/>
    <col min="2053" max="2053" width="6.7109375" customWidth="1"/>
    <col min="2054" max="2054" width="17.85546875" bestFit="1" customWidth="1"/>
    <col min="2055" max="2055" width="10.28515625" bestFit="1" customWidth="1"/>
    <col min="2056" max="2056" width="12.28515625" bestFit="1" customWidth="1"/>
    <col min="2057" max="2060" width="6.7109375" customWidth="1"/>
    <col min="2062" max="2062" width="15.28515625" bestFit="1" customWidth="1"/>
    <col min="2064" max="2064" width="26.7109375" bestFit="1" customWidth="1"/>
    <col min="2066" max="2066" width="25.5703125" bestFit="1" customWidth="1"/>
    <col min="2305" max="2305" width="25.5703125" bestFit="1" customWidth="1"/>
    <col min="2306" max="2306" width="6.7109375" customWidth="1"/>
    <col min="2307" max="2307" width="32.42578125" customWidth="1"/>
    <col min="2308" max="2308" width="12" bestFit="1" customWidth="1"/>
    <col min="2309" max="2309" width="6.7109375" customWidth="1"/>
    <col min="2310" max="2310" width="17.85546875" bestFit="1" customWidth="1"/>
    <col min="2311" max="2311" width="10.28515625" bestFit="1" customWidth="1"/>
    <col min="2312" max="2312" width="12.28515625" bestFit="1" customWidth="1"/>
    <col min="2313" max="2316" width="6.7109375" customWidth="1"/>
    <col min="2318" max="2318" width="15.28515625" bestFit="1" customWidth="1"/>
    <col min="2320" max="2320" width="26.7109375" bestFit="1" customWidth="1"/>
    <col min="2322" max="2322" width="25.5703125" bestFit="1" customWidth="1"/>
    <col min="2561" max="2561" width="25.5703125" bestFit="1" customWidth="1"/>
    <col min="2562" max="2562" width="6.7109375" customWidth="1"/>
    <col min="2563" max="2563" width="32.42578125" customWidth="1"/>
    <col min="2564" max="2564" width="12" bestFit="1" customWidth="1"/>
    <col min="2565" max="2565" width="6.7109375" customWidth="1"/>
    <col min="2566" max="2566" width="17.85546875" bestFit="1" customWidth="1"/>
    <col min="2567" max="2567" width="10.28515625" bestFit="1" customWidth="1"/>
    <col min="2568" max="2568" width="12.28515625" bestFit="1" customWidth="1"/>
    <col min="2569" max="2572" width="6.7109375" customWidth="1"/>
    <col min="2574" max="2574" width="15.28515625" bestFit="1" customWidth="1"/>
    <col min="2576" max="2576" width="26.7109375" bestFit="1" customWidth="1"/>
    <col min="2578" max="2578" width="25.5703125" bestFit="1" customWidth="1"/>
    <col min="2817" max="2817" width="25.5703125" bestFit="1" customWidth="1"/>
    <col min="2818" max="2818" width="6.7109375" customWidth="1"/>
    <col min="2819" max="2819" width="32.42578125" customWidth="1"/>
    <col min="2820" max="2820" width="12" bestFit="1" customWidth="1"/>
    <col min="2821" max="2821" width="6.7109375" customWidth="1"/>
    <col min="2822" max="2822" width="17.85546875" bestFit="1" customWidth="1"/>
    <col min="2823" max="2823" width="10.28515625" bestFit="1" customWidth="1"/>
    <col min="2824" max="2824" width="12.28515625" bestFit="1" customWidth="1"/>
    <col min="2825" max="2828" width="6.7109375" customWidth="1"/>
    <col min="2830" max="2830" width="15.28515625" bestFit="1" customWidth="1"/>
    <col min="2832" max="2832" width="26.7109375" bestFit="1" customWidth="1"/>
    <col min="2834" max="2834" width="25.5703125" bestFit="1" customWidth="1"/>
    <col min="3073" max="3073" width="25.5703125" bestFit="1" customWidth="1"/>
    <col min="3074" max="3074" width="6.7109375" customWidth="1"/>
    <col min="3075" max="3075" width="32.42578125" customWidth="1"/>
    <col min="3076" max="3076" width="12" bestFit="1" customWidth="1"/>
    <col min="3077" max="3077" width="6.7109375" customWidth="1"/>
    <col min="3078" max="3078" width="17.85546875" bestFit="1" customWidth="1"/>
    <col min="3079" max="3079" width="10.28515625" bestFit="1" customWidth="1"/>
    <col min="3080" max="3080" width="12.28515625" bestFit="1" customWidth="1"/>
    <col min="3081" max="3084" width="6.7109375" customWidth="1"/>
    <col min="3086" max="3086" width="15.28515625" bestFit="1" customWidth="1"/>
    <col min="3088" max="3088" width="26.7109375" bestFit="1" customWidth="1"/>
    <col min="3090" max="3090" width="25.5703125" bestFit="1" customWidth="1"/>
    <col min="3329" max="3329" width="25.5703125" bestFit="1" customWidth="1"/>
    <col min="3330" max="3330" width="6.7109375" customWidth="1"/>
    <col min="3331" max="3331" width="32.42578125" customWidth="1"/>
    <col min="3332" max="3332" width="12" bestFit="1" customWidth="1"/>
    <col min="3333" max="3333" width="6.7109375" customWidth="1"/>
    <col min="3334" max="3334" width="17.85546875" bestFit="1" customWidth="1"/>
    <col min="3335" max="3335" width="10.28515625" bestFit="1" customWidth="1"/>
    <col min="3336" max="3336" width="12.28515625" bestFit="1" customWidth="1"/>
    <col min="3337" max="3340" width="6.7109375" customWidth="1"/>
    <col min="3342" max="3342" width="15.28515625" bestFit="1" customWidth="1"/>
    <col min="3344" max="3344" width="26.7109375" bestFit="1" customWidth="1"/>
    <col min="3346" max="3346" width="25.5703125" bestFit="1" customWidth="1"/>
    <col min="3585" max="3585" width="25.5703125" bestFit="1" customWidth="1"/>
    <col min="3586" max="3586" width="6.7109375" customWidth="1"/>
    <col min="3587" max="3587" width="32.42578125" customWidth="1"/>
    <col min="3588" max="3588" width="12" bestFit="1" customWidth="1"/>
    <col min="3589" max="3589" width="6.7109375" customWidth="1"/>
    <col min="3590" max="3590" width="17.85546875" bestFit="1" customWidth="1"/>
    <col min="3591" max="3591" width="10.28515625" bestFit="1" customWidth="1"/>
    <col min="3592" max="3592" width="12.28515625" bestFit="1" customWidth="1"/>
    <col min="3593" max="3596" width="6.7109375" customWidth="1"/>
    <col min="3598" max="3598" width="15.28515625" bestFit="1" customWidth="1"/>
    <col min="3600" max="3600" width="26.7109375" bestFit="1" customWidth="1"/>
    <col min="3602" max="3602" width="25.5703125" bestFit="1" customWidth="1"/>
    <col min="3841" max="3841" width="25.5703125" bestFit="1" customWidth="1"/>
    <col min="3842" max="3842" width="6.7109375" customWidth="1"/>
    <col min="3843" max="3843" width="32.42578125" customWidth="1"/>
    <col min="3844" max="3844" width="12" bestFit="1" customWidth="1"/>
    <col min="3845" max="3845" width="6.7109375" customWidth="1"/>
    <col min="3846" max="3846" width="17.85546875" bestFit="1" customWidth="1"/>
    <col min="3847" max="3847" width="10.28515625" bestFit="1" customWidth="1"/>
    <col min="3848" max="3848" width="12.28515625" bestFit="1" customWidth="1"/>
    <col min="3849" max="3852" width="6.7109375" customWidth="1"/>
    <col min="3854" max="3854" width="15.28515625" bestFit="1" customWidth="1"/>
    <col min="3856" max="3856" width="26.7109375" bestFit="1" customWidth="1"/>
    <col min="3858" max="3858" width="25.5703125" bestFit="1" customWidth="1"/>
    <col min="4097" max="4097" width="25.5703125" bestFit="1" customWidth="1"/>
    <col min="4098" max="4098" width="6.7109375" customWidth="1"/>
    <col min="4099" max="4099" width="32.42578125" customWidth="1"/>
    <col min="4100" max="4100" width="12" bestFit="1" customWidth="1"/>
    <col min="4101" max="4101" width="6.7109375" customWidth="1"/>
    <col min="4102" max="4102" width="17.85546875" bestFit="1" customWidth="1"/>
    <col min="4103" max="4103" width="10.28515625" bestFit="1" customWidth="1"/>
    <col min="4104" max="4104" width="12.28515625" bestFit="1" customWidth="1"/>
    <col min="4105" max="4108" width="6.7109375" customWidth="1"/>
    <col min="4110" max="4110" width="15.28515625" bestFit="1" customWidth="1"/>
    <col min="4112" max="4112" width="26.7109375" bestFit="1" customWidth="1"/>
    <col min="4114" max="4114" width="25.5703125" bestFit="1" customWidth="1"/>
    <col min="4353" max="4353" width="25.5703125" bestFit="1" customWidth="1"/>
    <col min="4354" max="4354" width="6.7109375" customWidth="1"/>
    <col min="4355" max="4355" width="32.42578125" customWidth="1"/>
    <col min="4356" max="4356" width="12" bestFit="1" customWidth="1"/>
    <col min="4357" max="4357" width="6.7109375" customWidth="1"/>
    <col min="4358" max="4358" width="17.85546875" bestFit="1" customWidth="1"/>
    <col min="4359" max="4359" width="10.28515625" bestFit="1" customWidth="1"/>
    <col min="4360" max="4360" width="12.28515625" bestFit="1" customWidth="1"/>
    <col min="4361" max="4364" width="6.7109375" customWidth="1"/>
    <col min="4366" max="4366" width="15.28515625" bestFit="1" customWidth="1"/>
    <col min="4368" max="4368" width="26.7109375" bestFit="1" customWidth="1"/>
    <col min="4370" max="4370" width="25.5703125" bestFit="1" customWidth="1"/>
    <col min="4609" max="4609" width="25.5703125" bestFit="1" customWidth="1"/>
    <col min="4610" max="4610" width="6.7109375" customWidth="1"/>
    <col min="4611" max="4611" width="32.42578125" customWidth="1"/>
    <col min="4612" max="4612" width="12" bestFit="1" customWidth="1"/>
    <col min="4613" max="4613" width="6.7109375" customWidth="1"/>
    <col min="4614" max="4614" width="17.85546875" bestFit="1" customWidth="1"/>
    <col min="4615" max="4615" width="10.28515625" bestFit="1" customWidth="1"/>
    <col min="4616" max="4616" width="12.28515625" bestFit="1" customWidth="1"/>
    <col min="4617" max="4620" width="6.7109375" customWidth="1"/>
    <col min="4622" max="4622" width="15.28515625" bestFit="1" customWidth="1"/>
    <col min="4624" max="4624" width="26.7109375" bestFit="1" customWidth="1"/>
    <col min="4626" max="4626" width="25.5703125" bestFit="1" customWidth="1"/>
    <col min="4865" max="4865" width="25.5703125" bestFit="1" customWidth="1"/>
    <col min="4866" max="4866" width="6.7109375" customWidth="1"/>
    <col min="4867" max="4867" width="32.42578125" customWidth="1"/>
    <col min="4868" max="4868" width="12" bestFit="1" customWidth="1"/>
    <col min="4869" max="4869" width="6.7109375" customWidth="1"/>
    <col min="4870" max="4870" width="17.85546875" bestFit="1" customWidth="1"/>
    <col min="4871" max="4871" width="10.28515625" bestFit="1" customWidth="1"/>
    <col min="4872" max="4872" width="12.28515625" bestFit="1" customWidth="1"/>
    <col min="4873" max="4876" width="6.7109375" customWidth="1"/>
    <col min="4878" max="4878" width="15.28515625" bestFit="1" customWidth="1"/>
    <col min="4880" max="4880" width="26.7109375" bestFit="1" customWidth="1"/>
    <col min="4882" max="4882" width="25.5703125" bestFit="1" customWidth="1"/>
    <col min="5121" max="5121" width="25.5703125" bestFit="1" customWidth="1"/>
    <col min="5122" max="5122" width="6.7109375" customWidth="1"/>
    <col min="5123" max="5123" width="32.42578125" customWidth="1"/>
    <col min="5124" max="5124" width="12" bestFit="1" customWidth="1"/>
    <col min="5125" max="5125" width="6.7109375" customWidth="1"/>
    <col min="5126" max="5126" width="17.85546875" bestFit="1" customWidth="1"/>
    <col min="5127" max="5127" width="10.28515625" bestFit="1" customWidth="1"/>
    <col min="5128" max="5128" width="12.28515625" bestFit="1" customWidth="1"/>
    <col min="5129" max="5132" width="6.7109375" customWidth="1"/>
    <col min="5134" max="5134" width="15.28515625" bestFit="1" customWidth="1"/>
    <col min="5136" max="5136" width="26.7109375" bestFit="1" customWidth="1"/>
    <col min="5138" max="5138" width="25.5703125" bestFit="1" customWidth="1"/>
    <col min="5377" max="5377" width="25.5703125" bestFit="1" customWidth="1"/>
    <col min="5378" max="5378" width="6.7109375" customWidth="1"/>
    <col min="5379" max="5379" width="32.42578125" customWidth="1"/>
    <col min="5380" max="5380" width="12" bestFit="1" customWidth="1"/>
    <col min="5381" max="5381" width="6.7109375" customWidth="1"/>
    <col min="5382" max="5382" width="17.85546875" bestFit="1" customWidth="1"/>
    <col min="5383" max="5383" width="10.28515625" bestFit="1" customWidth="1"/>
    <col min="5384" max="5384" width="12.28515625" bestFit="1" customWidth="1"/>
    <col min="5385" max="5388" width="6.7109375" customWidth="1"/>
    <col min="5390" max="5390" width="15.28515625" bestFit="1" customWidth="1"/>
    <col min="5392" max="5392" width="26.7109375" bestFit="1" customWidth="1"/>
    <col min="5394" max="5394" width="25.5703125" bestFit="1" customWidth="1"/>
    <col min="5633" max="5633" width="25.5703125" bestFit="1" customWidth="1"/>
    <col min="5634" max="5634" width="6.7109375" customWidth="1"/>
    <col min="5635" max="5635" width="32.42578125" customWidth="1"/>
    <col min="5636" max="5636" width="12" bestFit="1" customWidth="1"/>
    <col min="5637" max="5637" width="6.7109375" customWidth="1"/>
    <col min="5638" max="5638" width="17.85546875" bestFit="1" customWidth="1"/>
    <col min="5639" max="5639" width="10.28515625" bestFit="1" customWidth="1"/>
    <col min="5640" max="5640" width="12.28515625" bestFit="1" customWidth="1"/>
    <col min="5641" max="5644" width="6.7109375" customWidth="1"/>
    <col min="5646" max="5646" width="15.28515625" bestFit="1" customWidth="1"/>
    <col min="5648" max="5648" width="26.7109375" bestFit="1" customWidth="1"/>
    <col min="5650" max="5650" width="25.5703125" bestFit="1" customWidth="1"/>
    <col min="5889" max="5889" width="25.5703125" bestFit="1" customWidth="1"/>
    <col min="5890" max="5890" width="6.7109375" customWidth="1"/>
    <col min="5891" max="5891" width="32.42578125" customWidth="1"/>
    <col min="5892" max="5892" width="12" bestFit="1" customWidth="1"/>
    <col min="5893" max="5893" width="6.7109375" customWidth="1"/>
    <col min="5894" max="5894" width="17.85546875" bestFit="1" customWidth="1"/>
    <col min="5895" max="5895" width="10.28515625" bestFit="1" customWidth="1"/>
    <col min="5896" max="5896" width="12.28515625" bestFit="1" customWidth="1"/>
    <col min="5897" max="5900" width="6.7109375" customWidth="1"/>
    <col min="5902" max="5902" width="15.28515625" bestFit="1" customWidth="1"/>
    <col min="5904" max="5904" width="26.7109375" bestFit="1" customWidth="1"/>
    <col min="5906" max="5906" width="25.5703125" bestFit="1" customWidth="1"/>
    <col min="6145" max="6145" width="25.5703125" bestFit="1" customWidth="1"/>
    <col min="6146" max="6146" width="6.7109375" customWidth="1"/>
    <col min="6147" max="6147" width="32.42578125" customWidth="1"/>
    <col min="6148" max="6148" width="12" bestFit="1" customWidth="1"/>
    <col min="6149" max="6149" width="6.7109375" customWidth="1"/>
    <col min="6150" max="6150" width="17.85546875" bestFit="1" customWidth="1"/>
    <col min="6151" max="6151" width="10.28515625" bestFit="1" customWidth="1"/>
    <col min="6152" max="6152" width="12.28515625" bestFit="1" customWidth="1"/>
    <col min="6153" max="6156" width="6.7109375" customWidth="1"/>
    <col min="6158" max="6158" width="15.28515625" bestFit="1" customWidth="1"/>
    <col min="6160" max="6160" width="26.7109375" bestFit="1" customWidth="1"/>
    <col min="6162" max="6162" width="25.5703125" bestFit="1" customWidth="1"/>
    <col min="6401" max="6401" width="25.5703125" bestFit="1" customWidth="1"/>
    <col min="6402" max="6402" width="6.7109375" customWidth="1"/>
    <col min="6403" max="6403" width="32.42578125" customWidth="1"/>
    <col min="6404" max="6404" width="12" bestFit="1" customWidth="1"/>
    <col min="6405" max="6405" width="6.7109375" customWidth="1"/>
    <col min="6406" max="6406" width="17.85546875" bestFit="1" customWidth="1"/>
    <col min="6407" max="6407" width="10.28515625" bestFit="1" customWidth="1"/>
    <col min="6408" max="6408" width="12.28515625" bestFit="1" customWidth="1"/>
    <col min="6409" max="6412" width="6.7109375" customWidth="1"/>
    <col min="6414" max="6414" width="15.28515625" bestFit="1" customWidth="1"/>
    <col min="6416" max="6416" width="26.7109375" bestFit="1" customWidth="1"/>
    <col min="6418" max="6418" width="25.5703125" bestFit="1" customWidth="1"/>
    <col min="6657" max="6657" width="25.5703125" bestFit="1" customWidth="1"/>
    <col min="6658" max="6658" width="6.7109375" customWidth="1"/>
    <col min="6659" max="6659" width="32.42578125" customWidth="1"/>
    <col min="6660" max="6660" width="12" bestFit="1" customWidth="1"/>
    <col min="6661" max="6661" width="6.7109375" customWidth="1"/>
    <col min="6662" max="6662" width="17.85546875" bestFit="1" customWidth="1"/>
    <col min="6663" max="6663" width="10.28515625" bestFit="1" customWidth="1"/>
    <col min="6664" max="6664" width="12.28515625" bestFit="1" customWidth="1"/>
    <col min="6665" max="6668" width="6.7109375" customWidth="1"/>
    <col min="6670" max="6670" width="15.28515625" bestFit="1" customWidth="1"/>
    <col min="6672" max="6672" width="26.7109375" bestFit="1" customWidth="1"/>
    <col min="6674" max="6674" width="25.5703125" bestFit="1" customWidth="1"/>
    <col min="6913" max="6913" width="25.5703125" bestFit="1" customWidth="1"/>
    <col min="6914" max="6914" width="6.7109375" customWidth="1"/>
    <col min="6915" max="6915" width="32.42578125" customWidth="1"/>
    <col min="6916" max="6916" width="12" bestFit="1" customWidth="1"/>
    <col min="6917" max="6917" width="6.7109375" customWidth="1"/>
    <col min="6918" max="6918" width="17.85546875" bestFit="1" customWidth="1"/>
    <col min="6919" max="6919" width="10.28515625" bestFit="1" customWidth="1"/>
    <col min="6920" max="6920" width="12.28515625" bestFit="1" customWidth="1"/>
    <col min="6921" max="6924" width="6.7109375" customWidth="1"/>
    <col min="6926" max="6926" width="15.28515625" bestFit="1" customWidth="1"/>
    <col min="6928" max="6928" width="26.7109375" bestFit="1" customWidth="1"/>
    <col min="6930" max="6930" width="25.5703125" bestFit="1" customWidth="1"/>
    <col min="7169" max="7169" width="25.5703125" bestFit="1" customWidth="1"/>
    <col min="7170" max="7170" width="6.7109375" customWidth="1"/>
    <col min="7171" max="7171" width="32.42578125" customWidth="1"/>
    <col min="7172" max="7172" width="12" bestFit="1" customWidth="1"/>
    <col min="7173" max="7173" width="6.7109375" customWidth="1"/>
    <col min="7174" max="7174" width="17.85546875" bestFit="1" customWidth="1"/>
    <col min="7175" max="7175" width="10.28515625" bestFit="1" customWidth="1"/>
    <col min="7176" max="7176" width="12.28515625" bestFit="1" customWidth="1"/>
    <col min="7177" max="7180" width="6.7109375" customWidth="1"/>
    <col min="7182" max="7182" width="15.28515625" bestFit="1" customWidth="1"/>
    <col min="7184" max="7184" width="26.7109375" bestFit="1" customWidth="1"/>
    <col min="7186" max="7186" width="25.5703125" bestFit="1" customWidth="1"/>
    <col min="7425" max="7425" width="25.5703125" bestFit="1" customWidth="1"/>
    <col min="7426" max="7426" width="6.7109375" customWidth="1"/>
    <col min="7427" max="7427" width="32.42578125" customWidth="1"/>
    <col min="7428" max="7428" width="12" bestFit="1" customWidth="1"/>
    <col min="7429" max="7429" width="6.7109375" customWidth="1"/>
    <col min="7430" max="7430" width="17.85546875" bestFit="1" customWidth="1"/>
    <col min="7431" max="7431" width="10.28515625" bestFit="1" customWidth="1"/>
    <col min="7432" max="7432" width="12.28515625" bestFit="1" customWidth="1"/>
    <col min="7433" max="7436" width="6.7109375" customWidth="1"/>
    <col min="7438" max="7438" width="15.28515625" bestFit="1" customWidth="1"/>
    <col min="7440" max="7440" width="26.7109375" bestFit="1" customWidth="1"/>
    <col min="7442" max="7442" width="25.5703125" bestFit="1" customWidth="1"/>
    <col min="7681" max="7681" width="25.5703125" bestFit="1" customWidth="1"/>
    <col min="7682" max="7682" width="6.7109375" customWidth="1"/>
    <col min="7683" max="7683" width="32.42578125" customWidth="1"/>
    <col min="7684" max="7684" width="12" bestFit="1" customWidth="1"/>
    <col min="7685" max="7685" width="6.7109375" customWidth="1"/>
    <col min="7686" max="7686" width="17.85546875" bestFit="1" customWidth="1"/>
    <col min="7687" max="7687" width="10.28515625" bestFit="1" customWidth="1"/>
    <col min="7688" max="7688" width="12.28515625" bestFit="1" customWidth="1"/>
    <col min="7689" max="7692" width="6.7109375" customWidth="1"/>
    <col min="7694" max="7694" width="15.28515625" bestFit="1" customWidth="1"/>
    <col min="7696" max="7696" width="26.7109375" bestFit="1" customWidth="1"/>
    <col min="7698" max="7698" width="25.5703125" bestFit="1" customWidth="1"/>
    <col min="7937" max="7937" width="25.5703125" bestFit="1" customWidth="1"/>
    <col min="7938" max="7938" width="6.7109375" customWidth="1"/>
    <col min="7939" max="7939" width="32.42578125" customWidth="1"/>
    <col min="7940" max="7940" width="12" bestFit="1" customWidth="1"/>
    <col min="7941" max="7941" width="6.7109375" customWidth="1"/>
    <col min="7942" max="7942" width="17.85546875" bestFit="1" customWidth="1"/>
    <col min="7943" max="7943" width="10.28515625" bestFit="1" customWidth="1"/>
    <col min="7944" max="7944" width="12.28515625" bestFit="1" customWidth="1"/>
    <col min="7945" max="7948" width="6.7109375" customWidth="1"/>
    <col min="7950" max="7950" width="15.28515625" bestFit="1" customWidth="1"/>
    <col min="7952" max="7952" width="26.7109375" bestFit="1" customWidth="1"/>
    <col min="7954" max="7954" width="25.5703125" bestFit="1" customWidth="1"/>
    <col min="8193" max="8193" width="25.5703125" bestFit="1" customWidth="1"/>
    <col min="8194" max="8194" width="6.7109375" customWidth="1"/>
    <col min="8195" max="8195" width="32.42578125" customWidth="1"/>
    <col min="8196" max="8196" width="12" bestFit="1" customWidth="1"/>
    <col min="8197" max="8197" width="6.7109375" customWidth="1"/>
    <col min="8198" max="8198" width="17.85546875" bestFit="1" customWidth="1"/>
    <col min="8199" max="8199" width="10.28515625" bestFit="1" customWidth="1"/>
    <col min="8200" max="8200" width="12.28515625" bestFit="1" customWidth="1"/>
    <col min="8201" max="8204" width="6.7109375" customWidth="1"/>
    <col min="8206" max="8206" width="15.28515625" bestFit="1" customWidth="1"/>
    <col min="8208" max="8208" width="26.7109375" bestFit="1" customWidth="1"/>
    <col min="8210" max="8210" width="25.5703125" bestFit="1" customWidth="1"/>
    <col min="8449" max="8449" width="25.5703125" bestFit="1" customWidth="1"/>
    <col min="8450" max="8450" width="6.7109375" customWidth="1"/>
    <col min="8451" max="8451" width="32.42578125" customWidth="1"/>
    <col min="8452" max="8452" width="12" bestFit="1" customWidth="1"/>
    <col min="8453" max="8453" width="6.7109375" customWidth="1"/>
    <col min="8454" max="8454" width="17.85546875" bestFit="1" customWidth="1"/>
    <col min="8455" max="8455" width="10.28515625" bestFit="1" customWidth="1"/>
    <col min="8456" max="8456" width="12.28515625" bestFit="1" customWidth="1"/>
    <col min="8457" max="8460" width="6.7109375" customWidth="1"/>
    <col min="8462" max="8462" width="15.28515625" bestFit="1" customWidth="1"/>
    <col min="8464" max="8464" width="26.7109375" bestFit="1" customWidth="1"/>
    <col min="8466" max="8466" width="25.5703125" bestFit="1" customWidth="1"/>
    <col min="8705" max="8705" width="25.5703125" bestFit="1" customWidth="1"/>
    <col min="8706" max="8706" width="6.7109375" customWidth="1"/>
    <col min="8707" max="8707" width="32.42578125" customWidth="1"/>
    <col min="8708" max="8708" width="12" bestFit="1" customWidth="1"/>
    <col min="8709" max="8709" width="6.7109375" customWidth="1"/>
    <col min="8710" max="8710" width="17.85546875" bestFit="1" customWidth="1"/>
    <col min="8711" max="8711" width="10.28515625" bestFit="1" customWidth="1"/>
    <col min="8712" max="8712" width="12.28515625" bestFit="1" customWidth="1"/>
    <col min="8713" max="8716" width="6.7109375" customWidth="1"/>
    <col min="8718" max="8718" width="15.28515625" bestFit="1" customWidth="1"/>
    <col min="8720" max="8720" width="26.7109375" bestFit="1" customWidth="1"/>
    <col min="8722" max="8722" width="25.5703125" bestFit="1" customWidth="1"/>
    <col min="8961" max="8961" width="25.5703125" bestFit="1" customWidth="1"/>
    <col min="8962" max="8962" width="6.7109375" customWidth="1"/>
    <col min="8963" max="8963" width="32.42578125" customWidth="1"/>
    <col min="8964" max="8964" width="12" bestFit="1" customWidth="1"/>
    <col min="8965" max="8965" width="6.7109375" customWidth="1"/>
    <col min="8966" max="8966" width="17.85546875" bestFit="1" customWidth="1"/>
    <col min="8967" max="8967" width="10.28515625" bestFit="1" customWidth="1"/>
    <col min="8968" max="8968" width="12.28515625" bestFit="1" customWidth="1"/>
    <col min="8969" max="8972" width="6.7109375" customWidth="1"/>
    <col min="8974" max="8974" width="15.28515625" bestFit="1" customWidth="1"/>
    <col min="8976" max="8976" width="26.7109375" bestFit="1" customWidth="1"/>
    <col min="8978" max="8978" width="25.5703125" bestFit="1" customWidth="1"/>
    <col min="9217" max="9217" width="25.5703125" bestFit="1" customWidth="1"/>
    <col min="9218" max="9218" width="6.7109375" customWidth="1"/>
    <col min="9219" max="9219" width="32.42578125" customWidth="1"/>
    <col min="9220" max="9220" width="12" bestFit="1" customWidth="1"/>
    <col min="9221" max="9221" width="6.7109375" customWidth="1"/>
    <col min="9222" max="9222" width="17.85546875" bestFit="1" customWidth="1"/>
    <col min="9223" max="9223" width="10.28515625" bestFit="1" customWidth="1"/>
    <col min="9224" max="9224" width="12.28515625" bestFit="1" customWidth="1"/>
    <col min="9225" max="9228" width="6.7109375" customWidth="1"/>
    <col min="9230" max="9230" width="15.28515625" bestFit="1" customWidth="1"/>
    <col min="9232" max="9232" width="26.7109375" bestFit="1" customWidth="1"/>
    <col min="9234" max="9234" width="25.5703125" bestFit="1" customWidth="1"/>
    <col min="9473" max="9473" width="25.5703125" bestFit="1" customWidth="1"/>
    <col min="9474" max="9474" width="6.7109375" customWidth="1"/>
    <col min="9475" max="9475" width="32.42578125" customWidth="1"/>
    <col min="9476" max="9476" width="12" bestFit="1" customWidth="1"/>
    <col min="9477" max="9477" width="6.7109375" customWidth="1"/>
    <col min="9478" max="9478" width="17.85546875" bestFit="1" customWidth="1"/>
    <col min="9479" max="9479" width="10.28515625" bestFit="1" customWidth="1"/>
    <col min="9480" max="9480" width="12.28515625" bestFit="1" customWidth="1"/>
    <col min="9481" max="9484" width="6.7109375" customWidth="1"/>
    <col min="9486" max="9486" width="15.28515625" bestFit="1" customWidth="1"/>
    <col min="9488" max="9488" width="26.7109375" bestFit="1" customWidth="1"/>
    <col min="9490" max="9490" width="25.5703125" bestFit="1" customWidth="1"/>
    <col min="9729" max="9729" width="25.5703125" bestFit="1" customWidth="1"/>
    <col min="9730" max="9730" width="6.7109375" customWidth="1"/>
    <col min="9731" max="9731" width="32.42578125" customWidth="1"/>
    <col min="9732" max="9732" width="12" bestFit="1" customWidth="1"/>
    <col min="9733" max="9733" width="6.7109375" customWidth="1"/>
    <col min="9734" max="9734" width="17.85546875" bestFit="1" customWidth="1"/>
    <col min="9735" max="9735" width="10.28515625" bestFit="1" customWidth="1"/>
    <col min="9736" max="9736" width="12.28515625" bestFit="1" customWidth="1"/>
    <col min="9737" max="9740" width="6.7109375" customWidth="1"/>
    <col min="9742" max="9742" width="15.28515625" bestFit="1" customWidth="1"/>
    <col min="9744" max="9744" width="26.7109375" bestFit="1" customWidth="1"/>
    <col min="9746" max="9746" width="25.5703125" bestFit="1" customWidth="1"/>
    <col min="9985" max="9985" width="25.5703125" bestFit="1" customWidth="1"/>
    <col min="9986" max="9986" width="6.7109375" customWidth="1"/>
    <col min="9987" max="9987" width="32.42578125" customWidth="1"/>
    <col min="9988" max="9988" width="12" bestFit="1" customWidth="1"/>
    <col min="9989" max="9989" width="6.7109375" customWidth="1"/>
    <col min="9990" max="9990" width="17.85546875" bestFit="1" customWidth="1"/>
    <col min="9991" max="9991" width="10.28515625" bestFit="1" customWidth="1"/>
    <col min="9992" max="9992" width="12.28515625" bestFit="1" customWidth="1"/>
    <col min="9993" max="9996" width="6.7109375" customWidth="1"/>
    <col min="9998" max="9998" width="15.28515625" bestFit="1" customWidth="1"/>
    <col min="10000" max="10000" width="26.7109375" bestFit="1" customWidth="1"/>
    <col min="10002" max="10002" width="25.5703125" bestFit="1" customWidth="1"/>
    <col min="10241" max="10241" width="25.5703125" bestFit="1" customWidth="1"/>
    <col min="10242" max="10242" width="6.7109375" customWidth="1"/>
    <col min="10243" max="10243" width="32.42578125" customWidth="1"/>
    <col min="10244" max="10244" width="12" bestFit="1" customWidth="1"/>
    <col min="10245" max="10245" width="6.7109375" customWidth="1"/>
    <col min="10246" max="10246" width="17.85546875" bestFit="1" customWidth="1"/>
    <col min="10247" max="10247" width="10.28515625" bestFit="1" customWidth="1"/>
    <col min="10248" max="10248" width="12.28515625" bestFit="1" customWidth="1"/>
    <col min="10249" max="10252" width="6.7109375" customWidth="1"/>
    <col min="10254" max="10254" width="15.28515625" bestFit="1" customWidth="1"/>
    <col min="10256" max="10256" width="26.7109375" bestFit="1" customWidth="1"/>
    <col min="10258" max="10258" width="25.5703125" bestFit="1" customWidth="1"/>
    <col min="10497" max="10497" width="25.5703125" bestFit="1" customWidth="1"/>
    <col min="10498" max="10498" width="6.7109375" customWidth="1"/>
    <col min="10499" max="10499" width="32.42578125" customWidth="1"/>
    <col min="10500" max="10500" width="12" bestFit="1" customWidth="1"/>
    <col min="10501" max="10501" width="6.7109375" customWidth="1"/>
    <col min="10502" max="10502" width="17.85546875" bestFit="1" customWidth="1"/>
    <col min="10503" max="10503" width="10.28515625" bestFit="1" customWidth="1"/>
    <col min="10504" max="10504" width="12.28515625" bestFit="1" customWidth="1"/>
    <col min="10505" max="10508" width="6.7109375" customWidth="1"/>
    <col min="10510" max="10510" width="15.28515625" bestFit="1" customWidth="1"/>
    <col min="10512" max="10512" width="26.7109375" bestFit="1" customWidth="1"/>
    <col min="10514" max="10514" width="25.5703125" bestFit="1" customWidth="1"/>
    <col min="10753" max="10753" width="25.5703125" bestFit="1" customWidth="1"/>
    <col min="10754" max="10754" width="6.7109375" customWidth="1"/>
    <col min="10755" max="10755" width="32.42578125" customWidth="1"/>
    <col min="10756" max="10756" width="12" bestFit="1" customWidth="1"/>
    <col min="10757" max="10757" width="6.7109375" customWidth="1"/>
    <col min="10758" max="10758" width="17.85546875" bestFit="1" customWidth="1"/>
    <col min="10759" max="10759" width="10.28515625" bestFit="1" customWidth="1"/>
    <col min="10760" max="10760" width="12.28515625" bestFit="1" customWidth="1"/>
    <col min="10761" max="10764" width="6.7109375" customWidth="1"/>
    <col min="10766" max="10766" width="15.28515625" bestFit="1" customWidth="1"/>
    <col min="10768" max="10768" width="26.7109375" bestFit="1" customWidth="1"/>
    <col min="10770" max="10770" width="25.5703125" bestFit="1" customWidth="1"/>
    <col min="11009" max="11009" width="25.5703125" bestFit="1" customWidth="1"/>
    <col min="11010" max="11010" width="6.7109375" customWidth="1"/>
    <col min="11011" max="11011" width="32.42578125" customWidth="1"/>
    <col min="11012" max="11012" width="12" bestFit="1" customWidth="1"/>
    <col min="11013" max="11013" width="6.7109375" customWidth="1"/>
    <col min="11014" max="11014" width="17.85546875" bestFit="1" customWidth="1"/>
    <col min="11015" max="11015" width="10.28515625" bestFit="1" customWidth="1"/>
    <col min="11016" max="11016" width="12.28515625" bestFit="1" customWidth="1"/>
    <col min="11017" max="11020" width="6.7109375" customWidth="1"/>
    <col min="11022" max="11022" width="15.28515625" bestFit="1" customWidth="1"/>
    <col min="11024" max="11024" width="26.7109375" bestFit="1" customWidth="1"/>
    <col min="11026" max="11026" width="25.5703125" bestFit="1" customWidth="1"/>
    <col min="11265" max="11265" width="25.5703125" bestFit="1" customWidth="1"/>
    <col min="11266" max="11266" width="6.7109375" customWidth="1"/>
    <col min="11267" max="11267" width="32.42578125" customWidth="1"/>
    <col min="11268" max="11268" width="12" bestFit="1" customWidth="1"/>
    <col min="11269" max="11269" width="6.7109375" customWidth="1"/>
    <col min="11270" max="11270" width="17.85546875" bestFit="1" customWidth="1"/>
    <col min="11271" max="11271" width="10.28515625" bestFit="1" customWidth="1"/>
    <col min="11272" max="11272" width="12.28515625" bestFit="1" customWidth="1"/>
    <col min="11273" max="11276" width="6.7109375" customWidth="1"/>
    <col min="11278" max="11278" width="15.28515625" bestFit="1" customWidth="1"/>
    <col min="11280" max="11280" width="26.7109375" bestFit="1" customWidth="1"/>
    <col min="11282" max="11282" width="25.5703125" bestFit="1" customWidth="1"/>
    <col min="11521" max="11521" width="25.5703125" bestFit="1" customWidth="1"/>
    <col min="11522" max="11522" width="6.7109375" customWidth="1"/>
    <col min="11523" max="11523" width="32.42578125" customWidth="1"/>
    <col min="11524" max="11524" width="12" bestFit="1" customWidth="1"/>
    <col min="11525" max="11525" width="6.7109375" customWidth="1"/>
    <col min="11526" max="11526" width="17.85546875" bestFit="1" customWidth="1"/>
    <col min="11527" max="11527" width="10.28515625" bestFit="1" customWidth="1"/>
    <col min="11528" max="11528" width="12.28515625" bestFit="1" customWidth="1"/>
    <col min="11529" max="11532" width="6.7109375" customWidth="1"/>
    <col min="11534" max="11534" width="15.28515625" bestFit="1" customWidth="1"/>
    <col min="11536" max="11536" width="26.7109375" bestFit="1" customWidth="1"/>
    <col min="11538" max="11538" width="25.5703125" bestFit="1" customWidth="1"/>
    <col min="11777" max="11777" width="25.5703125" bestFit="1" customWidth="1"/>
    <col min="11778" max="11778" width="6.7109375" customWidth="1"/>
    <col min="11779" max="11779" width="32.42578125" customWidth="1"/>
    <col min="11780" max="11780" width="12" bestFit="1" customWidth="1"/>
    <col min="11781" max="11781" width="6.7109375" customWidth="1"/>
    <col min="11782" max="11782" width="17.85546875" bestFit="1" customWidth="1"/>
    <col min="11783" max="11783" width="10.28515625" bestFit="1" customWidth="1"/>
    <col min="11784" max="11784" width="12.28515625" bestFit="1" customWidth="1"/>
    <col min="11785" max="11788" width="6.7109375" customWidth="1"/>
    <col min="11790" max="11790" width="15.28515625" bestFit="1" customWidth="1"/>
    <col min="11792" max="11792" width="26.7109375" bestFit="1" customWidth="1"/>
    <col min="11794" max="11794" width="25.5703125" bestFit="1" customWidth="1"/>
    <col min="12033" max="12033" width="25.5703125" bestFit="1" customWidth="1"/>
    <col min="12034" max="12034" width="6.7109375" customWidth="1"/>
    <col min="12035" max="12035" width="32.42578125" customWidth="1"/>
    <col min="12036" max="12036" width="12" bestFit="1" customWidth="1"/>
    <col min="12037" max="12037" width="6.7109375" customWidth="1"/>
    <col min="12038" max="12038" width="17.85546875" bestFit="1" customWidth="1"/>
    <col min="12039" max="12039" width="10.28515625" bestFit="1" customWidth="1"/>
    <col min="12040" max="12040" width="12.28515625" bestFit="1" customWidth="1"/>
    <col min="12041" max="12044" width="6.7109375" customWidth="1"/>
    <col min="12046" max="12046" width="15.28515625" bestFit="1" customWidth="1"/>
    <col min="12048" max="12048" width="26.7109375" bestFit="1" customWidth="1"/>
    <col min="12050" max="12050" width="25.5703125" bestFit="1" customWidth="1"/>
    <col min="12289" max="12289" width="25.5703125" bestFit="1" customWidth="1"/>
    <col min="12290" max="12290" width="6.7109375" customWidth="1"/>
    <col min="12291" max="12291" width="32.42578125" customWidth="1"/>
    <col min="12292" max="12292" width="12" bestFit="1" customWidth="1"/>
    <col min="12293" max="12293" width="6.7109375" customWidth="1"/>
    <col min="12294" max="12294" width="17.85546875" bestFit="1" customWidth="1"/>
    <col min="12295" max="12295" width="10.28515625" bestFit="1" customWidth="1"/>
    <col min="12296" max="12296" width="12.28515625" bestFit="1" customWidth="1"/>
    <col min="12297" max="12300" width="6.7109375" customWidth="1"/>
    <col min="12302" max="12302" width="15.28515625" bestFit="1" customWidth="1"/>
    <col min="12304" max="12304" width="26.7109375" bestFit="1" customWidth="1"/>
    <col min="12306" max="12306" width="25.5703125" bestFit="1" customWidth="1"/>
    <col min="12545" max="12545" width="25.5703125" bestFit="1" customWidth="1"/>
    <col min="12546" max="12546" width="6.7109375" customWidth="1"/>
    <col min="12547" max="12547" width="32.42578125" customWidth="1"/>
    <col min="12548" max="12548" width="12" bestFit="1" customWidth="1"/>
    <col min="12549" max="12549" width="6.7109375" customWidth="1"/>
    <col min="12550" max="12550" width="17.85546875" bestFit="1" customWidth="1"/>
    <col min="12551" max="12551" width="10.28515625" bestFit="1" customWidth="1"/>
    <col min="12552" max="12552" width="12.28515625" bestFit="1" customWidth="1"/>
    <col min="12553" max="12556" width="6.7109375" customWidth="1"/>
    <col min="12558" max="12558" width="15.28515625" bestFit="1" customWidth="1"/>
    <col min="12560" max="12560" width="26.7109375" bestFit="1" customWidth="1"/>
    <col min="12562" max="12562" width="25.5703125" bestFit="1" customWidth="1"/>
    <col min="12801" max="12801" width="25.5703125" bestFit="1" customWidth="1"/>
    <col min="12802" max="12802" width="6.7109375" customWidth="1"/>
    <col min="12803" max="12803" width="32.42578125" customWidth="1"/>
    <col min="12804" max="12804" width="12" bestFit="1" customWidth="1"/>
    <col min="12805" max="12805" width="6.7109375" customWidth="1"/>
    <col min="12806" max="12806" width="17.85546875" bestFit="1" customWidth="1"/>
    <col min="12807" max="12807" width="10.28515625" bestFit="1" customWidth="1"/>
    <col min="12808" max="12808" width="12.28515625" bestFit="1" customWidth="1"/>
    <col min="12809" max="12812" width="6.7109375" customWidth="1"/>
    <col min="12814" max="12814" width="15.28515625" bestFit="1" customWidth="1"/>
    <col min="12816" max="12816" width="26.7109375" bestFit="1" customWidth="1"/>
    <col min="12818" max="12818" width="25.5703125" bestFit="1" customWidth="1"/>
    <col min="13057" max="13057" width="25.5703125" bestFit="1" customWidth="1"/>
    <col min="13058" max="13058" width="6.7109375" customWidth="1"/>
    <col min="13059" max="13059" width="32.42578125" customWidth="1"/>
    <col min="13060" max="13060" width="12" bestFit="1" customWidth="1"/>
    <col min="13061" max="13061" width="6.7109375" customWidth="1"/>
    <col min="13062" max="13062" width="17.85546875" bestFit="1" customWidth="1"/>
    <col min="13063" max="13063" width="10.28515625" bestFit="1" customWidth="1"/>
    <col min="13064" max="13064" width="12.28515625" bestFit="1" customWidth="1"/>
    <col min="13065" max="13068" width="6.7109375" customWidth="1"/>
    <col min="13070" max="13070" width="15.28515625" bestFit="1" customWidth="1"/>
    <col min="13072" max="13072" width="26.7109375" bestFit="1" customWidth="1"/>
    <col min="13074" max="13074" width="25.5703125" bestFit="1" customWidth="1"/>
    <col min="13313" max="13313" width="25.5703125" bestFit="1" customWidth="1"/>
    <col min="13314" max="13314" width="6.7109375" customWidth="1"/>
    <col min="13315" max="13315" width="32.42578125" customWidth="1"/>
    <col min="13316" max="13316" width="12" bestFit="1" customWidth="1"/>
    <col min="13317" max="13317" width="6.7109375" customWidth="1"/>
    <col min="13318" max="13318" width="17.85546875" bestFit="1" customWidth="1"/>
    <col min="13319" max="13319" width="10.28515625" bestFit="1" customWidth="1"/>
    <col min="13320" max="13320" width="12.28515625" bestFit="1" customWidth="1"/>
    <col min="13321" max="13324" width="6.7109375" customWidth="1"/>
    <col min="13326" max="13326" width="15.28515625" bestFit="1" customWidth="1"/>
    <col min="13328" max="13328" width="26.7109375" bestFit="1" customWidth="1"/>
    <col min="13330" max="13330" width="25.5703125" bestFit="1" customWidth="1"/>
    <col min="13569" max="13569" width="25.5703125" bestFit="1" customWidth="1"/>
    <col min="13570" max="13570" width="6.7109375" customWidth="1"/>
    <col min="13571" max="13571" width="32.42578125" customWidth="1"/>
    <col min="13572" max="13572" width="12" bestFit="1" customWidth="1"/>
    <col min="13573" max="13573" width="6.7109375" customWidth="1"/>
    <col min="13574" max="13574" width="17.85546875" bestFit="1" customWidth="1"/>
    <col min="13575" max="13575" width="10.28515625" bestFit="1" customWidth="1"/>
    <col min="13576" max="13576" width="12.28515625" bestFit="1" customWidth="1"/>
    <col min="13577" max="13580" width="6.7109375" customWidth="1"/>
    <col min="13582" max="13582" width="15.28515625" bestFit="1" customWidth="1"/>
    <col min="13584" max="13584" width="26.7109375" bestFit="1" customWidth="1"/>
    <col min="13586" max="13586" width="25.5703125" bestFit="1" customWidth="1"/>
    <col min="13825" max="13825" width="25.5703125" bestFit="1" customWidth="1"/>
    <col min="13826" max="13826" width="6.7109375" customWidth="1"/>
    <col min="13827" max="13827" width="32.42578125" customWidth="1"/>
    <col min="13828" max="13828" width="12" bestFit="1" customWidth="1"/>
    <col min="13829" max="13829" width="6.7109375" customWidth="1"/>
    <col min="13830" max="13830" width="17.85546875" bestFit="1" customWidth="1"/>
    <col min="13831" max="13831" width="10.28515625" bestFit="1" customWidth="1"/>
    <col min="13832" max="13832" width="12.28515625" bestFit="1" customWidth="1"/>
    <col min="13833" max="13836" width="6.7109375" customWidth="1"/>
    <col min="13838" max="13838" width="15.28515625" bestFit="1" customWidth="1"/>
    <col min="13840" max="13840" width="26.7109375" bestFit="1" customWidth="1"/>
    <col min="13842" max="13842" width="25.5703125" bestFit="1" customWidth="1"/>
    <col min="14081" max="14081" width="25.5703125" bestFit="1" customWidth="1"/>
    <col min="14082" max="14082" width="6.7109375" customWidth="1"/>
    <col min="14083" max="14083" width="32.42578125" customWidth="1"/>
    <col min="14084" max="14084" width="12" bestFit="1" customWidth="1"/>
    <col min="14085" max="14085" width="6.7109375" customWidth="1"/>
    <col min="14086" max="14086" width="17.85546875" bestFit="1" customWidth="1"/>
    <col min="14087" max="14087" width="10.28515625" bestFit="1" customWidth="1"/>
    <col min="14088" max="14088" width="12.28515625" bestFit="1" customWidth="1"/>
    <col min="14089" max="14092" width="6.7109375" customWidth="1"/>
    <col min="14094" max="14094" width="15.28515625" bestFit="1" customWidth="1"/>
    <col min="14096" max="14096" width="26.7109375" bestFit="1" customWidth="1"/>
    <col min="14098" max="14098" width="25.5703125" bestFit="1" customWidth="1"/>
    <col min="14337" max="14337" width="25.5703125" bestFit="1" customWidth="1"/>
    <col min="14338" max="14338" width="6.7109375" customWidth="1"/>
    <col min="14339" max="14339" width="32.42578125" customWidth="1"/>
    <col min="14340" max="14340" width="12" bestFit="1" customWidth="1"/>
    <col min="14341" max="14341" width="6.7109375" customWidth="1"/>
    <col min="14342" max="14342" width="17.85546875" bestFit="1" customWidth="1"/>
    <col min="14343" max="14343" width="10.28515625" bestFit="1" customWidth="1"/>
    <col min="14344" max="14344" width="12.28515625" bestFit="1" customWidth="1"/>
    <col min="14345" max="14348" width="6.7109375" customWidth="1"/>
    <col min="14350" max="14350" width="15.28515625" bestFit="1" customWidth="1"/>
    <col min="14352" max="14352" width="26.7109375" bestFit="1" customWidth="1"/>
    <col min="14354" max="14354" width="25.5703125" bestFit="1" customWidth="1"/>
    <col min="14593" max="14593" width="25.5703125" bestFit="1" customWidth="1"/>
    <col min="14594" max="14594" width="6.7109375" customWidth="1"/>
    <col min="14595" max="14595" width="32.42578125" customWidth="1"/>
    <col min="14596" max="14596" width="12" bestFit="1" customWidth="1"/>
    <col min="14597" max="14597" width="6.7109375" customWidth="1"/>
    <col min="14598" max="14598" width="17.85546875" bestFit="1" customWidth="1"/>
    <col min="14599" max="14599" width="10.28515625" bestFit="1" customWidth="1"/>
    <col min="14600" max="14600" width="12.28515625" bestFit="1" customWidth="1"/>
    <col min="14601" max="14604" width="6.7109375" customWidth="1"/>
    <col min="14606" max="14606" width="15.28515625" bestFit="1" customWidth="1"/>
    <col min="14608" max="14608" width="26.7109375" bestFit="1" customWidth="1"/>
    <col min="14610" max="14610" width="25.5703125" bestFit="1" customWidth="1"/>
    <col min="14849" max="14849" width="25.5703125" bestFit="1" customWidth="1"/>
    <col min="14850" max="14850" width="6.7109375" customWidth="1"/>
    <col min="14851" max="14851" width="32.42578125" customWidth="1"/>
    <col min="14852" max="14852" width="12" bestFit="1" customWidth="1"/>
    <col min="14853" max="14853" width="6.7109375" customWidth="1"/>
    <col min="14854" max="14854" width="17.85546875" bestFit="1" customWidth="1"/>
    <col min="14855" max="14855" width="10.28515625" bestFit="1" customWidth="1"/>
    <col min="14856" max="14856" width="12.28515625" bestFit="1" customWidth="1"/>
    <col min="14857" max="14860" width="6.7109375" customWidth="1"/>
    <col min="14862" max="14862" width="15.28515625" bestFit="1" customWidth="1"/>
    <col min="14864" max="14864" width="26.7109375" bestFit="1" customWidth="1"/>
    <col min="14866" max="14866" width="25.5703125" bestFit="1" customWidth="1"/>
    <col min="15105" max="15105" width="25.5703125" bestFit="1" customWidth="1"/>
    <col min="15106" max="15106" width="6.7109375" customWidth="1"/>
    <col min="15107" max="15107" width="32.42578125" customWidth="1"/>
    <col min="15108" max="15108" width="12" bestFit="1" customWidth="1"/>
    <col min="15109" max="15109" width="6.7109375" customWidth="1"/>
    <col min="15110" max="15110" width="17.85546875" bestFit="1" customWidth="1"/>
    <col min="15111" max="15111" width="10.28515625" bestFit="1" customWidth="1"/>
    <col min="15112" max="15112" width="12.28515625" bestFit="1" customWidth="1"/>
    <col min="15113" max="15116" width="6.7109375" customWidth="1"/>
    <col min="15118" max="15118" width="15.28515625" bestFit="1" customWidth="1"/>
    <col min="15120" max="15120" width="26.7109375" bestFit="1" customWidth="1"/>
    <col min="15122" max="15122" width="25.5703125" bestFit="1" customWidth="1"/>
    <col min="15361" max="15361" width="25.5703125" bestFit="1" customWidth="1"/>
    <col min="15362" max="15362" width="6.7109375" customWidth="1"/>
    <col min="15363" max="15363" width="32.42578125" customWidth="1"/>
    <col min="15364" max="15364" width="12" bestFit="1" customWidth="1"/>
    <col min="15365" max="15365" width="6.7109375" customWidth="1"/>
    <col min="15366" max="15366" width="17.85546875" bestFit="1" customWidth="1"/>
    <col min="15367" max="15367" width="10.28515625" bestFit="1" customWidth="1"/>
    <col min="15368" max="15368" width="12.28515625" bestFit="1" customWidth="1"/>
    <col min="15369" max="15372" width="6.7109375" customWidth="1"/>
    <col min="15374" max="15374" width="15.28515625" bestFit="1" customWidth="1"/>
    <col min="15376" max="15376" width="26.7109375" bestFit="1" customWidth="1"/>
    <col min="15378" max="15378" width="25.5703125" bestFit="1" customWidth="1"/>
    <col min="15617" max="15617" width="25.5703125" bestFit="1" customWidth="1"/>
    <col min="15618" max="15618" width="6.7109375" customWidth="1"/>
    <col min="15619" max="15619" width="32.42578125" customWidth="1"/>
    <col min="15620" max="15620" width="12" bestFit="1" customWidth="1"/>
    <col min="15621" max="15621" width="6.7109375" customWidth="1"/>
    <col min="15622" max="15622" width="17.85546875" bestFit="1" customWidth="1"/>
    <col min="15623" max="15623" width="10.28515625" bestFit="1" customWidth="1"/>
    <col min="15624" max="15624" width="12.28515625" bestFit="1" customWidth="1"/>
    <col min="15625" max="15628" width="6.7109375" customWidth="1"/>
    <col min="15630" max="15630" width="15.28515625" bestFit="1" customWidth="1"/>
    <col min="15632" max="15632" width="26.7109375" bestFit="1" customWidth="1"/>
    <col min="15634" max="15634" width="25.5703125" bestFit="1" customWidth="1"/>
    <col min="15873" max="15873" width="25.5703125" bestFit="1" customWidth="1"/>
    <col min="15874" max="15874" width="6.7109375" customWidth="1"/>
    <col min="15875" max="15875" width="32.42578125" customWidth="1"/>
    <col min="15876" max="15876" width="12" bestFit="1" customWidth="1"/>
    <col min="15877" max="15877" width="6.7109375" customWidth="1"/>
    <col min="15878" max="15878" width="17.85546875" bestFit="1" customWidth="1"/>
    <col min="15879" max="15879" width="10.28515625" bestFit="1" customWidth="1"/>
    <col min="15880" max="15880" width="12.28515625" bestFit="1" customWidth="1"/>
    <col min="15881" max="15884" width="6.7109375" customWidth="1"/>
    <col min="15886" max="15886" width="15.28515625" bestFit="1" customWidth="1"/>
    <col min="15888" max="15888" width="26.7109375" bestFit="1" customWidth="1"/>
    <col min="15890" max="15890" width="25.5703125" bestFit="1" customWidth="1"/>
    <col min="16129" max="16129" width="25.5703125" bestFit="1" customWidth="1"/>
    <col min="16130" max="16130" width="6.7109375" customWidth="1"/>
    <col min="16131" max="16131" width="32.42578125" customWidth="1"/>
    <col min="16132" max="16132" width="12" bestFit="1" customWidth="1"/>
    <col min="16133" max="16133" width="6.7109375" customWidth="1"/>
    <col min="16134" max="16134" width="17.85546875" bestFit="1" customWidth="1"/>
    <col min="16135" max="16135" width="10.28515625" bestFit="1" customWidth="1"/>
    <col min="16136" max="16136" width="12.28515625" bestFit="1" customWidth="1"/>
    <col min="16137" max="16140" width="6.7109375" customWidth="1"/>
    <col min="16142" max="16142" width="15.28515625" bestFit="1" customWidth="1"/>
    <col min="16144" max="16144" width="26.7109375" bestFit="1" customWidth="1"/>
    <col min="16146" max="16146" width="25.5703125" bestFit="1" customWidth="1"/>
  </cols>
  <sheetData>
    <row r="1" spans="1:5" x14ac:dyDescent="0.25">
      <c r="A1" s="23" t="s">
        <v>607</v>
      </c>
      <c r="B1" s="23"/>
      <c r="C1" s="23"/>
      <c r="D1" s="23"/>
    </row>
    <row r="6" spans="1:5" ht="90" x14ac:dyDescent="0.25">
      <c r="A6" s="159" t="s">
        <v>622</v>
      </c>
      <c r="C6" s="9" t="s">
        <v>602</v>
      </c>
      <c r="D6" s="30">
        <f ca="1">COUNT(A7:A47)</f>
        <v>41</v>
      </c>
    </row>
    <row r="7" spans="1:5" x14ac:dyDescent="0.25">
      <c r="A7" s="162">
        <f t="shared" ref="A7:A47" ca="1" si="0">IF(MOD(ROW(),8),RANDBETWEEN(0,750),RANDBETWEEN(0,8000))</f>
        <v>348</v>
      </c>
      <c r="C7" s="9" t="s">
        <v>601</v>
      </c>
      <c r="D7" s="166">
        <f ca="1">MAX(A7:A47)</f>
        <v>6811</v>
      </c>
    </row>
    <row r="8" spans="1:5" x14ac:dyDescent="0.25">
      <c r="A8" s="162">
        <f t="shared" ca="1" si="0"/>
        <v>2394</v>
      </c>
      <c r="C8" s="9" t="s">
        <v>600</v>
      </c>
      <c r="D8" s="166">
        <f ca="1">MIN(A7:A47)</f>
        <v>23</v>
      </c>
    </row>
    <row r="9" spans="1:5" x14ac:dyDescent="0.25">
      <c r="A9" s="162">
        <f t="shared" ca="1" si="0"/>
        <v>44</v>
      </c>
      <c r="C9" s="158" t="str">
        <f ca="1">"Range = (MAX - MIN) = "&amp;D7&amp;" - "&amp;D8&amp;" ="</f>
        <v>Range = (MAX - MIN) = 6811 - 23 =</v>
      </c>
      <c r="D9" s="166">
        <f ca="1">D7-D8</f>
        <v>6788</v>
      </c>
    </row>
    <row r="10" spans="1:5" x14ac:dyDescent="0.25">
      <c r="A10" s="162">
        <f t="shared" ca="1" si="0"/>
        <v>195</v>
      </c>
      <c r="C10" s="159" t="s">
        <v>599</v>
      </c>
      <c r="D10" s="26">
        <v>7</v>
      </c>
      <c r="E10" t="s">
        <v>596</v>
      </c>
    </row>
    <row r="11" spans="1:5" x14ac:dyDescent="0.25">
      <c r="A11" s="162">
        <f t="shared" ca="1" si="0"/>
        <v>23</v>
      </c>
      <c r="C11" s="158" t="str">
        <f ca="1">"Is 2^"&amp;D10&amp;" ("&amp;2^D10&amp;") &gt;= "&amp;D6</f>
        <v>Is 2^7 (128) &gt;= 41</v>
      </c>
      <c r="D11" s="30" t="b">
        <f ca="1">2^D10&gt;=D6</f>
        <v>1</v>
      </c>
    </row>
    <row r="12" spans="1:5" ht="30" x14ac:dyDescent="0.25">
      <c r="A12" s="162">
        <f t="shared" ca="1" si="0"/>
        <v>246</v>
      </c>
      <c r="C12" s="158" t="str">
        <f ca="1">"Approximate Class Width = Range/k = "&amp;D9&amp;"/"&amp;D10&amp;" ="</f>
        <v>Approximate Class Width = Range/k = 6788/7 =</v>
      </c>
      <c r="D12" s="30">
        <f ca="1">(D7-D8)/D10</f>
        <v>969.71428571428567</v>
      </c>
    </row>
    <row r="13" spans="1:5" x14ac:dyDescent="0.25">
      <c r="A13" s="162">
        <f t="shared" ca="1" si="0"/>
        <v>600</v>
      </c>
      <c r="C13" s="9" t="s">
        <v>598</v>
      </c>
      <c r="D13" s="26">
        <v>250</v>
      </c>
      <c r="E13" t="s">
        <v>596</v>
      </c>
    </row>
    <row r="14" spans="1:5" ht="30" x14ac:dyDescent="0.25">
      <c r="A14" s="162">
        <f t="shared" ca="1" si="0"/>
        <v>427</v>
      </c>
      <c r="C14" s="158" t="str">
        <f>"Actual Range for Classes = ClassWidth*k = "&amp;D13&amp;"*"&amp;D10&amp;" ="</f>
        <v>Actual Range for Classes = ClassWidth*k = 250*7 =</v>
      </c>
      <c r="D14" s="30">
        <f>D13*D10</f>
        <v>1750</v>
      </c>
    </row>
    <row r="15" spans="1:5" ht="30" x14ac:dyDescent="0.25">
      <c r="A15" s="162">
        <f t="shared" ca="1" si="0"/>
        <v>152</v>
      </c>
      <c r="C15" s="157" t="s">
        <v>597</v>
      </c>
      <c r="D15" s="156">
        <v>0</v>
      </c>
      <c r="E15" t="s">
        <v>596</v>
      </c>
    </row>
    <row r="16" spans="1:5" x14ac:dyDescent="0.25">
      <c r="A16" s="162">
        <f t="shared" ca="1" si="0"/>
        <v>3058</v>
      </c>
      <c r="C16" t="s">
        <v>621</v>
      </c>
      <c r="D16">
        <v>3500</v>
      </c>
    </row>
    <row r="17" spans="1:8" x14ac:dyDescent="0.25">
      <c r="A17" s="162">
        <f t="shared" ca="1" si="0"/>
        <v>438</v>
      </c>
      <c r="C17"/>
      <c r="F17" s="155" t="s">
        <v>595</v>
      </c>
      <c r="G17" s="155" t="s">
        <v>164</v>
      </c>
      <c r="H17" s="155" t="s">
        <v>594</v>
      </c>
    </row>
    <row r="18" spans="1:8" x14ac:dyDescent="0.25">
      <c r="A18" s="162">
        <f t="shared" ca="1" si="0"/>
        <v>43</v>
      </c>
      <c r="D18" s="26">
        <f>D15</f>
        <v>0</v>
      </c>
      <c r="E18" s="26">
        <f>D18+D$13</f>
        <v>250</v>
      </c>
      <c r="F18" s="26" t="str">
        <f t="shared" ref="F18:F24" si="1">DOLLAR(D18,0)&amp;" up to "&amp;DOLLAR(E18,0)</f>
        <v>$0 up to $250</v>
      </c>
      <c r="G18" s="26">
        <f t="shared" ref="G18:G24" ca="1" si="2">COUNTIF($A$7:$A$47,"&lt;"&amp;E18)-COUNTIF($A$7:$A$47,"&lt;"&amp;D18)</f>
        <v>17</v>
      </c>
      <c r="H18" s="26">
        <f t="shared" ref="H18:H24" ca="1" si="3">G18/G$25</f>
        <v>0.41463414634146339</v>
      </c>
    </row>
    <row r="19" spans="1:8" x14ac:dyDescent="0.25">
      <c r="A19" s="162">
        <f t="shared" ca="1" si="0"/>
        <v>103</v>
      </c>
      <c r="D19" s="26">
        <f t="shared" ref="D19:D24" si="4">E18</f>
        <v>250</v>
      </c>
      <c r="E19" s="26">
        <f>D19+D$13</f>
        <v>500</v>
      </c>
      <c r="F19" s="26" t="str">
        <f t="shared" si="1"/>
        <v>$250 up to $500</v>
      </c>
      <c r="G19" s="26">
        <f t="shared" ca="1" si="2"/>
        <v>10</v>
      </c>
      <c r="H19" s="26">
        <f t="shared" ca="1" si="3"/>
        <v>0.24390243902439024</v>
      </c>
    </row>
    <row r="20" spans="1:8" x14ac:dyDescent="0.25">
      <c r="A20" s="162">
        <f t="shared" ca="1" si="0"/>
        <v>720</v>
      </c>
      <c r="D20" s="26">
        <f t="shared" si="4"/>
        <v>500</v>
      </c>
      <c r="E20" s="26">
        <f>D20+D$13</f>
        <v>750</v>
      </c>
      <c r="F20" s="26" t="str">
        <f t="shared" si="1"/>
        <v>$500 up to $750</v>
      </c>
      <c r="G20" s="26">
        <f t="shared" ca="1" si="2"/>
        <v>10</v>
      </c>
      <c r="H20" s="26">
        <f t="shared" ca="1" si="3"/>
        <v>0.24390243902439024</v>
      </c>
    </row>
    <row r="21" spans="1:8" x14ac:dyDescent="0.25">
      <c r="A21" s="162">
        <f t="shared" ca="1" si="0"/>
        <v>207</v>
      </c>
      <c r="D21" s="26">
        <f t="shared" si="4"/>
        <v>750</v>
      </c>
      <c r="E21" s="26">
        <f>D21+D$13</f>
        <v>1000</v>
      </c>
      <c r="F21" s="26" t="str">
        <f t="shared" si="1"/>
        <v>$750 up to $1,000</v>
      </c>
      <c r="G21" s="26">
        <f t="shared" ca="1" si="2"/>
        <v>0</v>
      </c>
      <c r="H21" s="26">
        <f t="shared" ca="1" si="3"/>
        <v>0</v>
      </c>
    </row>
    <row r="22" spans="1:8" x14ac:dyDescent="0.25">
      <c r="A22" s="162">
        <f t="shared" ca="1" si="0"/>
        <v>156</v>
      </c>
      <c r="D22" s="26">
        <f t="shared" si="4"/>
        <v>1000</v>
      </c>
      <c r="E22" s="26">
        <f>D22+D$13</f>
        <v>1250</v>
      </c>
      <c r="F22" s="26" t="str">
        <f t="shared" si="1"/>
        <v>$1,000 up to $1,250</v>
      </c>
      <c r="G22" s="26">
        <f t="shared" ca="1" si="2"/>
        <v>0</v>
      </c>
      <c r="H22" s="26">
        <f t="shared" ca="1" si="3"/>
        <v>0</v>
      </c>
    </row>
    <row r="23" spans="1:8" x14ac:dyDescent="0.25">
      <c r="A23" s="162">
        <f t="shared" ca="1" si="0"/>
        <v>730</v>
      </c>
      <c r="D23" s="26">
        <f t="shared" si="4"/>
        <v>1250</v>
      </c>
      <c r="E23" s="26">
        <f>D23+D$16</f>
        <v>4750</v>
      </c>
      <c r="F23" s="26" t="str">
        <f t="shared" si="1"/>
        <v>$1,250 up to $4,750</v>
      </c>
      <c r="G23" s="26">
        <f t="shared" ca="1" si="2"/>
        <v>3</v>
      </c>
      <c r="H23" s="26">
        <f t="shared" ca="1" si="3"/>
        <v>7.3170731707317069E-2</v>
      </c>
    </row>
    <row r="24" spans="1:8" x14ac:dyDescent="0.25">
      <c r="A24" s="162">
        <f t="shared" ca="1" si="0"/>
        <v>6811</v>
      </c>
      <c r="D24" s="26">
        <f t="shared" si="4"/>
        <v>4750</v>
      </c>
      <c r="E24" s="26">
        <f>D24+D$16</f>
        <v>8250</v>
      </c>
      <c r="F24" s="26" t="str">
        <f t="shared" si="1"/>
        <v>$4,750 up to $8,250</v>
      </c>
      <c r="G24" s="26">
        <f t="shared" ca="1" si="2"/>
        <v>1</v>
      </c>
      <c r="H24" s="26">
        <f t="shared" ca="1" si="3"/>
        <v>2.4390243902439025E-2</v>
      </c>
    </row>
    <row r="25" spans="1:8" x14ac:dyDescent="0.25">
      <c r="A25" s="162">
        <f t="shared" ca="1" si="0"/>
        <v>420</v>
      </c>
      <c r="G25" s="26">
        <f ca="1">SUM(G18:G24)</f>
        <v>41</v>
      </c>
      <c r="H25" s="26">
        <f ca="1">SUM(H18:H24)</f>
        <v>0.99999999999999989</v>
      </c>
    </row>
    <row r="26" spans="1:8" x14ac:dyDescent="0.25">
      <c r="A26" s="162">
        <f t="shared" ca="1" si="0"/>
        <v>388</v>
      </c>
    </row>
    <row r="27" spans="1:8" x14ac:dyDescent="0.25">
      <c r="A27" s="162">
        <f t="shared" ca="1" si="0"/>
        <v>503</v>
      </c>
    </row>
    <row r="28" spans="1:8" x14ac:dyDescent="0.25">
      <c r="A28" s="162">
        <f t="shared" ca="1" si="0"/>
        <v>107</v>
      </c>
    </row>
    <row r="29" spans="1:8" x14ac:dyDescent="0.25">
      <c r="A29" s="162">
        <f t="shared" ca="1" si="0"/>
        <v>712</v>
      </c>
    </row>
    <row r="30" spans="1:8" x14ac:dyDescent="0.25">
      <c r="A30" s="162">
        <f t="shared" ca="1" si="0"/>
        <v>28</v>
      </c>
    </row>
    <row r="31" spans="1:8" x14ac:dyDescent="0.25">
      <c r="A31" s="162">
        <f t="shared" ca="1" si="0"/>
        <v>454</v>
      </c>
    </row>
    <row r="32" spans="1:8" x14ac:dyDescent="0.25">
      <c r="A32" s="162">
        <f t="shared" ca="1" si="0"/>
        <v>1712</v>
      </c>
    </row>
    <row r="33" spans="1:1" x14ac:dyDescent="0.25">
      <c r="A33" s="162">
        <f t="shared" ca="1" si="0"/>
        <v>412</v>
      </c>
    </row>
    <row r="34" spans="1:1" x14ac:dyDescent="0.25">
      <c r="A34" s="162">
        <f t="shared" ca="1" si="0"/>
        <v>367</v>
      </c>
    </row>
    <row r="35" spans="1:1" x14ac:dyDescent="0.25">
      <c r="A35" s="162">
        <f t="shared" ca="1" si="0"/>
        <v>101</v>
      </c>
    </row>
    <row r="36" spans="1:1" x14ac:dyDescent="0.25">
      <c r="A36" s="162">
        <f t="shared" ca="1" si="0"/>
        <v>34</v>
      </c>
    </row>
    <row r="37" spans="1:1" x14ac:dyDescent="0.25">
      <c r="A37" s="162">
        <f t="shared" ca="1" si="0"/>
        <v>166</v>
      </c>
    </row>
    <row r="38" spans="1:1" x14ac:dyDescent="0.25">
      <c r="A38" s="162">
        <f t="shared" ca="1" si="0"/>
        <v>573</v>
      </c>
    </row>
    <row r="39" spans="1:1" x14ac:dyDescent="0.25">
      <c r="A39" s="162">
        <f t="shared" ca="1" si="0"/>
        <v>587</v>
      </c>
    </row>
    <row r="40" spans="1:1" x14ac:dyDescent="0.25">
      <c r="A40" s="162">
        <f t="shared" ca="1" si="0"/>
        <v>250</v>
      </c>
    </row>
    <row r="41" spans="1:1" x14ac:dyDescent="0.25">
      <c r="A41" s="162">
        <f t="shared" ca="1" si="0"/>
        <v>699</v>
      </c>
    </row>
    <row r="42" spans="1:1" x14ac:dyDescent="0.25">
      <c r="A42" s="162">
        <f t="shared" ca="1" si="0"/>
        <v>596</v>
      </c>
    </row>
    <row r="43" spans="1:1" x14ac:dyDescent="0.25">
      <c r="A43" s="162">
        <f t="shared" ca="1" si="0"/>
        <v>278</v>
      </c>
    </row>
    <row r="44" spans="1:1" x14ac:dyDescent="0.25">
      <c r="A44" s="162">
        <f t="shared" ca="1" si="0"/>
        <v>112</v>
      </c>
    </row>
    <row r="45" spans="1:1" x14ac:dyDescent="0.25">
      <c r="A45" s="162">
        <f t="shared" ca="1" si="0"/>
        <v>30</v>
      </c>
    </row>
    <row r="46" spans="1:1" x14ac:dyDescent="0.25">
      <c r="A46" s="162">
        <f t="shared" ca="1" si="0"/>
        <v>76</v>
      </c>
    </row>
    <row r="47" spans="1:1" x14ac:dyDescent="0.25">
      <c r="A47" s="162">
        <f t="shared" ca="1" si="0"/>
        <v>524</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tabColor rgb="FF0000FF"/>
  </sheetPr>
  <dimension ref="A1:AV32"/>
  <sheetViews>
    <sheetView zoomScale="85" zoomScaleNormal="85" workbookViewId="0"/>
  </sheetViews>
  <sheetFormatPr defaultRowHeight="15" x14ac:dyDescent="0.25"/>
  <cols>
    <col min="1" max="1" width="36.85546875" bestFit="1" customWidth="1"/>
    <col min="8" max="8" width="12.28515625" customWidth="1"/>
    <col min="9" max="9" width="5.140625" bestFit="1" customWidth="1"/>
    <col min="10" max="10" width="2.5703125" bestFit="1" customWidth="1"/>
    <col min="11" max="11" width="44.5703125" bestFit="1" customWidth="1"/>
    <col min="12" max="13" width="8.28515625" bestFit="1" customWidth="1"/>
    <col min="17" max="17" width="8" customWidth="1"/>
    <col min="18" max="18" width="19.140625" customWidth="1"/>
    <col min="19" max="19" width="1.5703125" customWidth="1"/>
    <col min="22" max="22" width="1.5703125" customWidth="1"/>
    <col min="24" max="24" width="1.5703125" customWidth="1"/>
    <col min="25" max="25" width="12.7109375" customWidth="1"/>
    <col min="26" max="26" width="1.5703125" customWidth="1"/>
    <col min="27" max="27" width="11.140625" customWidth="1"/>
    <col min="28" max="28" width="12.7109375" customWidth="1"/>
    <col min="29" max="29" width="1.5703125" customWidth="1"/>
    <col min="30" max="30" width="14.42578125" bestFit="1" customWidth="1"/>
    <col min="31" max="31" width="32" bestFit="1" customWidth="1"/>
    <col min="34" max="34" width="8" customWidth="1"/>
    <col min="35" max="35" width="19.140625" customWidth="1"/>
    <col min="36" max="36" width="1.5703125" customWidth="1"/>
    <col min="39" max="39" width="1.5703125" customWidth="1"/>
    <col min="41" max="41" width="1.5703125" customWidth="1"/>
    <col min="42" max="42" width="12.7109375" customWidth="1"/>
    <col min="43" max="43" width="1.5703125" customWidth="1"/>
    <col min="44" max="44" width="11.140625" customWidth="1"/>
    <col min="45" max="45" width="12.7109375" customWidth="1"/>
    <col min="46" max="46" width="1.5703125" customWidth="1"/>
    <col min="47" max="47" width="14.42578125" bestFit="1" customWidth="1"/>
    <col min="48" max="48" width="32" bestFit="1" customWidth="1"/>
  </cols>
  <sheetData>
    <row r="1" spans="9:48" x14ac:dyDescent="0.25">
      <c r="Q1" s="61" t="s">
        <v>719</v>
      </c>
      <c r="R1" s="61" t="s">
        <v>972</v>
      </c>
      <c r="T1" s="62" t="s">
        <v>719</v>
      </c>
      <c r="U1" s="62" t="s">
        <v>198</v>
      </c>
      <c r="W1" s="62" t="s">
        <v>401</v>
      </c>
      <c r="Y1" s="62" t="s">
        <v>633</v>
      </c>
      <c r="AA1" s="62" t="s">
        <v>719</v>
      </c>
      <c r="AB1" s="62" t="s">
        <v>255</v>
      </c>
      <c r="AD1" s="61" t="s">
        <v>973</v>
      </c>
      <c r="AE1" s="61" t="s">
        <v>974</v>
      </c>
      <c r="AH1" s="61" t="s">
        <v>719</v>
      </c>
      <c r="AI1" s="61" t="s">
        <v>976</v>
      </c>
      <c r="AK1" s="62" t="s">
        <v>719</v>
      </c>
      <c r="AL1" s="62" t="s">
        <v>198</v>
      </c>
      <c r="AN1" s="62" t="s">
        <v>401</v>
      </c>
      <c r="AP1" s="62" t="s">
        <v>633</v>
      </c>
      <c r="AR1" s="62" t="s">
        <v>719</v>
      </c>
      <c r="AS1" s="62" t="s">
        <v>977</v>
      </c>
      <c r="AU1" s="61" t="s">
        <v>973</v>
      </c>
      <c r="AV1" s="61" t="s">
        <v>974</v>
      </c>
    </row>
    <row r="2" spans="9:48" x14ac:dyDescent="0.25">
      <c r="Q2" s="26">
        <v>74</v>
      </c>
      <c r="R2" s="26">
        <v>0.5</v>
      </c>
      <c r="T2" s="30">
        <f>ROUND(AVERAGE(Q2:Q26),0)</f>
        <v>76</v>
      </c>
      <c r="U2" s="26">
        <v>1</v>
      </c>
      <c r="W2" s="30">
        <f>ROUND(_xlfn.STDEV.S(Q2:Q26),0)</f>
        <v>7</v>
      </c>
      <c r="Y2" s="26">
        <v>1</v>
      </c>
      <c r="AA2" s="26">
        <f>ROUND(T2+Y2*W2,0)</f>
        <v>83</v>
      </c>
      <c r="AB2" s="26">
        <v>1</v>
      </c>
      <c r="AD2" s="30" t="str">
        <f>U1&amp;" = "&amp;T2&amp;CHAR(10)&amp;W1&amp;" = "&amp;W2</f>
        <v>Xbar = 76
s = 7</v>
      </c>
      <c r="AE2" s="30" t="str">
        <f>AB1&amp;" = "&amp;AA2&amp;CHAR(10)&amp;" "&amp;Y2&amp;" SD Above Mean"</f>
        <v>Your Score = 83
 1 SD Above Mean</v>
      </c>
      <c r="AH2" s="26">
        <v>91</v>
      </c>
      <c r="AI2" s="26">
        <v>0.5</v>
      </c>
      <c r="AK2" s="30">
        <f>ROUND(AVERAGE(AH2:AH26),0)</f>
        <v>91</v>
      </c>
      <c r="AL2" s="26">
        <v>1</v>
      </c>
      <c r="AN2" s="30">
        <f>ROUND(_xlfn.STDEV.S(AH2:AH26),0)</f>
        <v>4</v>
      </c>
      <c r="AP2" s="26">
        <v>1.25</v>
      </c>
      <c r="AR2" s="26">
        <f>ROUND(AK2-AP2*AN2,0)</f>
        <v>86</v>
      </c>
      <c r="AS2" s="26">
        <v>1</v>
      </c>
      <c r="AU2" s="30" t="str">
        <f>AL1&amp;" = "&amp;AK2&amp;CHAR(10)&amp;AN1&amp;" = "&amp;AN2</f>
        <v>Xbar = 91
s = 4</v>
      </c>
      <c r="AV2" s="30" t="str">
        <f>AS1&amp;" = "&amp;AR2&amp;CHAR(10)&amp;" "&amp;AP2&amp;" SD Below Mean"</f>
        <v>Bro's Score = 86
 1.25 SD Below Mean</v>
      </c>
    </row>
    <row r="3" spans="9:48" x14ac:dyDescent="0.25">
      <c r="Q3" s="26">
        <v>70</v>
      </c>
      <c r="R3" s="26">
        <v>0.5</v>
      </c>
      <c r="AH3" s="26">
        <v>87</v>
      </c>
      <c r="AI3" s="26">
        <v>0.5</v>
      </c>
    </row>
    <row r="4" spans="9:48" x14ac:dyDescent="0.25">
      <c r="Q4" s="26">
        <v>80</v>
      </c>
      <c r="R4" s="26">
        <v>0.5</v>
      </c>
      <c r="AH4" s="26">
        <v>91</v>
      </c>
      <c r="AI4" s="26">
        <v>0.5</v>
      </c>
    </row>
    <row r="5" spans="9:48" x14ac:dyDescent="0.25">
      <c r="Q5" s="26">
        <v>78</v>
      </c>
      <c r="R5" s="26">
        <v>0.5</v>
      </c>
      <c r="AH5" s="26">
        <v>99</v>
      </c>
      <c r="AI5" s="26">
        <v>0.5</v>
      </c>
    </row>
    <row r="6" spans="9:48" x14ac:dyDescent="0.25">
      <c r="Q6" s="26">
        <v>84</v>
      </c>
      <c r="R6" s="26">
        <v>0.5</v>
      </c>
      <c r="AH6" s="26">
        <v>86</v>
      </c>
      <c r="AI6" s="26">
        <v>0.5</v>
      </c>
    </row>
    <row r="7" spans="9:48" x14ac:dyDescent="0.25">
      <c r="Q7" s="26">
        <v>83</v>
      </c>
      <c r="R7" s="26">
        <v>0.5</v>
      </c>
      <c r="AH7" s="26">
        <v>87</v>
      </c>
      <c r="AI7" s="26">
        <v>0.5</v>
      </c>
    </row>
    <row r="8" spans="9:48" x14ac:dyDescent="0.25">
      <c r="Q8" s="26">
        <v>76</v>
      </c>
      <c r="R8" s="26">
        <v>0.5</v>
      </c>
      <c r="AH8" s="26">
        <v>93</v>
      </c>
      <c r="AI8" s="26">
        <v>0.5</v>
      </c>
    </row>
    <row r="9" spans="9:48" x14ac:dyDescent="0.25">
      <c r="Q9" s="26">
        <v>57</v>
      </c>
      <c r="R9" s="26">
        <v>0.5</v>
      </c>
      <c r="AH9" s="26">
        <v>91</v>
      </c>
      <c r="AI9" s="26">
        <v>0.5</v>
      </c>
    </row>
    <row r="10" spans="9:48" x14ac:dyDescent="0.25">
      <c r="Q10" s="26">
        <v>75</v>
      </c>
      <c r="R10" s="26">
        <v>0.5</v>
      </c>
      <c r="AH10" s="26">
        <v>93</v>
      </c>
      <c r="AI10" s="26">
        <v>0.5</v>
      </c>
    </row>
    <row r="11" spans="9:48" x14ac:dyDescent="0.25">
      <c r="Q11" s="26">
        <v>80</v>
      </c>
      <c r="R11" s="26">
        <v>0.5</v>
      </c>
      <c r="AH11" s="26">
        <v>92</v>
      </c>
      <c r="AI11" s="26">
        <v>0.5</v>
      </c>
    </row>
    <row r="12" spans="9:48" x14ac:dyDescent="0.25">
      <c r="Q12" s="26">
        <v>76</v>
      </c>
      <c r="R12" s="26">
        <v>0.5</v>
      </c>
      <c r="AH12" s="26">
        <v>88</v>
      </c>
      <c r="AI12" s="26">
        <v>0.5</v>
      </c>
    </row>
    <row r="13" spans="9:48" x14ac:dyDescent="0.25">
      <c r="Q13" s="26">
        <v>78</v>
      </c>
      <c r="R13" s="26">
        <v>0.5</v>
      </c>
      <c r="AH13" s="26">
        <v>95</v>
      </c>
      <c r="AI13" s="26">
        <v>0.5</v>
      </c>
    </row>
    <row r="14" spans="9:48" x14ac:dyDescent="0.25">
      <c r="Q14" s="26">
        <v>70</v>
      </c>
      <c r="R14" s="26">
        <v>0.5</v>
      </c>
      <c r="AH14" s="26">
        <v>88</v>
      </c>
      <c r="AI14" s="26">
        <v>0.5</v>
      </c>
    </row>
    <row r="15" spans="9:48" x14ac:dyDescent="0.25">
      <c r="I15" s="61" t="s">
        <v>198</v>
      </c>
      <c r="J15" s="26" t="s">
        <v>199</v>
      </c>
      <c r="K15" s="26" t="s">
        <v>200</v>
      </c>
      <c r="L15" s="26" t="s">
        <v>203</v>
      </c>
      <c r="Q15" s="26">
        <v>71</v>
      </c>
      <c r="R15" s="26">
        <v>0.5</v>
      </c>
      <c r="AH15" s="26">
        <v>91</v>
      </c>
      <c r="AI15" s="26">
        <v>0.5</v>
      </c>
    </row>
    <row r="16" spans="9:48" x14ac:dyDescent="0.25">
      <c r="I16" s="61" t="s">
        <v>209</v>
      </c>
      <c r="J16" s="26" t="s">
        <v>199</v>
      </c>
      <c r="K16" s="26" t="s">
        <v>201</v>
      </c>
      <c r="L16" s="26" t="s">
        <v>204</v>
      </c>
      <c r="Q16" s="26">
        <v>80</v>
      </c>
      <c r="R16" s="26">
        <v>0.5</v>
      </c>
      <c r="AH16" s="26">
        <v>92</v>
      </c>
      <c r="AI16" s="26">
        <v>0.5</v>
      </c>
    </row>
    <row r="17" spans="1:35" x14ac:dyDescent="0.25">
      <c r="I17" s="61" t="s">
        <v>401</v>
      </c>
      <c r="J17" s="26" t="s">
        <v>199</v>
      </c>
      <c r="K17" s="26" t="s">
        <v>402</v>
      </c>
      <c r="L17" s="26" t="s">
        <v>403</v>
      </c>
      <c r="Q17" s="26">
        <v>76</v>
      </c>
      <c r="R17" s="26">
        <v>0.5</v>
      </c>
      <c r="AH17" s="26">
        <v>92</v>
      </c>
      <c r="AI17" s="26">
        <v>0.5</v>
      </c>
    </row>
    <row r="18" spans="1:35" x14ac:dyDescent="0.25">
      <c r="I18" s="61" t="s">
        <v>633</v>
      </c>
      <c r="J18" s="26" t="s">
        <v>199</v>
      </c>
      <c r="K18" s="26" t="s">
        <v>890</v>
      </c>
      <c r="L18" s="26" t="s">
        <v>889</v>
      </c>
      <c r="Q18" s="26">
        <v>72</v>
      </c>
      <c r="R18" s="26">
        <v>0.5</v>
      </c>
      <c r="AH18" s="26">
        <v>87</v>
      </c>
      <c r="AI18" s="26">
        <v>0.5</v>
      </c>
    </row>
    <row r="19" spans="1:35" x14ac:dyDescent="0.25">
      <c r="Q19" s="26">
        <v>74</v>
      </c>
      <c r="R19" s="26">
        <v>0.5</v>
      </c>
      <c r="AH19" s="26">
        <v>89</v>
      </c>
      <c r="AI19" s="26">
        <v>0.5</v>
      </c>
    </row>
    <row r="20" spans="1:35" x14ac:dyDescent="0.25">
      <c r="A20" s="230" t="s">
        <v>1022</v>
      </c>
      <c r="B20" s="248"/>
      <c r="Q20" s="26">
        <v>76</v>
      </c>
      <c r="R20" s="26">
        <v>0.5</v>
      </c>
      <c r="AH20" s="26">
        <v>81</v>
      </c>
      <c r="AI20" s="26">
        <v>0.5</v>
      </c>
    </row>
    <row r="21" spans="1:35" x14ac:dyDescent="0.25">
      <c r="A21" s="26" t="s">
        <v>965</v>
      </c>
      <c r="B21" s="26">
        <f>AA2</f>
        <v>83</v>
      </c>
      <c r="D21" s="85" t="str">
        <f>IF(B25="","",FIXED(B25,2)&amp;" standard deviations "&amp;IF(B25&gt;0,"above","below")&amp;" the mean")</f>
        <v/>
      </c>
      <c r="Q21" s="26">
        <v>87</v>
      </c>
      <c r="R21" s="26">
        <v>0.5</v>
      </c>
      <c r="AH21" s="26">
        <v>92</v>
      </c>
      <c r="AI21" s="26">
        <v>0.5</v>
      </c>
    </row>
    <row r="22" spans="1:35" x14ac:dyDescent="0.25">
      <c r="A22" s="26" t="s">
        <v>966</v>
      </c>
      <c r="B22" s="26">
        <f>T2</f>
        <v>76</v>
      </c>
      <c r="D22" s="85" t="str">
        <f>IF(B25="","","Relative location of a particular x in the data set (as compared to the mean),")</f>
        <v/>
      </c>
      <c r="Q22" s="26">
        <v>72</v>
      </c>
      <c r="R22" s="26">
        <v>0.5</v>
      </c>
      <c r="AH22" s="26">
        <v>93</v>
      </c>
      <c r="AI22" s="26">
        <v>0.5</v>
      </c>
    </row>
    <row r="23" spans="1:35" x14ac:dyDescent="0.25">
      <c r="A23" s="26" t="s">
        <v>967</v>
      </c>
      <c r="B23" s="26">
        <f>W2</f>
        <v>7</v>
      </c>
      <c r="D23" s="85" t="str">
        <f>IF(B25="","","    in units of standard deviation.")</f>
        <v/>
      </c>
      <c r="Q23" s="26">
        <v>85</v>
      </c>
      <c r="R23" s="26">
        <v>0.5</v>
      </c>
      <c r="AH23" s="26">
        <v>97</v>
      </c>
      <c r="AI23" s="26">
        <v>0.5</v>
      </c>
    </row>
    <row r="24" spans="1:35" x14ac:dyDescent="0.25">
      <c r="A24" s="26" t="s">
        <v>631</v>
      </c>
      <c r="B24" s="30"/>
      <c r="D24" s="5"/>
      <c r="Q24" s="26">
        <v>77</v>
      </c>
      <c r="R24" s="26">
        <v>0.5</v>
      </c>
      <c r="AH24" s="26">
        <v>96</v>
      </c>
      <c r="AI24" s="26">
        <v>0.5</v>
      </c>
    </row>
    <row r="25" spans="1:35" x14ac:dyDescent="0.25">
      <c r="A25" s="26" t="s">
        <v>632</v>
      </c>
      <c r="B25" s="30"/>
      <c r="D25" s="5"/>
      <c r="Q25" s="26">
        <v>63</v>
      </c>
      <c r="R25" s="26">
        <v>0.5</v>
      </c>
      <c r="AH25" s="26">
        <v>87</v>
      </c>
      <c r="AI25" s="26">
        <v>0.5</v>
      </c>
    </row>
    <row r="26" spans="1:35" x14ac:dyDescent="0.25">
      <c r="A26" s="26" t="s">
        <v>978</v>
      </c>
      <c r="B26" s="26">
        <f>AR2</f>
        <v>86</v>
      </c>
      <c r="D26" s="85" t="str">
        <f>IF(B30="","",FIXED(B30,2)&amp;" standard deviations "&amp;IF(B30&gt;0,"above","below")&amp;" the mean")</f>
        <v/>
      </c>
      <c r="Q26" s="26">
        <v>92</v>
      </c>
      <c r="R26" s="26">
        <v>0.5</v>
      </c>
      <c r="AH26" s="26">
        <v>87</v>
      </c>
      <c r="AI26" s="26">
        <v>0.5</v>
      </c>
    </row>
    <row r="27" spans="1:35" x14ac:dyDescent="0.25">
      <c r="A27" s="26" t="s">
        <v>968</v>
      </c>
      <c r="B27" s="26">
        <f>AK2</f>
        <v>91</v>
      </c>
      <c r="D27" s="85" t="str">
        <f>IF(B30="","","Relative location of a particular x in the data set (as compared to the mean),")</f>
        <v/>
      </c>
    </row>
    <row r="28" spans="1:35" x14ac:dyDescent="0.25">
      <c r="A28" s="26" t="s">
        <v>969</v>
      </c>
      <c r="B28" s="26">
        <f>AN2</f>
        <v>4</v>
      </c>
      <c r="D28" s="85" t="str">
        <f>IF(B30="","","    in units of standard deviation.")</f>
        <v/>
      </c>
    </row>
    <row r="29" spans="1:35" x14ac:dyDescent="0.25">
      <c r="A29" s="26" t="s">
        <v>631</v>
      </c>
      <c r="B29" s="30"/>
    </row>
    <row r="30" spans="1:35" x14ac:dyDescent="0.25">
      <c r="A30" s="26" t="s">
        <v>632</v>
      </c>
      <c r="B30" s="30"/>
    </row>
    <row r="31" spans="1:35" x14ac:dyDescent="0.25">
      <c r="A31" s="26" t="s">
        <v>970</v>
      </c>
      <c r="B31" s="26">
        <f>T2</f>
        <v>76</v>
      </c>
    </row>
    <row r="32" spans="1:35" x14ac:dyDescent="0.25">
      <c r="A32" s="26" t="s">
        <v>630</v>
      </c>
      <c r="B32" s="30"/>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tabColor rgb="FFFF0000"/>
  </sheetPr>
  <dimension ref="A1:AV32"/>
  <sheetViews>
    <sheetView zoomScale="85" zoomScaleNormal="85" workbookViewId="0">
      <selection activeCell="K1" sqref="K1"/>
    </sheetView>
  </sheetViews>
  <sheetFormatPr defaultRowHeight="15" x14ac:dyDescent="0.25"/>
  <cols>
    <col min="1" max="1" width="36.85546875" bestFit="1" customWidth="1"/>
    <col min="8" max="8" width="12.28515625" customWidth="1"/>
    <col min="9" max="9" width="5.140625" bestFit="1" customWidth="1"/>
    <col min="10" max="10" width="2.5703125" bestFit="1" customWidth="1"/>
    <col min="11" max="11" width="44.5703125" bestFit="1" customWidth="1"/>
    <col min="12" max="13" width="8.28515625" bestFit="1" customWidth="1"/>
    <col min="17" max="17" width="8" customWidth="1"/>
    <col min="18" max="18" width="19.140625" customWidth="1"/>
    <col min="19" max="19" width="1.5703125" customWidth="1"/>
    <col min="22" max="22" width="1.5703125" customWidth="1"/>
    <col min="24" max="24" width="1.5703125" customWidth="1"/>
    <col min="25" max="25" width="12.7109375" customWidth="1"/>
    <col min="26" max="26" width="1.5703125" customWidth="1"/>
    <col min="27" max="27" width="11.140625" customWidth="1"/>
    <col min="28" max="28" width="12.7109375" customWidth="1"/>
    <col min="29" max="29" width="1.5703125" customWidth="1"/>
    <col min="30" max="30" width="14.42578125" bestFit="1" customWidth="1"/>
    <col min="31" max="31" width="32" bestFit="1" customWidth="1"/>
    <col min="34" max="34" width="8" customWidth="1"/>
    <col min="35" max="35" width="19.140625" customWidth="1"/>
    <col min="36" max="36" width="1.5703125" customWidth="1"/>
    <col min="39" max="39" width="1.5703125" customWidth="1"/>
    <col min="41" max="41" width="1.5703125" customWidth="1"/>
    <col min="42" max="42" width="12.7109375" customWidth="1"/>
    <col min="43" max="43" width="1.5703125" customWidth="1"/>
    <col min="44" max="44" width="11.140625" customWidth="1"/>
    <col min="45" max="45" width="12.7109375" customWidth="1"/>
    <col min="46" max="46" width="1.5703125" customWidth="1"/>
    <col min="47" max="47" width="14.42578125" bestFit="1" customWidth="1"/>
    <col min="48" max="48" width="32" bestFit="1" customWidth="1"/>
  </cols>
  <sheetData>
    <row r="1" spans="9:48" x14ac:dyDescent="0.25">
      <c r="Q1" s="61" t="s">
        <v>719</v>
      </c>
      <c r="R1" s="61" t="s">
        <v>972</v>
      </c>
      <c r="T1" s="62" t="s">
        <v>719</v>
      </c>
      <c r="U1" s="62" t="s">
        <v>198</v>
      </c>
      <c r="W1" s="62" t="s">
        <v>401</v>
      </c>
      <c r="Y1" s="62" t="s">
        <v>633</v>
      </c>
      <c r="AA1" s="62" t="s">
        <v>719</v>
      </c>
      <c r="AB1" s="62" t="s">
        <v>255</v>
      </c>
      <c r="AD1" s="61" t="s">
        <v>973</v>
      </c>
      <c r="AE1" s="61" t="s">
        <v>974</v>
      </c>
      <c r="AH1" s="61" t="s">
        <v>719</v>
      </c>
      <c r="AI1" s="61" t="s">
        <v>976</v>
      </c>
      <c r="AK1" s="62" t="s">
        <v>719</v>
      </c>
      <c r="AL1" s="62" t="s">
        <v>198</v>
      </c>
      <c r="AN1" s="62" t="s">
        <v>401</v>
      </c>
      <c r="AP1" s="62" t="s">
        <v>633</v>
      </c>
      <c r="AR1" s="62" t="s">
        <v>719</v>
      </c>
      <c r="AS1" s="62" t="s">
        <v>977</v>
      </c>
      <c r="AU1" s="61" t="s">
        <v>973</v>
      </c>
      <c r="AV1" s="61" t="s">
        <v>974</v>
      </c>
    </row>
    <row r="2" spans="9:48" x14ac:dyDescent="0.25">
      <c r="Q2" s="26">
        <v>74</v>
      </c>
      <c r="R2" s="26">
        <v>0.5</v>
      </c>
      <c r="T2" s="30">
        <f>ROUND(AVERAGE(Q2:Q26),0)</f>
        <v>76</v>
      </c>
      <c r="U2" s="26">
        <v>1</v>
      </c>
      <c r="W2" s="30">
        <f>ROUND(_xlfn.STDEV.S(Q2:Q26),0)</f>
        <v>7</v>
      </c>
      <c r="Y2" s="26">
        <v>1</v>
      </c>
      <c r="AA2" s="26">
        <f>ROUND(T2+Y2*W2,0)</f>
        <v>83</v>
      </c>
      <c r="AB2" s="26">
        <v>1</v>
      </c>
      <c r="AD2" s="30" t="str">
        <f>U1&amp;" = "&amp;T2&amp;CHAR(10)&amp;W1&amp;" = "&amp;W2</f>
        <v>Xbar = 76
s = 7</v>
      </c>
      <c r="AE2" s="30" t="str">
        <f>AB1&amp;" = "&amp;AA2&amp;CHAR(10)&amp;" "&amp;Y2&amp;" SD Above Mean"</f>
        <v>Your Score = 83
 1 SD Above Mean</v>
      </c>
      <c r="AH2" s="26">
        <v>91</v>
      </c>
      <c r="AI2" s="26">
        <v>0.5</v>
      </c>
      <c r="AK2" s="30">
        <f>ROUND(AVERAGE(AH2:AH26),0)</f>
        <v>91</v>
      </c>
      <c r="AL2" s="26">
        <v>1</v>
      </c>
      <c r="AN2" s="30">
        <f>ROUND(_xlfn.STDEV.S(AH2:AH26),0)</f>
        <v>4</v>
      </c>
      <c r="AP2" s="26">
        <v>1.25</v>
      </c>
      <c r="AR2" s="26">
        <f>ROUND(AK2-AP2*AN2,0)</f>
        <v>86</v>
      </c>
      <c r="AS2" s="26">
        <v>1</v>
      </c>
      <c r="AU2" s="30" t="str">
        <f>AL1&amp;" = "&amp;AK2&amp;CHAR(10)&amp;AN1&amp;" = "&amp;AN2</f>
        <v>Xbar = 91
s = 4</v>
      </c>
      <c r="AV2" s="30" t="str">
        <f>AS1&amp;" = "&amp;AR2&amp;CHAR(10)&amp;" "&amp;AP2&amp;" SD Below Mean"</f>
        <v>Bro's Score = 86
 1.25 SD Below Mean</v>
      </c>
    </row>
    <row r="3" spans="9:48" x14ac:dyDescent="0.25">
      <c r="Q3" s="26">
        <v>70</v>
      </c>
      <c r="R3" s="26">
        <v>0.5</v>
      </c>
      <c r="AH3" s="26">
        <v>87</v>
      </c>
      <c r="AI3" s="26">
        <v>0.5</v>
      </c>
    </row>
    <row r="4" spans="9:48" x14ac:dyDescent="0.25">
      <c r="Q4" s="26">
        <v>80</v>
      </c>
      <c r="R4" s="26">
        <v>0.5</v>
      </c>
      <c r="AH4" s="26">
        <v>91</v>
      </c>
      <c r="AI4" s="26">
        <v>0.5</v>
      </c>
    </row>
    <row r="5" spans="9:48" x14ac:dyDescent="0.25">
      <c r="Q5" s="26">
        <v>78</v>
      </c>
      <c r="R5" s="26">
        <v>0.5</v>
      </c>
      <c r="AH5" s="26">
        <v>99</v>
      </c>
      <c r="AI5" s="26">
        <v>0.5</v>
      </c>
    </row>
    <row r="6" spans="9:48" x14ac:dyDescent="0.25">
      <c r="Q6" s="26">
        <v>84</v>
      </c>
      <c r="R6" s="26">
        <v>0.5</v>
      </c>
      <c r="AH6" s="26">
        <v>86</v>
      </c>
      <c r="AI6" s="26">
        <v>0.5</v>
      </c>
    </row>
    <row r="7" spans="9:48" x14ac:dyDescent="0.25">
      <c r="Q7" s="26">
        <v>83</v>
      </c>
      <c r="R7" s="26">
        <v>0.5</v>
      </c>
      <c r="AH7" s="26">
        <v>87</v>
      </c>
      <c r="AI7" s="26">
        <v>0.5</v>
      </c>
    </row>
    <row r="8" spans="9:48" x14ac:dyDescent="0.25">
      <c r="Q8" s="26">
        <v>76</v>
      </c>
      <c r="R8" s="26">
        <v>0.5</v>
      </c>
      <c r="AH8" s="26">
        <v>93</v>
      </c>
      <c r="AI8" s="26">
        <v>0.5</v>
      </c>
    </row>
    <row r="9" spans="9:48" x14ac:dyDescent="0.25">
      <c r="Q9" s="26">
        <v>57</v>
      </c>
      <c r="R9" s="26">
        <v>0.5</v>
      </c>
      <c r="AH9" s="26">
        <v>91</v>
      </c>
      <c r="AI9" s="26">
        <v>0.5</v>
      </c>
    </row>
    <row r="10" spans="9:48" x14ac:dyDescent="0.25">
      <c r="Q10" s="26">
        <v>75</v>
      </c>
      <c r="R10" s="26">
        <v>0.5</v>
      </c>
      <c r="AH10" s="26">
        <v>93</v>
      </c>
      <c r="AI10" s="26">
        <v>0.5</v>
      </c>
    </row>
    <row r="11" spans="9:48" x14ac:dyDescent="0.25">
      <c r="Q11" s="26">
        <v>80</v>
      </c>
      <c r="R11" s="26">
        <v>0.5</v>
      </c>
      <c r="AH11" s="26">
        <v>92</v>
      </c>
      <c r="AI11" s="26">
        <v>0.5</v>
      </c>
    </row>
    <row r="12" spans="9:48" x14ac:dyDescent="0.25">
      <c r="Q12" s="26">
        <v>76</v>
      </c>
      <c r="R12" s="26">
        <v>0.5</v>
      </c>
      <c r="AH12" s="26">
        <v>88</v>
      </c>
      <c r="AI12" s="26">
        <v>0.5</v>
      </c>
    </row>
    <row r="13" spans="9:48" x14ac:dyDescent="0.25">
      <c r="Q13" s="26">
        <v>78</v>
      </c>
      <c r="R13" s="26">
        <v>0.5</v>
      </c>
      <c r="AH13" s="26">
        <v>95</v>
      </c>
      <c r="AI13" s="26">
        <v>0.5</v>
      </c>
    </row>
    <row r="14" spans="9:48" x14ac:dyDescent="0.25">
      <c r="Q14" s="26">
        <v>70</v>
      </c>
      <c r="R14" s="26">
        <v>0.5</v>
      </c>
      <c r="AH14" s="26">
        <v>88</v>
      </c>
      <c r="AI14" s="26">
        <v>0.5</v>
      </c>
    </row>
    <row r="15" spans="9:48" x14ac:dyDescent="0.25">
      <c r="I15" s="61" t="s">
        <v>198</v>
      </c>
      <c r="J15" s="26" t="s">
        <v>199</v>
      </c>
      <c r="K15" s="26" t="s">
        <v>200</v>
      </c>
      <c r="L15" s="26" t="s">
        <v>203</v>
      </c>
      <c r="Q15" s="26">
        <v>71</v>
      </c>
      <c r="R15" s="26">
        <v>0.5</v>
      </c>
      <c r="AH15" s="26">
        <v>91</v>
      </c>
      <c r="AI15" s="26">
        <v>0.5</v>
      </c>
    </row>
    <row r="16" spans="9:48" x14ac:dyDescent="0.25">
      <c r="I16" s="61" t="s">
        <v>209</v>
      </c>
      <c r="J16" s="26" t="s">
        <v>199</v>
      </c>
      <c r="K16" s="26" t="s">
        <v>201</v>
      </c>
      <c r="L16" s="26" t="s">
        <v>204</v>
      </c>
      <c r="Q16" s="26">
        <v>80</v>
      </c>
      <c r="R16" s="26">
        <v>0.5</v>
      </c>
      <c r="AH16" s="26">
        <v>92</v>
      </c>
      <c r="AI16" s="26">
        <v>0.5</v>
      </c>
    </row>
    <row r="17" spans="1:35" x14ac:dyDescent="0.25">
      <c r="I17" s="61" t="s">
        <v>401</v>
      </c>
      <c r="J17" s="26" t="s">
        <v>199</v>
      </c>
      <c r="K17" s="26" t="s">
        <v>402</v>
      </c>
      <c r="L17" s="26" t="s">
        <v>403</v>
      </c>
      <c r="Q17" s="26">
        <v>76</v>
      </c>
      <c r="R17" s="26">
        <v>0.5</v>
      </c>
      <c r="AH17" s="26">
        <v>92</v>
      </c>
      <c r="AI17" s="26">
        <v>0.5</v>
      </c>
    </row>
    <row r="18" spans="1:35" x14ac:dyDescent="0.25">
      <c r="I18" s="61" t="s">
        <v>633</v>
      </c>
      <c r="J18" s="26" t="s">
        <v>199</v>
      </c>
      <c r="K18" s="26" t="s">
        <v>890</v>
      </c>
      <c r="L18" s="26" t="s">
        <v>889</v>
      </c>
      <c r="Q18" s="26">
        <v>72</v>
      </c>
      <c r="R18" s="26">
        <v>0.5</v>
      </c>
      <c r="AH18" s="26">
        <v>87</v>
      </c>
      <c r="AI18" s="26">
        <v>0.5</v>
      </c>
    </row>
    <row r="19" spans="1:35" x14ac:dyDescent="0.25">
      <c r="Q19" s="26">
        <v>74</v>
      </c>
      <c r="R19" s="26">
        <v>0.5</v>
      </c>
      <c r="AH19" s="26">
        <v>89</v>
      </c>
      <c r="AI19" s="26">
        <v>0.5</v>
      </c>
    </row>
    <row r="20" spans="1:35" x14ac:dyDescent="0.25">
      <c r="A20" s="230" t="s">
        <v>1022</v>
      </c>
      <c r="B20" s="248"/>
      <c r="Q20" s="26">
        <v>76</v>
      </c>
      <c r="R20" s="26">
        <v>0.5</v>
      </c>
      <c r="AH20" s="26">
        <v>81</v>
      </c>
      <c r="AI20" s="26">
        <v>0.5</v>
      </c>
    </row>
    <row r="21" spans="1:35" x14ac:dyDescent="0.25">
      <c r="A21" s="26" t="s">
        <v>965</v>
      </c>
      <c r="B21" s="26">
        <f>AA2</f>
        <v>83</v>
      </c>
      <c r="D21" s="85" t="str">
        <f>IF(B25="","",FIXED(B25,2)&amp;" standard deviations "&amp;IF(B25&gt;0,"above","below")&amp;" the mean")</f>
        <v>1.00 standard deviations above the mean</v>
      </c>
      <c r="Q21" s="26">
        <v>87</v>
      </c>
      <c r="R21" s="26">
        <v>0.5</v>
      </c>
      <c r="AH21" s="26">
        <v>92</v>
      </c>
      <c r="AI21" s="26">
        <v>0.5</v>
      </c>
    </row>
    <row r="22" spans="1:35" x14ac:dyDescent="0.25">
      <c r="A22" s="26" t="s">
        <v>966</v>
      </c>
      <c r="B22" s="26">
        <f>T2</f>
        <v>76</v>
      </c>
      <c r="D22" s="85" t="str">
        <f>IF(B25="","","Relative location of a particular x in the data set (as compared to the mean),")</f>
        <v>Relative location of a particular x in the data set (as compared to the mean),</v>
      </c>
      <c r="Q22" s="26">
        <v>72</v>
      </c>
      <c r="R22" s="26">
        <v>0.5</v>
      </c>
      <c r="AH22" s="26">
        <v>93</v>
      </c>
      <c r="AI22" s="26">
        <v>0.5</v>
      </c>
    </row>
    <row r="23" spans="1:35" x14ac:dyDescent="0.25">
      <c r="A23" s="26" t="s">
        <v>967</v>
      </c>
      <c r="B23" s="26">
        <f>W2</f>
        <v>7</v>
      </c>
      <c r="D23" s="85" t="str">
        <f>IF(B25="","","    in units of standard deviation.")</f>
        <v xml:space="preserve">    in units of standard deviation.</v>
      </c>
      <c r="Q23" s="26">
        <v>85</v>
      </c>
      <c r="R23" s="26">
        <v>0.5</v>
      </c>
      <c r="AH23" s="26">
        <v>97</v>
      </c>
      <c r="AI23" s="26">
        <v>0.5</v>
      </c>
    </row>
    <row r="24" spans="1:35" x14ac:dyDescent="0.25">
      <c r="A24" s="26" t="s">
        <v>631</v>
      </c>
      <c r="B24" s="30">
        <f>(B21-B22)/B23</f>
        <v>1</v>
      </c>
      <c r="D24" s="5"/>
      <c r="Q24" s="26">
        <v>77</v>
      </c>
      <c r="R24" s="26">
        <v>0.5</v>
      </c>
      <c r="AH24" s="26">
        <v>96</v>
      </c>
      <c r="AI24" s="26">
        <v>0.5</v>
      </c>
    </row>
    <row r="25" spans="1:35" x14ac:dyDescent="0.25">
      <c r="A25" s="26" t="s">
        <v>632</v>
      </c>
      <c r="B25" s="30">
        <f>STANDARDIZE(B21,B22,B23)</f>
        <v>1</v>
      </c>
      <c r="D25" s="5"/>
      <c r="Q25" s="26">
        <v>63</v>
      </c>
      <c r="R25" s="26">
        <v>0.5</v>
      </c>
      <c r="AH25" s="26">
        <v>87</v>
      </c>
      <c r="AI25" s="26">
        <v>0.5</v>
      </c>
    </row>
    <row r="26" spans="1:35" x14ac:dyDescent="0.25">
      <c r="A26" s="26" t="s">
        <v>978</v>
      </c>
      <c r="B26" s="26">
        <f>AR2</f>
        <v>86</v>
      </c>
      <c r="D26" s="85" t="str">
        <f>IF(B30="","",FIXED(B30,2)&amp;" standard deviations "&amp;IF(B30&gt;0,"above","below")&amp;" the mean")</f>
        <v>-1.25 standard deviations below the mean</v>
      </c>
      <c r="Q26" s="26">
        <v>92</v>
      </c>
      <c r="R26" s="26">
        <v>0.5</v>
      </c>
      <c r="AH26" s="26">
        <v>87</v>
      </c>
      <c r="AI26" s="26">
        <v>0.5</v>
      </c>
    </row>
    <row r="27" spans="1:35" x14ac:dyDescent="0.25">
      <c r="A27" s="26" t="s">
        <v>968</v>
      </c>
      <c r="B27" s="26">
        <f>AK2</f>
        <v>91</v>
      </c>
      <c r="D27" s="85" t="str">
        <f>IF(B30="","","Relative location of a particular x in the data set (as compared to the mean),")</f>
        <v>Relative location of a particular x in the data set (as compared to the mean),</v>
      </c>
    </row>
    <row r="28" spans="1:35" x14ac:dyDescent="0.25">
      <c r="A28" s="26" t="s">
        <v>969</v>
      </c>
      <c r="B28" s="26">
        <f>AN2</f>
        <v>4</v>
      </c>
      <c r="D28" s="85" t="str">
        <f>IF(B30="","","    in units of standard deviation.")</f>
        <v xml:space="preserve">    in units of standard deviation.</v>
      </c>
    </row>
    <row r="29" spans="1:35" x14ac:dyDescent="0.25">
      <c r="A29" s="26" t="s">
        <v>631</v>
      </c>
      <c r="B29" s="30">
        <f>(B26-B27)/B28</f>
        <v>-1.25</v>
      </c>
    </row>
    <row r="30" spans="1:35" x14ac:dyDescent="0.25">
      <c r="A30" s="26" t="s">
        <v>632</v>
      </c>
      <c r="B30" s="30">
        <f>STANDARDIZE(B26,B27,B28)</f>
        <v>-1.25</v>
      </c>
    </row>
    <row r="31" spans="1:35" x14ac:dyDescent="0.25">
      <c r="A31" s="26" t="s">
        <v>970</v>
      </c>
      <c r="B31" s="26">
        <f>T2</f>
        <v>76</v>
      </c>
    </row>
    <row r="32" spans="1:35" x14ac:dyDescent="0.25">
      <c r="A32" s="26" t="s">
        <v>630</v>
      </c>
      <c r="B32" s="30">
        <f>(B31-B22)/B23</f>
        <v>0</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tabColor rgb="FF0000FF"/>
  </sheetPr>
  <dimension ref="A1:M105"/>
  <sheetViews>
    <sheetView zoomScale="130" zoomScaleNormal="130" workbookViewId="0">
      <selection activeCell="B2" sqref="B2"/>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9" max="9" width="20.42578125" customWidth="1"/>
    <col min="10" max="10" width="16.28515625" customWidth="1"/>
    <col min="11" max="12" width="17" customWidth="1"/>
    <col min="13" max="13" width="11.42578125" bestFit="1" customWidth="1"/>
    <col min="14" max="14" width="17.42578125" customWidth="1"/>
    <col min="15" max="15" width="10.7109375" bestFit="1" customWidth="1"/>
    <col min="236" max="236" width="34.7109375" customWidth="1"/>
    <col min="237" max="237" width="10.140625" customWidth="1"/>
    <col min="492" max="492" width="34.7109375" customWidth="1"/>
    <col min="493" max="493" width="10.140625" customWidth="1"/>
    <col min="748" max="748" width="34.7109375" customWidth="1"/>
    <col min="749" max="749" width="10.140625" customWidth="1"/>
    <col min="1004" max="1004" width="34.7109375" customWidth="1"/>
    <col min="1005" max="1005" width="10.140625" customWidth="1"/>
    <col min="1260" max="1260" width="34.7109375" customWidth="1"/>
    <col min="1261" max="1261" width="10.140625" customWidth="1"/>
    <col min="1516" max="1516" width="34.7109375" customWidth="1"/>
    <col min="1517" max="1517" width="10.140625" customWidth="1"/>
    <col min="1772" max="1772" width="34.7109375" customWidth="1"/>
    <col min="1773" max="1773" width="10.140625" customWidth="1"/>
    <col min="2028" max="2028" width="34.7109375" customWidth="1"/>
    <col min="2029" max="2029" width="10.140625" customWidth="1"/>
    <col min="2284" max="2284" width="34.7109375" customWidth="1"/>
    <col min="2285" max="2285" width="10.140625" customWidth="1"/>
    <col min="2540" max="2540" width="34.7109375" customWidth="1"/>
    <col min="2541" max="2541" width="10.140625" customWidth="1"/>
    <col min="2796" max="2796" width="34.7109375" customWidth="1"/>
    <col min="2797" max="2797" width="10.140625" customWidth="1"/>
    <col min="3052" max="3052" width="34.7109375" customWidth="1"/>
    <col min="3053" max="3053" width="10.140625" customWidth="1"/>
    <col min="3308" max="3308" width="34.7109375" customWidth="1"/>
    <col min="3309" max="3309" width="10.140625" customWidth="1"/>
    <col min="3564" max="3564" width="34.7109375" customWidth="1"/>
    <col min="3565" max="3565" width="10.140625" customWidth="1"/>
    <col min="3820" max="3820" width="34.7109375" customWidth="1"/>
    <col min="3821" max="3821" width="10.140625" customWidth="1"/>
    <col min="4076" max="4076" width="34.7109375" customWidth="1"/>
    <col min="4077" max="4077" width="10.140625" customWidth="1"/>
    <col min="4332" max="4332" width="34.7109375" customWidth="1"/>
    <col min="4333" max="4333" width="10.140625" customWidth="1"/>
    <col min="4588" max="4588" width="34.7109375" customWidth="1"/>
    <col min="4589" max="4589" width="10.140625" customWidth="1"/>
    <col min="4844" max="4844" width="34.7109375" customWidth="1"/>
    <col min="4845" max="4845" width="10.140625" customWidth="1"/>
    <col min="5100" max="5100" width="34.7109375" customWidth="1"/>
    <col min="5101" max="5101" width="10.140625" customWidth="1"/>
    <col min="5356" max="5356" width="34.7109375" customWidth="1"/>
    <col min="5357" max="5357" width="10.140625" customWidth="1"/>
    <col min="5612" max="5612" width="34.7109375" customWidth="1"/>
    <col min="5613" max="5613" width="10.140625" customWidth="1"/>
    <col min="5868" max="5868" width="34.7109375" customWidth="1"/>
    <col min="5869" max="5869" width="10.140625" customWidth="1"/>
    <col min="6124" max="6124" width="34.7109375" customWidth="1"/>
    <col min="6125" max="6125" width="10.140625" customWidth="1"/>
    <col min="6380" max="6380" width="34.7109375" customWidth="1"/>
    <col min="6381" max="6381" width="10.140625" customWidth="1"/>
    <col min="6636" max="6636" width="34.7109375" customWidth="1"/>
    <col min="6637" max="6637" width="10.140625" customWidth="1"/>
    <col min="6892" max="6892" width="34.7109375" customWidth="1"/>
    <col min="6893" max="6893" width="10.140625" customWidth="1"/>
    <col min="7148" max="7148" width="34.7109375" customWidth="1"/>
    <col min="7149" max="7149" width="10.140625" customWidth="1"/>
    <col min="7404" max="7404" width="34.7109375" customWidth="1"/>
    <col min="7405" max="7405" width="10.140625" customWidth="1"/>
    <col min="7660" max="7660" width="34.7109375" customWidth="1"/>
    <col min="7661" max="7661" width="10.140625" customWidth="1"/>
    <col min="7916" max="7916" width="34.7109375" customWidth="1"/>
    <col min="7917" max="7917" width="10.140625" customWidth="1"/>
    <col min="8172" max="8172" width="34.7109375" customWidth="1"/>
    <col min="8173" max="8173" width="10.140625" customWidth="1"/>
    <col min="8428" max="8428" width="34.7109375" customWidth="1"/>
    <col min="8429" max="8429" width="10.140625" customWidth="1"/>
    <col min="8684" max="8684" width="34.7109375" customWidth="1"/>
    <col min="8685" max="8685" width="10.140625" customWidth="1"/>
    <col min="8940" max="8940" width="34.7109375" customWidth="1"/>
    <col min="8941" max="8941" width="10.140625" customWidth="1"/>
    <col min="9196" max="9196" width="34.7109375" customWidth="1"/>
    <col min="9197" max="9197" width="10.140625" customWidth="1"/>
    <col min="9452" max="9452" width="34.7109375" customWidth="1"/>
    <col min="9453" max="9453" width="10.140625" customWidth="1"/>
    <col min="9708" max="9708" width="34.7109375" customWidth="1"/>
    <col min="9709" max="9709" width="10.140625" customWidth="1"/>
    <col min="9964" max="9964" width="34.7109375" customWidth="1"/>
    <col min="9965" max="9965" width="10.140625" customWidth="1"/>
    <col min="10220" max="10220" width="34.7109375" customWidth="1"/>
    <col min="10221" max="10221" width="10.140625" customWidth="1"/>
    <col min="10476" max="10476" width="34.7109375" customWidth="1"/>
    <col min="10477" max="10477" width="10.140625" customWidth="1"/>
    <col min="10732" max="10732" width="34.7109375" customWidth="1"/>
    <col min="10733" max="10733" width="10.140625" customWidth="1"/>
    <col min="10988" max="10988" width="34.7109375" customWidth="1"/>
    <col min="10989" max="10989" width="10.140625" customWidth="1"/>
    <col min="11244" max="11244" width="34.7109375" customWidth="1"/>
    <col min="11245" max="11245" width="10.140625" customWidth="1"/>
    <col min="11500" max="11500" width="34.7109375" customWidth="1"/>
    <col min="11501" max="11501" width="10.140625" customWidth="1"/>
    <col min="11756" max="11756" width="34.7109375" customWidth="1"/>
    <col min="11757" max="11757" width="10.140625" customWidth="1"/>
    <col min="12012" max="12012" width="34.7109375" customWidth="1"/>
    <col min="12013" max="12013" width="10.140625" customWidth="1"/>
    <col min="12268" max="12268" width="34.7109375" customWidth="1"/>
    <col min="12269" max="12269" width="10.140625" customWidth="1"/>
    <col min="12524" max="12524" width="34.7109375" customWidth="1"/>
    <col min="12525" max="12525" width="10.140625" customWidth="1"/>
    <col min="12780" max="12780" width="34.7109375" customWidth="1"/>
    <col min="12781" max="12781" width="10.140625" customWidth="1"/>
    <col min="13036" max="13036" width="34.7109375" customWidth="1"/>
    <col min="13037" max="13037" width="10.140625" customWidth="1"/>
    <col min="13292" max="13292" width="34.7109375" customWidth="1"/>
    <col min="13293" max="13293" width="10.140625" customWidth="1"/>
    <col min="13548" max="13548" width="34.7109375" customWidth="1"/>
    <col min="13549" max="13549" width="10.140625" customWidth="1"/>
    <col min="13804" max="13804" width="34.7109375" customWidth="1"/>
    <col min="13805" max="13805" width="10.140625" customWidth="1"/>
    <col min="14060" max="14060" width="34.7109375" customWidth="1"/>
    <col min="14061" max="14061" width="10.140625" customWidth="1"/>
    <col min="14316" max="14316" width="34.7109375" customWidth="1"/>
    <col min="14317" max="14317" width="10.140625" customWidth="1"/>
    <col min="14572" max="14572" width="34.7109375" customWidth="1"/>
    <col min="14573" max="14573" width="10.140625" customWidth="1"/>
    <col min="14828" max="14828" width="34.7109375" customWidth="1"/>
    <col min="14829" max="14829" width="10.140625" customWidth="1"/>
    <col min="15084" max="15084" width="34.7109375" customWidth="1"/>
    <col min="15085" max="15085" width="10.140625" customWidth="1"/>
    <col min="15340" max="15340" width="34.7109375" customWidth="1"/>
    <col min="15341" max="15341" width="10.140625" customWidth="1"/>
    <col min="15596" max="15596" width="34.7109375" customWidth="1"/>
    <col min="15597" max="15597" width="10.140625" customWidth="1"/>
    <col min="15852" max="15852" width="34.7109375" customWidth="1"/>
    <col min="15853" max="15853" width="10.140625" customWidth="1"/>
    <col min="16108" max="16108" width="34.7109375" customWidth="1"/>
    <col min="16109" max="16109" width="10.140625" customWidth="1"/>
  </cols>
  <sheetData>
    <row r="1" spans="1:13" x14ac:dyDescent="0.25">
      <c r="A1" s="82" t="str">
        <f>"Test Score, Xbar = "&amp;FIXED(B2,0)&amp;", s = "&amp;FIXED(B3,0)</f>
        <v>Test Score, Xbar = 60, s = 13</v>
      </c>
      <c r="B1" s="83"/>
      <c r="L1">
        <f ca="1">CHOOSE(RANDBETWEEN(1,7),ROUND(_xlfn.NORM.INV(RAND(),55,15),0),ROUND(_xlfn.NORM.INV(RAND(),75,8),0),ROUND(_xlfn.NORM.INV(RAND(),45,8),0),ROUND(_xlfn.NORM.INV(RAND(),60,8),0),RANDBETWEEN(1,100),RANDBETWEEN(30,95),RANDBETWEEN(5,39))</f>
        <v>69</v>
      </c>
    </row>
    <row r="2" spans="1:13" x14ac:dyDescent="0.25">
      <c r="A2" s="61" t="s">
        <v>198</v>
      </c>
      <c r="B2" s="58">
        <f>ROUNDDOWN(AVERAGE(A6:A105),0)</f>
        <v>60</v>
      </c>
    </row>
    <row r="3" spans="1:13" x14ac:dyDescent="0.25">
      <c r="A3" s="61" t="s">
        <v>401</v>
      </c>
      <c r="B3" s="58">
        <f>ROUNDDOWN(_xlfn.STDEV.P(A6:A105),0)</f>
        <v>13</v>
      </c>
      <c r="K3">
        <f>B2+B3*2</f>
        <v>86</v>
      </c>
      <c r="L3">
        <f>B2-17*2</f>
        <v>26</v>
      </c>
      <c r="M3">
        <f>COUNTIFS(A6:A105,"&gt;="&amp;L3,A6:A105,"&lt;"&amp;K3)/COUNTA(A6:A105)</f>
        <v>0.96</v>
      </c>
    </row>
    <row r="5" spans="1:13" x14ac:dyDescent="0.25">
      <c r="A5" s="61" t="s">
        <v>643</v>
      </c>
      <c r="B5" s="61" t="s">
        <v>633</v>
      </c>
      <c r="D5" s="62" t="s">
        <v>315</v>
      </c>
      <c r="E5" s="62" t="s">
        <v>316</v>
      </c>
      <c r="F5" s="62" t="s">
        <v>9</v>
      </c>
      <c r="G5" s="62" t="s">
        <v>164</v>
      </c>
      <c r="K5">
        <f>1-1/2^2</f>
        <v>0.75</v>
      </c>
    </row>
    <row r="6" spans="1:13" x14ac:dyDescent="0.25">
      <c r="A6" s="26">
        <v>68</v>
      </c>
      <c r="B6" s="94"/>
      <c r="D6" s="26">
        <v>0</v>
      </c>
      <c r="E6" s="26">
        <f>D6+10</f>
        <v>10</v>
      </c>
      <c r="F6" s="26" t="str">
        <f>D6&amp;CHAR(10)&amp;"up to"&amp;CHAR(10)&amp;E6</f>
        <v>0
up to
10</v>
      </c>
      <c r="G6" s="30">
        <f t="shared" ref="G6:G16" si="0">COUNTIFS(A$6:A$105,"&gt;="&amp;D6,A$6:A$105,"&lt;"&amp;E6)</f>
        <v>0</v>
      </c>
    </row>
    <row r="7" spans="1:13" x14ac:dyDescent="0.25">
      <c r="A7" s="26">
        <v>58</v>
      </c>
      <c r="B7" s="94"/>
      <c r="D7" s="26">
        <f>E6</f>
        <v>10</v>
      </c>
      <c r="E7" s="26">
        <f>D7+10</f>
        <v>20</v>
      </c>
      <c r="F7" s="26" t="str">
        <f t="shared" ref="F7:F16" si="1">D7&amp;CHAR(10)&amp;"up to"&amp;CHAR(10)&amp;E7</f>
        <v>10
up to
20</v>
      </c>
      <c r="G7" s="30">
        <f t="shared" si="0"/>
        <v>0</v>
      </c>
    </row>
    <row r="8" spans="1:13" x14ac:dyDescent="0.25">
      <c r="A8" s="26">
        <v>74</v>
      </c>
      <c r="B8" s="94"/>
      <c r="D8" s="26">
        <f t="shared" ref="D8:D15" si="2">E7</f>
        <v>20</v>
      </c>
      <c r="E8" s="26">
        <f t="shared" ref="E8:E15" si="3">D8+10</f>
        <v>30</v>
      </c>
      <c r="F8" s="26" t="str">
        <f t="shared" si="1"/>
        <v>20
up to
30</v>
      </c>
      <c r="G8" s="30">
        <f t="shared" si="0"/>
        <v>0</v>
      </c>
    </row>
    <row r="9" spans="1:13" x14ac:dyDescent="0.25">
      <c r="A9" s="26">
        <v>53</v>
      </c>
      <c r="B9" s="94"/>
      <c r="D9" s="26">
        <f t="shared" si="2"/>
        <v>30</v>
      </c>
      <c r="E9" s="26">
        <f t="shared" si="3"/>
        <v>40</v>
      </c>
      <c r="F9" s="26" t="str">
        <f t="shared" si="1"/>
        <v>30
up to
40</v>
      </c>
      <c r="G9" s="30">
        <f t="shared" si="0"/>
        <v>8</v>
      </c>
    </row>
    <row r="10" spans="1:13" x14ac:dyDescent="0.25">
      <c r="A10" s="26">
        <v>70</v>
      </c>
      <c r="B10" s="94"/>
      <c r="D10" s="26">
        <f t="shared" si="2"/>
        <v>40</v>
      </c>
      <c r="E10" s="26">
        <f t="shared" si="3"/>
        <v>50</v>
      </c>
      <c r="F10" s="26" t="str">
        <f t="shared" si="1"/>
        <v>40
up to
50</v>
      </c>
      <c r="G10" s="30">
        <f t="shared" si="0"/>
        <v>6</v>
      </c>
    </row>
    <row r="11" spans="1:13" x14ac:dyDescent="0.25">
      <c r="A11" s="26">
        <v>62</v>
      </c>
      <c r="B11" s="94"/>
      <c r="D11" s="26">
        <f t="shared" si="2"/>
        <v>50</v>
      </c>
      <c r="E11" s="26">
        <f t="shared" si="3"/>
        <v>60</v>
      </c>
      <c r="F11" s="26" t="str">
        <f t="shared" si="1"/>
        <v>50
up to
60</v>
      </c>
      <c r="G11" s="30">
        <f t="shared" si="0"/>
        <v>33</v>
      </c>
    </row>
    <row r="12" spans="1:13" x14ac:dyDescent="0.25">
      <c r="A12" s="26">
        <v>55</v>
      </c>
      <c r="B12" s="94"/>
      <c r="D12" s="26">
        <f t="shared" si="2"/>
        <v>60</v>
      </c>
      <c r="E12" s="26">
        <f t="shared" si="3"/>
        <v>70</v>
      </c>
      <c r="F12" s="26" t="str">
        <f t="shared" si="1"/>
        <v>60
up to
70</v>
      </c>
      <c r="G12" s="30">
        <f t="shared" si="0"/>
        <v>33</v>
      </c>
    </row>
    <row r="13" spans="1:13" x14ac:dyDescent="0.25">
      <c r="A13" s="26">
        <v>60</v>
      </c>
      <c r="B13" s="94"/>
      <c r="D13" s="26">
        <f t="shared" si="2"/>
        <v>70</v>
      </c>
      <c r="E13" s="26">
        <f t="shared" si="3"/>
        <v>80</v>
      </c>
      <c r="F13" s="26" t="str">
        <f t="shared" si="1"/>
        <v>70
up to
80</v>
      </c>
      <c r="G13" s="30">
        <f t="shared" si="0"/>
        <v>7</v>
      </c>
    </row>
    <row r="14" spans="1:13" x14ac:dyDescent="0.25">
      <c r="A14" s="26">
        <v>39</v>
      </c>
      <c r="B14" s="94"/>
      <c r="D14" s="26">
        <f>E13</f>
        <v>80</v>
      </c>
      <c r="E14" s="26">
        <f>D14+10</f>
        <v>90</v>
      </c>
      <c r="F14" s="26" t="str">
        <f t="shared" si="1"/>
        <v>80
up to
90</v>
      </c>
      <c r="G14" s="30">
        <f t="shared" si="0"/>
        <v>10</v>
      </c>
    </row>
    <row r="15" spans="1:13" x14ac:dyDescent="0.25">
      <c r="A15" s="26">
        <v>61</v>
      </c>
      <c r="B15" s="94"/>
      <c r="D15" s="26">
        <f t="shared" si="2"/>
        <v>90</v>
      </c>
      <c r="E15" s="26">
        <f t="shared" si="3"/>
        <v>100</v>
      </c>
      <c r="F15" s="26" t="str">
        <f t="shared" si="1"/>
        <v>90
up to
100</v>
      </c>
      <c r="G15" s="30">
        <f t="shared" si="0"/>
        <v>3</v>
      </c>
    </row>
    <row r="16" spans="1:13" x14ac:dyDescent="0.25">
      <c r="A16" s="26">
        <v>62</v>
      </c>
      <c r="B16" s="94"/>
      <c r="D16" s="26">
        <f>E15</f>
        <v>100</v>
      </c>
      <c r="E16" s="26">
        <f>D16+10</f>
        <v>110</v>
      </c>
      <c r="F16" s="26" t="str">
        <f t="shared" si="1"/>
        <v>100
up to
110</v>
      </c>
      <c r="G16" s="30">
        <f t="shared" si="0"/>
        <v>0</v>
      </c>
    </row>
    <row r="17" spans="1:5" x14ac:dyDescent="0.25">
      <c r="A17" s="26">
        <v>34</v>
      </c>
      <c r="B17" s="94"/>
    </row>
    <row r="18" spans="1:5" x14ac:dyDescent="0.25">
      <c r="A18" s="26">
        <v>57</v>
      </c>
      <c r="B18" s="94"/>
    </row>
    <row r="19" spans="1:5" x14ac:dyDescent="0.25">
      <c r="A19" s="26">
        <v>65</v>
      </c>
      <c r="B19" s="94"/>
      <c r="E19" s="170"/>
    </row>
    <row r="20" spans="1:5" x14ac:dyDescent="0.25">
      <c r="A20" s="26">
        <v>70</v>
      </c>
      <c r="B20" s="94"/>
      <c r="E20" s="170"/>
    </row>
    <row r="21" spans="1:5" x14ac:dyDescent="0.25">
      <c r="A21" s="26">
        <v>31</v>
      </c>
      <c r="B21" s="94"/>
      <c r="E21" s="170"/>
    </row>
    <row r="22" spans="1:5" x14ac:dyDescent="0.25">
      <c r="A22" s="26">
        <v>58</v>
      </c>
      <c r="B22" s="94"/>
      <c r="E22" s="170"/>
    </row>
    <row r="23" spans="1:5" ht="50.25" customHeight="1" x14ac:dyDescent="0.25">
      <c r="A23" s="26">
        <v>40</v>
      </c>
      <c r="B23" s="94"/>
      <c r="E23" s="170"/>
    </row>
    <row r="24" spans="1:5" x14ac:dyDescent="0.25">
      <c r="A24" s="26">
        <v>62</v>
      </c>
      <c r="B24" s="94"/>
      <c r="E24" s="170"/>
    </row>
    <row r="25" spans="1:5" x14ac:dyDescent="0.25">
      <c r="A25" s="26">
        <v>52</v>
      </c>
      <c r="B25" s="94"/>
      <c r="E25" s="170"/>
    </row>
    <row r="26" spans="1:5" x14ac:dyDescent="0.25">
      <c r="A26" s="26">
        <v>61</v>
      </c>
      <c r="B26" s="94"/>
    </row>
    <row r="27" spans="1:5" x14ac:dyDescent="0.25">
      <c r="A27" s="26">
        <v>53</v>
      </c>
      <c r="B27" s="94"/>
    </row>
    <row r="28" spans="1:5" ht="50.25" customHeight="1" x14ac:dyDescent="0.25">
      <c r="A28" s="26">
        <v>60</v>
      </c>
      <c r="B28" s="94"/>
    </row>
    <row r="29" spans="1:5" x14ac:dyDescent="0.25">
      <c r="A29" s="26">
        <v>50</v>
      </c>
      <c r="B29" s="94"/>
    </row>
    <row r="30" spans="1:5" x14ac:dyDescent="0.25">
      <c r="A30" s="26">
        <v>56</v>
      </c>
      <c r="B30" s="94"/>
    </row>
    <row r="31" spans="1:5" x14ac:dyDescent="0.25">
      <c r="A31" s="26">
        <v>67</v>
      </c>
      <c r="B31" s="94"/>
    </row>
    <row r="32" spans="1:5" x14ac:dyDescent="0.25">
      <c r="A32" s="26">
        <v>57</v>
      </c>
      <c r="B32" s="94"/>
    </row>
    <row r="33" spans="1:2" x14ac:dyDescent="0.25">
      <c r="A33" s="26">
        <v>59</v>
      </c>
      <c r="B33" s="94"/>
    </row>
    <row r="34" spans="1:2" x14ac:dyDescent="0.25">
      <c r="A34" s="26">
        <v>81</v>
      </c>
      <c r="B34" s="94"/>
    </row>
    <row r="35" spans="1:2" x14ac:dyDescent="0.25">
      <c r="A35" s="26">
        <v>84</v>
      </c>
      <c r="B35" s="94"/>
    </row>
    <row r="36" spans="1:2" x14ac:dyDescent="0.25">
      <c r="A36" s="26">
        <v>55</v>
      </c>
      <c r="B36" s="94"/>
    </row>
    <row r="37" spans="1:2" x14ac:dyDescent="0.25">
      <c r="A37" s="26">
        <v>32</v>
      </c>
      <c r="B37" s="94"/>
    </row>
    <row r="38" spans="1:2" x14ac:dyDescent="0.25">
      <c r="A38" s="26">
        <v>63</v>
      </c>
      <c r="B38" s="94"/>
    </row>
    <row r="39" spans="1:2" x14ac:dyDescent="0.25">
      <c r="A39" s="26">
        <v>56</v>
      </c>
      <c r="B39" s="94"/>
    </row>
    <row r="40" spans="1:2" x14ac:dyDescent="0.25">
      <c r="A40" s="26">
        <v>57</v>
      </c>
      <c r="B40" s="94"/>
    </row>
    <row r="41" spans="1:2" x14ac:dyDescent="0.25">
      <c r="A41" s="26">
        <v>63</v>
      </c>
      <c r="B41" s="94"/>
    </row>
    <row r="42" spans="1:2" x14ac:dyDescent="0.25">
      <c r="A42" s="26">
        <v>66</v>
      </c>
      <c r="B42" s="94"/>
    </row>
    <row r="43" spans="1:2" x14ac:dyDescent="0.25">
      <c r="A43" s="26">
        <v>76</v>
      </c>
      <c r="B43" s="94"/>
    </row>
    <row r="44" spans="1:2" x14ac:dyDescent="0.25">
      <c r="A44" s="26">
        <v>32</v>
      </c>
      <c r="B44" s="94"/>
    </row>
    <row r="45" spans="1:2" x14ac:dyDescent="0.25">
      <c r="A45" s="26">
        <v>40</v>
      </c>
      <c r="B45" s="94"/>
    </row>
    <row r="46" spans="1:2" x14ac:dyDescent="0.25">
      <c r="A46" s="26">
        <v>67</v>
      </c>
      <c r="B46" s="94"/>
    </row>
    <row r="47" spans="1:2" x14ac:dyDescent="0.25">
      <c r="A47" s="26">
        <v>57</v>
      </c>
      <c r="B47" s="94"/>
    </row>
    <row r="48" spans="1:2" x14ac:dyDescent="0.25">
      <c r="A48" s="26">
        <v>58</v>
      </c>
      <c r="B48" s="94"/>
    </row>
    <row r="49" spans="1:2" x14ac:dyDescent="0.25">
      <c r="A49" s="26">
        <v>61</v>
      </c>
      <c r="B49" s="94"/>
    </row>
    <row r="50" spans="1:2" x14ac:dyDescent="0.25">
      <c r="A50" s="26">
        <v>63</v>
      </c>
      <c r="B50" s="94"/>
    </row>
    <row r="51" spans="1:2" x14ac:dyDescent="0.25">
      <c r="A51" s="26">
        <v>67</v>
      </c>
      <c r="B51" s="94"/>
    </row>
    <row r="52" spans="1:2" x14ac:dyDescent="0.25">
      <c r="A52" s="26">
        <v>58</v>
      </c>
      <c r="B52" s="94"/>
    </row>
    <row r="53" spans="1:2" x14ac:dyDescent="0.25">
      <c r="A53" s="26">
        <v>57</v>
      </c>
      <c r="B53" s="94"/>
    </row>
    <row r="54" spans="1:2" x14ac:dyDescent="0.25">
      <c r="A54" s="26">
        <v>65</v>
      </c>
      <c r="B54" s="94"/>
    </row>
    <row r="55" spans="1:2" x14ac:dyDescent="0.25">
      <c r="A55" s="26">
        <v>46</v>
      </c>
      <c r="B55" s="94"/>
    </row>
    <row r="56" spans="1:2" x14ac:dyDescent="0.25">
      <c r="A56" s="26">
        <v>62</v>
      </c>
      <c r="B56" s="94"/>
    </row>
    <row r="57" spans="1:2" x14ac:dyDescent="0.25">
      <c r="A57" s="26">
        <v>59</v>
      </c>
      <c r="B57" s="94"/>
    </row>
    <row r="58" spans="1:2" x14ac:dyDescent="0.25">
      <c r="A58" s="26">
        <v>45</v>
      </c>
      <c r="B58" s="94"/>
    </row>
    <row r="59" spans="1:2" x14ac:dyDescent="0.25">
      <c r="A59" s="26">
        <v>84</v>
      </c>
      <c r="B59" s="94"/>
    </row>
    <row r="60" spans="1:2" x14ac:dyDescent="0.25">
      <c r="A60" s="26">
        <v>68</v>
      </c>
      <c r="B60" s="94"/>
    </row>
    <row r="61" spans="1:2" x14ac:dyDescent="0.25">
      <c r="A61" s="26">
        <v>80</v>
      </c>
      <c r="B61" s="94"/>
    </row>
    <row r="62" spans="1:2" x14ac:dyDescent="0.25">
      <c r="A62" s="26">
        <v>89</v>
      </c>
      <c r="B62" s="94"/>
    </row>
    <row r="63" spans="1:2" x14ac:dyDescent="0.25">
      <c r="A63" s="26">
        <v>55</v>
      </c>
      <c r="B63" s="94"/>
    </row>
    <row r="64" spans="1:2" x14ac:dyDescent="0.25">
      <c r="A64" s="26">
        <v>91</v>
      </c>
      <c r="B64" s="94"/>
    </row>
    <row r="65" spans="1:2" x14ac:dyDescent="0.25">
      <c r="A65" s="26">
        <v>74</v>
      </c>
      <c r="B65" s="94"/>
    </row>
    <row r="66" spans="1:2" x14ac:dyDescent="0.25">
      <c r="A66" s="26">
        <v>50</v>
      </c>
      <c r="B66" s="94"/>
    </row>
    <row r="67" spans="1:2" x14ac:dyDescent="0.25">
      <c r="A67" s="26">
        <v>60</v>
      </c>
      <c r="B67" s="94"/>
    </row>
    <row r="68" spans="1:2" x14ac:dyDescent="0.25">
      <c r="A68" s="26">
        <v>60</v>
      </c>
      <c r="B68" s="94"/>
    </row>
    <row r="69" spans="1:2" x14ac:dyDescent="0.25">
      <c r="A69" s="26">
        <v>84</v>
      </c>
      <c r="B69" s="94"/>
    </row>
    <row r="70" spans="1:2" x14ac:dyDescent="0.25">
      <c r="A70" s="26">
        <v>58</v>
      </c>
      <c r="B70" s="94"/>
    </row>
    <row r="71" spans="1:2" x14ac:dyDescent="0.25">
      <c r="A71" s="26">
        <v>92</v>
      </c>
      <c r="B71" s="94"/>
    </row>
    <row r="72" spans="1:2" x14ac:dyDescent="0.25">
      <c r="A72" s="26">
        <v>85</v>
      </c>
      <c r="B72" s="94"/>
    </row>
    <row r="73" spans="1:2" x14ac:dyDescent="0.25">
      <c r="A73" s="26">
        <v>57</v>
      </c>
      <c r="B73" s="94"/>
    </row>
    <row r="74" spans="1:2" x14ac:dyDescent="0.25">
      <c r="A74" s="26">
        <v>82</v>
      </c>
      <c r="B74" s="94"/>
    </row>
    <row r="75" spans="1:2" x14ac:dyDescent="0.25">
      <c r="A75" s="26">
        <v>80</v>
      </c>
      <c r="B75" s="94"/>
    </row>
    <row r="76" spans="1:2" x14ac:dyDescent="0.25">
      <c r="A76" s="26">
        <v>61</v>
      </c>
      <c r="B76" s="94"/>
    </row>
    <row r="77" spans="1:2" x14ac:dyDescent="0.25">
      <c r="A77" s="26">
        <v>68</v>
      </c>
      <c r="B77" s="94"/>
    </row>
    <row r="78" spans="1:2" x14ac:dyDescent="0.25">
      <c r="A78" s="26">
        <v>55</v>
      </c>
      <c r="B78" s="94"/>
    </row>
    <row r="79" spans="1:2" x14ac:dyDescent="0.25">
      <c r="A79" s="26">
        <v>37</v>
      </c>
      <c r="B79" s="94"/>
    </row>
    <row r="80" spans="1:2" x14ac:dyDescent="0.25">
      <c r="A80" s="26">
        <v>59</v>
      </c>
      <c r="B80" s="94"/>
    </row>
    <row r="81" spans="1:2" x14ac:dyDescent="0.25">
      <c r="A81" s="26">
        <v>61</v>
      </c>
      <c r="B81" s="94"/>
    </row>
    <row r="82" spans="1:2" x14ac:dyDescent="0.25">
      <c r="A82" s="26">
        <v>62</v>
      </c>
      <c r="B82" s="94"/>
    </row>
    <row r="83" spans="1:2" x14ac:dyDescent="0.25">
      <c r="A83" s="26">
        <v>30</v>
      </c>
      <c r="B83" s="94"/>
    </row>
    <row r="84" spans="1:2" x14ac:dyDescent="0.25">
      <c r="A84" s="26">
        <v>58</v>
      </c>
      <c r="B84" s="94"/>
    </row>
    <row r="85" spans="1:2" x14ac:dyDescent="0.25">
      <c r="A85" s="26">
        <v>84</v>
      </c>
      <c r="B85" s="94"/>
    </row>
    <row r="86" spans="1:2" x14ac:dyDescent="0.25">
      <c r="A86" s="26">
        <v>59</v>
      </c>
      <c r="B86" s="94"/>
    </row>
    <row r="87" spans="1:2" x14ac:dyDescent="0.25">
      <c r="A87" s="26">
        <v>58</v>
      </c>
      <c r="B87" s="94"/>
    </row>
    <row r="88" spans="1:2" x14ac:dyDescent="0.25">
      <c r="A88" s="26">
        <v>41</v>
      </c>
      <c r="B88" s="94"/>
    </row>
    <row r="89" spans="1:2" x14ac:dyDescent="0.25">
      <c r="A89" s="26">
        <v>72</v>
      </c>
      <c r="B89" s="94"/>
    </row>
    <row r="90" spans="1:2" x14ac:dyDescent="0.25">
      <c r="A90" s="26">
        <v>79</v>
      </c>
      <c r="B90" s="94"/>
    </row>
    <row r="91" spans="1:2" x14ac:dyDescent="0.25">
      <c r="A91" s="26">
        <v>67</v>
      </c>
      <c r="B91" s="94"/>
    </row>
    <row r="92" spans="1:2" x14ac:dyDescent="0.25">
      <c r="A92" s="26">
        <v>63</v>
      </c>
      <c r="B92" s="94"/>
    </row>
    <row r="93" spans="1:2" x14ac:dyDescent="0.25">
      <c r="A93" s="26">
        <v>56</v>
      </c>
      <c r="B93" s="94"/>
    </row>
    <row r="94" spans="1:2" x14ac:dyDescent="0.25">
      <c r="A94" s="26">
        <v>63</v>
      </c>
      <c r="B94" s="94"/>
    </row>
    <row r="95" spans="1:2" x14ac:dyDescent="0.25">
      <c r="A95" s="26">
        <v>58</v>
      </c>
      <c r="B95" s="94"/>
    </row>
    <row r="96" spans="1:2" x14ac:dyDescent="0.25">
      <c r="A96" s="26">
        <v>59</v>
      </c>
      <c r="B96" s="94"/>
    </row>
    <row r="97" spans="1:2" x14ac:dyDescent="0.25">
      <c r="A97" s="26">
        <v>37</v>
      </c>
      <c r="B97" s="94"/>
    </row>
    <row r="98" spans="1:2" x14ac:dyDescent="0.25">
      <c r="A98" s="26">
        <v>62</v>
      </c>
      <c r="B98" s="94"/>
    </row>
    <row r="99" spans="1:2" x14ac:dyDescent="0.25">
      <c r="A99" s="26">
        <v>55</v>
      </c>
      <c r="B99" s="94"/>
    </row>
    <row r="100" spans="1:2" x14ac:dyDescent="0.25">
      <c r="A100" s="26">
        <v>41</v>
      </c>
      <c r="B100" s="94"/>
    </row>
    <row r="101" spans="1:2" x14ac:dyDescent="0.25">
      <c r="A101" s="26">
        <v>92</v>
      </c>
      <c r="B101" s="94"/>
    </row>
    <row r="102" spans="1:2" x14ac:dyDescent="0.25">
      <c r="A102" s="26">
        <v>60</v>
      </c>
      <c r="B102" s="94"/>
    </row>
    <row r="103" spans="1:2" x14ac:dyDescent="0.25">
      <c r="A103" s="26">
        <v>63</v>
      </c>
      <c r="B103" s="94"/>
    </row>
    <row r="104" spans="1:2" x14ac:dyDescent="0.25">
      <c r="A104" s="26">
        <v>57</v>
      </c>
      <c r="B104" s="94"/>
    </row>
    <row r="105" spans="1:2" x14ac:dyDescent="0.25">
      <c r="A105" s="26">
        <v>63</v>
      </c>
      <c r="B105" s="94"/>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tabColor rgb="FFFF0000"/>
  </sheetPr>
  <dimension ref="A1:M105"/>
  <sheetViews>
    <sheetView zoomScale="130" zoomScaleNormal="130" workbookViewId="0">
      <selection activeCell="B6" sqref="B6"/>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9" max="9" width="20.42578125" customWidth="1"/>
    <col min="10" max="10" width="16.28515625" customWidth="1"/>
    <col min="11" max="12" width="17" customWidth="1"/>
    <col min="13" max="13" width="11.42578125" bestFit="1" customWidth="1"/>
    <col min="14" max="14" width="17.42578125" customWidth="1"/>
    <col min="15" max="15" width="10.7109375" bestFit="1" customWidth="1"/>
    <col min="236" max="236" width="34.7109375" customWidth="1"/>
    <col min="237" max="237" width="10.140625" customWidth="1"/>
    <col min="492" max="492" width="34.7109375" customWidth="1"/>
    <col min="493" max="493" width="10.140625" customWidth="1"/>
    <col min="748" max="748" width="34.7109375" customWidth="1"/>
    <col min="749" max="749" width="10.140625" customWidth="1"/>
    <col min="1004" max="1004" width="34.7109375" customWidth="1"/>
    <col min="1005" max="1005" width="10.140625" customWidth="1"/>
    <col min="1260" max="1260" width="34.7109375" customWidth="1"/>
    <col min="1261" max="1261" width="10.140625" customWidth="1"/>
    <col min="1516" max="1516" width="34.7109375" customWidth="1"/>
    <col min="1517" max="1517" width="10.140625" customWidth="1"/>
    <col min="1772" max="1772" width="34.7109375" customWidth="1"/>
    <col min="1773" max="1773" width="10.140625" customWidth="1"/>
    <col min="2028" max="2028" width="34.7109375" customWidth="1"/>
    <col min="2029" max="2029" width="10.140625" customWidth="1"/>
    <col min="2284" max="2284" width="34.7109375" customWidth="1"/>
    <col min="2285" max="2285" width="10.140625" customWidth="1"/>
    <col min="2540" max="2540" width="34.7109375" customWidth="1"/>
    <col min="2541" max="2541" width="10.140625" customWidth="1"/>
    <col min="2796" max="2796" width="34.7109375" customWidth="1"/>
    <col min="2797" max="2797" width="10.140625" customWidth="1"/>
    <col min="3052" max="3052" width="34.7109375" customWidth="1"/>
    <col min="3053" max="3053" width="10.140625" customWidth="1"/>
    <col min="3308" max="3308" width="34.7109375" customWidth="1"/>
    <col min="3309" max="3309" width="10.140625" customWidth="1"/>
    <col min="3564" max="3564" width="34.7109375" customWidth="1"/>
    <col min="3565" max="3565" width="10.140625" customWidth="1"/>
    <col min="3820" max="3820" width="34.7109375" customWidth="1"/>
    <col min="3821" max="3821" width="10.140625" customWidth="1"/>
    <col min="4076" max="4076" width="34.7109375" customWidth="1"/>
    <col min="4077" max="4077" width="10.140625" customWidth="1"/>
    <col min="4332" max="4332" width="34.7109375" customWidth="1"/>
    <col min="4333" max="4333" width="10.140625" customWidth="1"/>
    <col min="4588" max="4588" width="34.7109375" customWidth="1"/>
    <col min="4589" max="4589" width="10.140625" customWidth="1"/>
    <col min="4844" max="4844" width="34.7109375" customWidth="1"/>
    <col min="4845" max="4845" width="10.140625" customWidth="1"/>
    <col min="5100" max="5100" width="34.7109375" customWidth="1"/>
    <col min="5101" max="5101" width="10.140625" customWidth="1"/>
    <col min="5356" max="5356" width="34.7109375" customWidth="1"/>
    <col min="5357" max="5357" width="10.140625" customWidth="1"/>
    <col min="5612" max="5612" width="34.7109375" customWidth="1"/>
    <col min="5613" max="5613" width="10.140625" customWidth="1"/>
    <col min="5868" max="5868" width="34.7109375" customWidth="1"/>
    <col min="5869" max="5869" width="10.140625" customWidth="1"/>
    <col min="6124" max="6124" width="34.7109375" customWidth="1"/>
    <col min="6125" max="6125" width="10.140625" customWidth="1"/>
    <col min="6380" max="6380" width="34.7109375" customWidth="1"/>
    <col min="6381" max="6381" width="10.140625" customWidth="1"/>
    <col min="6636" max="6636" width="34.7109375" customWidth="1"/>
    <col min="6637" max="6637" width="10.140625" customWidth="1"/>
    <col min="6892" max="6892" width="34.7109375" customWidth="1"/>
    <col min="6893" max="6893" width="10.140625" customWidth="1"/>
    <col min="7148" max="7148" width="34.7109375" customWidth="1"/>
    <col min="7149" max="7149" width="10.140625" customWidth="1"/>
    <col min="7404" max="7404" width="34.7109375" customWidth="1"/>
    <col min="7405" max="7405" width="10.140625" customWidth="1"/>
    <col min="7660" max="7660" width="34.7109375" customWidth="1"/>
    <col min="7661" max="7661" width="10.140625" customWidth="1"/>
    <col min="7916" max="7916" width="34.7109375" customWidth="1"/>
    <col min="7917" max="7917" width="10.140625" customWidth="1"/>
    <col min="8172" max="8172" width="34.7109375" customWidth="1"/>
    <col min="8173" max="8173" width="10.140625" customWidth="1"/>
    <col min="8428" max="8428" width="34.7109375" customWidth="1"/>
    <col min="8429" max="8429" width="10.140625" customWidth="1"/>
    <col min="8684" max="8684" width="34.7109375" customWidth="1"/>
    <col min="8685" max="8685" width="10.140625" customWidth="1"/>
    <col min="8940" max="8940" width="34.7109375" customWidth="1"/>
    <col min="8941" max="8941" width="10.140625" customWidth="1"/>
    <col min="9196" max="9196" width="34.7109375" customWidth="1"/>
    <col min="9197" max="9197" width="10.140625" customWidth="1"/>
    <col min="9452" max="9452" width="34.7109375" customWidth="1"/>
    <col min="9453" max="9453" width="10.140625" customWidth="1"/>
    <col min="9708" max="9708" width="34.7109375" customWidth="1"/>
    <col min="9709" max="9709" width="10.140625" customWidth="1"/>
    <col min="9964" max="9964" width="34.7109375" customWidth="1"/>
    <col min="9965" max="9965" width="10.140625" customWidth="1"/>
    <col min="10220" max="10220" width="34.7109375" customWidth="1"/>
    <col min="10221" max="10221" width="10.140625" customWidth="1"/>
    <col min="10476" max="10476" width="34.7109375" customWidth="1"/>
    <col min="10477" max="10477" width="10.140625" customWidth="1"/>
    <col min="10732" max="10732" width="34.7109375" customWidth="1"/>
    <col min="10733" max="10733" width="10.140625" customWidth="1"/>
    <col min="10988" max="10988" width="34.7109375" customWidth="1"/>
    <col min="10989" max="10989" width="10.140625" customWidth="1"/>
    <col min="11244" max="11244" width="34.7109375" customWidth="1"/>
    <col min="11245" max="11245" width="10.140625" customWidth="1"/>
    <col min="11500" max="11500" width="34.7109375" customWidth="1"/>
    <col min="11501" max="11501" width="10.140625" customWidth="1"/>
    <col min="11756" max="11756" width="34.7109375" customWidth="1"/>
    <col min="11757" max="11757" width="10.140625" customWidth="1"/>
    <col min="12012" max="12012" width="34.7109375" customWidth="1"/>
    <col min="12013" max="12013" width="10.140625" customWidth="1"/>
    <col min="12268" max="12268" width="34.7109375" customWidth="1"/>
    <col min="12269" max="12269" width="10.140625" customWidth="1"/>
    <col min="12524" max="12524" width="34.7109375" customWidth="1"/>
    <col min="12525" max="12525" width="10.140625" customWidth="1"/>
    <col min="12780" max="12780" width="34.7109375" customWidth="1"/>
    <col min="12781" max="12781" width="10.140625" customWidth="1"/>
    <col min="13036" max="13036" width="34.7109375" customWidth="1"/>
    <col min="13037" max="13037" width="10.140625" customWidth="1"/>
    <col min="13292" max="13292" width="34.7109375" customWidth="1"/>
    <col min="13293" max="13293" width="10.140625" customWidth="1"/>
    <col min="13548" max="13548" width="34.7109375" customWidth="1"/>
    <col min="13549" max="13549" width="10.140625" customWidth="1"/>
    <col min="13804" max="13804" width="34.7109375" customWidth="1"/>
    <col min="13805" max="13805" width="10.140625" customWidth="1"/>
    <col min="14060" max="14060" width="34.7109375" customWidth="1"/>
    <col min="14061" max="14061" width="10.140625" customWidth="1"/>
    <col min="14316" max="14316" width="34.7109375" customWidth="1"/>
    <col min="14317" max="14317" width="10.140625" customWidth="1"/>
    <col min="14572" max="14572" width="34.7109375" customWidth="1"/>
    <col min="14573" max="14573" width="10.140625" customWidth="1"/>
    <col min="14828" max="14828" width="34.7109375" customWidth="1"/>
    <col min="14829" max="14829" width="10.140625" customWidth="1"/>
    <col min="15084" max="15084" width="34.7109375" customWidth="1"/>
    <col min="15085" max="15085" width="10.140625" customWidth="1"/>
    <col min="15340" max="15340" width="34.7109375" customWidth="1"/>
    <col min="15341" max="15341" width="10.140625" customWidth="1"/>
    <col min="15596" max="15596" width="34.7109375" customWidth="1"/>
    <col min="15597" max="15597" width="10.140625" customWidth="1"/>
    <col min="15852" max="15852" width="34.7109375" customWidth="1"/>
    <col min="15853" max="15853" width="10.140625" customWidth="1"/>
    <col min="16108" max="16108" width="34.7109375" customWidth="1"/>
    <col min="16109" max="16109" width="10.140625" customWidth="1"/>
  </cols>
  <sheetData>
    <row r="1" spans="1:13" x14ac:dyDescent="0.25">
      <c r="A1" s="82" t="str">
        <f>"Test Score, Xbar = "&amp;FIXED(B2,0)&amp;", s = "&amp;FIXED(B3,0)</f>
        <v>Test Score, Xbar = 60, s = 13</v>
      </c>
      <c r="B1" s="83"/>
      <c r="L1">
        <f ca="1">CHOOSE(RANDBETWEEN(1,7),ROUND(_xlfn.NORM.INV(RAND(),55,15),0),ROUND(_xlfn.NORM.INV(RAND(),75,8),0),ROUND(_xlfn.NORM.INV(RAND(),45,8),0),ROUND(_xlfn.NORM.INV(RAND(),60,8),0),RANDBETWEEN(1,100),RANDBETWEEN(30,95),RANDBETWEEN(5,39))</f>
        <v>32</v>
      </c>
    </row>
    <row r="2" spans="1:13" x14ac:dyDescent="0.25">
      <c r="A2" s="61" t="s">
        <v>198</v>
      </c>
      <c r="B2" s="58">
        <f>ROUNDDOWN(AVERAGE(A6:A105),0)</f>
        <v>60</v>
      </c>
    </row>
    <row r="3" spans="1:13" x14ac:dyDescent="0.25">
      <c r="A3" s="61" t="s">
        <v>401</v>
      </c>
      <c r="B3" s="58">
        <f>ROUNDDOWN(_xlfn.STDEV.P(A6:A105),0)</f>
        <v>13</v>
      </c>
      <c r="K3">
        <f>B2+B3*2</f>
        <v>86</v>
      </c>
      <c r="L3">
        <f>B2-17*2</f>
        <v>26</v>
      </c>
      <c r="M3">
        <f>COUNTIFS(A6:A105,"&gt;="&amp;L3,A6:A105,"&lt;"&amp;K3)/COUNTA(A6:A105)</f>
        <v>0.96</v>
      </c>
    </row>
    <row r="5" spans="1:13" x14ac:dyDescent="0.25">
      <c r="A5" s="61" t="s">
        <v>643</v>
      </c>
      <c r="B5" s="61" t="s">
        <v>633</v>
      </c>
      <c r="D5" s="62" t="s">
        <v>315</v>
      </c>
      <c r="E5" s="62" t="s">
        <v>316</v>
      </c>
      <c r="F5" s="62" t="s">
        <v>9</v>
      </c>
      <c r="G5" s="62" t="s">
        <v>164</v>
      </c>
      <c r="K5">
        <f>1-1/2^2</f>
        <v>0.75</v>
      </c>
    </row>
    <row r="6" spans="1:13" x14ac:dyDescent="0.25">
      <c r="A6" s="26">
        <v>68</v>
      </c>
      <c r="B6" s="94">
        <f>(A6-$B$2)/$B$3</f>
        <v>0.61538461538461542</v>
      </c>
      <c r="D6" s="26">
        <v>0</v>
      </c>
      <c r="E6" s="26">
        <f>D6+10</f>
        <v>10</v>
      </c>
      <c r="F6" s="26" t="str">
        <f>D6&amp;CHAR(10)&amp;"up to"&amp;CHAR(10)&amp;E6</f>
        <v>0
up to
10</v>
      </c>
      <c r="G6" s="30">
        <f t="shared" ref="G6:G16" si="0">COUNTIFS(A$6:A$105,"&gt;="&amp;D6,A$6:A$105,"&lt;"&amp;E6)</f>
        <v>0</v>
      </c>
    </row>
    <row r="7" spans="1:13" x14ac:dyDescent="0.25">
      <c r="A7" s="26">
        <v>58</v>
      </c>
      <c r="B7" s="94">
        <f t="shared" ref="B7:B70" si="1">(A7-$B$2)/$B$3</f>
        <v>-0.15384615384615385</v>
      </c>
      <c r="D7" s="26">
        <f>E6</f>
        <v>10</v>
      </c>
      <c r="E7" s="26">
        <f>D7+10</f>
        <v>20</v>
      </c>
      <c r="F7" s="26" t="str">
        <f t="shared" ref="F7:F16" si="2">D7&amp;CHAR(10)&amp;"up to"&amp;CHAR(10)&amp;E7</f>
        <v>10
up to
20</v>
      </c>
      <c r="G7" s="30">
        <f t="shared" si="0"/>
        <v>0</v>
      </c>
    </row>
    <row r="8" spans="1:13" x14ac:dyDescent="0.25">
      <c r="A8" s="26">
        <v>74</v>
      </c>
      <c r="B8" s="94">
        <f t="shared" si="1"/>
        <v>1.0769230769230769</v>
      </c>
      <c r="D8" s="26">
        <f t="shared" ref="D8:D15" si="3">E7</f>
        <v>20</v>
      </c>
      <c r="E8" s="26">
        <f t="shared" ref="E8:E15" si="4">D8+10</f>
        <v>30</v>
      </c>
      <c r="F8" s="26" t="str">
        <f t="shared" si="2"/>
        <v>20
up to
30</v>
      </c>
      <c r="G8" s="30">
        <f t="shared" si="0"/>
        <v>0</v>
      </c>
    </row>
    <row r="9" spans="1:13" x14ac:dyDescent="0.25">
      <c r="A9" s="26">
        <v>53</v>
      </c>
      <c r="B9" s="94">
        <f t="shared" si="1"/>
        <v>-0.53846153846153844</v>
      </c>
      <c r="D9" s="26">
        <f t="shared" si="3"/>
        <v>30</v>
      </c>
      <c r="E9" s="26">
        <f t="shared" si="4"/>
        <v>40</v>
      </c>
      <c r="F9" s="26" t="str">
        <f t="shared" si="2"/>
        <v>30
up to
40</v>
      </c>
      <c r="G9" s="30">
        <f t="shared" si="0"/>
        <v>8</v>
      </c>
    </row>
    <row r="10" spans="1:13" x14ac:dyDescent="0.25">
      <c r="A10" s="26">
        <v>70</v>
      </c>
      <c r="B10" s="94">
        <f t="shared" si="1"/>
        <v>0.76923076923076927</v>
      </c>
      <c r="D10" s="26">
        <f t="shared" si="3"/>
        <v>40</v>
      </c>
      <c r="E10" s="26">
        <f t="shared" si="4"/>
        <v>50</v>
      </c>
      <c r="F10" s="26" t="str">
        <f t="shared" si="2"/>
        <v>40
up to
50</v>
      </c>
      <c r="G10" s="30">
        <f t="shared" si="0"/>
        <v>6</v>
      </c>
    </row>
    <row r="11" spans="1:13" x14ac:dyDescent="0.25">
      <c r="A11" s="26">
        <v>62</v>
      </c>
      <c r="B11" s="94">
        <f t="shared" si="1"/>
        <v>0.15384615384615385</v>
      </c>
      <c r="D11" s="26">
        <f t="shared" si="3"/>
        <v>50</v>
      </c>
      <c r="E11" s="26">
        <f t="shared" si="4"/>
        <v>60</v>
      </c>
      <c r="F11" s="26" t="str">
        <f t="shared" si="2"/>
        <v>50
up to
60</v>
      </c>
      <c r="G11" s="30">
        <f t="shared" si="0"/>
        <v>33</v>
      </c>
    </row>
    <row r="12" spans="1:13" x14ac:dyDescent="0.25">
      <c r="A12" s="26">
        <v>55</v>
      </c>
      <c r="B12" s="94">
        <f t="shared" si="1"/>
        <v>-0.38461538461538464</v>
      </c>
      <c r="D12" s="26">
        <f t="shared" si="3"/>
        <v>60</v>
      </c>
      <c r="E12" s="26">
        <f t="shared" si="4"/>
        <v>70</v>
      </c>
      <c r="F12" s="26" t="str">
        <f t="shared" si="2"/>
        <v>60
up to
70</v>
      </c>
      <c r="G12" s="30">
        <f t="shared" si="0"/>
        <v>33</v>
      </c>
    </row>
    <row r="13" spans="1:13" x14ac:dyDescent="0.25">
      <c r="A13" s="26">
        <v>60</v>
      </c>
      <c r="B13" s="94">
        <f t="shared" si="1"/>
        <v>0</v>
      </c>
      <c r="D13" s="26">
        <f t="shared" si="3"/>
        <v>70</v>
      </c>
      <c r="E13" s="26">
        <f t="shared" si="4"/>
        <v>80</v>
      </c>
      <c r="F13" s="26" t="str">
        <f t="shared" si="2"/>
        <v>70
up to
80</v>
      </c>
      <c r="G13" s="30">
        <f t="shared" si="0"/>
        <v>7</v>
      </c>
    </row>
    <row r="14" spans="1:13" x14ac:dyDescent="0.25">
      <c r="A14" s="26">
        <v>39</v>
      </c>
      <c r="B14" s="94">
        <f t="shared" si="1"/>
        <v>-1.6153846153846154</v>
      </c>
      <c r="D14" s="26">
        <f>E13</f>
        <v>80</v>
      </c>
      <c r="E14" s="26">
        <f>D14+10</f>
        <v>90</v>
      </c>
      <c r="F14" s="26" t="str">
        <f t="shared" si="2"/>
        <v>80
up to
90</v>
      </c>
      <c r="G14" s="30">
        <f t="shared" si="0"/>
        <v>10</v>
      </c>
    </row>
    <row r="15" spans="1:13" x14ac:dyDescent="0.25">
      <c r="A15" s="26">
        <v>61</v>
      </c>
      <c r="B15" s="94">
        <f t="shared" si="1"/>
        <v>7.6923076923076927E-2</v>
      </c>
      <c r="D15" s="26">
        <f t="shared" si="3"/>
        <v>90</v>
      </c>
      <c r="E15" s="26">
        <f t="shared" si="4"/>
        <v>100</v>
      </c>
      <c r="F15" s="26" t="str">
        <f t="shared" si="2"/>
        <v>90
up to
100</v>
      </c>
      <c r="G15" s="30">
        <f t="shared" si="0"/>
        <v>3</v>
      </c>
    </row>
    <row r="16" spans="1:13" x14ac:dyDescent="0.25">
      <c r="A16" s="26">
        <v>62</v>
      </c>
      <c r="B16" s="94">
        <f t="shared" si="1"/>
        <v>0.15384615384615385</v>
      </c>
      <c r="D16" s="26">
        <f>E15</f>
        <v>100</v>
      </c>
      <c r="E16" s="26">
        <f>D16+10</f>
        <v>110</v>
      </c>
      <c r="F16" s="26" t="str">
        <f t="shared" si="2"/>
        <v>100
up to
110</v>
      </c>
      <c r="G16" s="30">
        <f t="shared" si="0"/>
        <v>0</v>
      </c>
    </row>
    <row r="17" spans="1:5" x14ac:dyDescent="0.25">
      <c r="A17" s="26">
        <v>34</v>
      </c>
      <c r="B17" s="94">
        <f t="shared" si="1"/>
        <v>-2</v>
      </c>
    </row>
    <row r="18" spans="1:5" x14ac:dyDescent="0.25">
      <c r="A18" s="26">
        <v>57</v>
      </c>
      <c r="B18" s="94">
        <f t="shared" si="1"/>
        <v>-0.23076923076923078</v>
      </c>
    </row>
    <row r="19" spans="1:5" x14ac:dyDescent="0.25">
      <c r="A19" s="26">
        <v>65</v>
      </c>
      <c r="B19" s="94">
        <f t="shared" si="1"/>
        <v>0.38461538461538464</v>
      </c>
      <c r="E19" s="170"/>
    </row>
    <row r="20" spans="1:5" x14ac:dyDescent="0.25">
      <c r="A20" s="26">
        <v>70</v>
      </c>
      <c r="B20" s="94">
        <f t="shared" si="1"/>
        <v>0.76923076923076927</v>
      </c>
      <c r="E20" s="170"/>
    </row>
    <row r="21" spans="1:5" x14ac:dyDescent="0.25">
      <c r="A21" s="26">
        <v>31</v>
      </c>
      <c r="B21" s="94">
        <f t="shared" si="1"/>
        <v>-2.2307692307692308</v>
      </c>
      <c r="E21" s="170"/>
    </row>
    <row r="22" spans="1:5" x14ac:dyDescent="0.25">
      <c r="A22" s="26">
        <v>58</v>
      </c>
      <c r="B22" s="94">
        <f t="shared" si="1"/>
        <v>-0.15384615384615385</v>
      </c>
      <c r="E22" s="170"/>
    </row>
    <row r="23" spans="1:5" ht="50.25" customHeight="1" x14ac:dyDescent="0.25">
      <c r="A23" s="26">
        <v>40</v>
      </c>
      <c r="B23" s="94">
        <f t="shared" si="1"/>
        <v>-1.5384615384615385</v>
      </c>
      <c r="E23" s="170"/>
    </row>
    <row r="24" spans="1:5" x14ac:dyDescent="0.25">
      <c r="A24" s="26">
        <v>62</v>
      </c>
      <c r="B24" s="94">
        <f t="shared" si="1"/>
        <v>0.15384615384615385</v>
      </c>
      <c r="E24" s="170"/>
    </row>
    <row r="25" spans="1:5" x14ac:dyDescent="0.25">
      <c r="A25" s="26">
        <v>52</v>
      </c>
      <c r="B25" s="94">
        <f t="shared" si="1"/>
        <v>-0.61538461538461542</v>
      </c>
      <c r="E25" s="170"/>
    </row>
    <row r="26" spans="1:5" x14ac:dyDescent="0.25">
      <c r="A26" s="26">
        <v>61</v>
      </c>
      <c r="B26" s="94">
        <f t="shared" si="1"/>
        <v>7.6923076923076927E-2</v>
      </c>
    </row>
    <row r="27" spans="1:5" x14ac:dyDescent="0.25">
      <c r="A27" s="26">
        <v>53</v>
      </c>
      <c r="B27" s="94">
        <f t="shared" si="1"/>
        <v>-0.53846153846153844</v>
      </c>
    </row>
    <row r="28" spans="1:5" ht="50.25" customHeight="1" x14ac:dyDescent="0.25">
      <c r="A28" s="26">
        <v>60</v>
      </c>
      <c r="B28" s="94">
        <f t="shared" si="1"/>
        <v>0</v>
      </c>
    </row>
    <row r="29" spans="1:5" x14ac:dyDescent="0.25">
      <c r="A29" s="26">
        <v>50</v>
      </c>
      <c r="B29" s="94">
        <f t="shared" si="1"/>
        <v>-0.76923076923076927</v>
      </c>
    </row>
    <row r="30" spans="1:5" x14ac:dyDescent="0.25">
      <c r="A30" s="26">
        <v>56</v>
      </c>
      <c r="B30" s="94">
        <f t="shared" si="1"/>
        <v>-0.30769230769230771</v>
      </c>
    </row>
    <row r="31" spans="1:5" x14ac:dyDescent="0.25">
      <c r="A31" s="26">
        <v>67</v>
      </c>
      <c r="B31" s="94">
        <f t="shared" si="1"/>
        <v>0.53846153846153844</v>
      </c>
    </row>
    <row r="32" spans="1:5" x14ac:dyDescent="0.25">
      <c r="A32" s="26">
        <v>57</v>
      </c>
      <c r="B32" s="94">
        <f t="shared" si="1"/>
        <v>-0.23076923076923078</v>
      </c>
    </row>
    <row r="33" spans="1:2" x14ac:dyDescent="0.25">
      <c r="A33" s="26">
        <v>59</v>
      </c>
      <c r="B33" s="94">
        <f t="shared" si="1"/>
        <v>-7.6923076923076927E-2</v>
      </c>
    </row>
    <row r="34" spans="1:2" x14ac:dyDescent="0.25">
      <c r="A34" s="26">
        <v>81</v>
      </c>
      <c r="B34" s="94">
        <f t="shared" si="1"/>
        <v>1.6153846153846154</v>
      </c>
    </row>
    <row r="35" spans="1:2" x14ac:dyDescent="0.25">
      <c r="A35" s="26">
        <v>84</v>
      </c>
      <c r="B35" s="94">
        <f t="shared" si="1"/>
        <v>1.8461538461538463</v>
      </c>
    </row>
    <row r="36" spans="1:2" x14ac:dyDescent="0.25">
      <c r="A36" s="26">
        <v>55</v>
      </c>
      <c r="B36" s="94">
        <f t="shared" si="1"/>
        <v>-0.38461538461538464</v>
      </c>
    </row>
    <row r="37" spans="1:2" x14ac:dyDescent="0.25">
      <c r="A37" s="26">
        <v>32</v>
      </c>
      <c r="B37" s="94">
        <f t="shared" si="1"/>
        <v>-2.1538461538461537</v>
      </c>
    </row>
    <row r="38" spans="1:2" x14ac:dyDescent="0.25">
      <c r="A38" s="26">
        <v>63</v>
      </c>
      <c r="B38" s="94">
        <f t="shared" si="1"/>
        <v>0.23076923076923078</v>
      </c>
    </row>
    <row r="39" spans="1:2" x14ac:dyDescent="0.25">
      <c r="A39" s="26">
        <v>56</v>
      </c>
      <c r="B39" s="94">
        <f t="shared" si="1"/>
        <v>-0.30769230769230771</v>
      </c>
    </row>
    <row r="40" spans="1:2" x14ac:dyDescent="0.25">
      <c r="A40" s="26">
        <v>57</v>
      </c>
      <c r="B40" s="94">
        <f t="shared" si="1"/>
        <v>-0.23076923076923078</v>
      </c>
    </row>
    <row r="41" spans="1:2" x14ac:dyDescent="0.25">
      <c r="A41" s="26">
        <v>63</v>
      </c>
      <c r="B41" s="94">
        <f t="shared" si="1"/>
        <v>0.23076923076923078</v>
      </c>
    </row>
    <row r="42" spans="1:2" x14ac:dyDescent="0.25">
      <c r="A42" s="26">
        <v>66</v>
      </c>
      <c r="B42" s="94">
        <f t="shared" si="1"/>
        <v>0.46153846153846156</v>
      </c>
    </row>
    <row r="43" spans="1:2" x14ac:dyDescent="0.25">
      <c r="A43" s="26">
        <v>76</v>
      </c>
      <c r="B43" s="94">
        <f t="shared" si="1"/>
        <v>1.2307692307692308</v>
      </c>
    </row>
    <row r="44" spans="1:2" x14ac:dyDescent="0.25">
      <c r="A44" s="26">
        <v>32</v>
      </c>
      <c r="B44" s="94">
        <f t="shared" si="1"/>
        <v>-2.1538461538461537</v>
      </c>
    </row>
    <row r="45" spans="1:2" x14ac:dyDescent="0.25">
      <c r="A45" s="26">
        <v>40</v>
      </c>
      <c r="B45" s="94">
        <f t="shared" si="1"/>
        <v>-1.5384615384615385</v>
      </c>
    </row>
    <row r="46" spans="1:2" x14ac:dyDescent="0.25">
      <c r="A46" s="26">
        <v>67</v>
      </c>
      <c r="B46" s="94">
        <f t="shared" si="1"/>
        <v>0.53846153846153844</v>
      </c>
    </row>
    <row r="47" spans="1:2" x14ac:dyDescent="0.25">
      <c r="A47" s="26">
        <v>57</v>
      </c>
      <c r="B47" s="94">
        <f t="shared" si="1"/>
        <v>-0.23076923076923078</v>
      </c>
    </row>
    <row r="48" spans="1:2" x14ac:dyDescent="0.25">
      <c r="A48" s="26">
        <v>58</v>
      </c>
      <c r="B48" s="94">
        <f t="shared" si="1"/>
        <v>-0.15384615384615385</v>
      </c>
    </row>
    <row r="49" spans="1:2" x14ac:dyDescent="0.25">
      <c r="A49" s="26">
        <v>61</v>
      </c>
      <c r="B49" s="94">
        <f t="shared" si="1"/>
        <v>7.6923076923076927E-2</v>
      </c>
    </row>
    <row r="50" spans="1:2" x14ac:dyDescent="0.25">
      <c r="A50" s="26">
        <v>63</v>
      </c>
      <c r="B50" s="94">
        <f t="shared" si="1"/>
        <v>0.23076923076923078</v>
      </c>
    </row>
    <row r="51" spans="1:2" x14ac:dyDescent="0.25">
      <c r="A51" s="26">
        <v>67</v>
      </c>
      <c r="B51" s="94">
        <f t="shared" si="1"/>
        <v>0.53846153846153844</v>
      </c>
    </row>
    <row r="52" spans="1:2" x14ac:dyDescent="0.25">
      <c r="A52" s="26">
        <v>58</v>
      </c>
      <c r="B52" s="94">
        <f t="shared" si="1"/>
        <v>-0.15384615384615385</v>
      </c>
    </row>
    <row r="53" spans="1:2" x14ac:dyDescent="0.25">
      <c r="A53" s="26">
        <v>57</v>
      </c>
      <c r="B53" s="94">
        <f t="shared" si="1"/>
        <v>-0.23076923076923078</v>
      </c>
    </row>
    <row r="54" spans="1:2" x14ac:dyDescent="0.25">
      <c r="A54" s="26">
        <v>65</v>
      </c>
      <c r="B54" s="94">
        <f t="shared" si="1"/>
        <v>0.38461538461538464</v>
      </c>
    </row>
    <row r="55" spans="1:2" x14ac:dyDescent="0.25">
      <c r="A55" s="26">
        <v>46</v>
      </c>
      <c r="B55" s="94">
        <f t="shared" si="1"/>
        <v>-1.0769230769230769</v>
      </c>
    </row>
    <row r="56" spans="1:2" x14ac:dyDescent="0.25">
      <c r="A56" s="26">
        <v>62</v>
      </c>
      <c r="B56" s="94">
        <f t="shared" si="1"/>
        <v>0.15384615384615385</v>
      </c>
    </row>
    <row r="57" spans="1:2" x14ac:dyDescent="0.25">
      <c r="A57" s="26">
        <v>59</v>
      </c>
      <c r="B57" s="94">
        <f t="shared" si="1"/>
        <v>-7.6923076923076927E-2</v>
      </c>
    </row>
    <row r="58" spans="1:2" x14ac:dyDescent="0.25">
      <c r="A58" s="26">
        <v>45</v>
      </c>
      <c r="B58" s="94">
        <f t="shared" si="1"/>
        <v>-1.1538461538461537</v>
      </c>
    </row>
    <row r="59" spans="1:2" x14ac:dyDescent="0.25">
      <c r="A59" s="26">
        <v>84</v>
      </c>
      <c r="B59" s="94">
        <f t="shared" si="1"/>
        <v>1.8461538461538463</v>
      </c>
    </row>
    <row r="60" spans="1:2" x14ac:dyDescent="0.25">
      <c r="A60" s="26">
        <v>68</v>
      </c>
      <c r="B60" s="94">
        <f t="shared" si="1"/>
        <v>0.61538461538461542</v>
      </c>
    </row>
    <row r="61" spans="1:2" x14ac:dyDescent="0.25">
      <c r="A61" s="26">
        <v>80</v>
      </c>
      <c r="B61" s="94">
        <f t="shared" si="1"/>
        <v>1.5384615384615385</v>
      </c>
    </row>
    <row r="62" spans="1:2" x14ac:dyDescent="0.25">
      <c r="A62" s="26">
        <v>89</v>
      </c>
      <c r="B62" s="94">
        <f t="shared" si="1"/>
        <v>2.2307692307692308</v>
      </c>
    </row>
    <row r="63" spans="1:2" x14ac:dyDescent="0.25">
      <c r="A63" s="26">
        <v>55</v>
      </c>
      <c r="B63" s="94">
        <f t="shared" si="1"/>
        <v>-0.38461538461538464</v>
      </c>
    </row>
    <row r="64" spans="1:2" x14ac:dyDescent="0.25">
      <c r="A64" s="26">
        <v>91</v>
      </c>
      <c r="B64" s="94">
        <f t="shared" si="1"/>
        <v>2.3846153846153846</v>
      </c>
    </row>
    <row r="65" spans="1:2" x14ac:dyDescent="0.25">
      <c r="A65" s="26">
        <v>74</v>
      </c>
      <c r="B65" s="94">
        <f t="shared" si="1"/>
        <v>1.0769230769230769</v>
      </c>
    </row>
    <row r="66" spans="1:2" x14ac:dyDescent="0.25">
      <c r="A66" s="26">
        <v>50</v>
      </c>
      <c r="B66" s="94">
        <f t="shared" si="1"/>
        <v>-0.76923076923076927</v>
      </c>
    </row>
    <row r="67" spans="1:2" x14ac:dyDescent="0.25">
      <c r="A67" s="26">
        <v>60</v>
      </c>
      <c r="B67" s="94">
        <f t="shared" si="1"/>
        <v>0</v>
      </c>
    </row>
    <row r="68" spans="1:2" x14ac:dyDescent="0.25">
      <c r="A68" s="26">
        <v>60</v>
      </c>
      <c r="B68" s="94">
        <f t="shared" si="1"/>
        <v>0</v>
      </c>
    </row>
    <row r="69" spans="1:2" x14ac:dyDescent="0.25">
      <c r="A69" s="26">
        <v>84</v>
      </c>
      <c r="B69" s="94">
        <f t="shared" si="1"/>
        <v>1.8461538461538463</v>
      </c>
    </row>
    <row r="70" spans="1:2" x14ac:dyDescent="0.25">
      <c r="A70" s="26">
        <v>58</v>
      </c>
      <c r="B70" s="94">
        <f t="shared" si="1"/>
        <v>-0.15384615384615385</v>
      </c>
    </row>
    <row r="71" spans="1:2" x14ac:dyDescent="0.25">
      <c r="A71" s="26">
        <v>92</v>
      </c>
      <c r="B71" s="94">
        <f t="shared" ref="B71:B105" si="5">(A71-$B$2)/$B$3</f>
        <v>2.4615384615384617</v>
      </c>
    </row>
    <row r="72" spans="1:2" x14ac:dyDescent="0.25">
      <c r="A72" s="26">
        <v>85</v>
      </c>
      <c r="B72" s="94">
        <f t="shared" si="5"/>
        <v>1.9230769230769231</v>
      </c>
    </row>
    <row r="73" spans="1:2" x14ac:dyDescent="0.25">
      <c r="A73" s="26">
        <v>57</v>
      </c>
      <c r="B73" s="94">
        <f t="shared" si="5"/>
        <v>-0.23076923076923078</v>
      </c>
    </row>
    <row r="74" spans="1:2" x14ac:dyDescent="0.25">
      <c r="A74" s="26">
        <v>82</v>
      </c>
      <c r="B74" s="94">
        <f t="shared" si="5"/>
        <v>1.6923076923076923</v>
      </c>
    </row>
    <row r="75" spans="1:2" x14ac:dyDescent="0.25">
      <c r="A75" s="26">
        <v>80</v>
      </c>
      <c r="B75" s="94">
        <f t="shared" si="5"/>
        <v>1.5384615384615385</v>
      </c>
    </row>
    <row r="76" spans="1:2" x14ac:dyDescent="0.25">
      <c r="A76" s="26">
        <v>61</v>
      </c>
      <c r="B76" s="94">
        <f t="shared" si="5"/>
        <v>7.6923076923076927E-2</v>
      </c>
    </row>
    <row r="77" spans="1:2" x14ac:dyDescent="0.25">
      <c r="A77" s="26">
        <v>68</v>
      </c>
      <c r="B77" s="94">
        <f t="shared" si="5"/>
        <v>0.61538461538461542</v>
      </c>
    </row>
    <row r="78" spans="1:2" x14ac:dyDescent="0.25">
      <c r="A78" s="26">
        <v>55</v>
      </c>
      <c r="B78" s="94">
        <f t="shared" si="5"/>
        <v>-0.38461538461538464</v>
      </c>
    </row>
    <row r="79" spans="1:2" x14ac:dyDescent="0.25">
      <c r="A79" s="26">
        <v>37</v>
      </c>
      <c r="B79" s="94">
        <f t="shared" si="5"/>
        <v>-1.7692307692307692</v>
      </c>
    </row>
    <row r="80" spans="1:2" x14ac:dyDescent="0.25">
      <c r="A80" s="26">
        <v>59</v>
      </c>
      <c r="B80" s="94">
        <f t="shared" si="5"/>
        <v>-7.6923076923076927E-2</v>
      </c>
    </row>
    <row r="81" spans="1:2" x14ac:dyDescent="0.25">
      <c r="A81" s="26">
        <v>61</v>
      </c>
      <c r="B81" s="94">
        <f t="shared" si="5"/>
        <v>7.6923076923076927E-2</v>
      </c>
    </row>
    <row r="82" spans="1:2" x14ac:dyDescent="0.25">
      <c r="A82" s="26">
        <v>62</v>
      </c>
      <c r="B82" s="94">
        <f t="shared" si="5"/>
        <v>0.15384615384615385</v>
      </c>
    </row>
    <row r="83" spans="1:2" x14ac:dyDescent="0.25">
      <c r="A83" s="26">
        <v>30</v>
      </c>
      <c r="B83" s="94">
        <f t="shared" si="5"/>
        <v>-2.3076923076923075</v>
      </c>
    </row>
    <row r="84" spans="1:2" x14ac:dyDescent="0.25">
      <c r="A84" s="26">
        <v>58</v>
      </c>
      <c r="B84" s="94">
        <f t="shared" si="5"/>
        <v>-0.15384615384615385</v>
      </c>
    </row>
    <row r="85" spans="1:2" x14ac:dyDescent="0.25">
      <c r="A85" s="26">
        <v>84</v>
      </c>
      <c r="B85" s="94">
        <f t="shared" si="5"/>
        <v>1.8461538461538463</v>
      </c>
    </row>
    <row r="86" spans="1:2" x14ac:dyDescent="0.25">
      <c r="A86" s="26">
        <v>59</v>
      </c>
      <c r="B86" s="94">
        <f t="shared" si="5"/>
        <v>-7.6923076923076927E-2</v>
      </c>
    </row>
    <row r="87" spans="1:2" x14ac:dyDescent="0.25">
      <c r="A87" s="26">
        <v>58</v>
      </c>
      <c r="B87" s="94">
        <f t="shared" si="5"/>
        <v>-0.15384615384615385</v>
      </c>
    </row>
    <row r="88" spans="1:2" x14ac:dyDescent="0.25">
      <c r="A88" s="26">
        <v>41</v>
      </c>
      <c r="B88" s="94">
        <f t="shared" si="5"/>
        <v>-1.4615384615384615</v>
      </c>
    </row>
    <row r="89" spans="1:2" x14ac:dyDescent="0.25">
      <c r="A89" s="26">
        <v>72</v>
      </c>
      <c r="B89" s="94">
        <f t="shared" si="5"/>
        <v>0.92307692307692313</v>
      </c>
    </row>
    <row r="90" spans="1:2" x14ac:dyDescent="0.25">
      <c r="A90" s="26">
        <v>79</v>
      </c>
      <c r="B90" s="94">
        <f t="shared" si="5"/>
        <v>1.4615384615384615</v>
      </c>
    </row>
    <row r="91" spans="1:2" x14ac:dyDescent="0.25">
      <c r="A91" s="26">
        <v>67</v>
      </c>
      <c r="B91" s="94">
        <f t="shared" si="5"/>
        <v>0.53846153846153844</v>
      </c>
    </row>
    <row r="92" spans="1:2" x14ac:dyDescent="0.25">
      <c r="A92" s="26">
        <v>63</v>
      </c>
      <c r="B92" s="94">
        <f t="shared" si="5"/>
        <v>0.23076923076923078</v>
      </c>
    </row>
    <row r="93" spans="1:2" x14ac:dyDescent="0.25">
      <c r="A93" s="26">
        <v>56</v>
      </c>
      <c r="B93" s="94">
        <f t="shared" si="5"/>
        <v>-0.30769230769230771</v>
      </c>
    </row>
    <row r="94" spans="1:2" x14ac:dyDescent="0.25">
      <c r="A94" s="26">
        <v>63</v>
      </c>
      <c r="B94" s="94">
        <f t="shared" si="5"/>
        <v>0.23076923076923078</v>
      </c>
    </row>
    <row r="95" spans="1:2" x14ac:dyDescent="0.25">
      <c r="A95" s="26">
        <v>58</v>
      </c>
      <c r="B95" s="94">
        <f t="shared" si="5"/>
        <v>-0.15384615384615385</v>
      </c>
    </row>
    <row r="96" spans="1:2" x14ac:dyDescent="0.25">
      <c r="A96" s="26">
        <v>59</v>
      </c>
      <c r="B96" s="94">
        <f t="shared" si="5"/>
        <v>-7.6923076923076927E-2</v>
      </c>
    </row>
    <row r="97" spans="1:2" x14ac:dyDescent="0.25">
      <c r="A97" s="26">
        <v>37</v>
      </c>
      <c r="B97" s="94">
        <f t="shared" si="5"/>
        <v>-1.7692307692307692</v>
      </c>
    </row>
    <row r="98" spans="1:2" x14ac:dyDescent="0.25">
      <c r="A98" s="26">
        <v>62</v>
      </c>
      <c r="B98" s="94">
        <f t="shared" si="5"/>
        <v>0.15384615384615385</v>
      </c>
    </row>
    <row r="99" spans="1:2" x14ac:dyDescent="0.25">
      <c r="A99" s="26">
        <v>55</v>
      </c>
      <c r="B99" s="94">
        <f t="shared" si="5"/>
        <v>-0.38461538461538464</v>
      </c>
    </row>
    <row r="100" spans="1:2" x14ac:dyDescent="0.25">
      <c r="A100" s="26">
        <v>41</v>
      </c>
      <c r="B100" s="94">
        <f t="shared" si="5"/>
        <v>-1.4615384615384615</v>
      </c>
    </row>
    <row r="101" spans="1:2" x14ac:dyDescent="0.25">
      <c r="A101" s="26">
        <v>92</v>
      </c>
      <c r="B101" s="94">
        <f t="shared" si="5"/>
        <v>2.4615384615384617</v>
      </c>
    </row>
    <row r="102" spans="1:2" x14ac:dyDescent="0.25">
      <c r="A102" s="26">
        <v>60</v>
      </c>
      <c r="B102" s="94">
        <f t="shared" si="5"/>
        <v>0</v>
      </c>
    </row>
    <row r="103" spans="1:2" x14ac:dyDescent="0.25">
      <c r="A103" s="26">
        <v>63</v>
      </c>
      <c r="B103" s="94">
        <f t="shared" si="5"/>
        <v>0.23076923076923078</v>
      </c>
    </row>
    <row r="104" spans="1:2" x14ac:dyDescent="0.25">
      <c r="A104" s="26">
        <v>57</v>
      </c>
      <c r="B104" s="94">
        <f t="shared" si="5"/>
        <v>-0.23076923076923078</v>
      </c>
    </row>
    <row r="105" spans="1:2" x14ac:dyDescent="0.25">
      <c r="A105" s="26">
        <v>63</v>
      </c>
      <c r="B105" s="94">
        <f t="shared" si="5"/>
        <v>0.23076923076923078</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4">
    <tabColor rgb="FF0000FF"/>
  </sheetPr>
  <dimension ref="A1:P90"/>
  <sheetViews>
    <sheetView zoomScale="115" zoomScaleNormal="115" workbookViewId="0">
      <selection activeCell="B5" sqref="B5"/>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13" max="14" width="17" customWidth="1"/>
    <col min="15" max="15" width="20.42578125" customWidth="1"/>
    <col min="16" max="16" width="16.28515625" customWidth="1"/>
    <col min="17" max="17" width="10.7109375" bestFit="1" customWidth="1"/>
    <col min="238" max="238" width="34.7109375" customWidth="1"/>
    <col min="239" max="239" width="10.140625" customWidth="1"/>
    <col min="494" max="494" width="34.7109375" customWidth="1"/>
    <col min="495" max="495" width="10.140625" customWidth="1"/>
    <col min="750" max="750" width="34.7109375" customWidth="1"/>
    <col min="751" max="751" width="10.140625" customWidth="1"/>
    <col min="1006" max="1006" width="34.7109375" customWidth="1"/>
    <col min="1007" max="1007" width="10.140625" customWidth="1"/>
    <col min="1262" max="1262" width="34.7109375" customWidth="1"/>
    <col min="1263" max="1263" width="10.140625" customWidth="1"/>
    <col min="1518" max="1518" width="34.7109375" customWidth="1"/>
    <col min="1519" max="1519" width="10.140625" customWidth="1"/>
    <col min="1774" max="1774" width="34.7109375" customWidth="1"/>
    <col min="1775" max="1775" width="10.140625" customWidth="1"/>
    <col min="2030" max="2030" width="34.7109375" customWidth="1"/>
    <col min="2031" max="2031" width="10.140625" customWidth="1"/>
    <col min="2286" max="2286" width="34.7109375" customWidth="1"/>
    <col min="2287" max="2287" width="10.140625" customWidth="1"/>
    <col min="2542" max="2542" width="34.7109375" customWidth="1"/>
    <col min="2543" max="2543" width="10.140625" customWidth="1"/>
    <col min="2798" max="2798" width="34.7109375" customWidth="1"/>
    <col min="2799" max="2799" width="10.140625" customWidth="1"/>
    <col min="3054" max="3054" width="34.7109375" customWidth="1"/>
    <col min="3055" max="3055" width="10.140625" customWidth="1"/>
    <col min="3310" max="3310" width="34.7109375" customWidth="1"/>
    <col min="3311" max="3311" width="10.140625" customWidth="1"/>
    <col min="3566" max="3566" width="34.7109375" customWidth="1"/>
    <col min="3567" max="3567" width="10.140625" customWidth="1"/>
    <col min="3822" max="3822" width="34.7109375" customWidth="1"/>
    <col min="3823" max="3823" width="10.140625" customWidth="1"/>
    <col min="4078" max="4078" width="34.7109375" customWidth="1"/>
    <col min="4079" max="4079" width="10.140625" customWidth="1"/>
    <col min="4334" max="4334" width="34.7109375" customWidth="1"/>
    <col min="4335" max="4335" width="10.140625" customWidth="1"/>
    <col min="4590" max="4590" width="34.7109375" customWidth="1"/>
    <col min="4591" max="4591" width="10.140625" customWidth="1"/>
    <col min="4846" max="4846" width="34.7109375" customWidth="1"/>
    <col min="4847" max="4847" width="10.140625" customWidth="1"/>
    <col min="5102" max="5102" width="34.7109375" customWidth="1"/>
    <col min="5103" max="5103" width="10.140625" customWidth="1"/>
    <col min="5358" max="5358" width="34.7109375" customWidth="1"/>
    <col min="5359" max="5359" width="10.140625" customWidth="1"/>
    <col min="5614" max="5614" width="34.7109375" customWidth="1"/>
    <col min="5615" max="5615" width="10.140625" customWidth="1"/>
    <col min="5870" max="5870" width="34.7109375" customWidth="1"/>
    <col min="5871" max="5871" width="10.140625" customWidth="1"/>
    <col min="6126" max="6126" width="34.7109375" customWidth="1"/>
    <col min="6127" max="6127" width="10.140625" customWidth="1"/>
    <col min="6382" max="6382" width="34.7109375" customWidth="1"/>
    <col min="6383" max="6383" width="10.140625" customWidth="1"/>
    <col min="6638" max="6638" width="34.7109375" customWidth="1"/>
    <col min="6639" max="6639" width="10.140625" customWidth="1"/>
    <col min="6894" max="6894" width="34.7109375" customWidth="1"/>
    <col min="6895" max="6895" width="10.140625" customWidth="1"/>
    <col min="7150" max="7150" width="34.7109375" customWidth="1"/>
    <col min="7151" max="7151" width="10.140625" customWidth="1"/>
    <col min="7406" max="7406" width="34.7109375" customWidth="1"/>
    <col min="7407" max="7407" width="10.140625" customWidth="1"/>
    <col min="7662" max="7662" width="34.7109375" customWidth="1"/>
    <col min="7663" max="7663" width="10.140625" customWidth="1"/>
    <col min="7918" max="7918" width="34.7109375" customWidth="1"/>
    <col min="7919" max="7919" width="10.140625" customWidth="1"/>
    <col min="8174" max="8174" width="34.7109375" customWidth="1"/>
    <col min="8175" max="8175" width="10.140625" customWidth="1"/>
    <col min="8430" max="8430" width="34.7109375" customWidth="1"/>
    <col min="8431" max="8431" width="10.140625" customWidth="1"/>
    <col min="8686" max="8686" width="34.7109375" customWidth="1"/>
    <col min="8687" max="8687" width="10.140625" customWidth="1"/>
    <col min="8942" max="8942" width="34.7109375" customWidth="1"/>
    <col min="8943" max="8943" width="10.140625" customWidth="1"/>
    <col min="9198" max="9198" width="34.7109375" customWidth="1"/>
    <col min="9199" max="9199" width="10.140625" customWidth="1"/>
    <col min="9454" max="9454" width="34.7109375" customWidth="1"/>
    <col min="9455" max="9455" width="10.140625" customWidth="1"/>
    <col min="9710" max="9710" width="34.7109375" customWidth="1"/>
    <col min="9711" max="9711" width="10.140625" customWidth="1"/>
    <col min="9966" max="9966" width="34.7109375" customWidth="1"/>
    <col min="9967" max="9967" width="10.140625" customWidth="1"/>
    <col min="10222" max="10222" width="34.7109375" customWidth="1"/>
    <col min="10223" max="10223" width="10.140625" customWidth="1"/>
    <col min="10478" max="10478" width="34.7109375" customWidth="1"/>
    <col min="10479" max="10479" width="10.140625" customWidth="1"/>
    <col min="10734" max="10734" width="34.7109375" customWidth="1"/>
    <col min="10735" max="10735" width="10.140625" customWidth="1"/>
    <col min="10990" max="10990" width="34.7109375" customWidth="1"/>
    <col min="10991" max="10991" width="10.140625" customWidth="1"/>
    <col min="11246" max="11246" width="34.7109375" customWidth="1"/>
    <col min="11247" max="11247" width="10.140625" customWidth="1"/>
    <col min="11502" max="11502" width="34.7109375" customWidth="1"/>
    <col min="11503" max="11503" width="10.140625" customWidth="1"/>
    <col min="11758" max="11758" width="34.7109375" customWidth="1"/>
    <col min="11759" max="11759" width="10.140625" customWidth="1"/>
    <col min="12014" max="12014" width="34.7109375" customWidth="1"/>
    <col min="12015" max="12015" width="10.140625" customWidth="1"/>
    <col min="12270" max="12270" width="34.7109375" customWidth="1"/>
    <col min="12271" max="12271" width="10.140625" customWidth="1"/>
    <col min="12526" max="12526" width="34.7109375" customWidth="1"/>
    <col min="12527" max="12527" width="10.140625" customWidth="1"/>
    <col min="12782" max="12782" width="34.7109375" customWidth="1"/>
    <col min="12783" max="12783" width="10.140625" customWidth="1"/>
    <col min="13038" max="13038" width="34.7109375" customWidth="1"/>
    <col min="13039" max="13039" width="10.140625" customWidth="1"/>
    <col min="13294" max="13294" width="34.7109375" customWidth="1"/>
    <col min="13295" max="13295" width="10.140625" customWidth="1"/>
    <col min="13550" max="13550" width="34.7109375" customWidth="1"/>
    <col min="13551" max="13551" width="10.140625" customWidth="1"/>
    <col min="13806" max="13806" width="34.7109375" customWidth="1"/>
    <col min="13807" max="13807" width="10.140625" customWidth="1"/>
    <col min="14062" max="14062" width="34.7109375" customWidth="1"/>
    <col min="14063" max="14063" width="10.140625" customWidth="1"/>
    <col min="14318" max="14318" width="34.7109375" customWidth="1"/>
    <col min="14319" max="14319" width="10.140625" customWidth="1"/>
    <col min="14574" max="14574" width="34.7109375" customWidth="1"/>
    <col min="14575" max="14575" width="10.140625" customWidth="1"/>
    <col min="14830" max="14830" width="34.7109375" customWidth="1"/>
    <col min="14831" max="14831" width="10.140625" customWidth="1"/>
    <col min="15086" max="15086" width="34.7109375" customWidth="1"/>
    <col min="15087" max="15087" width="10.140625" customWidth="1"/>
    <col min="15342" max="15342" width="34.7109375" customWidth="1"/>
    <col min="15343" max="15343" width="10.140625" customWidth="1"/>
    <col min="15598" max="15598" width="34.7109375" customWidth="1"/>
    <col min="15599" max="15599" width="10.140625" customWidth="1"/>
    <col min="15854" max="15854" width="34.7109375" customWidth="1"/>
    <col min="15855" max="15855" width="10.140625" customWidth="1"/>
    <col min="16110" max="16110" width="34.7109375" customWidth="1"/>
    <col min="16111" max="16111" width="10.140625" customWidth="1"/>
  </cols>
  <sheetData>
    <row r="1" spans="1:16" x14ac:dyDescent="0.25">
      <c r="A1" s="61" t="s">
        <v>991</v>
      </c>
      <c r="B1" s="257">
        <f>ROUND(AVERAGE(A5:A90),0)</f>
        <v>71</v>
      </c>
      <c r="O1" s="61" t="s">
        <v>318</v>
      </c>
      <c r="P1" s="30">
        <f>MIN(A5:A90)</f>
        <v>61</v>
      </c>
    </row>
    <row r="2" spans="1:16" x14ac:dyDescent="0.25">
      <c r="A2" s="61" t="s">
        <v>992</v>
      </c>
      <c r="B2" s="257">
        <f>ROUND(_xlfn.STDEV.P(A5:A90),0)</f>
        <v>4</v>
      </c>
      <c r="M2" s="170"/>
      <c r="O2" s="61" t="s">
        <v>979</v>
      </c>
      <c r="P2" s="30">
        <f>MAX(A5:A90)</f>
        <v>83</v>
      </c>
    </row>
    <row r="3" spans="1:16" x14ac:dyDescent="0.25">
      <c r="M3" s="170"/>
    </row>
    <row r="4" spans="1:16" ht="30" x14ac:dyDescent="0.25">
      <c r="A4" s="61" t="s">
        <v>1004</v>
      </c>
      <c r="B4" s="61" t="s">
        <v>633</v>
      </c>
      <c r="O4" s="62" t="s">
        <v>9</v>
      </c>
      <c r="P4" s="62" t="s">
        <v>164</v>
      </c>
    </row>
    <row r="5" spans="1:16" x14ac:dyDescent="0.25">
      <c r="A5" s="256">
        <v>73</v>
      </c>
      <c r="B5" s="94"/>
      <c r="O5" s="26">
        <v>61</v>
      </c>
      <c r="P5" s="30">
        <f t="shared" ref="P5:P27" si="0">COUNTIFS(A$5:A$90,O5)</f>
        <v>1</v>
      </c>
    </row>
    <row r="6" spans="1:16" x14ac:dyDescent="0.25">
      <c r="A6" s="256">
        <v>68</v>
      </c>
      <c r="B6" s="94"/>
      <c r="O6" s="26">
        <v>62</v>
      </c>
      <c r="P6" s="30">
        <f t="shared" si="0"/>
        <v>0</v>
      </c>
    </row>
    <row r="7" spans="1:16" x14ac:dyDescent="0.25">
      <c r="A7" s="256">
        <v>77</v>
      </c>
      <c r="B7" s="94"/>
      <c r="O7" s="26">
        <v>63</v>
      </c>
      <c r="P7" s="30">
        <f t="shared" si="0"/>
        <v>1</v>
      </c>
    </row>
    <row r="8" spans="1:16" x14ac:dyDescent="0.25">
      <c r="A8" s="256">
        <v>75</v>
      </c>
      <c r="B8" s="94"/>
      <c r="O8" s="26">
        <v>64</v>
      </c>
      <c r="P8" s="30">
        <f t="shared" si="0"/>
        <v>2</v>
      </c>
    </row>
    <row r="9" spans="1:16" x14ac:dyDescent="0.25">
      <c r="A9" s="256">
        <v>61</v>
      </c>
      <c r="B9" s="94"/>
      <c r="O9" s="26">
        <v>65</v>
      </c>
      <c r="P9" s="30">
        <f t="shared" si="0"/>
        <v>3</v>
      </c>
    </row>
    <row r="10" spans="1:16" x14ac:dyDescent="0.25">
      <c r="A10" s="256">
        <v>78</v>
      </c>
      <c r="B10" s="94"/>
      <c r="O10" s="26">
        <v>66</v>
      </c>
      <c r="P10" s="30">
        <f t="shared" si="0"/>
        <v>3</v>
      </c>
    </row>
    <row r="11" spans="1:16" x14ac:dyDescent="0.25">
      <c r="A11" s="256">
        <v>69</v>
      </c>
      <c r="B11" s="94"/>
      <c r="O11" s="26">
        <v>67</v>
      </c>
      <c r="P11" s="30">
        <f t="shared" si="0"/>
        <v>5</v>
      </c>
    </row>
    <row r="12" spans="1:16" x14ac:dyDescent="0.25">
      <c r="A12" s="256">
        <v>70</v>
      </c>
      <c r="B12" s="94"/>
      <c r="O12" s="26">
        <v>68</v>
      </c>
      <c r="P12" s="30">
        <f t="shared" si="0"/>
        <v>5</v>
      </c>
    </row>
    <row r="13" spans="1:16" x14ac:dyDescent="0.25">
      <c r="A13" s="256">
        <v>75</v>
      </c>
      <c r="B13" s="94"/>
      <c r="O13" s="26">
        <v>69</v>
      </c>
      <c r="P13" s="30">
        <f t="shared" si="0"/>
        <v>6</v>
      </c>
    </row>
    <row r="14" spans="1:16" x14ac:dyDescent="0.25">
      <c r="A14" s="256">
        <v>73</v>
      </c>
      <c r="B14" s="94"/>
      <c r="O14" s="26">
        <v>70</v>
      </c>
      <c r="P14" s="30">
        <f t="shared" si="0"/>
        <v>8</v>
      </c>
    </row>
    <row r="15" spans="1:16" x14ac:dyDescent="0.25">
      <c r="A15" s="256">
        <v>71</v>
      </c>
      <c r="B15" s="94"/>
      <c r="O15" s="26">
        <v>71</v>
      </c>
      <c r="P15" s="30">
        <f t="shared" si="0"/>
        <v>10</v>
      </c>
    </row>
    <row r="16" spans="1:16" x14ac:dyDescent="0.25">
      <c r="A16" s="256">
        <v>70</v>
      </c>
      <c r="B16" s="94"/>
      <c r="O16" s="26">
        <v>72</v>
      </c>
      <c r="P16" s="30">
        <f t="shared" si="0"/>
        <v>9</v>
      </c>
    </row>
    <row r="17" spans="1:16" x14ac:dyDescent="0.25">
      <c r="A17" s="256">
        <v>72</v>
      </c>
      <c r="B17" s="94"/>
      <c r="O17" s="26">
        <v>73</v>
      </c>
      <c r="P17" s="30">
        <f t="shared" si="0"/>
        <v>8</v>
      </c>
    </row>
    <row r="18" spans="1:16" x14ac:dyDescent="0.25">
      <c r="A18" s="256">
        <v>69</v>
      </c>
      <c r="B18" s="94"/>
      <c r="E18" s="170"/>
      <c r="O18" s="26">
        <v>74</v>
      </c>
      <c r="P18" s="30">
        <f t="shared" si="0"/>
        <v>6</v>
      </c>
    </row>
    <row r="19" spans="1:16" x14ac:dyDescent="0.25">
      <c r="A19" s="256">
        <v>79</v>
      </c>
      <c r="B19" s="94"/>
      <c r="E19" s="170"/>
      <c r="O19" s="26">
        <v>75</v>
      </c>
      <c r="P19" s="30">
        <f t="shared" si="0"/>
        <v>6</v>
      </c>
    </row>
    <row r="20" spans="1:16" x14ac:dyDescent="0.25">
      <c r="A20" s="256">
        <v>71</v>
      </c>
      <c r="B20" s="94"/>
      <c r="E20" s="170"/>
      <c r="O20" s="26">
        <v>76</v>
      </c>
      <c r="P20" s="30">
        <f t="shared" si="0"/>
        <v>4</v>
      </c>
    </row>
    <row r="21" spans="1:16" x14ac:dyDescent="0.25">
      <c r="A21" s="256">
        <v>67</v>
      </c>
      <c r="B21" s="94"/>
      <c r="E21" s="170"/>
      <c r="O21" s="26">
        <v>77</v>
      </c>
      <c r="P21" s="30">
        <f t="shared" si="0"/>
        <v>4</v>
      </c>
    </row>
    <row r="22" spans="1:16" x14ac:dyDescent="0.25">
      <c r="A22" s="256">
        <v>73</v>
      </c>
      <c r="B22" s="94"/>
      <c r="E22" s="170"/>
      <c r="O22" s="26">
        <v>78</v>
      </c>
      <c r="P22" s="30">
        <f t="shared" si="0"/>
        <v>1</v>
      </c>
    </row>
    <row r="23" spans="1:16" x14ac:dyDescent="0.25">
      <c r="A23" s="256">
        <v>63</v>
      </c>
      <c r="B23" s="94"/>
      <c r="E23" s="170"/>
      <c r="O23" s="26">
        <v>79</v>
      </c>
      <c r="P23" s="30">
        <f t="shared" si="0"/>
        <v>2</v>
      </c>
    </row>
    <row r="24" spans="1:16" x14ac:dyDescent="0.25">
      <c r="A24" s="256">
        <v>74</v>
      </c>
      <c r="B24" s="94"/>
      <c r="E24" s="170"/>
      <c r="O24" s="26">
        <v>80</v>
      </c>
      <c r="P24" s="30">
        <f t="shared" si="0"/>
        <v>0</v>
      </c>
    </row>
    <row r="25" spans="1:16" x14ac:dyDescent="0.25">
      <c r="A25" s="256">
        <v>76</v>
      </c>
      <c r="B25" s="94"/>
      <c r="O25" s="26">
        <v>81</v>
      </c>
      <c r="P25" s="30">
        <f t="shared" si="0"/>
        <v>1</v>
      </c>
    </row>
    <row r="26" spans="1:16" x14ac:dyDescent="0.25">
      <c r="A26" s="256">
        <v>65</v>
      </c>
      <c r="B26" s="94"/>
      <c r="O26" s="26">
        <v>82</v>
      </c>
      <c r="P26" s="30">
        <f t="shared" si="0"/>
        <v>0</v>
      </c>
    </row>
    <row r="27" spans="1:16" x14ac:dyDescent="0.25">
      <c r="A27" s="256">
        <v>75</v>
      </c>
      <c r="B27" s="94"/>
      <c r="O27" s="26">
        <v>83</v>
      </c>
      <c r="P27" s="30">
        <f t="shared" si="0"/>
        <v>1</v>
      </c>
    </row>
    <row r="28" spans="1:16" x14ac:dyDescent="0.25">
      <c r="A28" s="256">
        <v>72</v>
      </c>
      <c r="B28" s="94"/>
    </row>
    <row r="29" spans="1:16" x14ac:dyDescent="0.25">
      <c r="A29" s="256">
        <v>76</v>
      </c>
      <c r="B29" s="94"/>
    </row>
    <row r="30" spans="1:16" x14ac:dyDescent="0.25">
      <c r="A30" s="256">
        <v>71</v>
      </c>
      <c r="B30" s="94"/>
    </row>
    <row r="31" spans="1:16" x14ac:dyDescent="0.25">
      <c r="A31" s="256">
        <v>70</v>
      </c>
      <c r="B31" s="94"/>
    </row>
    <row r="32" spans="1:16" x14ac:dyDescent="0.25">
      <c r="A32" s="256">
        <v>64</v>
      </c>
      <c r="B32" s="94"/>
    </row>
    <row r="33" spans="1:2" x14ac:dyDescent="0.25">
      <c r="A33" s="256">
        <v>74</v>
      </c>
      <c r="B33" s="94"/>
    </row>
    <row r="34" spans="1:2" x14ac:dyDescent="0.25">
      <c r="A34" s="256">
        <v>83</v>
      </c>
      <c r="B34" s="94"/>
    </row>
    <row r="35" spans="1:2" x14ac:dyDescent="0.25">
      <c r="A35" s="256">
        <v>65</v>
      </c>
      <c r="B35" s="94"/>
    </row>
    <row r="36" spans="1:2" x14ac:dyDescent="0.25">
      <c r="A36" s="256">
        <v>74</v>
      </c>
      <c r="B36" s="94"/>
    </row>
    <row r="37" spans="1:2" x14ac:dyDescent="0.25">
      <c r="A37" s="256">
        <v>67</v>
      </c>
      <c r="B37" s="94"/>
    </row>
    <row r="38" spans="1:2" x14ac:dyDescent="0.25">
      <c r="A38" s="256">
        <v>72</v>
      </c>
      <c r="B38" s="94"/>
    </row>
    <row r="39" spans="1:2" x14ac:dyDescent="0.25">
      <c r="A39" s="256">
        <v>71</v>
      </c>
      <c r="B39" s="94"/>
    </row>
    <row r="40" spans="1:2" x14ac:dyDescent="0.25">
      <c r="A40" s="256">
        <v>68</v>
      </c>
      <c r="B40" s="94"/>
    </row>
    <row r="41" spans="1:2" x14ac:dyDescent="0.25">
      <c r="A41" s="256">
        <v>74</v>
      </c>
      <c r="B41" s="94"/>
    </row>
    <row r="42" spans="1:2" x14ac:dyDescent="0.25">
      <c r="A42" s="256">
        <v>73</v>
      </c>
      <c r="B42" s="94"/>
    </row>
    <row r="43" spans="1:2" x14ac:dyDescent="0.25">
      <c r="A43" s="256">
        <v>70</v>
      </c>
      <c r="B43" s="94"/>
    </row>
    <row r="44" spans="1:2" x14ac:dyDescent="0.25">
      <c r="A44" s="256">
        <v>74</v>
      </c>
      <c r="B44" s="94"/>
    </row>
    <row r="45" spans="1:2" x14ac:dyDescent="0.25">
      <c r="A45" s="256">
        <v>76</v>
      </c>
      <c r="B45" s="94"/>
    </row>
    <row r="46" spans="1:2" x14ac:dyDescent="0.25">
      <c r="A46" s="256">
        <v>69</v>
      </c>
      <c r="B46" s="94"/>
    </row>
    <row r="47" spans="1:2" x14ac:dyDescent="0.25">
      <c r="A47" s="256">
        <v>71</v>
      </c>
      <c r="B47" s="94"/>
    </row>
    <row r="48" spans="1:2" x14ac:dyDescent="0.25">
      <c r="A48" s="256">
        <v>72</v>
      </c>
      <c r="B48" s="94"/>
    </row>
    <row r="49" spans="1:2" x14ac:dyDescent="0.25">
      <c r="A49" s="256">
        <v>77</v>
      </c>
      <c r="B49" s="94"/>
    </row>
    <row r="50" spans="1:2" x14ac:dyDescent="0.25">
      <c r="A50" s="256">
        <v>66</v>
      </c>
      <c r="B50" s="94"/>
    </row>
    <row r="51" spans="1:2" x14ac:dyDescent="0.25">
      <c r="A51" s="256">
        <v>77</v>
      </c>
      <c r="B51" s="94"/>
    </row>
    <row r="52" spans="1:2" x14ac:dyDescent="0.25">
      <c r="A52" s="256">
        <v>70</v>
      </c>
      <c r="B52" s="94"/>
    </row>
    <row r="53" spans="1:2" x14ac:dyDescent="0.25">
      <c r="A53" s="256">
        <v>64</v>
      </c>
      <c r="B53" s="94"/>
    </row>
    <row r="54" spans="1:2" x14ac:dyDescent="0.25">
      <c r="A54" s="256">
        <v>66</v>
      </c>
      <c r="B54" s="94"/>
    </row>
    <row r="55" spans="1:2" x14ac:dyDescent="0.25">
      <c r="A55" s="256">
        <v>70</v>
      </c>
      <c r="B55" s="94"/>
    </row>
    <row r="56" spans="1:2" x14ac:dyDescent="0.25">
      <c r="A56" s="256">
        <v>71</v>
      </c>
      <c r="B56" s="94"/>
    </row>
    <row r="57" spans="1:2" x14ac:dyDescent="0.25">
      <c r="A57" s="256">
        <v>70</v>
      </c>
      <c r="B57" s="94"/>
    </row>
    <row r="58" spans="1:2" x14ac:dyDescent="0.25">
      <c r="A58" s="256">
        <v>72</v>
      </c>
      <c r="B58" s="94"/>
    </row>
    <row r="59" spans="1:2" x14ac:dyDescent="0.25">
      <c r="A59" s="256">
        <v>68</v>
      </c>
      <c r="B59" s="94"/>
    </row>
    <row r="60" spans="1:2" x14ac:dyDescent="0.25">
      <c r="A60" s="256">
        <v>71</v>
      </c>
      <c r="B60" s="94"/>
    </row>
    <row r="61" spans="1:2" x14ac:dyDescent="0.25">
      <c r="A61" s="256">
        <v>70</v>
      </c>
      <c r="B61" s="94"/>
    </row>
    <row r="62" spans="1:2" x14ac:dyDescent="0.25">
      <c r="A62" s="256">
        <v>75</v>
      </c>
      <c r="B62" s="94"/>
    </row>
    <row r="63" spans="1:2" x14ac:dyDescent="0.25">
      <c r="A63" s="256">
        <v>67</v>
      </c>
      <c r="B63" s="94"/>
    </row>
    <row r="64" spans="1:2" x14ac:dyDescent="0.25">
      <c r="A64" s="256">
        <v>69</v>
      </c>
      <c r="B64" s="94"/>
    </row>
    <row r="65" spans="1:2" x14ac:dyDescent="0.25">
      <c r="A65" s="256">
        <v>75</v>
      </c>
      <c r="B65" s="94"/>
    </row>
    <row r="66" spans="1:2" x14ac:dyDescent="0.25">
      <c r="A66" s="256">
        <v>67</v>
      </c>
      <c r="B66" s="94"/>
    </row>
    <row r="67" spans="1:2" x14ac:dyDescent="0.25">
      <c r="A67" s="256">
        <v>73</v>
      </c>
      <c r="B67" s="94"/>
    </row>
    <row r="68" spans="1:2" x14ac:dyDescent="0.25">
      <c r="A68" s="256">
        <v>72</v>
      </c>
      <c r="B68" s="94"/>
    </row>
    <row r="69" spans="1:2" x14ac:dyDescent="0.25">
      <c r="A69" s="256">
        <v>79</v>
      </c>
      <c r="B69" s="94"/>
    </row>
    <row r="70" spans="1:2" x14ac:dyDescent="0.25">
      <c r="A70" s="256">
        <v>71</v>
      </c>
      <c r="B70" s="94"/>
    </row>
    <row r="71" spans="1:2" x14ac:dyDescent="0.25">
      <c r="A71" s="256">
        <v>74</v>
      </c>
      <c r="B71" s="94"/>
    </row>
    <row r="72" spans="1:2" x14ac:dyDescent="0.25">
      <c r="A72" s="256">
        <v>68</v>
      </c>
      <c r="B72" s="94"/>
    </row>
    <row r="73" spans="1:2" x14ac:dyDescent="0.25">
      <c r="A73" s="256">
        <v>72</v>
      </c>
      <c r="B73" s="94"/>
    </row>
    <row r="74" spans="1:2" x14ac:dyDescent="0.25">
      <c r="A74" s="256">
        <v>72</v>
      </c>
      <c r="B74" s="94"/>
    </row>
    <row r="75" spans="1:2" x14ac:dyDescent="0.25">
      <c r="A75" s="256">
        <v>67</v>
      </c>
      <c r="B75" s="94"/>
    </row>
    <row r="76" spans="1:2" x14ac:dyDescent="0.25">
      <c r="A76" s="256">
        <v>71</v>
      </c>
      <c r="B76" s="94"/>
    </row>
    <row r="77" spans="1:2" x14ac:dyDescent="0.25">
      <c r="A77" s="256">
        <v>76</v>
      </c>
      <c r="B77" s="94"/>
    </row>
    <row r="78" spans="1:2" x14ac:dyDescent="0.25">
      <c r="A78" s="256">
        <v>73</v>
      </c>
      <c r="B78" s="94"/>
    </row>
    <row r="79" spans="1:2" x14ac:dyDescent="0.25">
      <c r="A79" s="256">
        <v>69</v>
      </c>
      <c r="B79" s="94"/>
    </row>
    <row r="80" spans="1:2" x14ac:dyDescent="0.25">
      <c r="A80" s="256">
        <v>71</v>
      </c>
      <c r="B80" s="94"/>
    </row>
    <row r="81" spans="1:2" x14ac:dyDescent="0.25">
      <c r="A81" s="256">
        <v>73</v>
      </c>
      <c r="B81" s="94"/>
    </row>
    <row r="82" spans="1:2" x14ac:dyDescent="0.25">
      <c r="A82" s="256">
        <v>68</v>
      </c>
      <c r="B82" s="94"/>
    </row>
    <row r="83" spans="1:2" x14ac:dyDescent="0.25">
      <c r="A83" s="256">
        <v>73</v>
      </c>
      <c r="B83" s="94"/>
    </row>
    <row r="84" spans="1:2" x14ac:dyDescent="0.25">
      <c r="A84" s="256">
        <v>65</v>
      </c>
      <c r="B84" s="94"/>
    </row>
    <row r="85" spans="1:2" x14ac:dyDescent="0.25">
      <c r="A85" s="256">
        <v>69</v>
      </c>
      <c r="B85" s="94"/>
    </row>
    <row r="86" spans="1:2" x14ac:dyDescent="0.25">
      <c r="A86" s="256">
        <v>72</v>
      </c>
      <c r="B86" s="94"/>
    </row>
    <row r="87" spans="1:2" x14ac:dyDescent="0.25">
      <c r="A87" s="256">
        <v>66</v>
      </c>
      <c r="B87" s="94"/>
    </row>
    <row r="88" spans="1:2" x14ac:dyDescent="0.25">
      <c r="A88" s="256">
        <v>75</v>
      </c>
      <c r="B88" s="94"/>
    </row>
    <row r="89" spans="1:2" x14ac:dyDescent="0.25">
      <c r="A89" s="256">
        <v>81</v>
      </c>
      <c r="B89" s="94"/>
    </row>
    <row r="90" spans="1:2" x14ac:dyDescent="0.25">
      <c r="A90" s="256">
        <v>77</v>
      </c>
      <c r="B90" s="94"/>
    </row>
  </sheetData>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tabColor rgb="FFFF0000"/>
  </sheetPr>
  <dimension ref="A1:P90"/>
  <sheetViews>
    <sheetView zoomScale="115" zoomScaleNormal="115" workbookViewId="0">
      <selection activeCell="B20" sqref="B20"/>
    </sheetView>
  </sheetViews>
  <sheetFormatPr defaultRowHeight="15" x14ac:dyDescent="0.25"/>
  <cols>
    <col min="1" max="1" width="20.42578125" customWidth="1"/>
    <col min="2" max="2" width="16.28515625" customWidth="1"/>
    <col min="3" max="3" width="4.7109375" customWidth="1"/>
    <col min="4" max="4" width="6.42578125" bestFit="1" customWidth="1"/>
    <col min="5" max="5" width="7.5703125" bestFit="1" customWidth="1"/>
    <col min="6" max="6" width="14" bestFit="1" customWidth="1"/>
    <col min="7" max="7" width="10.7109375" bestFit="1" customWidth="1"/>
    <col min="8" max="8" width="16.7109375" bestFit="1" customWidth="1"/>
    <col min="13" max="14" width="17" customWidth="1"/>
    <col min="15" max="15" width="20.42578125" customWidth="1"/>
    <col min="16" max="16" width="16.28515625" customWidth="1"/>
    <col min="17" max="17" width="10.7109375" bestFit="1" customWidth="1"/>
    <col min="238" max="238" width="34.7109375" customWidth="1"/>
    <col min="239" max="239" width="10.140625" customWidth="1"/>
    <col min="494" max="494" width="34.7109375" customWidth="1"/>
    <col min="495" max="495" width="10.140625" customWidth="1"/>
    <col min="750" max="750" width="34.7109375" customWidth="1"/>
    <col min="751" max="751" width="10.140625" customWidth="1"/>
    <col min="1006" max="1006" width="34.7109375" customWidth="1"/>
    <col min="1007" max="1007" width="10.140625" customWidth="1"/>
    <col min="1262" max="1262" width="34.7109375" customWidth="1"/>
    <col min="1263" max="1263" width="10.140625" customWidth="1"/>
    <col min="1518" max="1518" width="34.7109375" customWidth="1"/>
    <col min="1519" max="1519" width="10.140625" customWidth="1"/>
    <col min="1774" max="1774" width="34.7109375" customWidth="1"/>
    <col min="1775" max="1775" width="10.140625" customWidth="1"/>
    <col min="2030" max="2030" width="34.7109375" customWidth="1"/>
    <col min="2031" max="2031" width="10.140625" customWidth="1"/>
    <col min="2286" max="2286" width="34.7109375" customWidth="1"/>
    <col min="2287" max="2287" width="10.140625" customWidth="1"/>
    <col min="2542" max="2542" width="34.7109375" customWidth="1"/>
    <col min="2543" max="2543" width="10.140625" customWidth="1"/>
    <col min="2798" max="2798" width="34.7109375" customWidth="1"/>
    <col min="2799" max="2799" width="10.140625" customWidth="1"/>
    <col min="3054" max="3054" width="34.7109375" customWidth="1"/>
    <col min="3055" max="3055" width="10.140625" customWidth="1"/>
    <col min="3310" max="3310" width="34.7109375" customWidth="1"/>
    <col min="3311" max="3311" width="10.140625" customWidth="1"/>
    <col min="3566" max="3566" width="34.7109375" customWidth="1"/>
    <col min="3567" max="3567" width="10.140625" customWidth="1"/>
    <col min="3822" max="3822" width="34.7109375" customWidth="1"/>
    <col min="3823" max="3823" width="10.140625" customWidth="1"/>
    <col min="4078" max="4078" width="34.7109375" customWidth="1"/>
    <col min="4079" max="4079" width="10.140625" customWidth="1"/>
    <col min="4334" max="4334" width="34.7109375" customWidth="1"/>
    <col min="4335" max="4335" width="10.140625" customWidth="1"/>
    <col min="4590" max="4590" width="34.7109375" customWidth="1"/>
    <col min="4591" max="4591" width="10.140625" customWidth="1"/>
    <col min="4846" max="4846" width="34.7109375" customWidth="1"/>
    <col min="4847" max="4847" width="10.140625" customWidth="1"/>
    <col min="5102" max="5102" width="34.7109375" customWidth="1"/>
    <col min="5103" max="5103" width="10.140625" customWidth="1"/>
    <col min="5358" max="5358" width="34.7109375" customWidth="1"/>
    <col min="5359" max="5359" width="10.140625" customWidth="1"/>
    <col min="5614" max="5614" width="34.7109375" customWidth="1"/>
    <col min="5615" max="5615" width="10.140625" customWidth="1"/>
    <col min="5870" max="5870" width="34.7109375" customWidth="1"/>
    <col min="5871" max="5871" width="10.140625" customWidth="1"/>
    <col min="6126" max="6126" width="34.7109375" customWidth="1"/>
    <col min="6127" max="6127" width="10.140625" customWidth="1"/>
    <col min="6382" max="6382" width="34.7109375" customWidth="1"/>
    <col min="6383" max="6383" width="10.140625" customWidth="1"/>
    <col min="6638" max="6638" width="34.7109375" customWidth="1"/>
    <col min="6639" max="6639" width="10.140625" customWidth="1"/>
    <col min="6894" max="6894" width="34.7109375" customWidth="1"/>
    <col min="6895" max="6895" width="10.140625" customWidth="1"/>
    <col min="7150" max="7150" width="34.7109375" customWidth="1"/>
    <col min="7151" max="7151" width="10.140625" customWidth="1"/>
    <col min="7406" max="7406" width="34.7109375" customWidth="1"/>
    <col min="7407" max="7407" width="10.140625" customWidth="1"/>
    <col min="7662" max="7662" width="34.7109375" customWidth="1"/>
    <col min="7663" max="7663" width="10.140625" customWidth="1"/>
    <col min="7918" max="7918" width="34.7109375" customWidth="1"/>
    <col min="7919" max="7919" width="10.140625" customWidth="1"/>
    <col min="8174" max="8174" width="34.7109375" customWidth="1"/>
    <col min="8175" max="8175" width="10.140625" customWidth="1"/>
    <col min="8430" max="8430" width="34.7109375" customWidth="1"/>
    <col min="8431" max="8431" width="10.140625" customWidth="1"/>
    <col min="8686" max="8686" width="34.7109375" customWidth="1"/>
    <col min="8687" max="8687" width="10.140625" customWidth="1"/>
    <col min="8942" max="8942" width="34.7109375" customWidth="1"/>
    <col min="8943" max="8943" width="10.140625" customWidth="1"/>
    <col min="9198" max="9198" width="34.7109375" customWidth="1"/>
    <col min="9199" max="9199" width="10.140625" customWidth="1"/>
    <col min="9454" max="9454" width="34.7109375" customWidth="1"/>
    <col min="9455" max="9455" width="10.140625" customWidth="1"/>
    <col min="9710" max="9710" width="34.7109375" customWidth="1"/>
    <col min="9711" max="9711" width="10.140625" customWidth="1"/>
    <col min="9966" max="9966" width="34.7109375" customWidth="1"/>
    <col min="9967" max="9967" width="10.140625" customWidth="1"/>
    <col min="10222" max="10222" width="34.7109375" customWidth="1"/>
    <col min="10223" max="10223" width="10.140625" customWidth="1"/>
    <col min="10478" max="10478" width="34.7109375" customWidth="1"/>
    <col min="10479" max="10479" width="10.140625" customWidth="1"/>
    <col min="10734" max="10734" width="34.7109375" customWidth="1"/>
    <col min="10735" max="10735" width="10.140625" customWidth="1"/>
    <col min="10990" max="10990" width="34.7109375" customWidth="1"/>
    <col min="10991" max="10991" width="10.140625" customWidth="1"/>
    <col min="11246" max="11246" width="34.7109375" customWidth="1"/>
    <col min="11247" max="11247" width="10.140625" customWidth="1"/>
    <col min="11502" max="11502" width="34.7109375" customWidth="1"/>
    <col min="11503" max="11503" width="10.140625" customWidth="1"/>
    <col min="11758" max="11758" width="34.7109375" customWidth="1"/>
    <col min="11759" max="11759" width="10.140625" customWidth="1"/>
    <col min="12014" max="12014" width="34.7109375" customWidth="1"/>
    <col min="12015" max="12015" width="10.140625" customWidth="1"/>
    <col min="12270" max="12270" width="34.7109375" customWidth="1"/>
    <col min="12271" max="12271" width="10.140625" customWidth="1"/>
    <col min="12526" max="12526" width="34.7109375" customWidth="1"/>
    <col min="12527" max="12527" width="10.140625" customWidth="1"/>
    <col min="12782" max="12782" width="34.7109375" customWidth="1"/>
    <col min="12783" max="12783" width="10.140625" customWidth="1"/>
    <col min="13038" max="13038" width="34.7109375" customWidth="1"/>
    <col min="13039" max="13039" width="10.140625" customWidth="1"/>
    <col min="13294" max="13294" width="34.7109375" customWidth="1"/>
    <col min="13295" max="13295" width="10.140625" customWidth="1"/>
    <col min="13550" max="13550" width="34.7109375" customWidth="1"/>
    <col min="13551" max="13551" width="10.140625" customWidth="1"/>
    <col min="13806" max="13806" width="34.7109375" customWidth="1"/>
    <col min="13807" max="13807" width="10.140625" customWidth="1"/>
    <col min="14062" max="14062" width="34.7109375" customWidth="1"/>
    <col min="14063" max="14063" width="10.140625" customWidth="1"/>
    <col min="14318" max="14318" width="34.7109375" customWidth="1"/>
    <col min="14319" max="14319" width="10.140625" customWidth="1"/>
    <col min="14574" max="14574" width="34.7109375" customWidth="1"/>
    <col min="14575" max="14575" width="10.140625" customWidth="1"/>
    <col min="14830" max="14830" width="34.7109375" customWidth="1"/>
    <col min="14831" max="14831" width="10.140625" customWidth="1"/>
    <col min="15086" max="15086" width="34.7109375" customWidth="1"/>
    <col min="15087" max="15087" width="10.140625" customWidth="1"/>
    <col min="15342" max="15342" width="34.7109375" customWidth="1"/>
    <col min="15343" max="15343" width="10.140625" customWidth="1"/>
    <col min="15598" max="15598" width="34.7109375" customWidth="1"/>
    <col min="15599" max="15599" width="10.140625" customWidth="1"/>
    <col min="15854" max="15854" width="34.7109375" customWidth="1"/>
    <col min="15855" max="15855" width="10.140625" customWidth="1"/>
    <col min="16110" max="16110" width="34.7109375" customWidth="1"/>
    <col min="16111" max="16111" width="10.140625" customWidth="1"/>
  </cols>
  <sheetData>
    <row r="1" spans="1:16" x14ac:dyDescent="0.25">
      <c r="A1" s="61" t="s">
        <v>991</v>
      </c>
      <c r="B1" s="257">
        <f>ROUND(AVERAGE(A5:A90),0)</f>
        <v>71</v>
      </c>
      <c r="O1" s="61" t="s">
        <v>318</v>
      </c>
      <c r="P1" s="30">
        <f>MIN(A5:A90)</f>
        <v>61</v>
      </c>
    </row>
    <row r="2" spans="1:16" x14ac:dyDescent="0.25">
      <c r="A2" s="61" t="s">
        <v>992</v>
      </c>
      <c r="B2" s="257">
        <f>ROUND(_xlfn.STDEV.P(A5:A90),0)</f>
        <v>4</v>
      </c>
      <c r="M2" s="170"/>
      <c r="O2" s="61" t="s">
        <v>979</v>
      </c>
      <c r="P2" s="30">
        <f>MAX(A5:A90)</f>
        <v>83</v>
      </c>
    </row>
    <row r="3" spans="1:16" x14ac:dyDescent="0.25">
      <c r="M3" s="170"/>
    </row>
    <row r="4" spans="1:16" ht="30" x14ac:dyDescent="0.25">
      <c r="A4" s="61" t="s">
        <v>1004</v>
      </c>
      <c r="B4" s="61" t="s">
        <v>633</v>
      </c>
      <c r="O4" s="62" t="s">
        <v>9</v>
      </c>
      <c r="P4" s="62" t="s">
        <v>164</v>
      </c>
    </row>
    <row r="5" spans="1:16" x14ac:dyDescent="0.25">
      <c r="A5" s="256">
        <v>73</v>
      </c>
      <c r="B5" s="94">
        <f>(A5-$B$1)/$B$2</f>
        <v>0.5</v>
      </c>
      <c r="O5" s="26">
        <v>61</v>
      </c>
      <c r="P5" s="30">
        <f t="shared" ref="P5:P27" si="0">COUNTIFS(A$5:A$90,O5)</f>
        <v>1</v>
      </c>
    </row>
    <row r="6" spans="1:16" x14ac:dyDescent="0.25">
      <c r="A6" s="256">
        <v>68</v>
      </c>
      <c r="B6" s="94">
        <f t="shared" ref="B6:B69" si="1">(A6-$B$1)/$B$2</f>
        <v>-0.75</v>
      </c>
      <c r="O6" s="26">
        <v>62</v>
      </c>
      <c r="P6" s="30">
        <f t="shared" si="0"/>
        <v>0</v>
      </c>
    </row>
    <row r="7" spans="1:16" x14ac:dyDescent="0.25">
      <c r="A7" s="256">
        <v>77</v>
      </c>
      <c r="B7" s="94">
        <f t="shared" si="1"/>
        <v>1.5</v>
      </c>
      <c r="O7" s="26">
        <v>63</v>
      </c>
      <c r="P7" s="30">
        <f t="shared" si="0"/>
        <v>1</v>
      </c>
    </row>
    <row r="8" spans="1:16" x14ac:dyDescent="0.25">
      <c r="A8" s="256">
        <v>75</v>
      </c>
      <c r="B8" s="94">
        <f t="shared" si="1"/>
        <v>1</v>
      </c>
      <c r="O8" s="26">
        <v>64</v>
      </c>
      <c r="P8" s="30">
        <f t="shared" si="0"/>
        <v>2</v>
      </c>
    </row>
    <row r="9" spans="1:16" x14ac:dyDescent="0.25">
      <c r="A9" s="256">
        <v>61</v>
      </c>
      <c r="B9" s="94">
        <f t="shared" si="1"/>
        <v>-2.5</v>
      </c>
      <c r="O9" s="26">
        <v>65</v>
      </c>
      <c r="P9" s="30">
        <f t="shared" si="0"/>
        <v>3</v>
      </c>
    </row>
    <row r="10" spans="1:16" x14ac:dyDescent="0.25">
      <c r="A10" s="256">
        <v>78</v>
      </c>
      <c r="B10" s="94">
        <f t="shared" si="1"/>
        <v>1.75</v>
      </c>
      <c r="O10" s="26">
        <v>66</v>
      </c>
      <c r="P10" s="30">
        <f t="shared" si="0"/>
        <v>3</v>
      </c>
    </row>
    <row r="11" spans="1:16" x14ac:dyDescent="0.25">
      <c r="A11" s="256">
        <v>69</v>
      </c>
      <c r="B11" s="94">
        <f t="shared" si="1"/>
        <v>-0.5</v>
      </c>
      <c r="O11" s="26">
        <v>67</v>
      </c>
      <c r="P11" s="30">
        <f t="shared" si="0"/>
        <v>5</v>
      </c>
    </row>
    <row r="12" spans="1:16" x14ac:dyDescent="0.25">
      <c r="A12" s="256">
        <v>70</v>
      </c>
      <c r="B12" s="94">
        <f t="shared" si="1"/>
        <v>-0.25</v>
      </c>
      <c r="O12" s="26">
        <v>68</v>
      </c>
      <c r="P12" s="30">
        <f t="shared" si="0"/>
        <v>5</v>
      </c>
    </row>
    <row r="13" spans="1:16" x14ac:dyDescent="0.25">
      <c r="A13" s="256">
        <v>75</v>
      </c>
      <c r="B13" s="94">
        <f t="shared" si="1"/>
        <v>1</v>
      </c>
      <c r="O13" s="26">
        <v>69</v>
      </c>
      <c r="P13" s="30">
        <f t="shared" si="0"/>
        <v>6</v>
      </c>
    </row>
    <row r="14" spans="1:16" x14ac:dyDescent="0.25">
      <c r="A14" s="256">
        <v>73</v>
      </c>
      <c r="B14" s="94">
        <f t="shared" si="1"/>
        <v>0.5</v>
      </c>
      <c r="O14" s="26">
        <v>70</v>
      </c>
      <c r="P14" s="30">
        <f t="shared" si="0"/>
        <v>8</v>
      </c>
    </row>
    <row r="15" spans="1:16" x14ac:dyDescent="0.25">
      <c r="A15" s="256">
        <v>71</v>
      </c>
      <c r="B15" s="94">
        <f t="shared" si="1"/>
        <v>0</v>
      </c>
      <c r="O15" s="26">
        <v>71</v>
      </c>
      <c r="P15" s="30">
        <f t="shared" si="0"/>
        <v>10</v>
      </c>
    </row>
    <row r="16" spans="1:16" x14ac:dyDescent="0.25">
      <c r="A16" s="256">
        <v>70</v>
      </c>
      <c r="B16" s="94">
        <f t="shared" si="1"/>
        <v>-0.25</v>
      </c>
      <c r="O16" s="26">
        <v>72</v>
      </c>
      <c r="P16" s="30">
        <f t="shared" si="0"/>
        <v>9</v>
      </c>
    </row>
    <row r="17" spans="1:16" x14ac:dyDescent="0.25">
      <c r="A17" s="256">
        <v>72</v>
      </c>
      <c r="B17" s="94">
        <f t="shared" si="1"/>
        <v>0.25</v>
      </c>
      <c r="O17" s="26">
        <v>73</v>
      </c>
      <c r="P17" s="30">
        <f t="shared" si="0"/>
        <v>8</v>
      </c>
    </row>
    <row r="18" spans="1:16" x14ac:dyDescent="0.25">
      <c r="A18" s="256">
        <v>69</v>
      </c>
      <c r="B18" s="94">
        <f t="shared" si="1"/>
        <v>-0.5</v>
      </c>
      <c r="E18" s="170"/>
      <c r="O18" s="26">
        <v>74</v>
      </c>
      <c r="P18" s="30">
        <f t="shared" si="0"/>
        <v>6</v>
      </c>
    </row>
    <row r="19" spans="1:16" x14ac:dyDescent="0.25">
      <c r="A19" s="256">
        <v>79</v>
      </c>
      <c r="B19" s="94">
        <f t="shared" si="1"/>
        <v>2</v>
      </c>
      <c r="E19" s="170"/>
      <c r="O19" s="26">
        <v>75</v>
      </c>
      <c r="P19" s="30">
        <f t="shared" si="0"/>
        <v>6</v>
      </c>
    </row>
    <row r="20" spans="1:16" x14ac:dyDescent="0.25">
      <c r="A20" s="256">
        <v>71</v>
      </c>
      <c r="B20" s="94">
        <f t="shared" si="1"/>
        <v>0</v>
      </c>
      <c r="E20" s="170"/>
      <c r="O20" s="26">
        <v>76</v>
      </c>
      <c r="P20" s="30">
        <f t="shared" si="0"/>
        <v>4</v>
      </c>
    </row>
    <row r="21" spans="1:16" x14ac:dyDescent="0.25">
      <c r="A21" s="256">
        <v>67</v>
      </c>
      <c r="B21" s="94">
        <f t="shared" si="1"/>
        <v>-1</v>
      </c>
      <c r="E21" s="170"/>
      <c r="O21" s="26">
        <v>77</v>
      </c>
      <c r="P21" s="30">
        <f t="shared" si="0"/>
        <v>4</v>
      </c>
    </row>
    <row r="22" spans="1:16" x14ac:dyDescent="0.25">
      <c r="A22" s="256">
        <v>73</v>
      </c>
      <c r="B22" s="94">
        <f t="shared" si="1"/>
        <v>0.5</v>
      </c>
      <c r="E22" s="170"/>
      <c r="O22" s="26">
        <v>78</v>
      </c>
      <c r="P22" s="30">
        <f t="shared" si="0"/>
        <v>1</v>
      </c>
    </row>
    <row r="23" spans="1:16" x14ac:dyDescent="0.25">
      <c r="A23" s="256">
        <v>63</v>
      </c>
      <c r="B23" s="94">
        <f t="shared" si="1"/>
        <v>-2</v>
      </c>
      <c r="E23" s="170"/>
      <c r="O23" s="26">
        <v>79</v>
      </c>
      <c r="P23" s="30">
        <f t="shared" si="0"/>
        <v>2</v>
      </c>
    </row>
    <row r="24" spans="1:16" x14ac:dyDescent="0.25">
      <c r="A24" s="256">
        <v>74</v>
      </c>
      <c r="B24" s="94">
        <f t="shared" si="1"/>
        <v>0.75</v>
      </c>
      <c r="E24" s="170"/>
      <c r="O24" s="26">
        <v>80</v>
      </c>
      <c r="P24" s="30">
        <f t="shared" si="0"/>
        <v>0</v>
      </c>
    </row>
    <row r="25" spans="1:16" x14ac:dyDescent="0.25">
      <c r="A25" s="256">
        <v>76</v>
      </c>
      <c r="B25" s="94">
        <f t="shared" si="1"/>
        <v>1.25</v>
      </c>
      <c r="O25" s="26">
        <v>81</v>
      </c>
      <c r="P25" s="30">
        <f t="shared" si="0"/>
        <v>1</v>
      </c>
    </row>
    <row r="26" spans="1:16" x14ac:dyDescent="0.25">
      <c r="A26" s="256">
        <v>65</v>
      </c>
      <c r="B26" s="94">
        <f t="shared" si="1"/>
        <v>-1.5</v>
      </c>
      <c r="O26" s="26">
        <v>82</v>
      </c>
      <c r="P26" s="30">
        <f t="shared" si="0"/>
        <v>0</v>
      </c>
    </row>
    <row r="27" spans="1:16" x14ac:dyDescent="0.25">
      <c r="A27" s="256">
        <v>75</v>
      </c>
      <c r="B27" s="94">
        <f t="shared" si="1"/>
        <v>1</v>
      </c>
      <c r="O27" s="26">
        <v>83</v>
      </c>
      <c r="P27" s="30">
        <f t="shared" si="0"/>
        <v>1</v>
      </c>
    </row>
    <row r="28" spans="1:16" x14ac:dyDescent="0.25">
      <c r="A28" s="256">
        <v>72</v>
      </c>
      <c r="B28" s="94">
        <f t="shared" si="1"/>
        <v>0.25</v>
      </c>
    </row>
    <row r="29" spans="1:16" x14ac:dyDescent="0.25">
      <c r="A29" s="256">
        <v>76</v>
      </c>
      <c r="B29" s="94">
        <f t="shared" si="1"/>
        <v>1.25</v>
      </c>
    </row>
    <row r="30" spans="1:16" x14ac:dyDescent="0.25">
      <c r="A30" s="256">
        <v>71</v>
      </c>
      <c r="B30" s="94">
        <f t="shared" si="1"/>
        <v>0</v>
      </c>
    </row>
    <row r="31" spans="1:16" x14ac:dyDescent="0.25">
      <c r="A31" s="256">
        <v>70</v>
      </c>
      <c r="B31" s="94">
        <f t="shared" si="1"/>
        <v>-0.25</v>
      </c>
    </row>
    <row r="32" spans="1:16" x14ac:dyDescent="0.25">
      <c r="A32" s="256">
        <v>64</v>
      </c>
      <c r="B32" s="94">
        <f t="shared" si="1"/>
        <v>-1.75</v>
      </c>
    </row>
    <row r="33" spans="1:2" x14ac:dyDescent="0.25">
      <c r="A33" s="256">
        <v>74</v>
      </c>
      <c r="B33" s="94">
        <f t="shared" si="1"/>
        <v>0.75</v>
      </c>
    </row>
    <row r="34" spans="1:2" x14ac:dyDescent="0.25">
      <c r="A34" s="256">
        <v>83</v>
      </c>
      <c r="B34" s="94">
        <f t="shared" si="1"/>
        <v>3</v>
      </c>
    </row>
    <row r="35" spans="1:2" x14ac:dyDescent="0.25">
      <c r="A35" s="256">
        <v>65</v>
      </c>
      <c r="B35" s="94">
        <f t="shared" si="1"/>
        <v>-1.5</v>
      </c>
    </row>
    <row r="36" spans="1:2" x14ac:dyDescent="0.25">
      <c r="A36" s="256">
        <v>74</v>
      </c>
      <c r="B36" s="94">
        <f t="shared" si="1"/>
        <v>0.75</v>
      </c>
    </row>
    <row r="37" spans="1:2" x14ac:dyDescent="0.25">
      <c r="A37" s="256">
        <v>67</v>
      </c>
      <c r="B37" s="94">
        <f t="shared" si="1"/>
        <v>-1</v>
      </c>
    </row>
    <row r="38" spans="1:2" x14ac:dyDescent="0.25">
      <c r="A38" s="256">
        <v>72</v>
      </c>
      <c r="B38" s="94">
        <f t="shared" si="1"/>
        <v>0.25</v>
      </c>
    </row>
    <row r="39" spans="1:2" x14ac:dyDescent="0.25">
      <c r="A39" s="256">
        <v>71</v>
      </c>
      <c r="B39" s="94">
        <f t="shared" si="1"/>
        <v>0</v>
      </c>
    </row>
    <row r="40" spans="1:2" x14ac:dyDescent="0.25">
      <c r="A40" s="256">
        <v>68</v>
      </c>
      <c r="B40" s="94">
        <f t="shared" si="1"/>
        <v>-0.75</v>
      </c>
    </row>
    <row r="41" spans="1:2" x14ac:dyDescent="0.25">
      <c r="A41" s="256">
        <v>74</v>
      </c>
      <c r="B41" s="94">
        <f t="shared" si="1"/>
        <v>0.75</v>
      </c>
    </row>
    <row r="42" spans="1:2" x14ac:dyDescent="0.25">
      <c r="A42" s="256">
        <v>73</v>
      </c>
      <c r="B42" s="94">
        <f t="shared" si="1"/>
        <v>0.5</v>
      </c>
    </row>
    <row r="43" spans="1:2" x14ac:dyDescent="0.25">
      <c r="A43" s="256">
        <v>70</v>
      </c>
      <c r="B43" s="94">
        <f t="shared" si="1"/>
        <v>-0.25</v>
      </c>
    </row>
    <row r="44" spans="1:2" x14ac:dyDescent="0.25">
      <c r="A44" s="256">
        <v>74</v>
      </c>
      <c r="B44" s="94">
        <f t="shared" si="1"/>
        <v>0.75</v>
      </c>
    </row>
    <row r="45" spans="1:2" x14ac:dyDescent="0.25">
      <c r="A45" s="256">
        <v>76</v>
      </c>
      <c r="B45" s="94">
        <f t="shared" si="1"/>
        <v>1.25</v>
      </c>
    </row>
    <row r="46" spans="1:2" x14ac:dyDescent="0.25">
      <c r="A46" s="256">
        <v>69</v>
      </c>
      <c r="B46" s="94">
        <f t="shared" si="1"/>
        <v>-0.5</v>
      </c>
    </row>
    <row r="47" spans="1:2" x14ac:dyDescent="0.25">
      <c r="A47" s="256">
        <v>71</v>
      </c>
      <c r="B47" s="94">
        <f t="shared" si="1"/>
        <v>0</v>
      </c>
    </row>
    <row r="48" spans="1:2" x14ac:dyDescent="0.25">
      <c r="A48" s="256">
        <v>72</v>
      </c>
      <c r="B48" s="94">
        <f t="shared" si="1"/>
        <v>0.25</v>
      </c>
    </row>
    <row r="49" spans="1:2" x14ac:dyDescent="0.25">
      <c r="A49" s="256">
        <v>77</v>
      </c>
      <c r="B49" s="94">
        <f t="shared" si="1"/>
        <v>1.5</v>
      </c>
    </row>
    <row r="50" spans="1:2" x14ac:dyDescent="0.25">
      <c r="A50" s="256">
        <v>66</v>
      </c>
      <c r="B50" s="94">
        <f t="shared" si="1"/>
        <v>-1.25</v>
      </c>
    </row>
    <row r="51" spans="1:2" x14ac:dyDescent="0.25">
      <c r="A51" s="256">
        <v>77</v>
      </c>
      <c r="B51" s="94">
        <f t="shared" si="1"/>
        <v>1.5</v>
      </c>
    </row>
    <row r="52" spans="1:2" x14ac:dyDescent="0.25">
      <c r="A52" s="256">
        <v>70</v>
      </c>
      <c r="B52" s="94">
        <f t="shared" si="1"/>
        <v>-0.25</v>
      </c>
    </row>
    <row r="53" spans="1:2" x14ac:dyDescent="0.25">
      <c r="A53" s="256">
        <v>64</v>
      </c>
      <c r="B53" s="94">
        <f t="shared" si="1"/>
        <v>-1.75</v>
      </c>
    </row>
    <row r="54" spans="1:2" x14ac:dyDescent="0.25">
      <c r="A54" s="256">
        <v>66</v>
      </c>
      <c r="B54" s="94">
        <f t="shared" si="1"/>
        <v>-1.25</v>
      </c>
    </row>
    <row r="55" spans="1:2" x14ac:dyDescent="0.25">
      <c r="A55" s="256">
        <v>70</v>
      </c>
      <c r="B55" s="94">
        <f t="shared" si="1"/>
        <v>-0.25</v>
      </c>
    </row>
    <row r="56" spans="1:2" x14ac:dyDescent="0.25">
      <c r="A56" s="256">
        <v>71</v>
      </c>
      <c r="B56" s="94">
        <f t="shared" si="1"/>
        <v>0</v>
      </c>
    </row>
    <row r="57" spans="1:2" x14ac:dyDescent="0.25">
      <c r="A57" s="256">
        <v>70</v>
      </c>
      <c r="B57" s="94">
        <f t="shared" si="1"/>
        <v>-0.25</v>
      </c>
    </row>
    <row r="58" spans="1:2" x14ac:dyDescent="0.25">
      <c r="A58" s="256">
        <v>72</v>
      </c>
      <c r="B58" s="94">
        <f t="shared" si="1"/>
        <v>0.25</v>
      </c>
    </row>
    <row r="59" spans="1:2" x14ac:dyDescent="0.25">
      <c r="A59" s="256">
        <v>68</v>
      </c>
      <c r="B59" s="94">
        <f t="shared" si="1"/>
        <v>-0.75</v>
      </c>
    </row>
    <row r="60" spans="1:2" x14ac:dyDescent="0.25">
      <c r="A60" s="256">
        <v>71</v>
      </c>
      <c r="B60" s="94">
        <f t="shared" si="1"/>
        <v>0</v>
      </c>
    </row>
    <row r="61" spans="1:2" x14ac:dyDescent="0.25">
      <c r="A61" s="256">
        <v>70</v>
      </c>
      <c r="B61" s="94">
        <f t="shared" si="1"/>
        <v>-0.25</v>
      </c>
    </row>
    <row r="62" spans="1:2" x14ac:dyDescent="0.25">
      <c r="A62" s="256">
        <v>75</v>
      </c>
      <c r="B62" s="94">
        <f t="shared" si="1"/>
        <v>1</v>
      </c>
    </row>
    <row r="63" spans="1:2" x14ac:dyDescent="0.25">
      <c r="A63" s="256">
        <v>67</v>
      </c>
      <c r="B63" s="94">
        <f t="shared" si="1"/>
        <v>-1</v>
      </c>
    </row>
    <row r="64" spans="1:2" x14ac:dyDescent="0.25">
      <c r="A64" s="256">
        <v>69</v>
      </c>
      <c r="B64" s="94">
        <f t="shared" si="1"/>
        <v>-0.5</v>
      </c>
    </row>
    <row r="65" spans="1:2" x14ac:dyDescent="0.25">
      <c r="A65" s="256">
        <v>75</v>
      </c>
      <c r="B65" s="94">
        <f t="shared" si="1"/>
        <v>1</v>
      </c>
    </row>
    <row r="66" spans="1:2" x14ac:dyDescent="0.25">
      <c r="A66" s="256">
        <v>67</v>
      </c>
      <c r="B66" s="94">
        <f t="shared" si="1"/>
        <v>-1</v>
      </c>
    </row>
    <row r="67" spans="1:2" x14ac:dyDescent="0.25">
      <c r="A67" s="256">
        <v>73</v>
      </c>
      <c r="B67" s="94">
        <f t="shared" si="1"/>
        <v>0.5</v>
      </c>
    </row>
    <row r="68" spans="1:2" x14ac:dyDescent="0.25">
      <c r="A68" s="256">
        <v>72</v>
      </c>
      <c r="B68" s="94">
        <f t="shared" si="1"/>
        <v>0.25</v>
      </c>
    </row>
    <row r="69" spans="1:2" x14ac:dyDescent="0.25">
      <c r="A69" s="256">
        <v>79</v>
      </c>
      <c r="B69" s="94">
        <f t="shared" si="1"/>
        <v>2</v>
      </c>
    </row>
    <row r="70" spans="1:2" x14ac:dyDescent="0.25">
      <c r="A70" s="256">
        <v>71</v>
      </c>
      <c r="B70" s="94">
        <f t="shared" ref="B70:B90" si="2">(A70-$B$1)/$B$2</f>
        <v>0</v>
      </c>
    </row>
    <row r="71" spans="1:2" x14ac:dyDescent="0.25">
      <c r="A71" s="256">
        <v>74</v>
      </c>
      <c r="B71" s="94">
        <f t="shared" si="2"/>
        <v>0.75</v>
      </c>
    </row>
    <row r="72" spans="1:2" x14ac:dyDescent="0.25">
      <c r="A72" s="256">
        <v>68</v>
      </c>
      <c r="B72" s="94">
        <f t="shared" si="2"/>
        <v>-0.75</v>
      </c>
    </row>
    <row r="73" spans="1:2" x14ac:dyDescent="0.25">
      <c r="A73" s="256">
        <v>72</v>
      </c>
      <c r="B73" s="94">
        <f t="shared" si="2"/>
        <v>0.25</v>
      </c>
    </row>
    <row r="74" spans="1:2" x14ac:dyDescent="0.25">
      <c r="A74" s="256">
        <v>72</v>
      </c>
      <c r="B74" s="94">
        <f t="shared" si="2"/>
        <v>0.25</v>
      </c>
    </row>
    <row r="75" spans="1:2" x14ac:dyDescent="0.25">
      <c r="A75" s="256">
        <v>67</v>
      </c>
      <c r="B75" s="94">
        <f t="shared" si="2"/>
        <v>-1</v>
      </c>
    </row>
    <row r="76" spans="1:2" x14ac:dyDescent="0.25">
      <c r="A76" s="256">
        <v>71</v>
      </c>
      <c r="B76" s="94">
        <f t="shared" si="2"/>
        <v>0</v>
      </c>
    </row>
    <row r="77" spans="1:2" x14ac:dyDescent="0.25">
      <c r="A77" s="256">
        <v>76</v>
      </c>
      <c r="B77" s="94">
        <f t="shared" si="2"/>
        <v>1.25</v>
      </c>
    </row>
    <row r="78" spans="1:2" x14ac:dyDescent="0.25">
      <c r="A78" s="256">
        <v>73</v>
      </c>
      <c r="B78" s="94">
        <f t="shared" si="2"/>
        <v>0.5</v>
      </c>
    </row>
    <row r="79" spans="1:2" x14ac:dyDescent="0.25">
      <c r="A79" s="256">
        <v>69</v>
      </c>
      <c r="B79" s="94">
        <f t="shared" si="2"/>
        <v>-0.5</v>
      </c>
    </row>
    <row r="80" spans="1:2" x14ac:dyDescent="0.25">
      <c r="A80" s="256">
        <v>71</v>
      </c>
      <c r="B80" s="94">
        <f t="shared" si="2"/>
        <v>0</v>
      </c>
    </row>
    <row r="81" spans="1:2" x14ac:dyDescent="0.25">
      <c r="A81" s="256">
        <v>73</v>
      </c>
      <c r="B81" s="94">
        <f t="shared" si="2"/>
        <v>0.5</v>
      </c>
    </row>
    <row r="82" spans="1:2" x14ac:dyDescent="0.25">
      <c r="A82" s="256">
        <v>68</v>
      </c>
      <c r="B82" s="94">
        <f t="shared" si="2"/>
        <v>-0.75</v>
      </c>
    </row>
    <row r="83" spans="1:2" x14ac:dyDescent="0.25">
      <c r="A83" s="256">
        <v>73</v>
      </c>
      <c r="B83" s="94">
        <f t="shared" si="2"/>
        <v>0.5</v>
      </c>
    </row>
    <row r="84" spans="1:2" x14ac:dyDescent="0.25">
      <c r="A84" s="256">
        <v>65</v>
      </c>
      <c r="B84" s="94">
        <f t="shared" si="2"/>
        <v>-1.5</v>
      </c>
    </row>
    <row r="85" spans="1:2" x14ac:dyDescent="0.25">
      <c r="A85" s="256">
        <v>69</v>
      </c>
      <c r="B85" s="94">
        <f t="shared" si="2"/>
        <v>-0.5</v>
      </c>
    </row>
    <row r="86" spans="1:2" x14ac:dyDescent="0.25">
      <c r="A86" s="256">
        <v>72</v>
      </c>
      <c r="B86" s="94">
        <f t="shared" si="2"/>
        <v>0.25</v>
      </c>
    </row>
    <row r="87" spans="1:2" x14ac:dyDescent="0.25">
      <c r="A87" s="256">
        <v>66</v>
      </c>
      <c r="B87" s="94">
        <f t="shared" si="2"/>
        <v>-1.25</v>
      </c>
    </row>
    <row r="88" spans="1:2" x14ac:dyDescent="0.25">
      <c r="A88" s="256">
        <v>75</v>
      </c>
      <c r="B88" s="94">
        <f t="shared" si="2"/>
        <v>1</v>
      </c>
    </row>
    <row r="89" spans="1:2" x14ac:dyDescent="0.25">
      <c r="A89" s="256">
        <v>81</v>
      </c>
      <c r="B89" s="94">
        <f t="shared" si="2"/>
        <v>2.5</v>
      </c>
    </row>
    <row r="90" spans="1:2" x14ac:dyDescent="0.25">
      <c r="A90" s="256">
        <v>77</v>
      </c>
      <c r="B90" s="94">
        <f t="shared" si="2"/>
        <v>1.5</v>
      </c>
    </row>
  </sheetData>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tabColor rgb="FF0000FF"/>
  </sheetPr>
  <dimension ref="A26:K73"/>
  <sheetViews>
    <sheetView zoomScaleNormal="100" workbookViewId="0"/>
  </sheetViews>
  <sheetFormatPr defaultRowHeight="15" x14ac:dyDescent="0.25"/>
  <cols>
    <col min="1" max="1" width="11.140625" customWidth="1"/>
    <col min="8" max="8" width="5.5703125" customWidth="1"/>
    <col min="9" max="9" width="11.7109375" customWidth="1"/>
    <col min="10" max="10" width="44.5703125" bestFit="1" customWidth="1"/>
    <col min="11" max="11" width="9.140625" customWidth="1"/>
    <col min="13" max="13" width="12.42578125" customWidth="1"/>
  </cols>
  <sheetData>
    <row r="26" spans="1:10" x14ac:dyDescent="0.25">
      <c r="A26" s="61" t="s">
        <v>981</v>
      </c>
      <c r="B26" s="58">
        <f>'z(2)'!$B$2</f>
        <v>60</v>
      </c>
    </row>
    <row r="27" spans="1:10" x14ac:dyDescent="0.25">
      <c r="A27" s="61" t="s">
        <v>984</v>
      </c>
      <c r="B27" s="58">
        <f>'z(2)'!$B$3</f>
        <v>13</v>
      </c>
    </row>
    <row r="28" spans="1:10" ht="3.75" customHeight="1" x14ac:dyDescent="0.25"/>
    <row r="29" spans="1:10" x14ac:dyDescent="0.25">
      <c r="A29" s="251" t="s">
        <v>985</v>
      </c>
      <c r="B29" s="252"/>
      <c r="C29" s="252"/>
      <c r="D29" s="252"/>
      <c r="E29" s="252"/>
      <c r="F29" s="252"/>
      <c r="G29" s="252"/>
      <c r="H29" s="252"/>
      <c r="I29" s="253"/>
      <c r="J29" s="22"/>
    </row>
    <row r="30" spans="1:10" x14ac:dyDescent="0.25">
      <c r="A30" s="90" t="s">
        <v>633</v>
      </c>
      <c r="B30" s="258">
        <v>2</v>
      </c>
    </row>
    <row r="31" spans="1:10" x14ac:dyDescent="0.25">
      <c r="A31" s="61" t="s">
        <v>986</v>
      </c>
      <c r="B31" s="30"/>
      <c r="C31" t="str">
        <f>IF(ISNUMBER(B31),"At least "&amp;TEXT(B31,"0.0%")&amp;", of the data values must be within +/- "&amp;B30&amp;" SD of the Mean","")</f>
        <v/>
      </c>
    </row>
    <row r="32" spans="1:10" x14ac:dyDescent="0.25">
      <c r="A32" s="251" t="s">
        <v>639</v>
      </c>
      <c r="B32" s="252"/>
      <c r="C32" s="252"/>
      <c r="D32" s="252"/>
      <c r="E32" s="252"/>
      <c r="F32" s="252"/>
      <c r="G32" s="252"/>
      <c r="H32" s="252"/>
      <c r="I32" s="253"/>
      <c r="J32" s="22"/>
    </row>
    <row r="33" spans="1:10" x14ac:dyDescent="0.25">
      <c r="A33" s="61" t="s">
        <v>175</v>
      </c>
      <c r="B33" s="30"/>
    </row>
    <row r="34" spans="1:10" x14ac:dyDescent="0.25">
      <c r="A34" s="61" t="s">
        <v>988</v>
      </c>
      <c r="B34" s="30"/>
      <c r="C34" t="str">
        <f>IF(ISNUMBER(B34),"At least "&amp;TEXT(B31,"0.0%")&amp;", of the data values must be within "&amp;B33&amp;" and "&amp;B34,"")</f>
        <v/>
      </c>
    </row>
    <row r="35" spans="1:10" x14ac:dyDescent="0.25">
      <c r="A35" s="251" t="s">
        <v>985</v>
      </c>
      <c r="B35" s="252"/>
      <c r="C35" s="252"/>
      <c r="D35" s="252"/>
      <c r="E35" s="252"/>
      <c r="F35" s="252"/>
      <c r="G35" s="252"/>
      <c r="H35" s="252"/>
      <c r="I35" s="253"/>
      <c r="J35" s="22"/>
    </row>
    <row r="36" spans="1:10" x14ac:dyDescent="0.25">
      <c r="A36" s="61" t="s">
        <v>633</v>
      </c>
      <c r="B36" s="56">
        <v>3</v>
      </c>
    </row>
    <row r="37" spans="1:10" x14ac:dyDescent="0.25">
      <c r="A37" s="61" t="s">
        <v>986</v>
      </c>
      <c r="B37" s="30"/>
      <c r="C37" t="str">
        <f>IF(ISNUMBER(B37),"At least "&amp;TEXT(B37,"0.0%")&amp;", of the data values must be within +/- "&amp;B36&amp;" SD of the Mean","")</f>
        <v/>
      </c>
    </row>
    <row r="38" spans="1:10" x14ac:dyDescent="0.25">
      <c r="A38" s="251" t="s">
        <v>639</v>
      </c>
      <c r="B38" s="252"/>
      <c r="C38" s="252"/>
      <c r="D38" s="252"/>
      <c r="E38" s="252"/>
      <c r="F38" s="252"/>
      <c r="G38" s="252"/>
      <c r="H38" s="252"/>
      <c r="I38" s="253"/>
      <c r="J38" s="22"/>
    </row>
    <row r="39" spans="1:10" x14ac:dyDescent="0.25">
      <c r="A39" s="61" t="s">
        <v>175</v>
      </c>
      <c r="B39" s="30"/>
    </row>
    <row r="40" spans="1:10" x14ac:dyDescent="0.25">
      <c r="A40" s="61" t="s">
        <v>988</v>
      </c>
      <c r="B40" s="30"/>
      <c r="C40" t="str">
        <f>IF(ISNUMBER(B40),"At least "&amp;TEXT(B37,"0.0%")&amp;", of the data values must be within "&amp;B39&amp;" and "&amp;B40,"")</f>
        <v/>
      </c>
    </row>
    <row r="44" spans="1:10" x14ac:dyDescent="0.25">
      <c r="A44" s="251" t="str">
        <f>"According to Chebyshev's Theorem, at least what percent of any data set will be within "&amp;B45&amp;" standard deviation of the mean?"</f>
        <v>According to Chebyshev's Theorem, at least what percent of any data set will be within 1.8 standard deviation of the mean?</v>
      </c>
      <c r="B44" s="252"/>
      <c r="C44" s="252"/>
      <c r="D44" s="252"/>
      <c r="E44" s="252"/>
      <c r="F44" s="252"/>
      <c r="G44" s="252"/>
      <c r="H44" s="252"/>
      <c r="I44" s="253"/>
      <c r="J44" s="254"/>
    </row>
    <row r="45" spans="1:10" x14ac:dyDescent="0.25">
      <c r="A45" s="169" t="s">
        <v>642</v>
      </c>
      <c r="B45" s="26">
        <v>1.8</v>
      </c>
    </row>
    <row r="46" spans="1:10" x14ac:dyDescent="0.25">
      <c r="A46" s="1" t="s">
        <v>990</v>
      </c>
      <c r="B46" s="75"/>
      <c r="C46" t="str">
        <f>IF(B46="","","Accoring to Chebyshev's Theorem, at least "&amp;TEXT(B46,"0.00%")&amp;" of any data set will be within +/- 1.8 standard deviation of the mean.")</f>
        <v/>
      </c>
    </row>
    <row r="67" spans="1:11" x14ac:dyDescent="0.25">
      <c r="A67" s="249" t="s">
        <v>987</v>
      </c>
      <c r="B67" s="193"/>
      <c r="C67" s="193"/>
      <c r="D67" s="193"/>
      <c r="E67" s="193"/>
      <c r="F67" s="193"/>
      <c r="G67" s="193"/>
      <c r="H67" s="193"/>
      <c r="I67" s="193"/>
      <c r="J67" s="193"/>
      <c r="K67" s="192"/>
    </row>
    <row r="68" spans="1:11" x14ac:dyDescent="0.25">
      <c r="A68" s="191" t="s">
        <v>983</v>
      </c>
      <c r="B68" s="190"/>
      <c r="C68" s="190"/>
      <c r="D68" s="190"/>
      <c r="E68" s="190"/>
      <c r="F68" s="190"/>
      <c r="G68" s="190"/>
      <c r="H68" s="190"/>
      <c r="I68" s="190"/>
      <c r="J68" s="190"/>
      <c r="K68" s="189"/>
    </row>
    <row r="69" spans="1:11" x14ac:dyDescent="0.25">
      <c r="A69" s="188" t="s">
        <v>982</v>
      </c>
      <c r="B69" s="187"/>
      <c r="C69" s="187"/>
      <c r="D69" s="187"/>
      <c r="E69" s="187"/>
      <c r="F69" s="187"/>
      <c r="G69" s="187"/>
      <c r="H69" s="187"/>
      <c r="I69" s="187"/>
      <c r="J69" s="187"/>
      <c r="K69" s="186"/>
    </row>
    <row r="70" spans="1:11" x14ac:dyDescent="0.25">
      <c r="A70" s="194" t="s">
        <v>989</v>
      </c>
      <c r="B70" s="193"/>
      <c r="C70" s="193"/>
      <c r="D70" s="193"/>
      <c r="E70" s="193"/>
      <c r="F70" s="193"/>
      <c r="G70" s="193"/>
      <c r="H70" s="193"/>
      <c r="I70" s="193"/>
      <c r="J70" s="193"/>
      <c r="K70" s="192"/>
    </row>
    <row r="71" spans="1:11" x14ac:dyDescent="0.25">
      <c r="A71" s="191" t="s">
        <v>644</v>
      </c>
      <c r="B71" s="190"/>
      <c r="C71" s="190"/>
      <c r="D71" s="190"/>
      <c r="E71" s="190"/>
      <c r="F71" s="190"/>
      <c r="G71" s="190"/>
      <c r="H71" s="190"/>
      <c r="I71" s="190"/>
      <c r="J71" s="190"/>
      <c r="K71" s="189"/>
    </row>
    <row r="72" spans="1:11" x14ac:dyDescent="0.25">
      <c r="A72" s="191" t="s">
        <v>645</v>
      </c>
      <c r="B72" s="190"/>
      <c r="C72" s="190"/>
      <c r="D72" s="190"/>
      <c r="E72" s="190"/>
      <c r="F72" s="190"/>
      <c r="G72" s="190"/>
      <c r="H72" s="190"/>
      <c r="I72" s="190"/>
      <c r="J72" s="190"/>
      <c r="K72" s="189"/>
    </row>
    <row r="73" spans="1:11" x14ac:dyDescent="0.25">
      <c r="A73" s="188" t="s">
        <v>646</v>
      </c>
      <c r="B73" s="187"/>
      <c r="C73" s="187"/>
      <c r="D73" s="187"/>
      <c r="E73" s="187"/>
      <c r="F73" s="187"/>
      <c r="G73" s="187"/>
      <c r="H73" s="187"/>
      <c r="I73" s="187"/>
      <c r="J73" s="187"/>
      <c r="K73" s="186"/>
    </row>
  </sheetData>
  <conditionalFormatting sqref="C34">
    <cfRule type="expression" dxfId="18" priority="5">
      <formula>B34&lt;&gt;""</formula>
    </cfRule>
  </conditionalFormatting>
  <conditionalFormatting sqref="C37">
    <cfRule type="expression" dxfId="17" priority="3">
      <formula>B37&lt;&gt;""</formula>
    </cfRule>
  </conditionalFormatting>
  <conditionalFormatting sqref="C31">
    <cfRule type="expression" dxfId="16" priority="19">
      <formula>B31&lt;&gt;""</formula>
    </cfRule>
  </conditionalFormatting>
  <conditionalFormatting sqref="C40">
    <cfRule type="expression" dxfId="15" priority="2">
      <formula>B40&lt;&gt;""</formula>
    </cfRule>
  </conditionalFormatting>
  <conditionalFormatting sqref="C46">
    <cfRule type="expression" dxfId="14" priority="1">
      <formula>B46&lt;&gt;""</formula>
    </cfRule>
  </conditionalFormatting>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tabColor rgb="FFFF0000"/>
  </sheetPr>
  <dimension ref="A26:K73"/>
  <sheetViews>
    <sheetView zoomScale="85" zoomScaleNormal="85" workbookViewId="0">
      <selection activeCell="B31" sqref="B31"/>
    </sheetView>
  </sheetViews>
  <sheetFormatPr defaultRowHeight="15" x14ac:dyDescent="0.25"/>
  <cols>
    <col min="1" max="1" width="11.140625" customWidth="1"/>
    <col min="8" max="8" width="5.5703125" customWidth="1"/>
    <col min="9" max="9" width="11.7109375" customWidth="1"/>
    <col min="10" max="10" width="44.5703125" bestFit="1" customWidth="1"/>
    <col min="11" max="11" width="9.140625" customWidth="1"/>
    <col min="13" max="13" width="12.42578125" customWidth="1"/>
  </cols>
  <sheetData>
    <row r="26" spans="1:10" x14ac:dyDescent="0.25">
      <c r="A26" s="61" t="s">
        <v>981</v>
      </c>
      <c r="B26" s="58">
        <f>'z(2)'!$B$2</f>
        <v>60</v>
      </c>
    </row>
    <row r="27" spans="1:10" x14ac:dyDescent="0.25">
      <c r="A27" s="61" t="s">
        <v>984</v>
      </c>
      <c r="B27" s="58">
        <f>'z(2)'!$B$3</f>
        <v>13</v>
      </c>
    </row>
    <row r="28" spans="1:10" ht="3.75" customHeight="1" x14ac:dyDescent="0.25"/>
    <row r="29" spans="1:10" x14ac:dyDescent="0.25">
      <c r="A29" s="251" t="s">
        <v>985</v>
      </c>
      <c r="B29" s="252"/>
      <c r="C29" s="252"/>
      <c r="D29" s="252"/>
      <c r="E29" s="252"/>
      <c r="F29" s="252"/>
      <c r="G29" s="252"/>
      <c r="H29" s="252"/>
      <c r="I29" s="253"/>
      <c r="J29" s="22"/>
    </row>
    <row r="30" spans="1:10" x14ac:dyDescent="0.25">
      <c r="A30" s="90" t="s">
        <v>633</v>
      </c>
      <c r="B30" s="258">
        <v>2</v>
      </c>
    </row>
    <row r="31" spans="1:10" x14ac:dyDescent="0.25">
      <c r="A31" s="61" t="s">
        <v>986</v>
      </c>
      <c r="B31" s="30">
        <f>1-1/B30^2</f>
        <v>0.75</v>
      </c>
      <c r="C31" t="str">
        <f>IF(ISNUMBER(B31),"At least "&amp;TEXT(B31,"0.0%")&amp;", of the data values must be within +/- "&amp;B30&amp;" SD of the Mean","")</f>
        <v>At least 75.0%, of the data values must be within +/- 2 SD of the Mean</v>
      </c>
    </row>
    <row r="32" spans="1:10" x14ac:dyDescent="0.25">
      <c r="A32" s="251" t="s">
        <v>639</v>
      </c>
      <c r="B32" s="252"/>
      <c r="C32" s="252"/>
      <c r="D32" s="252"/>
      <c r="E32" s="252"/>
      <c r="F32" s="252"/>
      <c r="G32" s="252"/>
      <c r="H32" s="252"/>
      <c r="I32" s="253"/>
      <c r="J32" s="22"/>
    </row>
    <row r="33" spans="1:10" x14ac:dyDescent="0.25">
      <c r="A33" s="61" t="s">
        <v>175</v>
      </c>
      <c r="B33" s="30">
        <f>B26-B30*B27</f>
        <v>34</v>
      </c>
    </row>
    <row r="34" spans="1:10" x14ac:dyDescent="0.25">
      <c r="A34" s="61" t="s">
        <v>988</v>
      </c>
      <c r="B34" s="30">
        <f>B26+B30*B27</f>
        <v>86</v>
      </c>
      <c r="C34" t="str">
        <f>IF(ISNUMBER(B34),"At least "&amp;TEXT(B31,"0.0%")&amp;", of the data values must be within "&amp;B33&amp;" and "&amp;B34,"")</f>
        <v>At least 75.0%, of the data values must be within 34 and 86</v>
      </c>
    </row>
    <row r="35" spans="1:10" x14ac:dyDescent="0.25">
      <c r="A35" s="251" t="s">
        <v>985</v>
      </c>
      <c r="B35" s="252"/>
      <c r="C35" s="252"/>
      <c r="D35" s="252"/>
      <c r="E35" s="252"/>
      <c r="F35" s="252"/>
      <c r="G35" s="252"/>
      <c r="H35" s="252"/>
      <c r="I35" s="253"/>
      <c r="J35" s="22"/>
    </row>
    <row r="36" spans="1:10" x14ac:dyDescent="0.25">
      <c r="A36" s="61" t="s">
        <v>633</v>
      </c>
      <c r="B36" s="56">
        <v>3</v>
      </c>
    </row>
    <row r="37" spans="1:10" x14ac:dyDescent="0.25">
      <c r="A37" s="61" t="s">
        <v>986</v>
      </c>
      <c r="B37" s="30">
        <f>1-1/B36^2</f>
        <v>0.88888888888888884</v>
      </c>
      <c r="C37" t="str">
        <f>IF(ISNUMBER(B37),"At least "&amp;TEXT(B37,"0.0%")&amp;", of the data values must be within +/- "&amp;B36&amp;" SD of the Mean","")</f>
        <v>At least 88.9%, of the data values must be within +/- 3 SD of the Mean</v>
      </c>
    </row>
    <row r="38" spans="1:10" x14ac:dyDescent="0.25">
      <c r="A38" s="251" t="s">
        <v>639</v>
      </c>
      <c r="B38" s="252"/>
      <c r="C38" s="252"/>
      <c r="D38" s="252"/>
      <c r="E38" s="252"/>
      <c r="F38" s="252"/>
      <c r="G38" s="252"/>
      <c r="H38" s="252"/>
      <c r="I38" s="253"/>
      <c r="J38" s="22"/>
    </row>
    <row r="39" spans="1:10" x14ac:dyDescent="0.25">
      <c r="A39" s="61" t="s">
        <v>175</v>
      </c>
      <c r="B39" s="30">
        <f>B26-B36*B27</f>
        <v>21</v>
      </c>
    </row>
    <row r="40" spans="1:10" x14ac:dyDescent="0.25">
      <c r="A40" s="61" t="s">
        <v>988</v>
      </c>
      <c r="B40" s="30">
        <f>B26+B36*B27</f>
        <v>99</v>
      </c>
      <c r="C40" t="str">
        <f>IF(ISNUMBER(B40),"At least "&amp;TEXT(B37,"0.0%")&amp;", of the data values must be within "&amp;B39&amp;" and "&amp;B40,"")</f>
        <v>At least 88.9%, of the data values must be within 21 and 99</v>
      </c>
    </row>
    <row r="44" spans="1:10" x14ac:dyDescent="0.25">
      <c r="A44" s="251" t="str">
        <f>"According to Chebyshev's Theorem, at least what percent of any data set will be within "&amp;B45&amp;" standard deviation of the mean?"</f>
        <v>According to Chebyshev's Theorem, at least what percent of any data set will be within 1.8 standard deviation of the mean?</v>
      </c>
      <c r="B44" s="252"/>
      <c r="C44" s="252"/>
      <c r="D44" s="252"/>
      <c r="E44" s="252"/>
      <c r="F44" s="252"/>
      <c r="G44" s="252"/>
      <c r="H44" s="252"/>
      <c r="I44" s="253"/>
      <c r="J44" s="254"/>
    </row>
    <row r="45" spans="1:10" x14ac:dyDescent="0.25">
      <c r="A45" s="169" t="s">
        <v>642</v>
      </c>
      <c r="B45" s="26">
        <v>1.8</v>
      </c>
    </row>
    <row r="46" spans="1:10" x14ac:dyDescent="0.25">
      <c r="A46" s="1" t="s">
        <v>990</v>
      </c>
      <c r="B46" s="75">
        <f>1-1/B45^2</f>
        <v>0.69135802469135799</v>
      </c>
      <c r="C46" t="str">
        <f>IF(B46="","","Accoring to Chebyshev's Theorem, at least "&amp;TEXT(B46,"0.00%")&amp;" of any data set will be within +/- 1.8 standard deviation of the mean.")</f>
        <v>Accoring to Chebyshev's Theorem, at least 69.14% of any data set will be within +/- 1.8 standard deviation of the mean.</v>
      </c>
    </row>
    <row r="67" spans="1:11" x14ac:dyDescent="0.25">
      <c r="A67" s="249" t="s">
        <v>987</v>
      </c>
      <c r="B67" s="193"/>
      <c r="C67" s="193"/>
      <c r="D67" s="193"/>
      <c r="E67" s="193"/>
      <c r="F67" s="193"/>
      <c r="G67" s="193"/>
      <c r="H67" s="193"/>
      <c r="I67" s="193"/>
      <c r="J67" s="193"/>
      <c r="K67" s="192"/>
    </row>
    <row r="68" spans="1:11" x14ac:dyDescent="0.25">
      <c r="A68" s="191" t="s">
        <v>983</v>
      </c>
      <c r="B68" s="190"/>
      <c r="C68" s="190"/>
      <c r="D68" s="190"/>
      <c r="E68" s="190"/>
      <c r="F68" s="190"/>
      <c r="G68" s="190"/>
      <c r="H68" s="190"/>
      <c r="I68" s="190"/>
      <c r="J68" s="190"/>
      <c r="K68" s="189"/>
    </row>
    <row r="69" spans="1:11" x14ac:dyDescent="0.25">
      <c r="A69" s="188" t="s">
        <v>982</v>
      </c>
      <c r="B69" s="187"/>
      <c r="C69" s="187"/>
      <c r="D69" s="187"/>
      <c r="E69" s="187"/>
      <c r="F69" s="187"/>
      <c r="G69" s="187"/>
      <c r="H69" s="187"/>
      <c r="I69" s="187"/>
      <c r="J69" s="187"/>
      <c r="K69" s="186"/>
    </row>
    <row r="70" spans="1:11" x14ac:dyDescent="0.25">
      <c r="A70" s="194" t="s">
        <v>989</v>
      </c>
      <c r="B70" s="193"/>
      <c r="C70" s="193"/>
      <c r="D70" s="193"/>
      <c r="E70" s="193"/>
      <c r="F70" s="193"/>
      <c r="G70" s="193"/>
      <c r="H70" s="193"/>
      <c r="I70" s="193"/>
      <c r="J70" s="193"/>
      <c r="K70" s="192"/>
    </row>
    <row r="71" spans="1:11" x14ac:dyDescent="0.25">
      <c r="A71" s="191" t="s">
        <v>644</v>
      </c>
      <c r="B71" s="190"/>
      <c r="C71" s="190"/>
      <c r="D71" s="190"/>
      <c r="E71" s="190"/>
      <c r="F71" s="190"/>
      <c r="G71" s="190"/>
      <c r="H71" s="190"/>
      <c r="I71" s="190"/>
      <c r="J71" s="190"/>
      <c r="K71" s="189"/>
    </row>
    <row r="72" spans="1:11" x14ac:dyDescent="0.25">
      <c r="A72" s="191" t="s">
        <v>645</v>
      </c>
      <c r="B72" s="190"/>
      <c r="C72" s="190"/>
      <c r="D72" s="190"/>
      <c r="E72" s="190"/>
      <c r="F72" s="190"/>
      <c r="G72" s="190"/>
      <c r="H72" s="190"/>
      <c r="I72" s="190"/>
      <c r="J72" s="190"/>
      <c r="K72" s="189"/>
    </row>
    <row r="73" spans="1:11" x14ac:dyDescent="0.25">
      <c r="A73" s="188" t="s">
        <v>646</v>
      </c>
      <c r="B73" s="187"/>
      <c r="C73" s="187"/>
      <c r="D73" s="187"/>
      <c r="E73" s="187"/>
      <c r="F73" s="187"/>
      <c r="G73" s="187"/>
      <c r="H73" s="187"/>
      <c r="I73" s="187"/>
      <c r="J73" s="187"/>
      <c r="K73" s="186"/>
    </row>
  </sheetData>
  <conditionalFormatting sqref="C34">
    <cfRule type="expression" dxfId="13" priority="4">
      <formula>B34&lt;&gt;""</formula>
    </cfRule>
  </conditionalFormatting>
  <conditionalFormatting sqref="C37">
    <cfRule type="expression" dxfId="12" priority="3">
      <formula>B37&lt;&gt;""</formula>
    </cfRule>
  </conditionalFormatting>
  <conditionalFormatting sqref="C31">
    <cfRule type="expression" dxfId="11" priority="5">
      <formula>B31&lt;&gt;""</formula>
    </cfRule>
  </conditionalFormatting>
  <conditionalFormatting sqref="C40">
    <cfRule type="expression" dxfId="10" priority="2">
      <formula>B40&lt;&gt;""</formula>
    </cfRule>
  </conditionalFormatting>
  <conditionalFormatting sqref="C46">
    <cfRule type="expression" dxfId="9" priority="1">
      <formula>B46&lt;&gt;""</formula>
    </cfRule>
  </conditionalFormatting>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tabColor rgb="FF0000FF"/>
  </sheetPr>
  <dimension ref="A29:M113"/>
  <sheetViews>
    <sheetView zoomScale="85" zoomScaleNormal="85" workbookViewId="0">
      <selection activeCell="B38" sqref="B38"/>
    </sheetView>
  </sheetViews>
  <sheetFormatPr defaultRowHeight="15" x14ac:dyDescent="0.25"/>
  <cols>
    <col min="1" max="1" width="12.5703125" customWidth="1"/>
    <col min="13" max="13" width="12.28515625" bestFit="1" customWidth="1"/>
  </cols>
  <sheetData>
    <row r="29" spans="1:1" x14ac:dyDescent="0.25">
      <c r="A29" s="22" t="s">
        <v>647</v>
      </c>
    </row>
    <row r="30" spans="1:1" x14ac:dyDescent="0.25">
      <c r="A30" t="s">
        <v>1007</v>
      </c>
    </row>
    <row r="31" spans="1:1" x14ac:dyDescent="0.25">
      <c r="A31" t="s">
        <v>1008</v>
      </c>
    </row>
    <row r="32" spans="1:1" x14ac:dyDescent="0.25">
      <c r="A32" t="s">
        <v>1009</v>
      </c>
    </row>
    <row r="34" spans="1:11" x14ac:dyDescent="0.25">
      <c r="A34" s="61" t="s">
        <v>1006</v>
      </c>
      <c r="B34" s="256">
        <f>'z(3)'!B1</f>
        <v>71</v>
      </c>
      <c r="D34" t="s">
        <v>1021</v>
      </c>
    </row>
    <row r="35" spans="1:11" x14ac:dyDescent="0.25">
      <c r="A35" s="61" t="s">
        <v>641</v>
      </c>
      <c r="B35" s="256">
        <f>'z(3)'!B2</f>
        <v>4</v>
      </c>
    </row>
    <row r="36" spans="1:11" x14ac:dyDescent="0.25">
      <c r="A36" s="251" t="s">
        <v>1010</v>
      </c>
      <c r="B36" s="252"/>
      <c r="C36" s="252"/>
      <c r="D36" s="252"/>
      <c r="E36" s="252"/>
      <c r="F36" s="252"/>
      <c r="G36" s="252"/>
      <c r="H36" s="252"/>
      <c r="I36" s="253"/>
      <c r="J36">
        <v>0.68</v>
      </c>
      <c r="K36" t="s">
        <v>1013</v>
      </c>
    </row>
    <row r="37" spans="1:11" x14ac:dyDescent="0.25">
      <c r="A37" s="90" t="s">
        <v>633</v>
      </c>
      <c r="B37" s="250">
        <v>1</v>
      </c>
    </row>
    <row r="38" spans="1:11" x14ac:dyDescent="0.25">
      <c r="A38" s="61" t="s">
        <v>315</v>
      </c>
      <c r="B38" s="30"/>
    </row>
    <row r="39" spans="1:11" x14ac:dyDescent="0.25">
      <c r="A39" s="61" t="s">
        <v>316</v>
      </c>
      <c r="B39" s="30"/>
      <c r="C39" s="85" t="str">
        <f>IF(ISNUMBER(B39),"About "&amp;TEXT(J36,"0%")&amp;" of the "&amp;K36&amp;" will be between "&amp;TEXT(B38,"0\""")&amp;" and "&amp;TEXT(B39,"0\"""),"")</f>
        <v/>
      </c>
    </row>
    <row r="40" spans="1:11" x14ac:dyDescent="0.25">
      <c r="A40" s="251" t="s">
        <v>1011</v>
      </c>
      <c r="B40" s="252"/>
      <c r="C40" s="252"/>
      <c r="D40" s="252"/>
      <c r="E40" s="252"/>
      <c r="F40" s="252"/>
      <c r="G40" s="252"/>
      <c r="H40" s="252"/>
      <c r="I40" s="253"/>
      <c r="J40">
        <v>0.95</v>
      </c>
      <c r="K40" t="s">
        <v>1013</v>
      </c>
    </row>
    <row r="41" spans="1:11" x14ac:dyDescent="0.25">
      <c r="A41" s="90" t="s">
        <v>633</v>
      </c>
      <c r="B41" s="250">
        <v>2</v>
      </c>
    </row>
    <row r="42" spans="1:11" x14ac:dyDescent="0.25">
      <c r="A42" s="61" t="s">
        <v>315</v>
      </c>
      <c r="B42" s="30"/>
    </row>
    <row r="43" spans="1:11" x14ac:dyDescent="0.25">
      <c r="A43" s="61" t="s">
        <v>316</v>
      </c>
      <c r="B43" s="30"/>
      <c r="C43" s="85" t="str">
        <f>IF(ISNUMBER(B43),"About "&amp;TEXT(J40,"0%")&amp;" of the "&amp;K40&amp;" will be between "&amp;TEXT(B42,"0\""")&amp;" and "&amp;TEXT(B43,"0\"""),"")</f>
        <v/>
      </c>
    </row>
    <row r="44" spans="1:11" x14ac:dyDescent="0.25">
      <c r="A44" s="251" t="s">
        <v>1143</v>
      </c>
      <c r="B44" s="252"/>
      <c r="C44" s="252"/>
      <c r="D44" s="252"/>
      <c r="E44" s="252"/>
      <c r="F44" s="252"/>
      <c r="G44" s="252"/>
      <c r="H44" s="252"/>
      <c r="I44" s="253"/>
      <c r="J44">
        <v>0.99</v>
      </c>
      <c r="K44" t="s">
        <v>1013</v>
      </c>
    </row>
    <row r="45" spans="1:11" x14ac:dyDescent="0.25">
      <c r="A45" s="90" t="s">
        <v>633</v>
      </c>
      <c r="B45" s="250">
        <v>3</v>
      </c>
    </row>
    <row r="46" spans="1:11" x14ac:dyDescent="0.25">
      <c r="A46" s="61" t="s">
        <v>315</v>
      </c>
      <c r="B46" s="30"/>
    </row>
    <row r="47" spans="1:11" x14ac:dyDescent="0.25">
      <c r="A47" s="61" t="s">
        <v>316</v>
      </c>
      <c r="B47" s="30"/>
      <c r="C47" s="85" t="str">
        <f>IF(ISNUMBER(B47),"About "&amp;TEXT(J44,"0%")&amp;" of the "&amp;K44&amp;" will be between "&amp;TEXT(B46,"0\""")&amp;" and "&amp;TEXT(B47,"0\"""),"")</f>
        <v/>
      </c>
    </row>
    <row r="49" spans="1:11" x14ac:dyDescent="0.25">
      <c r="A49" s="22" t="s">
        <v>647</v>
      </c>
    </row>
    <row r="50" spans="1:11" x14ac:dyDescent="0.25">
      <c r="A50" t="s">
        <v>1007</v>
      </c>
    </row>
    <row r="51" spans="1:11" x14ac:dyDescent="0.25">
      <c r="A51" t="s">
        <v>1008</v>
      </c>
    </row>
    <row r="52" spans="1:11" x14ac:dyDescent="0.25">
      <c r="A52" t="s">
        <v>1009</v>
      </c>
    </row>
    <row r="54" spans="1:11" ht="30" x14ac:dyDescent="0.25">
      <c r="A54" s="61" t="s">
        <v>1012</v>
      </c>
      <c r="B54" s="34">
        <v>2.31</v>
      </c>
      <c r="D54" t="s">
        <v>1021</v>
      </c>
      <c r="I54" t="s">
        <v>1015</v>
      </c>
    </row>
    <row r="55" spans="1:11" x14ac:dyDescent="0.25">
      <c r="A55" s="61" t="s">
        <v>641</v>
      </c>
      <c r="B55" s="34">
        <v>0.12</v>
      </c>
    </row>
    <row r="56" spans="1:11" x14ac:dyDescent="0.25">
      <c r="A56" s="251" t="s">
        <v>1010</v>
      </c>
      <c r="B56" s="252"/>
      <c r="C56" s="252"/>
      <c r="D56" s="252"/>
      <c r="E56" s="252"/>
      <c r="F56" s="252"/>
      <c r="G56" s="252"/>
      <c r="H56" s="252"/>
      <c r="I56" s="253"/>
      <c r="J56">
        <v>0.68</v>
      </c>
      <c r="K56" t="s">
        <v>1014</v>
      </c>
    </row>
    <row r="57" spans="1:11" x14ac:dyDescent="0.25">
      <c r="A57" s="90" t="s">
        <v>633</v>
      </c>
      <c r="B57" s="250">
        <v>1</v>
      </c>
    </row>
    <row r="58" spans="1:11" x14ac:dyDescent="0.25">
      <c r="A58" s="61" t="s">
        <v>315</v>
      </c>
      <c r="B58" s="30"/>
    </row>
    <row r="59" spans="1:11" x14ac:dyDescent="0.25">
      <c r="A59" s="61" t="s">
        <v>316</v>
      </c>
      <c r="B59" s="30"/>
      <c r="C59" s="85" t="str">
        <f>IF(ISNUMBER(B59),"About "&amp;TEXT(J56,"0%")&amp;" of the "&amp;K56&amp;" will be between "&amp;TEXT(B58,"$0.00")&amp;" and "&amp;TEXT(B59,"$0.00"),"")</f>
        <v/>
      </c>
    </row>
    <row r="60" spans="1:11" x14ac:dyDescent="0.25">
      <c r="A60" s="251" t="s">
        <v>1011</v>
      </c>
      <c r="B60" s="252"/>
      <c r="C60" s="252"/>
      <c r="D60" s="252"/>
      <c r="E60" s="252"/>
      <c r="F60" s="252"/>
      <c r="G60" s="252"/>
      <c r="H60" s="252"/>
      <c r="I60" s="253"/>
      <c r="J60">
        <v>0.95</v>
      </c>
      <c r="K60" t="s">
        <v>1014</v>
      </c>
    </row>
    <row r="61" spans="1:11" x14ac:dyDescent="0.25">
      <c r="A61" s="90" t="s">
        <v>633</v>
      </c>
      <c r="B61" s="250">
        <v>2</v>
      </c>
    </row>
    <row r="62" spans="1:11" x14ac:dyDescent="0.25">
      <c r="A62" s="61" t="s">
        <v>315</v>
      </c>
      <c r="B62" s="30"/>
    </row>
    <row r="63" spans="1:11" x14ac:dyDescent="0.25">
      <c r="A63" s="61" t="s">
        <v>316</v>
      </c>
      <c r="B63" s="30"/>
      <c r="C63" s="85" t="str">
        <f>IF(ISNUMBER(B63),"About "&amp;TEXT(J60,"0%")&amp;" of the "&amp;K60&amp;" will be between "&amp;TEXT(B62,"$0.00")&amp;" and "&amp;TEXT(B63,"$0.00"),"")</f>
        <v/>
      </c>
    </row>
    <row r="64" spans="1:11" x14ac:dyDescent="0.25">
      <c r="A64" s="251" t="s">
        <v>1143</v>
      </c>
      <c r="B64" s="252"/>
      <c r="C64" s="252"/>
      <c r="D64" s="252"/>
      <c r="E64" s="252"/>
      <c r="F64" s="252"/>
      <c r="G64" s="252"/>
      <c r="H64" s="252"/>
      <c r="I64" s="253"/>
      <c r="J64">
        <v>0.99</v>
      </c>
      <c r="K64" t="s">
        <v>1014</v>
      </c>
    </row>
    <row r="65" spans="1:11" x14ac:dyDescent="0.25">
      <c r="A65" s="90" t="s">
        <v>633</v>
      </c>
      <c r="B65" s="250">
        <v>3</v>
      </c>
    </row>
    <row r="66" spans="1:11" x14ac:dyDescent="0.25">
      <c r="A66" s="61" t="s">
        <v>315</v>
      </c>
      <c r="B66" s="30"/>
    </row>
    <row r="67" spans="1:11" x14ac:dyDescent="0.25">
      <c r="A67" s="61" t="s">
        <v>316</v>
      </c>
      <c r="B67" s="30"/>
      <c r="C67" s="85" t="str">
        <f>IF(ISNUMBER(B67),"About "&amp;TEXT(J64,"0%")&amp;" of the "&amp;K64&amp;" will be between "&amp;TEXT(B66,"$0.00")&amp;" and "&amp;TEXT(B67,"$0.00"),"")</f>
        <v/>
      </c>
    </row>
    <row r="69" spans="1:11" x14ac:dyDescent="0.25">
      <c r="A69" s="22" t="s">
        <v>647</v>
      </c>
    </row>
    <row r="70" spans="1:11" x14ac:dyDescent="0.25">
      <c r="A70" t="s">
        <v>1007</v>
      </c>
    </row>
    <row r="71" spans="1:11" x14ac:dyDescent="0.25">
      <c r="A71" t="s">
        <v>1008</v>
      </c>
    </row>
    <row r="72" spans="1:11" x14ac:dyDescent="0.25">
      <c r="A72" t="s">
        <v>1009</v>
      </c>
    </row>
    <row r="74" spans="1:11" ht="30" x14ac:dyDescent="0.25">
      <c r="A74" s="61" t="s">
        <v>1016</v>
      </c>
      <c r="B74" s="34">
        <v>32</v>
      </c>
      <c r="C74" t="s">
        <v>1025</v>
      </c>
      <c r="D74" t="s">
        <v>1021</v>
      </c>
      <c r="I74" t="s">
        <v>1018</v>
      </c>
    </row>
    <row r="75" spans="1:11" x14ac:dyDescent="0.25">
      <c r="A75" s="61" t="s">
        <v>641</v>
      </c>
      <c r="B75" s="34">
        <v>0.35</v>
      </c>
      <c r="C75" t="s">
        <v>1025</v>
      </c>
    </row>
    <row r="76" spans="1:11" x14ac:dyDescent="0.25">
      <c r="A76" s="251" t="s">
        <v>1010</v>
      </c>
      <c r="B76" s="252"/>
      <c r="C76" s="252"/>
      <c r="D76" s="252"/>
      <c r="E76" s="252"/>
      <c r="F76" s="252"/>
      <c r="G76" s="252"/>
      <c r="H76" s="252"/>
      <c r="I76" s="253"/>
      <c r="J76">
        <v>0.68</v>
      </c>
      <c r="K76" t="s">
        <v>1017</v>
      </c>
    </row>
    <row r="77" spans="1:11" x14ac:dyDescent="0.25">
      <c r="A77" s="90" t="s">
        <v>633</v>
      </c>
      <c r="B77" s="250">
        <v>1</v>
      </c>
    </row>
    <row r="78" spans="1:11" x14ac:dyDescent="0.25">
      <c r="A78" s="61" t="s">
        <v>315</v>
      </c>
      <c r="B78" s="30"/>
    </row>
    <row r="79" spans="1:11" x14ac:dyDescent="0.25">
      <c r="A79" s="61" t="s">
        <v>316</v>
      </c>
      <c r="B79" s="30"/>
      <c r="C79" s="85" t="str">
        <f>IF(ISNUMBER(B79),"About "&amp;TEXT(J76,"0%")&amp;" of the "&amp;K76&amp;" will be between "&amp;TEXT(B78,"0.00 oz.")&amp;" and "&amp;TEXT(B79,"0.00 oz."),"")</f>
        <v/>
      </c>
    </row>
    <row r="80" spans="1:11" x14ac:dyDescent="0.25">
      <c r="A80" s="251" t="s">
        <v>1011</v>
      </c>
      <c r="B80" s="252"/>
      <c r="C80" s="252"/>
      <c r="D80" s="252"/>
      <c r="E80" s="252"/>
      <c r="F80" s="252"/>
      <c r="G80" s="252"/>
      <c r="H80" s="252"/>
      <c r="I80" s="253"/>
      <c r="J80">
        <v>0.95</v>
      </c>
      <c r="K80" t="s">
        <v>1017</v>
      </c>
    </row>
    <row r="81" spans="1:11" x14ac:dyDescent="0.25">
      <c r="A81" s="90" t="s">
        <v>633</v>
      </c>
      <c r="B81" s="250">
        <v>2</v>
      </c>
    </row>
    <row r="82" spans="1:11" x14ac:dyDescent="0.25">
      <c r="A82" s="61" t="s">
        <v>315</v>
      </c>
      <c r="B82" s="30"/>
    </row>
    <row r="83" spans="1:11" x14ac:dyDescent="0.25">
      <c r="A83" s="61" t="s">
        <v>316</v>
      </c>
      <c r="B83" s="30"/>
      <c r="C83" s="85" t="str">
        <f>IF(ISNUMBER(B83),"About "&amp;TEXT(J80,"0%")&amp;" of the "&amp;K80&amp;" will be between "&amp;TEXT(B82,"0.00 oz.")&amp;" and "&amp;TEXT(B83,"0.00 oz."),"")</f>
        <v/>
      </c>
    </row>
    <row r="84" spans="1:11" x14ac:dyDescent="0.25">
      <c r="A84" s="251" t="s">
        <v>1011</v>
      </c>
      <c r="B84" s="252"/>
      <c r="C84" s="252"/>
      <c r="D84" s="252"/>
      <c r="E84" s="252"/>
      <c r="F84" s="252"/>
      <c r="G84" s="252"/>
      <c r="H84" s="252"/>
      <c r="I84" s="253"/>
      <c r="J84">
        <v>0.99</v>
      </c>
      <c r="K84" t="s">
        <v>1017</v>
      </c>
    </row>
    <row r="85" spans="1:11" x14ac:dyDescent="0.25">
      <c r="A85" s="90" t="s">
        <v>633</v>
      </c>
      <c r="B85" s="250">
        <v>3</v>
      </c>
    </row>
    <row r="86" spans="1:11" x14ac:dyDescent="0.25">
      <c r="A86" s="61" t="s">
        <v>315</v>
      </c>
      <c r="B86" s="30"/>
    </row>
    <row r="87" spans="1:11" x14ac:dyDescent="0.25">
      <c r="A87" s="61" t="s">
        <v>316</v>
      </c>
      <c r="B87" s="30"/>
      <c r="C87" s="85" t="str">
        <f>IF(ISNUMBER(B87),"About "&amp;TEXT(J84,"0%")&amp;" of the "&amp;K84&amp;" will be between "&amp;TEXT(B86,"0.00 oz.")&amp;" and "&amp;TEXT(B87,"0.00 oz."),"")</f>
        <v/>
      </c>
    </row>
    <row r="90" spans="1:11" x14ac:dyDescent="0.25">
      <c r="A90" s="22" t="s">
        <v>1019</v>
      </c>
    </row>
    <row r="91" spans="1:11" x14ac:dyDescent="0.25">
      <c r="A91" s="1" t="s">
        <v>641</v>
      </c>
      <c r="B91" s="1" t="s">
        <v>291</v>
      </c>
      <c r="C91" s="1" t="s">
        <v>648</v>
      </c>
    </row>
    <row r="92" spans="1:11" x14ac:dyDescent="0.25">
      <c r="A92" s="26" t="s">
        <v>651</v>
      </c>
      <c r="B92" s="34">
        <v>0.68</v>
      </c>
      <c r="C92" s="30"/>
    </row>
    <row r="93" spans="1:11" x14ac:dyDescent="0.25">
      <c r="A93" s="26" t="s">
        <v>650</v>
      </c>
      <c r="B93" s="34">
        <v>0.95</v>
      </c>
      <c r="C93" s="30"/>
    </row>
    <row r="94" spans="1:11" x14ac:dyDescent="0.25">
      <c r="A94" s="26" t="s">
        <v>649</v>
      </c>
      <c r="B94" s="34">
        <v>0.99</v>
      </c>
      <c r="C94" s="30"/>
    </row>
    <row r="96" spans="1:11" ht="30" x14ac:dyDescent="0.25">
      <c r="A96" s="61" t="s">
        <v>1012</v>
      </c>
      <c r="B96" s="34">
        <v>2.31</v>
      </c>
    </row>
    <row r="97" spans="1:13" x14ac:dyDescent="0.25">
      <c r="A97" s="61" t="s">
        <v>641</v>
      </c>
      <c r="B97" s="34">
        <v>0.12</v>
      </c>
    </row>
    <row r="98" spans="1:13" x14ac:dyDescent="0.25">
      <c r="A98" s="251" t="str">
        <f>"What is the probability of getting a gas price between "&amp;DOLLAR(B99)&amp;" and "&amp;DOLLAR(B100)&amp;"?"</f>
        <v>What is the probability of getting a gas price between $2.31 and $2.55?</v>
      </c>
      <c r="B98" s="252"/>
      <c r="C98" s="252"/>
      <c r="D98" s="252"/>
      <c r="E98" s="252"/>
      <c r="F98" s="252"/>
      <c r="G98" s="252"/>
      <c r="H98" s="252"/>
      <c r="I98" s="253"/>
    </row>
    <row r="99" spans="1:13" x14ac:dyDescent="0.25">
      <c r="A99" s="61" t="s">
        <v>315</v>
      </c>
      <c r="B99" s="34">
        <v>2.31</v>
      </c>
    </row>
    <row r="100" spans="1:13" x14ac:dyDescent="0.25">
      <c r="A100" s="61" t="s">
        <v>316</v>
      </c>
      <c r="B100" s="34">
        <f>B96+B97*2</f>
        <v>2.5499999999999998</v>
      </c>
    </row>
    <row r="101" spans="1:13" x14ac:dyDescent="0.25">
      <c r="A101" s="61" t="str">
        <f>"z "&amp;A99</f>
        <v>z Lower</v>
      </c>
      <c r="B101" s="30"/>
    </row>
    <row r="102" spans="1:13" x14ac:dyDescent="0.25">
      <c r="A102" s="61" t="str">
        <f>"z "&amp;A100</f>
        <v>z Upper</v>
      </c>
      <c r="B102" s="30"/>
      <c r="M102">
        <f>_xlfn.NORM.S.DIST(B102,1)-_xlfn.NORM.S.DIST(B101,1)</f>
        <v>0</v>
      </c>
    </row>
    <row r="103" spans="1:13" x14ac:dyDescent="0.25">
      <c r="A103" s="61" t="s">
        <v>1020</v>
      </c>
      <c r="B103" s="30"/>
      <c r="C103" s="85" t="str">
        <f>IF(ISNUMBER(B103),"The probability of getting a gas price between "&amp;DOLLAR(B99)&amp;" and "&amp;DOLLAR(B100)&amp;" is approximately "&amp;TEXT(B103,"0.0%"),"")</f>
        <v/>
      </c>
    </row>
    <row r="104" spans="1:13" x14ac:dyDescent="0.25">
      <c r="A104" s="251" t="str">
        <f>"What is the probability of getting a gas price between "&amp;DOLLAR(B105)&amp;" and "&amp;DOLLAR(B106)&amp;"?"</f>
        <v>What is the probability of getting a gas price between $2.07 and $2.43?</v>
      </c>
      <c r="B104" s="252"/>
      <c r="C104" s="252"/>
      <c r="D104" s="252"/>
      <c r="E104" s="252"/>
      <c r="F104" s="252"/>
      <c r="G104" s="252"/>
      <c r="H104" s="252"/>
      <c r="I104" s="253"/>
    </row>
    <row r="105" spans="1:13" x14ac:dyDescent="0.25">
      <c r="A105" s="61" t="s">
        <v>315</v>
      </c>
      <c r="B105" s="34">
        <f>B96-B97*2</f>
        <v>2.0700000000000003</v>
      </c>
    </row>
    <row r="106" spans="1:13" x14ac:dyDescent="0.25">
      <c r="A106" s="61" t="s">
        <v>316</v>
      </c>
      <c r="B106" s="34">
        <f>B96+B97*1</f>
        <v>2.4300000000000002</v>
      </c>
    </row>
    <row r="107" spans="1:13" x14ac:dyDescent="0.25">
      <c r="A107" s="61" t="str">
        <f>"z "&amp;A105</f>
        <v>z Lower</v>
      </c>
      <c r="B107" s="30"/>
    </row>
    <row r="108" spans="1:13" x14ac:dyDescent="0.25">
      <c r="A108" s="61" t="str">
        <f>"z "&amp;A106</f>
        <v>z Upper</v>
      </c>
      <c r="B108" s="30"/>
      <c r="M108">
        <f>_xlfn.NORM.S.DIST(B108,1)-_xlfn.NORM.S.DIST(B107,1)</f>
        <v>0</v>
      </c>
    </row>
    <row r="109" spans="1:13" x14ac:dyDescent="0.25">
      <c r="A109" s="61" t="s">
        <v>1020</v>
      </c>
      <c r="B109" s="30"/>
      <c r="C109" s="85" t="str">
        <f>IF(ISNUMBER(B109),"The probability of getting a gas price between "&amp;DOLLAR(B105)&amp;" and "&amp;DOLLAR(B106)&amp;" is approximately "&amp;TEXT(B109,"0.0%"),"")</f>
        <v/>
      </c>
    </row>
    <row r="110" spans="1:13" x14ac:dyDescent="0.25">
      <c r="A110" s="251" t="str">
        <f>"What is the probability of getting a gas price above "&amp;DOLLAR(B111)</f>
        <v>What is the probability of getting a gas price above $2.19</v>
      </c>
      <c r="B110" s="252"/>
      <c r="C110" s="252"/>
      <c r="D110" s="252"/>
      <c r="E110" s="252"/>
      <c r="F110" s="252"/>
      <c r="G110" s="252"/>
      <c r="H110" s="252"/>
      <c r="I110" s="253"/>
    </row>
    <row r="111" spans="1:13" x14ac:dyDescent="0.25">
      <c r="A111" s="61" t="s">
        <v>315</v>
      </c>
      <c r="B111" s="34">
        <f>B96-B97</f>
        <v>2.19</v>
      </c>
    </row>
    <row r="112" spans="1:13" x14ac:dyDescent="0.25">
      <c r="A112" s="61" t="str">
        <f>"z "&amp;A111</f>
        <v>z Lower</v>
      </c>
      <c r="B112" s="30"/>
      <c r="M112">
        <f>1-_xlfn.NORM.S.DIST(B112,1)</f>
        <v>0.5</v>
      </c>
    </row>
    <row r="113" spans="1:3" x14ac:dyDescent="0.25">
      <c r="A113" s="61" t="s">
        <v>1020</v>
      </c>
      <c r="B113" s="30"/>
      <c r="C113" s="85" t="str">
        <f>IF(ISNUMBER(B113),"The probability of getting a gas price above "&amp;DOLLAR(B111)&amp;" is approximately "&amp;TEXT(B113,"0.0%"),"")</f>
        <v/>
      </c>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tabColor rgb="FF0000FF"/>
  </sheetPr>
  <dimension ref="A1:AC1230"/>
  <sheetViews>
    <sheetView zoomScaleNormal="100" workbookViewId="0">
      <selection activeCell="F10" sqref="F10:H10"/>
    </sheetView>
  </sheetViews>
  <sheetFormatPr defaultRowHeight="15" x14ac:dyDescent="0.25"/>
  <cols>
    <col min="5" max="5" width="12" bestFit="1" customWidth="1"/>
    <col min="14" max="14" width="30.5703125" bestFit="1" customWidth="1"/>
  </cols>
  <sheetData>
    <row r="1" spans="1:29" x14ac:dyDescent="0.25">
      <c r="E1" s="61" t="s">
        <v>198</v>
      </c>
      <c r="F1" s="58">
        <f>'z(3)'!B1</f>
        <v>71</v>
      </c>
      <c r="G1" s="170"/>
      <c r="J1" s="62" t="s">
        <v>633</v>
      </c>
      <c r="K1" s="62" t="s">
        <v>1003</v>
      </c>
      <c r="M1" s="61" t="s">
        <v>365</v>
      </c>
      <c r="N1" s="26" t="s">
        <v>1000</v>
      </c>
      <c r="U1" s="62" t="s">
        <v>633</v>
      </c>
      <c r="V1" s="62" t="s">
        <v>365</v>
      </c>
      <c r="W1" s="62" t="str">
        <f>"Line"&amp;U2</f>
        <v>Line-3</v>
      </c>
      <c r="Z1" t="s">
        <v>994</v>
      </c>
      <c r="AC1" t="str">
        <f>Z1&amp;", "&amp;Z2&amp;", "&amp;Z3&amp;", "&amp;Z4</f>
        <v>Normal Distribution, Bell Shaped Distribution, Gaussian Distribution, Symmetrical Distribution</v>
      </c>
    </row>
    <row r="2" spans="1:29" x14ac:dyDescent="0.25">
      <c r="E2" s="61" t="s">
        <v>401</v>
      </c>
      <c r="F2" s="58">
        <f>'z(3)'!B2</f>
        <v>4</v>
      </c>
      <c r="J2" s="181">
        <v>-3</v>
      </c>
      <c r="K2" s="255">
        <f>$F$1+J2*$F$2</f>
        <v>59</v>
      </c>
      <c r="M2" s="61" t="s">
        <v>633</v>
      </c>
      <c r="N2" s="26" t="s">
        <v>1001</v>
      </c>
      <c r="U2" s="181">
        <v>-3</v>
      </c>
      <c r="V2" s="255">
        <v>90</v>
      </c>
      <c r="W2" s="26">
        <v>0</v>
      </c>
      <c r="Z2" t="s">
        <v>995</v>
      </c>
    </row>
    <row r="3" spans="1:29" x14ac:dyDescent="0.25">
      <c r="J3" s="26">
        <v>-2</v>
      </c>
      <c r="K3" s="255">
        <f t="shared" ref="K3:K8" si="0">$F$1+J3*$F$2</f>
        <v>63</v>
      </c>
      <c r="M3" s="61" t="s">
        <v>1002</v>
      </c>
      <c r="N3" s="30" t="str">
        <f>N1&amp;CHAR(10)&amp;N2</f>
        <v>X = Hieght
z = # of SD from Mean</v>
      </c>
      <c r="U3" s="26">
        <v>-3</v>
      </c>
      <c r="V3" s="255">
        <v>90</v>
      </c>
      <c r="W3" s="26">
        <v>0.15</v>
      </c>
      <c r="Z3" t="s">
        <v>996</v>
      </c>
    </row>
    <row r="4" spans="1:29" x14ac:dyDescent="0.25">
      <c r="E4" s="62" t="s">
        <v>641</v>
      </c>
      <c r="F4" s="26">
        <v>3</v>
      </c>
      <c r="G4" s="26">
        <v>2</v>
      </c>
      <c r="H4" s="26">
        <v>1</v>
      </c>
      <c r="J4" s="26">
        <v>-1</v>
      </c>
      <c r="K4" s="255">
        <f t="shared" si="0"/>
        <v>67</v>
      </c>
      <c r="U4" s="62" t="s">
        <v>633</v>
      </c>
      <c r="V4" s="62" t="s">
        <v>365</v>
      </c>
      <c r="W4" s="62" t="str">
        <f>"Line"&amp;U5</f>
        <v>Line-2</v>
      </c>
      <c r="Z4" t="s">
        <v>997</v>
      </c>
    </row>
    <row r="5" spans="1:29" x14ac:dyDescent="0.25">
      <c r="E5" s="62" t="s">
        <v>1002</v>
      </c>
      <c r="F5" s="30" t="str">
        <f>TEXT(TRUNC(F6,2),"0.0%")</f>
        <v>99.0%</v>
      </c>
      <c r="G5" s="30" t="str">
        <f t="shared" ref="G5:H5" si="1">TEXT(TRUNC(G6,2),"0.0%")</f>
        <v>95.0%</v>
      </c>
      <c r="H5" s="30" t="str">
        <f t="shared" si="1"/>
        <v>68.0%</v>
      </c>
      <c r="J5" s="26">
        <v>0</v>
      </c>
      <c r="K5" s="255">
        <f t="shared" si="0"/>
        <v>71</v>
      </c>
      <c r="U5" s="26">
        <v>-2</v>
      </c>
      <c r="V5" s="255">
        <f>$F$1+U5*$F$2</f>
        <v>63</v>
      </c>
      <c r="W5" s="26">
        <v>0</v>
      </c>
    </row>
    <row r="6" spans="1:29" x14ac:dyDescent="0.25">
      <c r="E6" s="62" t="s">
        <v>993</v>
      </c>
      <c r="F6" s="75">
        <f>_xlfn.NORM.S.DIST(F4,1)-_xlfn.NORM.S.DIST(-F4,1)</f>
        <v>0.99730020393673979</v>
      </c>
      <c r="G6" s="75">
        <f>_xlfn.NORM.S.DIST(G4,1)-_xlfn.NORM.S.DIST(-G4,1)</f>
        <v>0.95449973610364158</v>
      </c>
      <c r="H6" s="75">
        <f>_xlfn.NORM.S.DIST(H4,1)-_xlfn.NORM.S.DIST(-H4,1)</f>
        <v>0.68268949213708607</v>
      </c>
      <c r="J6" s="26">
        <v>1</v>
      </c>
      <c r="K6" s="255">
        <f t="shared" si="0"/>
        <v>75</v>
      </c>
      <c r="U6" s="26">
        <v>-2</v>
      </c>
      <c r="V6" s="255">
        <f>$F$1+U6*$F$2</f>
        <v>63</v>
      </c>
      <c r="W6" s="26">
        <v>0.12</v>
      </c>
    </row>
    <row r="7" spans="1:29" x14ac:dyDescent="0.25">
      <c r="E7" s="62" t="s">
        <v>315</v>
      </c>
      <c r="F7" s="30">
        <f>$F$1-F$4*$F$2</f>
        <v>59</v>
      </c>
      <c r="G7" s="30">
        <f>$F$1-G$4*$F$2</f>
        <v>63</v>
      </c>
      <c r="H7" s="30">
        <f>$F$1-H$4*$F$2</f>
        <v>67</v>
      </c>
      <c r="J7" s="26">
        <v>2</v>
      </c>
      <c r="K7" s="255">
        <f t="shared" si="0"/>
        <v>79</v>
      </c>
      <c r="U7" s="62" t="s">
        <v>633</v>
      </c>
      <c r="V7" s="62" t="s">
        <v>365</v>
      </c>
      <c r="W7" s="62" t="str">
        <f>"Line"&amp;U8</f>
        <v>Line-1</v>
      </c>
    </row>
    <row r="8" spans="1:29" x14ac:dyDescent="0.25">
      <c r="E8" s="62" t="s">
        <v>316</v>
      </c>
      <c r="F8" s="30">
        <f>$F$1+F$4*$F$2</f>
        <v>83</v>
      </c>
      <c r="G8" s="30">
        <f>$F$1+G$4*$F$2</f>
        <v>79</v>
      </c>
      <c r="H8" s="30">
        <f>$F$1+H$4*$F$2</f>
        <v>75</v>
      </c>
      <c r="J8" s="26">
        <v>3</v>
      </c>
      <c r="K8" s="255">
        <f t="shared" si="0"/>
        <v>83</v>
      </c>
      <c r="U8" s="26">
        <v>-1</v>
      </c>
      <c r="V8" s="255">
        <f>$F$1+U8*$F$2</f>
        <v>67</v>
      </c>
      <c r="W8" s="26">
        <v>0</v>
      </c>
    </row>
    <row r="9" spans="1:29" x14ac:dyDescent="0.25">
      <c r="U9" s="26">
        <v>-1</v>
      </c>
      <c r="V9" s="255">
        <f>$F$1+U9*$F$2</f>
        <v>67</v>
      </c>
      <c r="W9" s="26">
        <v>0.11</v>
      </c>
    </row>
    <row r="10" spans="1:29" ht="29.25" customHeight="1" x14ac:dyDescent="0.25">
      <c r="A10" s="61" t="s">
        <v>633</v>
      </c>
      <c r="B10" s="61" t="s">
        <v>719</v>
      </c>
      <c r="C10" s="61" t="s">
        <v>998</v>
      </c>
      <c r="D10" s="61" t="s">
        <v>999</v>
      </c>
      <c r="E10" s="61" t="s">
        <v>1005</v>
      </c>
      <c r="F10" s="61" t="str">
        <f>"About "&amp;TEXT(TRUNC(F6,2),"0.0%")&amp;" of the values will lie between +/- "&amp;F4&amp;" SD, or between "&amp;ROUND(F7,0)&amp;" and "&amp;ROUND(F8,0)&amp;" inches"</f>
        <v>About 99.0% of the values will lie between +/- 3 SD, or between 59 and 83 inches</v>
      </c>
      <c r="G10" s="61" t="str">
        <f>"About "&amp;TEXT(TRUNC(G6,2),"0.0%")&amp;" of the values will lie between +/- "&amp;G4&amp;" SD, or between "&amp;ROUND(G7,0)&amp;" and "&amp;ROUND(G8,0)&amp;" inches"</f>
        <v>About 95.0% of the values will lie between +/- 2 SD, or between 63 and 79 inches</v>
      </c>
      <c r="H10" s="61" t="str">
        <f>"About "&amp;TEXT(TRUNC(H6,2),"0.0%")&amp;" of the values will lie between +/- "&amp;H4&amp;" SD, or between "&amp;ROUND(H7,0)&amp;" and "&amp;ROUND(H8,0)&amp;" inches"</f>
        <v>About 68.0% of the values will lie between +/- 1 SD, or between 67 and 75 inches</v>
      </c>
      <c r="I10" s="61" t="str">
        <f>"Mean = "&amp;F1&amp;", where z = 0"</f>
        <v>Mean = 71, where z = 0</v>
      </c>
      <c r="U10" s="62" t="s">
        <v>633</v>
      </c>
      <c r="V10" s="62" t="s">
        <v>365</v>
      </c>
      <c r="W10" s="62" t="str">
        <f>"Line"&amp;U11</f>
        <v>Line0</v>
      </c>
    </row>
    <row r="11" spans="1:29" hidden="1" x14ac:dyDescent="0.25">
      <c r="A11" s="30">
        <f>(INT(B11)-$F$1)/$F$2</f>
        <v>-7.75</v>
      </c>
      <c r="B11" s="58">
        <f>INT((ROWS(B$11:B11)-1)/20)+40+0.05*MOD(ROWS(B$11:B11)-1,20)</f>
        <v>40</v>
      </c>
      <c r="C11" s="58" t="str">
        <f>IF(AND(A11&lt;&gt;A10,INT(A11)=A11),A11,"")</f>
        <v/>
      </c>
      <c r="D11" s="58">
        <f t="shared" ref="D11:D74" si="2">IF(INT(B11)=B11,B11,"")</f>
        <v>40</v>
      </c>
      <c r="E11" s="30">
        <f t="shared" ref="E11:E74" si="3">_xlfn.NORM.DIST(B11,$F$1,$F$2,0)</f>
        <v>9.0457361277812933E-15</v>
      </c>
      <c r="F11" s="30" t="str">
        <f t="shared" ref="F11:H30" si="4">IF(AND($B11&gt;=F$7,$B11&lt;=F$8),E11,"")</f>
        <v/>
      </c>
      <c r="G11" s="30" t="str">
        <f t="shared" si="4"/>
        <v/>
      </c>
      <c r="H11" s="30" t="str">
        <f t="shared" si="4"/>
        <v/>
      </c>
      <c r="I11" s="30" t="str">
        <f t="shared" ref="I11:I74" si="5">IF(AND(B11&gt;=$F$1-0.2,B11&lt;=$F$1+0.2),E11,"")</f>
        <v/>
      </c>
      <c r="U11" s="26">
        <v>0</v>
      </c>
      <c r="V11" s="255">
        <f t="shared" ref="V11:V42" si="6">$F$1+U11*$F$2</f>
        <v>71</v>
      </c>
      <c r="W11" s="26">
        <v>0</v>
      </c>
    </row>
    <row r="12" spans="1:29" hidden="1" x14ac:dyDescent="0.25">
      <c r="A12" s="30">
        <f t="shared" ref="A12:A75" si="7">(INT(B12)-$F$1)/$F$2</f>
        <v>-7.75</v>
      </c>
      <c r="B12" s="58">
        <f>INT((ROWS(B$11:B12)-1)/20)+40+0.05*MOD(ROWS(B$11:B12)-1,20)</f>
        <v>40.049999999999997</v>
      </c>
      <c r="C12" s="58" t="str">
        <f t="shared" ref="C12:C75" si="8">IF(AND(A12&lt;&gt;A11,INT(A12)=A12),A12,"")</f>
        <v/>
      </c>
      <c r="D12" s="58" t="str">
        <f t="shared" si="2"/>
        <v/>
      </c>
      <c r="E12" s="30">
        <f t="shared" si="3"/>
        <v>9.9651138200963673E-15</v>
      </c>
      <c r="F12" s="30" t="str">
        <f t="shared" si="4"/>
        <v/>
      </c>
      <c r="G12" s="30" t="str">
        <f t="shared" si="4"/>
        <v/>
      </c>
      <c r="H12" s="30" t="str">
        <f t="shared" si="4"/>
        <v/>
      </c>
      <c r="I12" s="30" t="str">
        <f t="shared" si="5"/>
        <v/>
      </c>
      <c r="U12" s="26">
        <v>0</v>
      </c>
      <c r="V12" s="255">
        <f t="shared" si="6"/>
        <v>71</v>
      </c>
      <c r="W12" s="26">
        <v>1.2</v>
      </c>
    </row>
    <row r="13" spans="1:29" hidden="1" x14ac:dyDescent="0.25">
      <c r="A13" s="30">
        <f t="shared" si="7"/>
        <v>-7.75</v>
      </c>
      <c r="B13" s="58">
        <f>INT((ROWS(B$11:B13)-1)/20)+40+0.05*MOD(ROWS(B$11:B13)-1,20)</f>
        <v>40.1</v>
      </c>
      <c r="C13" s="58" t="str">
        <f t="shared" si="8"/>
        <v/>
      </c>
      <c r="D13" s="58" t="str">
        <f t="shared" si="2"/>
        <v/>
      </c>
      <c r="E13" s="30">
        <f t="shared" si="3"/>
        <v>1.0976218749497862E-14</v>
      </c>
      <c r="F13" s="30" t="str">
        <f t="shared" si="4"/>
        <v/>
      </c>
      <c r="G13" s="30" t="str">
        <f t="shared" si="4"/>
        <v/>
      </c>
      <c r="H13" s="30" t="str">
        <f t="shared" si="4"/>
        <v/>
      </c>
      <c r="I13" s="30" t="str">
        <f t="shared" si="5"/>
        <v/>
      </c>
      <c r="U13" s="26">
        <v>0</v>
      </c>
      <c r="V13" s="255">
        <f t="shared" si="6"/>
        <v>71</v>
      </c>
    </row>
    <row r="14" spans="1:29" hidden="1" x14ac:dyDescent="0.25">
      <c r="A14" s="30">
        <f t="shared" si="7"/>
        <v>-7.75</v>
      </c>
      <c r="B14" s="58">
        <f>INT((ROWS(B$11:B14)-1)/20)+40+0.05*MOD(ROWS(B$11:B14)-1,20)</f>
        <v>40.15</v>
      </c>
      <c r="C14" s="58" t="str">
        <f t="shared" si="8"/>
        <v/>
      </c>
      <c r="D14" s="58" t="str">
        <f t="shared" si="2"/>
        <v/>
      </c>
      <c r="E14" s="30">
        <f t="shared" si="3"/>
        <v>1.2088025996670304E-14</v>
      </c>
      <c r="F14" s="30" t="str">
        <f t="shared" si="4"/>
        <v/>
      </c>
      <c r="G14" s="30" t="str">
        <f t="shared" si="4"/>
        <v/>
      </c>
      <c r="H14" s="30" t="str">
        <f t="shared" si="4"/>
        <v/>
      </c>
      <c r="I14" s="30" t="str">
        <f t="shared" si="5"/>
        <v/>
      </c>
      <c r="U14" s="26">
        <v>0</v>
      </c>
      <c r="V14" s="255">
        <f t="shared" si="6"/>
        <v>71</v>
      </c>
    </row>
    <row r="15" spans="1:29" hidden="1" x14ac:dyDescent="0.25">
      <c r="A15" s="30">
        <f t="shared" si="7"/>
        <v>-7.75</v>
      </c>
      <c r="B15" s="58">
        <f>INT((ROWS(B$11:B15)-1)/20)+40+0.05*MOD(ROWS(B$11:B15)-1,20)</f>
        <v>40.200000000000003</v>
      </c>
      <c r="C15" s="58" t="str">
        <f t="shared" si="8"/>
        <v/>
      </c>
      <c r="D15" s="58" t="str">
        <f t="shared" si="2"/>
        <v/>
      </c>
      <c r="E15" s="30">
        <f t="shared" si="3"/>
        <v>1.3310370930632453E-14</v>
      </c>
      <c r="F15" s="30" t="str">
        <f t="shared" si="4"/>
        <v/>
      </c>
      <c r="G15" s="30" t="str">
        <f t="shared" si="4"/>
        <v/>
      </c>
      <c r="H15" s="30" t="str">
        <f t="shared" si="4"/>
        <v/>
      </c>
      <c r="I15" s="30" t="str">
        <f t="shared" si="5"/>
        <v/>
      </c>
      <c r="U15" s="26">
        <v>0</v>
      </c>
      <c r="V15" s="255">
        <f t="shared" si="6"/>
        <v>71</v>
      </c>
    </row>
    <row r="16" spans="1:29" hidden="1" x14ac:dyDescent="0.25">
      <c r="A16" s="30">
        <f t="shared" si="7"/>
        <v>-7.75</v>
      </c>
      <c r="B16" s="58">
        <f>INT((ROWS(B$11:B16)-1)/20)+40+0.05*MOD(ROWS(B$11:B16)-1,20)</f>
        <v>40.25</v>
      </c>
      <c r="C16" s="58" t="str">
        <f t="shared" si="8"/>
        <v/>
      </c>
      <c r="D16" s="58" t="str">
        <f t="shared" si="2"/>
        <v/>
      </c>
      <c r="E16" s="30">
        <f t="shared" si="3"/>
        <v>1.4654029891968206E-14</v>
      </c>
      <c r="F16" s="30" t="str">
        <f t="shared" si="4"/>
        <v/>
      </c>
      <c r="G16" s="30" t="str">
        <f t="shared" si="4"/>
        <v/>
      </c>
      <c r="H16" s="30" t="str">
        <f t="shared" si="4"/>
        <v/>
      </c>
      <c r="I16" s="30" t="str">
        <f t="shared" si="5"/>
        <v/>
      </c>
      <c r="U16" s="26">
        <v>0</v>
      </c>
      <c r="V16" s="255">
        <f t="shared" si="6"/>
        <v>71</v>
      </c>
    </row>
    <row r="17" spans="1:22" hidden="1" x14ac:dyDescent="0.25">
      <c r="A17" s="30">
        <f t="shared" si="7"/>
        <v>-7.75</v>
      </c>
      <c r="B17" s="58">
        <f>INT((ROWS(B$11:B17)-1)/20)+40+0.05*MOD(ROWS(B$11:B17)-1,20)</f>
        <v>40.299999999999997</v>
      </c>
      <c r="C17" s="58" t="str">
        <f t="shared" si="8"/>
        <v/>
      </c>
      <c r="D17" s="58" t="str">
        <f t="shared" si="2"/>
        <v/>
      </c>
      <c r="E17" s="30">
        <f t="shared" si="3"/>
        <v>1.6130808269532778E-14</v>
      </c>
      <c r="F17" s="30" t="str">
        <f t="shared" si="4"/>
        <v/>
      </c>
      <c r="G17" s="30" t="str">
        <f t="shared" si="4"/>
        <v/>
      </c>
      <c r="H17" s="30" t="str">
        <f t="shared" si="4"/>
        <v/>
      </c>
      <c r="I17" s="30" t="str">
        <f t="shared" si="5"/>
        <v/>
      </c>
      <c r="U17" s="26">
        <v>0</v>
      </c>
      <c r="V17" s="255">
        <f t="shared" si="6"/>
        <v>71</v>
      </c>
    </row>
    <row r="18" spans="1:22" hidden="1" x14ac:dyDescent="0.25">
      <c r="A18" s="30">
        <f t="shared" si="7"/>
        <v>-7.75</v>
      </c>
      <c r="B18" s="58">
        <f>INT((ROWS(B$11:B18)-1)/20)+40+0.05*MOD(ROWS(B$11:B18)-1,20)</f>
        <v>40.35</v>
      </c>
      <c r="C18" s="58" t="str">
        <f t="shared" si="8"/>
        <v/>
      </c>
      <c r="D18" s="58" t="str">
        <f t="shared" si="2"/>
        <v/>
      </c>
      <c r="E18" s="30">
        <f t="shared" si="3"/>
        <v>1.7753636631535269E-14</v>
      </c>
      <c r="F18" s="30" t="str">
        <f t="shared" si="4"/>
        <v/>
      </c>
      <c r="G18" s="30" t="str">
        <f t="shared" si="4"/>
        <v/>
      </c>
      <c r="H18" s="30" t="str">
        <f t="shared" si="4"/>
        <v/>
      </c>
      <c r="I18" s="30" t="str">
        <f t="shared" si="5"/>
        <v/>
      </c>
      <c r="U18" s="26">
        <v>0</v>
      </c>
      <c r="V18" s="255">
        <f t="shared" si="6"/>
        <v>71</v>
      </c>
    </row>
    <row r="19" spans="1:22" hidden="1" x14ac:dyDescent="0.25">
      <c r="A19" s="30">
        <f t="shared" si="7"/>
        <v>-7.75</v>
      </c>
      <c r="B19" s="58">
        <f>INT((ROWS(B$11:B19)-1)/20)+40+0.05*MOD(ROWS(B$11:B19)-1,20)</f>
        <v>40.4</v>
      </c>
      <c r="C19" s="58" t="str">
        <f t="shared" si="8"/>
        <v/>
      </c>
      <c r="D19" s="58" t="str">
        <f t="shared" si="2"/>
        <v/>
      </c>
      <c r="E19" s="30">
        <f t="shared" si="3"/>
        <v>1.9536675629424992E-14</v>
      </c>
      <c r="F19" s="30" t="str">
        <f t="shared" si="4"/>
        <v/>
      </c>
      <c r="G19" s="30" t="str">
        <f t="shared" si="4"/>
        <v/>
      </c>
      <c r="H19" s="30" t="str">
        <f t="shared" si="4"/>
        <v/>
      </c>
      <c r="I19" s="30" t="str">
        <f t="shared" si="5"/>
        <v/>
      </c>
      <c r="U19" s="26">
        <v>0</v>
      </c>
      <c r="V19" s="255">
        <f t="shared" si="6"/>
        <v>71</v>
      </c>
    </row>
    <row r="20" spans="1:22" hidden="1" x14ac:dyDescent="0.25">
      <c r="A20" s="30">
        <f t="shared" si="7"/>
        <v>-7.75</v>
      </c>
      <c r="B20" s="58">
        <f>INT((ROWS(B$11:B20)-1)/20)+40+0.05*MOD(ROWS(B$11:B20)-1,20)</f>
        <v>40.450000000000003</v>
      </c>
      <c r="C20" s="58" t="str">
        <f t="shared" si="8"/>
        <v/>
      </c>
      <c r="D20" s="58" t="str">
        <f t="shared" si="2"/>
        <v/>
      </c>
      <c r="E20" s="30">
        <f t="shared" si="3"/>
        <v>2.1495430455396374E-14</v>
      </c>
      <c r="F20" s="30" t="str">
        <f t="shared" si="4"/>
        <v/>
      </c>
      <c r="G20" s="30" t="str">
        <f t="shared" si="4"/>
        <v/>
      </c>
      <c r="H20" s="30" t="str">
        <f t="shared" si="4"/>
        <v/>
      </c>
      <c r="I20" s="30" t="str">
        <f t="shared" si="5"/>
        <v/>
      </c>
      <c r="U20" s="26">
        <v>0</v>
      </c>
      <c r="V20" s="255">
        <f t="shared" si="6"/>
        <v>71</v>
      </c>
    </row>
    <row r="21" spans="1:22" hidden="1" x14ac:dyDescent="0.25">
      <c r="A21" s="30">
        <f t="shared" si="7"/>
        <v>-7.75</v>
      </c>
      <c r="B21" s="58">
        <f>INT((ROWS(B$11:B21)-1)/20)+40+0.05*MOD(ROWS(B$11:B21)-1,20)</f>
        <v>40.5</v>
      </c>
      <c r="C21" s="58" t="str">
        <f t="shared" si="8"/>
        <v/>
      </c>
      <c r="D21" s="58" t="str">
        <f t="shared" si="2"/>
        <v/>
      </c>
      <c r="E21" s="30">
        <f t="shared" si="3"/>
        <v>2.3646875701966308E-14</v>
      </c>
      <c r="F21" s="30" t="str">
        <f t="shared" si="4"/>
        <v/>
      </c>
      <c r="G21" s="30" t="str">
        <f t="shared" si="4"/>
        <v/>
      </c>
      <c r="H21" s="30" t="str">
        <f t="shared" si="4"/>
        <v/>
      </c>
      <c r="I21" s="30" t="str">
        <f t="shared" si="5"/>
        <v/>
      </c>
      <c r="U21" s="26">
        <v>0</v>
      </c>
      <c r="V21" s="255">
        <f t="shared" si="6"/>
        <v>71</v>
      </c>
    </row>
    <row r="22" spans="1:22" hidden="1" x14ac:dyDescent="0.25">
      <c r="A22" s="30">
        <f t="shared" si="7"/>
        <v>-7.75</v>
      </c>
      <c r="B22" s="58">
        <f>INT((ROWS(B$11:B22)-1)/20)+40+0.05*MOD(ROWS(B$11:B22)-1,20)</f>
        <v>40.549999999999997</v>
      </c>
      <c r="C22" s="58" t="str">
        <f t="shared" si="8"/>
        <v/>
      </c>
      <c r="D22" s="58" t="str">
        <f t="shared" si="2"/>
        <v/>
      </c>
      <c r="E22" s="30">
        <f t="shared" si="3"/>
        <v>2.6009591545432855E-14</v>
      </c>
      <c r="F22" s="30" t="str">
        <f t="shared" si="4"/>
        <v/>
      </c>
      <c r="G22" s="30" t="str">
        <f t="shared" si="4"/>
        <v/>
      </c>
      <c r="H22" s="30" t="str">
        <f t="shared" si="4"/>
        <v/>
      </c>
      <c r="I22" s="30" t="str">
        <f t="shared" si="5"/>
        <v/>
      </c>
      <c r="U22" s="26">
        <v>0</v>
      </c>
      <c r="V22" s="255">
        <f t="shared" si="6"/>
        <v>71</v>
      </c>
    </row>
    <row r="23" spans="1:22" hidden="1" x14ac:dyDescent="0.25">
      <c r="A23" s="30">
        <f t="shared" si="7"/>
        <v>-7.75</v>
      </c>
      <c r="B23" s="58">
        <f>INT((ROWS(B$11:B23)-1)/20)+40+0.05*MOD(ROWS(B$11:B23)-1,20)</f>
        <v>40.6</v>
      </c>
      <c r="C23" s="58" t="str">
        <f t="shared" si="8"/>
        <v/>
      </c>
      <c r="D23" s="58" t="str">
        <f t="shared" si="2"/>
        <v/>
      </c>
      <c r="E23" s="30">
        <f t="shared" si="3"/>
        <v>2.8603912254503424E-14</v>
      </c>
      <c r="F23" s="30" t="str">
        <f t="shared" si="4"/>
        <v/>
      </c>
      <c r="G23" s="30" t="str">
        <f t="shared" si="4"/>
        <v/>
      </c>
      <c r="H23" s="30" t="str">
        <f t="shared" si="4"/>
        <v/>
      </c>
      <c r="I23" s="30" t="str">
        <f t="shared" si="5"/>
        <v/>
      </c>
      <c r="U23" s="26">
        <v>0</v>
      </c>
      <c r="V23" s="255">
        <f t="shared" si="6"/>
        <v>71</v>
      </c>
    </row>
    <row r="24" spans="1:22" hidden="1" x14ac:dyDescent="0.25">
      <c r="A24" s="30">
        <f t="shared" si="7"/>
        <v>-7.75</v>
      </c>
      <c r="B24" s="58">
        <f>INT((ROWS(B$11:B24)-1)/20)+40+0.05*MOD(ROWS(B$11:B24)-1,20)</f>
        <v>40.65</v>
      </c>
      <c r="C24" s="58" t="str">
        <f t="shared" si="8"/>
        <v/>
      </c>
      <c r="D24" s="58" t="str">
        <f t="shared" si="2"/>
        <v/>
      </c>
      <c r="E24" s="30">
        <f t="shared" si="3"/>
        <v>3.1452088111544286E-14</v>
      </c>
      <c r="F24" s="30" t="str">
        <f t="shared" si="4"/>
        <v/>
      </c>
      <c r="G24" s="30" t="str">
        <f t="shared" si="4"/>
        <v/>
      </c>
      <c r="H24" s="30" t="str">
        <f t="shared" si="4"/>
        <v/>
      </c>
      <c r="I24" s="30" t="str">
        <f t="shared" si="5"/>
        <v/>
      </c>
      <c r="U24" s="26">
        <v>0</v>
      </c>
      <c r="V24" s="255">
        <f t="shared" si="6"/>
        <v>71</v>
      </c>
    </row>
    <row r="25" spans="1:22" hidden="1" x14ac:dyDescent="0.25">
      <c r="A25" s="30">
        <f t="shared" si="7"/>
        <v>-7.75</v>
      </c>
      <c r="B25" s="58">
        <f>INT((ROWS(B$11:B25)-1)/20)+40+0.05*MOD(ROWS(B$11:B25)-1,20)</f>
        <v>40.700000000000003</v>
      </c>
      <c r="C25" s="58" t="str">
        <f t="shared" si="8"/>
        <v/>
      </c>
      <c r="D25" s="58" t="str">
        <f t="shared" si="2"/>
        <v/>
      </c>
      <c r="E25" s="30">
        <f t="shared" si="3"/>
        <v>3.4578461927252152E-14</v>
      </c>
      <c r="F25" s="30" t="str">
        <f t="shared" si="4"/>
        <v/>
      </c>
      <c r="G25" s="30" t="str">
        <f t="shared" si="4"/>
        <v/>
      </c>
      <c r="H25" s="30" t="str">
        <f t="shared" si="4"/>
        <v/>
      </c>
      <c r="I25" s="30" t="str">
        <f t="shared" si="5"/>
        <v/>
      </c>
      <c r="U25" s="26">
        <v>0</v>
      </c>
      <c r="V25" s="255">
        <f t="shared" si="6"/>
        <v>71</v>
      </c>
    </row>
    <row r="26" spans="1:22" hidden="1" x14ac:dyDescent="0.25">
      <c r="A26" s="30">
        <f t="shared" si="7"/>
        <v>-7.75</v>
      </c>
      <c r="B26" s="58">
        <f>INT((ROWS(B$11:B26)-1)/20)+40+0.05*MOD(ROWS(B$11:B26)-1,20)</f>
        <v>40.75</v>
      </c>
      <c r="C26" s="58" t="str">
        <f t="shared" si="8"/>
        <v/>
      </c>
      <c r="D26" s="58" t="str">
        <f t="shared" si="2"/>
        <v/>
      </c>
      <c r="E26" s="30">
        <f t="shared" si="3"/>
        <v>3.8009661430662397E-14</v>
      </c>
      <c r="F26" s="30" t="str">
        <f t="shared" si="4"/>
        <v/>
      </c>
      <c r="G26" s="30" t="str">
        <f t="shared" si="4"/>
        <v/>
      </c>
      <c r="H26" s="30" t="str">
        <f t="shared" si="4"/>
        <v/>
      </c>
      <c r="I26" s="30" t="str">
        <f t="shared" si="5"/>
        <v/>
      </c>
      <c r="U26" s="26">
        <v>0</v>
      </c>
      <c r="V26" s="255">
        <f t="shared" si="6"/>
        <v>71</v>
      </c>
    </row>
    <row r="27" spans="1:22" hidden="1" x14ac:dyDescent="0.25">
      <c r="A27" s="30">
        <f t="shared" si="7"/>
        <v>-7.75</v>
      </c>
      <c r="B27" s="58">
        <f>INT((ROWS(B$11:B27)-1)/20)+40+0.05*MOD(ROWS(B$11:B27)-1,20)</f>
        <v>40.799999999999997</v>
      </c>
      <c r="C27" s="58" t="str">
        <f t="shared" si="8"/>
        <v/>
      </c>
      <c r="D27" s="58" t="str">
        <f t="shared" si="2"/>
        <v/>
      </c>
      <c r="E27" s="30">
        <f t="shared" si="3"/>
        <v>4.1774808925959093E-14</v>
      </c>
      <c r="F27" s="30" t="str">
        <f t="shared" si="4"/>
        <v/>
      </c>
      <c r="G27" s="30" t="str">
        <f t="shared" si="4"/>
        <v/>
      </c>
      <c r="H27" s="30" t="str">
        <f t="shared" si="4"/>
        <v/>
      </c>
      <c r="I27" s="30" t="str">
        <f t="shared" si="5"/>
        <v/>
      </c>
      <c r="U27" s="26">
        <v>0</v>
      </c>
      <c r="V27" s="255">
        <f t="shared" si="6"/>
        <v>71</v>
      </c>
    </row>
    <row r="28" spans="1:22" hidden="1" x14ac:dyDescent="0.25">
      <c r="A28" s="30">
        <f t="shared" si="7"/>
        <v>-7.75</v>
      </c>
      <c r="B28" s="58">
        <f>INT((ROWS(B$11:B28)-1)/20)+40+0.05*MOD(ROWS(B$11:B28)-1,20)</f>
        <v>40.85</v>
      </c>
      <c r="C28" s="58" t="str">
        <f t="shared" si="8"/>
        <v/>
      </c>
      <c r="D28" s="58" t="str">
        <f t="shared" si="2"/>
        <v/>
      </c>
      <c r="E28" s="30">
        <f t="shared" si="3"/>
        <v>4.590574972614436E-14</v>
      </c>
      <c r="F28" s="30" t="str">
        <f t="shared" si="4"/>
        <v/>
      </c>
      <c r="G28" s="30" t="str">
        <f t="shared" si="4"/>
        <v/>
      </c>
      <c r="H28" s="30" t="str">
        <f t="shared" si="4"/>
        <v/>
      </c>
      <c r="I28" s="30" t="str">
        <f t="shared" si="5"/>
        <v/>
      </c>
      <c r="U28" s="26">
        <v>0</v>
      </c>
      <c r="V28" s="255">
        <f t="shared" si="6"/>
        <v>71</v>
      </c>
    </row>
    <row r="29" spans="1:22" hidden="1" x14ac:dyDescent="0.25">
      <c r="A29" s="30">
        <f t="shared" si="7"/>
        <v>-7.75</v>
      </c>
      <c r="B29" s="58">
        <f>INT((ROWS(B$11:B29)-1)/20)+40+0.05*MOD(ROWS(B$11:B29)-1,20)</f>
        <v>40.9</v>
      </c>
      <c r="C29" s="58" t="str">
        <f t="shared" si="8"/>
        <v/>
      </c>
      <c r="D29" s="58" t="str">
        <f t="shared" si="2"/>
        <v/>
      </c>
      <c r="E29" s="30">
        <f t="shared" si="3"/>
        <v>5.043730100205835E-14</v>
      </c>
      <c r="F29" s="30" t="str">
        <f t="shared" si="4"/>
        <v/>
      </c>
      <c r="G29" s="30" t="str">
        <f t="shared" si="4"/>
        <v/>
      </c>
      <c r="H29" s="30" t="str">
        <f t="shared" si="4"/>
        <v/>
      </c>
      <c r="I29" s="30" t="str">
        <f t="shared" si="5"/>
        <v/>
      </c>
      <c r="U29" s="26">
        <v>0</v>
      </c>
      <c r="V29" s="255">
        <f t="shared" si="6"/>
        <v>71</v>
      </c>
    </row>
    <row r="30" spans="1:22" hidden="1" x14ac:dyDescent="0.25">
      <c r="A30" s="30">
        <f t="shared" si="7"/>
        <v>-7.75</v>
      </c>
      <c r="B30" s="58">
        <f>INT((ROWS(B$11:B30)-1)/20)+40+0.05*MOD(ROWS(B$11:B30)-1,20)</f>
        <v>40.950000000000003</v>
      </c>
      <c r="C30" s="58" t="str">
        <f t="shared" si="8"/>
        <v/>
      </c>
      <c r="D30" s="58" t="str">
        <f t="shared" si="2"/>
        <v/>
      </c>
      <c r="E30" s="30">
        <f t="shared" si="3"/>
        <v>5.540752282426194E-14</v>
      </c>
      <c r="F30" s="30" t="str">
        <f t="shared" si="4"/>
        <v/>
      </c>
      <c r="G30" s="30" t="str">
        <f t="shared" si="4"/>
        <v/>
      </c>
      <c r="H30" s="30" t="str">
        <f t="shared" si="4"/>
        <v/>
      </c>
      <c r="I30" s="30" t="str">
        <f t="shared" si="5"/>
        <v/>
      </c>
      <c r="U30" s="26">
        <v>0</v>
      </c>
      <c r="V30" s="255">
        <f t="shared" si="6"/>
        <v>71</v>
      </c>
    </row>
    <row r="31" spans="1:22" hidden="1" x14ac:dyDescent="0.25">
      <c r="A31" s="30">
        <f t="shared" si="7"/>
        <v>-7.5</v>
      </c>
      <c r="B31" s="58">
        <f>INT((ROWS(B$11:B31)-1)/20)+40+0.05*MOD(ROWS(B$11:B31)-1,20)</f>
        <v>41</v>
      </c>
      <c r="C31" s="58" t="str">
        <f t="shared" si="8"/>
        <v/>
      </c>
      <c r="D31" s="58">
        <f t="shared" si="2"/>
        <v>41</v>
      </c>
      <c r="E31" s="30">
        <f t="shared" si="3"/>
        <v>6.085801332572524E-14</v>
      </c>
      <c r="F31" s="30" t="str">
        <f t="shared" ref="F31:H50" si="9">IF(AND($B31&gt;=F$7,$B31&lt;=F$8),E31,"")</f>
        <v/>
      </c>
      <c r="G31" s="30" t="str">
        <f t="shared" si="9"/>
        <v/>
      </c>
      <c r="H31" s="30" t="str">
        <f t="shared" si="9"/>
        <v/>
      </c>
      <c r="I31" s="30" t="str">
        <f t="shared" si="5"/>
        <v/>
      </c>
      <c r="U31" s="26">
        <v>0</v>
      </c>
      <c r="V31" s="255">
        <f t="shared" si="6"/>
        <v>71</v>
      </c>
    </row>
    <row r="32" spans="1:22" hidden="1" x14ac:dyDescent="0.25">
      <c r="A32" s="30">
        <f t="shared" si="7"/>
        <v>-7.5</v>
      </c>
      <c r="B32" s="58">
        <f>INT((ROWS(B$11:B32)-1)/20)+40+0.05*MOD(ROWS(B$11:B32)-1,20)</f>
        <v>41.05</v>
      </c>
      <c r="C32" s="58" t="str">
        <f t="shared" si="8"/>
        <v/>
      </c>
      <c r="D32" s="58" t="str">
        <f t="shared" si="2"/>
        <v/>
      </c>
      <c r="E32" s="30">
        <f t="shared" si="3"/>
        <v>6.6834230076107444E-14</v>
      </c>
      <c r="F32" s="30" t="str">
        <f t="shared" si="9"/>
        <v/>
      </c>
      <c r="G32" s="30" t="str">
        <f t="shared" si="9"/>
        <v/>
      </c>
      <c r="H32" s="30" t="str">
        <f t="shared" si="9"/>
        <v/>
      </c>
      <c r="I32" s="30" t="str">
        <f t="shared" si="5"/>
        <v/>
      </c>
      <c r="U32" s="26">
        <v>0</v>
      </c>
      <c r="V32" s="255">
        <f t="shared" si="6"/>
        <v>71</v>
      </c>
    </row>
    <row r="33" spans="1:22" hidden="1" x14ac:dyDescent="0.25">
      <c r="A33" s="30">
        <f t="shared" si="7"/>
        <v>-7.5</v>
      </c>
      <c r="B33" s="58">
        <f>INT((ROWS(B$11:B33)-1)/20)+40+0.05*MOD(ROWS(B$11:B33)-1,20)</f>
        <v>41.1</v>
      </c>
      <c r="C33" s="58" t="str">
        <f t="shared" si="8"/>
        <v/>
      </c>
      <c r="D33" s="58" t="str">
        <f t="shared" si="2"/>
        <v/>
      </c>
      <c r="E33" s="30">
        <f t="shared" si="3"/>
        <v>7.3385839934509432E-14</v>
      </c>
      <c r="F33" s="30" t="str">
        <f t="shared" si="9"/>
        <v/>
      </c>
      <c r="G33" s="30" t="str">
        <f t="shared" si="9"/>
        <v/>
      </c>
      <c r="H33" s="30" t="str">
        <f t="shared" si="9"/>
        <v/>
      </c>
      <c r="I33" s="30" t="str">
        <f t="shared" si="5"/>
        <v/>
      </c>
      <c r="U33" s="26">
        <v>0</v>
      </c>
      <c r="V33" s="255">
        <f t="shared" si="6"/>
        <v>71</v>
      </c>
    </row>
    <row r="34" spans="1:22" hidden="1" x14ac:dyDescent="0.25">
      <c r="A34" s="30">
        <f t="shared" si="7"/>
        <v>-7.5</v>
      </c>
      <c r="B34" s="58">
        <f>INT((ROWS(B$11:B34)-1)/20)+40+0.05*MOD(ROWS(B$11:B34)-1,20)</f>
        <v>41.15</v>
      </c>
      <c r="C34" s="58" t="str">
        <f t="shared" si="8"/>
        <v/>
      </c>
      <c r="D34" s="58" t="str">
        <f t="shared" si="2"/>
        <v/>
      </c>
      <c r="E34" s="30">
        <f t="shared" si="3"/>
        <v>8.0567099838123315E-14</v>
      </c>
      <c r="F34" s="30" t="str">
        <f t="shared" si="9"/>
        <v/>
      </c>
      <c r="G34" s="30" t="str">
        <f t="shared" si="9"/>
        <v/>
      </c>
      <c r="H34" s="30" t="str">
        <f t="shared" si="9"/>
        <v/>
      </c>
      <c r="I34" s="30" t="str">
        <f t="shared" si="5"/>
        <v/>
      </c>
      <c r="U34" s="26">
        <v>0</v>
      </c>
      <c r="V34" s="255">
        <f t="shared" si="6"/>
        <v>71</v>
      </c>
    </row>
    <row r="35" spans="1:22" hidden="1" x14ac:dyDescent="0.25">
      <c r="A35" s="30">
        <f t="shared" si="7"/>
        <v>-7.5</v>
      </c>
      <c r="B35" s="58">
        <f>INT((ROWS(B$11:B35)-1)/20)+40+0.05*MOD(ROWS(B$11:B35)-1,20)</f>
        <v>41.2</v>
      </c>
      <c r="C35" s="58" t="str">
        <f t="shared" si="8"/>
        <v/>
      </c>
      <c r="D35" s="58" t="str">
        <f t="shared" si="2"/>
        <v/>
      </c>
      <c r="E35" s="30">
        <f t="shared" si="3"/>
        <v>8.8437271190247646E-14</v>
      </c>
      <c r="F35" s="30" t="str">
        <f t="shared" si="9"/>
        <v/>
      </c>
      <c r="G35" s="30" t="str">
        <f t="shared" si="9"/>
        <v/>
      </c>
      <c r="H35" s="30" t="str">
        <f t="shared" si="9"/>
        <v/>
      </c>
      <c r="I35" s="30" t="str">
        <f t="shared" si="5"/>
        <v/>
      </c>
      <c r="U35" s="26">
        <v>0</v>
      </c>
      <c r="V35" s="255">
        <f t="shared" si="6"/>
        <v>71</v>
      </c>
    </row>
    <row r="36" spans="1:22" hidden="1" x14ac:dyDescent="0.25">
      <c r="A36" s="30">
        <f t="shared" si="7"/>
        <v>-7.5</v>
      </c>
      <c r="B36" s="58">
        <f>INT((ROWS(B$11:B36)-1)/20)+40+0.05*MOD(ROWS(B$11:B36)-1,20)</f>
        <v>41.25</v>
      </c>
      <c r="C36" s="58" t="str">
        <f t="shared" si="8"/>
        <v/>
      </c>
      <c r="D36" s="58" t="str">
        <f t="shared" si="2"/>
        <v/>
      </c>
      <c r="E36" s="30">
        <f t="shared" si="3"/>
        <v>9.706107073388052E-14</v>
      </c>
      <c r="F36" s="30" t="str">
        <f t="shared" si="9"/>
        <v/>
      </c>
      <c r="G36" s="30" t="str">
        <f t="shared" si="9"/>
        <v/>
      </c>
      <c r="H36" s="30" t="str">
        <f t="shared" si="9"/>
        <v/>
      </c>
      <c r="I36" s="30" t="str">
        <f t="shared" si="5"/>
        <v/>
      </c>
      <c r="U36" s="26">
        <v>0</v>
      </c>
      <c r="V36" s="255">
        <f t="shared" si="6"/>
        <v>71</v>
      </c>
    </row>
    <row r="37" spans="1:22" hidden="1" x14ac:dyDescent="0.25">
      <c r="A37" s="30">
        <f t="shared" si="7"/>
        <v>-7.5</v>
      </c>
      <c r="B37" s="58">
        <f>INT((ROWS(B$11:B37)-1)/20)+40+0.05*MOD(ROWS(B$11:B37)-1,20)</f>
        <v>41.3</v>
      </c>
      <c r="C37" s="58" t="str">
        <f t="shared" si="8"/>
        <v/>
      </c>
      <c r="D37" s="58" t="str">
        <f t="shared" si="2"/>
        <v/>
      </c>
      <c r="E37" s="30">
        <f t="shared" si="3"/>
        <v>1.0650916103799159E-13</v>
      </c>
      <c r="F37" s="30" t="str">
        <f t="shared" si="9"/>
        <v/>
      </c>
      <c r="G37" s="30" t="str">
        <f t="shared" si="9"/>
        <v/>
      </c>
      <c r="H37" s="30" t="str">
        <f t="shared" si="9"/>
        <v/>
      </c>
      <c r="I37" s="30" t="str">
        <f t="shared" si="5"/>
        <v/>
      </c>
      <c r="U37" s="26">
        <v>0</v>
      </c>
      <c r="V37" s="255">
        <f t="shared" si="6"/>
        <v>71</v>
      </c>
    </row>
    <row r="38" spans="1:22" hidden="1" x14ac:dyDescent="0.25">
      <c r="A38" s="30">
        <f t="shared" si="7"/>
        <v>-7.5</v>
      </c>
      <c r="B38" s="58">
        <f>INT((ROWS(B$11:B38)-1)/20)+40+0.05*MOD(ROWS(B$11:B38)-1,20)</f>
        <v>41.35</v>
      </c>
      <c r="C38" s="58" t="str">
        <f t="shared" si="8"/>
        <v/>
      </c>
      <c r="D38" s="58" t="str">
        <f t="shared" si="2"/>
        <v/>
      </c>
      <c r="E38" s="30">
        <f t="shared" si="3"/>
        <v>1.1685868398382626E-13</v>
      </c>
      <c r="F38" s="30" t="str">
        <f t="shared" si="9"/>
        <v/>
      </c>
      <c r="G38" s="30" t="str">
        <f t="shared" si="9"/>
        <v/>
      </c>
      <c r="H38" s="30" t="str">
        <f t="shared" si="9"/>
        <v/>
      </c>
      <c r="I38" s="30" t="str">
        <f t="shared" si="5"/>
        <v/>
      </c>
      <c r="U38" s="26">
        <v>0</v>
      </c>
      <c r="V38" s="255">
        <f t="shared" si="6"/>
        <v>71</v>
      </c>
    </row>
    <row r="39" spans="1:22" hidden="1" x14ac:dyDescent="0.25">
      <c r="A39" s="30">
        <f t="shared" si="7"/>
        <v>-7.5</v>
      </c>
      <c r="B39" s="58">
        <f>INT((ROWS(B$11:B39)-1)/20)+40+0.05*MOD(ROWS(B$11:B39)-1,20)</f>
        <v>41.4</v>
      </c>
      <c r="C39" s="58" t="str">
        <f t="shared" si="8"/>
        <v/>
      </c>
      <c r="D39" s="58" t="str">
        <f t="shared" si="2"/>
        <v/>
      </c>
      <c r="E39" s="30">
        <f t="shared" si="3"/>
        <v>1.2819384091991657E-13</v>
      </c>
      <c r="F39" s="30" t="str">
        <f t="shared" si="9"/>
        <v/>
      </c>
      <c r="G39" s="30" t="str">
        <f t="shared" si="9"/>
        <v/>
      </c>
      <c r="H39" s="30" t="str">
        <f t="shared" si="9"/>
        <v/>
      </c>
      <c r="I39" s="30" t="str">
        <f t="shared" si="5"/>
        <v/>
      </c>
      <c r="U39" s="26">
        <v>0</v>
      </c>
      <c r="V39" s="255">
        <f t="shared" si="6"/>
        <v>71</v>
      </c>
    </row>
    <row r="40" spans="1:22" hidden="1" x14ac:dyDescent="0.25">
      <c r="A40" s="30">
        <f t="shared" si="7"/>
        <v>-7.5</v>
      </c>
      <c r="B40" s="58">
        <f>INT((ROWS(B$11:B40)-1)/20)+40+0.05*MOD(ROWS(B$11:B40)-1,20)</f>
        <v>41.45</v>
      </c>
      <c r="C40" s="58" t="str">
        <f t="shared" si="8"/>
        <v/>
      </c>
      <c r="D40" s="58" t="str">
        <f t="shared" si="2"/>
        <v/>
      </c>
      <c r="E40" s="30">
        <f t="shared" si="3"/>
        <v>1.4060652345839503E-13</v>
      </c>
      <c r="F40" s="30" t="str">
        <f t="shared" si="9"/>
        <v/>
      </c>
      <c r="G40" s="30" t="str">
        <f t="shared" si="9"/>
        <v/>
      </c>
      <c r="H40" s="30" t="str">
        <f t="shared" si="9"/>
        <v/>
      </c>
      <c r="I40" s="30" t="str">
        <f t="shared" si="5"/>
        <v/>
      </c>
      <c r="U40" s="26">
        <v>0</v>
      </c>
      <c r="V40" s="255">
        <f t="shared" si="6"/>
        <v>71</v>
      </c>
    </row>
    <row r="41" spans="1:22" hidden="1" x14ac:dyDescent="0.25">
      <c r="A41" s="30">
        <f t="shared" si="7"/>
        <v>-7.5</v>
      </c>
      <c r="B41" s="58">
        <f>INT((ROWS(B$11:B41)-1)/20)+40+0.05*MOD(ROWS(B$11:B41)-1,20)</f>
        <v>41.5</v>
      </c>
      <c r="C41" s="58" t="str">
        <f t="shared" si="8"/>
        <v/>
      </c>
      <c r="D41" s="58" t="str">
        <f t="shared" si="2"/>
        <v/>
      </c>
      <c r="E41" s="30">
        <f t="shared" si="3"/>
        <v>1.5419699921345145E-13</v>
      </c>
      <c r="F41" s="30" t="str">
        <f t="shared" si="9"/>
        <v/>
      </c>
      <c r="G41" s="30" t="str">
        <f t="shared" si="9"/>
        <v/>
      </c>
      <c r="H41" s="30" t="str">
        <f t="shared" si="9"/>
        <v/>
      </c>
      <c r="I41" s="30" t="str">
        <f t="shared" si="5"/>
        <v/>
      </c>
      <c r="U41" s="26">
        <v>0</v>
      </c>
      <c r="V41" s="255">
        <f t="shared" si="6"/>
        <v>71</v>
      </c>
    </row>
    <row r="42" spans="1:22" hidden="1" x14ac:dyDescent="0.25">
      <c r="A42" s="30">
        <f t="shared" si="7"/>
        <v>-7.5</v>
      </c>
      <c r="B42" s="58">
        <f>INT((ROWS(B$11:B42)-1)/20)+40+0.05*MOD(ROWS(B$11:B42)-1,20)</f>
        <v>41.55</v>
      </c>
      <c r="C42" s="58" t="str">
        <f t="shared" si="8"/>
        <v/>
      </c>
      <c r="D42" s="58" t="str">
        <f t="shared" si="2"/>
        <v/>
      </c>
      <c r="E42" s="30">
        <f t="shared" si="3"/>
        <v>1.6907465713740136E-13</v>
      </c>
      <c r="F42" s="30" t="str">
        <f t="shared" si="9"/>
        <v/>
      </c>
      <c r="G42" s="30" t="str">
        <f t="shared" si="9"/>
        <v/>
      </c>
      <c r="H42" s="30" t="str">
        <f t="shared" si="9"/>
        <v/>
      </c>
      <c r="I42" s="30" t="str">
        <f t="shared" si="5"/>
        <v/>
      </c>
      <c r="U42" s="26">
        <v>0</v>
      </c>
      <c r="V42" s="255">
        <f t="shared" si="6"/>
        <v>71</v>
      </c>
    </row>
    <row r="43" spans="1:22" hidden="1" x14ac:dyDescent="0.25">
      <c r="A43" s="30">
        <f t="shared" si="7"/>
        <v>-7.5</v>
      </c>
      <c r="B43" s="58">
        <f>INT((ROWS(B$11:B43)-1)/20)+40+0.05*MOD(ROWS(B$11:B43)-1,20)</f>
        <v>41.6</v>
      </c>
      <c r="C43" s="58" t="str">
        <f t="shared" si="8"/>
        <v/>
      </c>
      <c r="D43" s="58" t="str">
        <f t="shared" si="2"/>
        <v/>
      </c>
      <c r="E43" s="30">
        <f t="shared" si="3"/>
        <v>1.8535881749260904E-13</v>
      </c>
      <c r="F43" s="30" t="str">
        <f t="shared" si="9"/>
        <v/>
      </c>
      <c r="G43" s="30" t="str">
        <f t="shared" si="9"/>
        <v/>
      </c>
      <c r="H43" s="30" t="str">
        <f t="shared" si="9"/>
        <v/>
      </c>
      <c r="I43" s="30" t="str">
        <f t="shared" si="5"/>
        <v/>
      </c>
      <c r="U43" s="26">
        <v>0</v>
      </c>
      <c r="V43" s="255">
        <f t="shared" ref="V43:V69" si="10">$F$1+U43*$F$2</f>
        <v>71</v>
      </c>
    </row>
    <row r="44" spans="1:22" hidden="1" x14ac:dyDescent="0.25">
      <c r="A44" s="30">
        <f t="shared" si="7"/>
        <v>-7.5</v>
      </c>
      <c r="B44" s="58">
        <f>INT((ROWS(B$11:B44)-1)/20)+40+0.05*MOD(ROWS(B$11:B44)-1,20)</f>
        <v>41.65</v>
      </c>
      <c r="C44" s="58" t="str">
        <f t="shared" si="8"/>
        <v/>
      </c>
      <c r="D44" s="58" t="str">
        <f t="shared" si="2"/>
        <v/>
      </c>
      <c r="E44" s="30">
        <f t="shared" si="3"/>
        <v>2.0317961191086871E-13</v>
      </c>
      <c r="F44" s="30" t="str">
        <f t="shared" si="9"/>
        <v/>
      </c>
      <c r="G44" s="30" t="str">
        <f t="shared" si="9"/>
        <v/>
      </c>
      <c r="H44" s="30" t="str">
        <f t="shared" si="9"/>
        <v/>
      </c>
      <c r="I44" s="30" t="str">
        <f t="shared" si="5"/>
        <v/>
      </c>
      <c r="U44" s="26">
        <v>0</v>
      </c>
      <c r="V44" s="255">
        <f t="shared" si="10"/>
        <v>71</v>
      </c>
    </row>
    <row r="45" spans="1:22" hidden="1" x14ac:dyDescent="0.25">
      <c r="A45" s="30">
        <f t="shared" si="7"/>
        <v>-7.5</v>
      </c>
      <c r="B45" s="58">
        <f>INT((ROWS(B$11:B45)-1)/20)+40+0.05*MOD(ROWS(B$11:B45)-1,20)</f>
        <v>41.7</v>
      </c>
      <c r="C45" s="58" t="str">
        <f t="shared" si="8"/>
        <v/>
      </c>
      <c r="D45" s="58" t="str">
        <f t="shared" si="2"/>
        <v/>
      </c>
      <c r="E45" s="30">
        <f t="shared" si="3"/>
        <v>2.2267893943799217E-13</v>
      </c>
      <c r="F45" s="30" t="str">
        <f t="shared" si="9"/>
        <v/>
      </c>
      <c r="G45" s="30" t="str">
        <f t="shared" si="9"/>
        <v/>
      </c>
      <c r="H45" s="30" t="str">
        <f t="shared" si="9"/>
        <v/>
      </c>
      <c r="I45" s="30" t="str">
        <f t="shared" si="5"/>
        <v/>
      </c>
      <c r="U45" s="26">
        <v>0</v>
      </c>
      <c r="V45" s="255">
        <f t="shared" si="10"/>
        <v>71</v>
      </c>
    </row>
    <row r="46" spans="1:22" hidden="1" x14ac:dyDescent="0.25">
      <c r="A46" s="30">
        <f t="shared" si="7"/>
        <v>-7.5</v>
      </c>
      <c r="B46" s="58">
        <f>INT((ROWS(B$11:B46)-1)/20)+40+0.05*MOD(ROWS(B$11:B46)-1,20)</f>
        <v>41.75</v>
      </c>
      <c r="C46" s="58" t="str">
        <f t="shared" si="8"/>
        <v/>
      </c>
      <c r="D46" s="58" t="str">
        <f t="shared" si="2"/>
        <v/>
      </c>
      <c r="E46" s="30">
        <f t="shared" si="3"/>
        <v>2.4401150494270107E-13</v>
      </c>
      <c r="F46" s="30" t="str">
        <f t="shared" si="9"/>
        <v/>
      </c>
      <c r="G46" s="30" t="str">
        <f t="shared" si="9"/>
        <v/>
      </c>
      <c r="H46" s="30" t="str">
        <f t="shared" si="9"/>
        <v/>
      </c>
      <c r="I46" s="30" t="str">
        <f t="shared" si="5"/>
        <v/>
      </c>
      <c r="U46" s="26">
        <v>0</v>
      </c>
      <c r="V46" s="255">
        <f t="shared" si="10"/>
        <v>71</v>
      </c>
    </row>
    <row r="47" spans="1:22" hidden="1" x14ac:dyDescent="0.25">
      <c r="A47" s="30">
        <f t="shared" si="7"/>
        <v>-7.5</v>
      </c>
      <c r="B47" s="58">
        <f>INT((ROWS(B$11:B47)-1)/20)+40+0.05*MOD(ROWS(B$11:B47)-1,20)</f>
        <v>41.8</v>
      </c>
      <c r="C47" s="58" t="str">
        <f t="shared" si="8"/>
        <v/>
      </c>
      <c r="D47" s="58" t="str">
        <f t="shared" si="2"/>
        <v/>
      </c>
      <c r="E47" s="30">
        <f t="shared" si="3"/>
        <v>2.6734594678853913E-13</v>
      </c>
      <c r="F47" s="30" t="str">
        <f t="shared" si="9"/>
        <v/>
      </c>
      <c r="G47" s="30" t="str">
        <f t="shared" si="9"/>
        <v/>
      </c>
      <c r="H47" s="30" t="str">
        <f t="shared" si="9"/>
        <v/>
      </c>
      <c r="I47" s="30" t="str">
        <f t="shared" si="5"/>
        <v/>
      </c>
      <c r="U47" s="26">
        <v>0</v>
      </c>
      <c r="V47" s="255">
        <f t="shared" si="10"/>
        <v>71</v>
      </c>
    </row>
    <row r="48" spans="1:22" hidden="1" x14ac:dyDescent="0.25">
      <c r="A48" s="30">
        <f t="shared" si="7"/>
        <v>-7.5</v>
      </c>
      <c r="B48" s="58">
        <f>INT((ROWS(B$11:B48)-1)/20)+40+0.05*MOD(ROWS(B$11:B48)-1,20)</f>
        <v>41.85</v>
      </c>
      <c r="C48" s="58" t="str">
        <f t="shared" si="8"/>
        <v/>
      </c>
      <c r="D48" s="58" t="str">
        <f t="shared" si="2"/>
        <v/>
      </c>
      <c r="E48" s="30">
        <f t="shared" si="3"/>
        <v>2.9286606122770897E-13</v>
      </c>
      <c r="F48" s="30" t="str">
        <f t="shared" si="9"/>
        <v/>
      </c>
      <c r="G48" s="30" t="str">
        <f t="shared" si="9"/>
        <v/>
      </c>
      <c r="H48" s="30" t="str">
        <f t="shared" si="9"/>
        <v/>
      </c>
      <c r="I48" s="30" t="str">
        <f t="shared" si="5"/>
        <v/>
      </c>
      <c r="U48" s="26">
        <v>0</v>
      </c>
      <c r="V48" s="255">
        <f t="shared" si="10"/>
        <v>71</v>
      </c>
    </row>
    <row r="49" spans="1:22" hidden="1" x14ac:dyDescent="0.25">
      <c r="A49" s="30">
        <f t="shared" si="7"/>
        <v>-7.5</v>
      </c>
      <c r="B49" s="58">
        <f>INT((ROWS(B$11:B49)-1)/20)+40+0.05*MOD(ROWS(B$11:B49)-1,20)</f>
        <v>41.9</v>
      </c>
      <c r="C49" s="58" t="str">
        <f t="shared" si="8"/>
        <v/>
      </c>
      <c r="D49" s="58" t="str">
        <f t="shared" si="2"/>
        <v/>
      </c>
      <c r="E49" s="30">
        <f t="shared" si="3"/>
        <v>3.2077213158023608E-13</v>
      </c>
      <c r="F49" s="30" t="str">
        <f t="shared" si="9"/>
        <v/>
      </c>
      <c r="G49" s="30" t="str">
        <f t="shared" si="9"/>
        <v/>
      </c>
      <c r="H49" s="30" t="str">
        <f t="shared" si="9"/>
        <v/>
      </c>
      <c r="I49" s="30" t="str">
        <f t="shared" si="5"/>
        <v/>
      </c>
      <c r="U49" s="26">
        <v>0</v>
      </c>
      <c r="V49" s="255">
        <f t="shared" si="10"/>
        <v>71</v>
      </c>
    </row>
    <row r="50" spans="1:22" hidden="1" x14ac:dyDescent="0.25">
      <c r="A50" s="30">
        <f t="shared" si="7"/>
        <v>-7.5</v>
      </c>
      <c r="B50" s="58">
        <f>INT((ROWS(B$11:B50)-1)/20)+40+0.05*MOD(ROWS(B$11:B50)-1,20)</f>
        <v>41.95</v>
      </c>
      <c r="C50" s="58" t="str">
        <f t="shared" si="8"/>
        <v/>
      </c>
      <c r="D50" s="58" t="str">
        <f t="shared" si="2"/>
        <v/>
      </c>
      <c r="E50" s="30">
        <f t="shared" si="3"/>
        <v>3.5128237091357995E-13</v>
      </c>
      <c r="F50" s="30" t="str">
        <f t="shared" si="9"/>
        <v/>
      </c>
      <c r="G50" s="30" t="str">
        <f t="shared" si="9"/>
        <v/>
      </c>
      <c r="H50" s="30" t="str">
        <f t="shared" si="9"/>
        <v/>
      </c>
      <c r="I50" s="30" t="str">
        <f t="shared" si="5"/>
        <v/>
      </c>
      <c r="U50" s="26">
        <v>0</v>
      </c>
      <c r="V50" s="255">
        <f t="shared" si="10"/>
        <v>71</v>
      </c>
    </row>
    <row r="51" spans="1:22" hidden="1" x14ac:dyDescent="0.25">
      <c r="A51" s="30">
        <f t="shared" si="7"/>
        <v>-7.25</v>
      </c>
      <c r="B51" s="58">
        <f>INT((ROWS(B$11:B51)-1)/20)+40+0.05*MOD(ROWS(B$11:B51)-1,20)</f>
        <v>42</v>
      </c>
      <c r="C51" s="58" t="str">
        <f t="shared" si="8"/>
        <v/>
      </c>
      <c r="D51" s="58">
        <f t="shared" si="2"/>
        <v>42</v>
      </c>
      <c r="E51" s="30">
        <f t="shared" si="3"/>
        <v>3.8463448764031875E-13</v>
      </c>
      <c r="F51" s="30" t="str">
        <f t="shared" ref="F51:H70" si="11">IF(AND($B51&gt;=F$7,$B51&lt;=F$8),E51,"")</f>
        <v/>
      </c>
      <c r="G51" s="30" t="str">
        <f t="shared" si="11"/>
        <v/>
      </c>
      <c r="H51" s="30" t="str">
        <f t="shared" si="11"/>
        <v/>
      </c>
      <c r="I51" s="30" t="str">
        <f t="shared" si="5"/>
        <v/>
      </c>
      <c r="U51" s="26">
        <v>0</v>
      </c>
      <c r="V51" s="255">
        <f t="shared" si="10"/>
        <v>71</v>
      </c>
    </row>
    <row r="52" spans="1:22" hidden="1" x14ac:dyDescent="0.25">
      <c r="A52" s="30">
        <f t="shared" si="7"/>
        <v>-7.25</v>
      </c>
      <c r="B52" s="58">
        <f>INT((ROWS(B$11:B52)-1)/20)+40+0.05*MOD(ROWS(B$11:B52)-1,20)</f>
        <v>42.05</v>
      </c>
      <c r="C52" s="58" t="str">
        <f t="shared" si="8"/>
        <v/>
      </c>
      <c r="D52" s="58" t="str">
        <f t="shared" si="2"/>
        <v/>
      </c>
      <c r="E52" s="30">
        <f t="shared" si="3"/>
        <v>4.2108738420910114E-13</v>
      </c>
      <c r="F52" s="30" t="str">
        <f t="shared" si="11"/>
        <v/>
      </c>
      <c r="G52" s="30" t="str">
        <f t="shared" si="11"/>
        <v/>
      </c>
      <c r="H52" s="30" t="str">
        <f t="shared" si="11"/>
        <v/>
      </c>
      <c r="I52" s="30" t="str">
        <f t="shared" si="5"/>
        <v/>
      </c>
      <c r="U52" s="26">
        <v>0</v>
      </c>
      <c r="V52" s="255">
        <f t="shared" si="10"/>
        <v>71</v>
      </c>
    </row>
    <row r="53" spans="1:22" hidden="1" x14ac:dyDescent="0.25">
      <c r="A53" s="30">
        <f t="shared" si="7"/>
        <v>-7.25</v>
      </c>
      <c r="B53" s="58">
        <f>INT((ROWS(B$11:B53)-1)/20)+40+0.05*MOD(ROWS(B$11:B53)-1,20)</f>
        <v>42.1</v>
      </c>
      <c r="C53" s="58" t="str">
        <f t="shared" si="8"/>
        <v/>
      </c>
      <c r="D53" s="58" t="str">
        <f t="shared" si="2"/>
        <v/>
      </c>
      <c r="E53" s="30">
        <f t="shared" si="3"/>
        <v>4.6092299988007026E-13</v>
      </c>
      <c r="F53" s="30" t="str">
        <f t="shared" si="11"/>
        <v/>
      </c>
      <c r="G53" s="30" t="str">
        <f t="shared" si="11"/>
        <v/>
      </c>
      <c r="H53" s="30" t="str">
        <f t="shared" si="11"/>
        <v/>
      </c>
      <c r="I53" s="30" t="str">
        <f t="shared" si="5"/>
        <v/>
      </c>
      <c r="U53" s="26">
        <v>0</v>
      </c>
      <c r="V53" s="255">
        <f t="shared" si="10"/>
        <v>71</v>
      </c>
    </row>
    <row r="54" spans="1:22" hidden="1" x14ac:dyDescent="0.25">
      <c r="A54" s="30">
        <f t="shared" si="7"/>
        <v>-7.25</v>
      </c>
      <c r="B54" s="58">
        <f>INT((ROWS(B$11:B54)-1)/20)+40+0.05*MOD(ROWS(B$11:B54)-1,20)</f>
        <v>42.15</v>
      </c>
      <c r="C54" s="58" t="str">
        <f t="shared" si="8"/>
        <v/>
      </c>
      <c r="D54" s="58" t="str">
        <f t="shared" si="2"/>
        <v/>
      </c>
      <c r="E54" s="30">
        <f t="shared" si="3"/>
        <v>5.0444830945555415E-13</v>
      </c>
      <c r="F54" s="30" t="str">
        <f t="shared" si="11"/>
        <v/>
      </c>
      <c r="G54" s="30" t="str">
        <f t="shared" si="11"/>
        <v/>
      </c>
      <c r="H54" s="30" t="str">
        <f t="shared" si="11"/>
        <v/>
      </c>
      <c r="I54" s="30" t="str">
        <f t="shared" si="5"/>
        <v/>
      </c>
      <c r="U54" s="26">
        <v>0</v>
      </c>
      <c r="V54" s="255">
        <f t="shared" si="10"/>
        <v>71</v>
      </c>
    </row>
    <row r="55" spans="1:22" hidden="1" x14ac:dyDescent="0.25">
      <c r="A55" s="30">
        <f t="shared" si="7"/>
        <v>-7.25</v>
      </c>
      <c r="B55" s="58">
        <f>INT((ROWS(B$11:B55)-1)/20)+40+0.05*MOD(ROWS(B$11:B55)-1,20)</f>
        <v>42.2</v>
      </c>
      <c r="C55" s="58" t="str">
        <f t="shared" si="8"/>
        <v/>
      </c>
      <c r="D55" s="58" t="str">
        <f t="shared" si="2"/>
        <v/>
      </c>
      <c r="E55" s="30">
        <f t="shared" si="3"/>
        <v>5.5199749078428875E-13</v>
      </c>
      <c r="F55" s="30" t="str">
        <f t="shared" si="11"/>
        <v/>
      </c>
      <c r="G55" s="30" t="str">
        <f t="shared" si="11"/>
        <v/>
      </c>
      <c r="H55" s="30" t="str">
        <f t="shared" si="11"/>
        <v/>
      </c>
      <c r="I55" s="30" t="str">
        <f t="shared" si="5"/>
        <v/>
      </c>
      <c r="U55" s="26">
        <v>0</v>
      </c>
      <c r="V55" s="255">
        <f t="shared" si="10"/>
        <v>71</v>
      </c>
    </row>
    <row r="56" spans="1:22" hidden="1" x14ac:dyDescent="0.25">
      <c r="A56" s="30">
        <f t="shared" si="7"/>
        <v>-7.25</v>
      </c>
      <c r="B56" s="58">
        <f>INT((ROWS(B$11:B56)-1)/20)+40+0.05*MOD(ROWS(B$11:B56)-1,20)</f>
        <v>42.25</v>
      </c>
      <c r="C56" s="58" t="str">
        <f t="shared" si="8"/>
        <v/>
      </c>
      <c r="D56" s="58" t="str">
        <f t="shared" si="2"/>
        <v/>
      </c>
      <c r="E56" s="30">
        <f t="shared" si="3"/>
        <v>6.0393427487763541E-13</v>
      </c>
      <c r="F56" s="30" t="str">
        <f t="shared" si="11"/>
        <v/>
      </c>
      <c r="G56" s="30" t="str">
        <f t="shared" si="11"/>
        <v/>
      </c>
      <c r="H56" s="30" t="str">
        <f t="shared" si="11"/>
        <v/>
      </c>
      <c r="I56" s="30" t="str">
        <f t="shared" si="5"/>
        <v/>
      </c>
      <c r="U56" s="26">
        <v>0</v>
      </c>
      <c r="V56" s="255">
        <f t="shared" si="10"/>
        <v>71</v>
      </c>
    </row>
    <row r="57" spans="1:22" hidden="1" x14ac:dyDescent="0.25">
      <c r="A57" s="30">
        <f t="shared" si="7"/>
        <v>-7.25</v>
      </c>
      <c r="B57" s="58">
        <f>INT((ROWS(B$11:B57)-1)/20)+40+0.05*MOD(ROWS(B$11:B57)-1,20)</f>
        <v>42.3</v>
      </c>
      <c r="C57" s="58" t="str">
        <f t="shared" si="8"/>
        <v/>
      </c>
      <c r="D57" s="58" t="str">
        <f t="shared" si="2"/>
        <v/>
      </c>
      <c r="E57" s="30">
        <f t="shared" si="3"/>
        <v>6.6065449357549174E-13</v>
      </c>
      <c r="F57" s="30" t="str">
        <f t="shared" si="11"/>
        <v/>
      </c>
      <c r="G57" s="30" t="str">
        <f t="shared" si="11"/>
        <v/>
      </c>
      <c r="H57" s="30" t="str">
        <f t="shared" si="11"/>
        <v/>
      </c>
      <c r="I57" s="30" t="str">
        <f t="shared" si="5"/>
        <v/>
      </c>
      <c r="U57" s="26">
        <v>0</v>
      </c>
      <c r="V57" s="255">
        <f t="shared" si="10"/>
        <v>71</v>
      </c>
    </row>
    <row r="58" spans="1:22" hidden="1" x14ac:dyDescent="0.25">
      <c r="A58" s="30">
        <f t="shared" si="7"/>
        <v>-7.25</v>
      </c>
      <c r="B58" s="58">
        <f>INT((ROWS(B$11:B58)-1)/20)+40+0.05*MOD(ROWS(B$11:B58)-1,20)</f>
        <v>42.35</v>
      </c>
      <c r="C58" s="58" t="str">
        <f t="shared" si="8"/>
        <v/>
      </c>
      <c r="D58" s="58" t="str">
        <f t="shared" si="2"/>
        <v/>
      </c>
      <c r="E58" s="30">
        <f t="shared" si="3"/>
        <v>7.2258884088229668E-13</v>
      </c>
      <c r="F58" s="30" t="str">
        <f t="shared" si="11"/>
        <v/>
      </c>
      <c r="G58" s="30" t="str">
        <f t="shared" si="11"/>
        <v/>
      </c>
      <c r="H58" s="30" t="str">
        <f t="shared" si="11"/>
        <v/>
      </c>
      <c r="I58" s="30" t="str">
        <f t="shared" si="5"/>
        <v/>
      </c>
      <c r="U58" s="26">
        <v>0</v>
      </c>
      <c r="V58" s="255">
        <f t="shared" si="10"/>
        <v>71</v>
      </c>
    </row>
    <row r="59" spans="1:22" hidden="1" x14ac:dyDescent="0.25">
      <c r="A59" s="30">
        <f t="shared" si="7"/>
        <v>-7.25</v>
      </c>
      <c r="B59" s="58">
        <f>INT((ROWS(B$11:B59)-1)/20)+40+0.05*MOD(ROWS(B$11:B59)-1,20)</f>
        <v>42.4</v>
      </c>
      <c r="C59" s="58" t="str">
        <f t="shared" si="8"/>
        <v/>
      </c>
      <c r="D59" s="58" t="str">
        <f t="shared" si="2"/>
        <v/>
      </c>
      <c r="E59" s="30">
        <f t="shared" si="3"/>
        <v>7.9020586536726605E-13</v>
      </c>
      <c r="F59" s="30" t="str">
        <f t="shared" si="11"/>
        <v/>
      </c>
      <c r="G59" s="30" t="str">
        <f t="shared" si="11"/>
        <v/>
      </c>
      <c r="H59" s="30" t="str">
        <f t="shared" si="11"/>
        <v/>
      </c>
      <c r="I59" s="30" t="str">
        <f t="shared" si="5"/>
        <v/>
      </c>
      <c r="U59" s="26">
        <v>0</v>
      </c>
      <c r="V59" s="255">
        <f t="shared" si="10"/>
        <v>71</v>
      </c>
    </row>
    <row r="60" spans="1:22" hidden="1" x14ac:dyDescent="0.25">
      <c r="A60" s="30">
        <f t="shared" si="7"/>
        <v>-7.25</v>
      </c>
      <c r="B60" s="58">
        <f>INT((ROWS(B$11:B60)-1)/20)+40+0.05*MOD(ROWS(B$11:B60)-1,20)</f>
        <v>42.45</v>
      </c>
      <c r="C60" s="58" t="str">
        <f t="shared" si="8"/>
        <v/>
      </c>
      <c r="D60" s="58" t="str">
        <f t="shared" si="2"/>
        <v/>
      </c>
      <c r="E60" s="30">
        <f t="shared" si="3"/>
        <v>8.6401521239362959E-13</v>
      </c>
      <c r="F60" s="30" t="str">
        <f t="shared" si="11"/>
        <v/>
      </c>
      <c r="G60" s="30" t="str">
        <f t="shared" si="11"/>
        <v/>
      </c>
      <c r="H60" s="30" t="str">
        <f t="shared" si="11"/>
        <v/>
      </c>
      <c r="I60" s="30" t="str">
        <f t="shared" si="5"/>
        <v/>
      </c>
      <c r="U60" s="26">
        <v>0</v>
      </c>
      <c r="V60" s="255">
        <f t="shared" si="10"/>
        <v>71</v>
      </c>
    </row>
    <row r="61" spans="1:22" hidden="1" x14ac:dyDescent="0.25">
      <c r="A61" s="30">
        <f t="shared" si="7"/>
        <v>-7.25</v>
      </c>
      <c r="B61" s="58">
        <f>INT((ROWS(B$11:B61)-1)/20)+40+0.05*MOD(ROWS(B$11:B61)-1,20)</f>
        <v>42.5</v>
      </c>
      <c r="C61" s="58" t="str">
        <f t="shared" si="8"/>
        <v/>
      </c>
      <c r="D61" s="58" t="str">
        <f t="shared" si="2"/>
        <v/>
      </c>
      <c r="E61" s="30">
        <f t="shared" si="3"/>
        <v>9.4457113641602255E-13</v>
      </c>
      <c r="F61" s="30" t="str">
        <f t="shared" si="11"/>
        <v/>
      </c>
      <c r="G61" s="30" t="str">
        <f t="shared" si="11"/>
        <v/>
      </c>
      <c r="H61" s="30" t="str">
        <f t="shared" si="11"/>
        <v/>
      </c>
      <c r="I61" s="30" t="str">
        <f t="shared" si="5"/>
        <v/>
      </c>
      <c r="U61" s="26">
        <v>0</v>
      </c>
      <c r="V61" s="255">
        <f t="shared" si="10"/>
        <v>71</v>
      </c>
    </row>
    <row r="62" spans="1:22" hidden="1" x14ac:dyDescent="0.25">
      <c r="A62" s="30">
        <f t="shared" si="7"/>
        <v>-7.25</v>
      </c>
      <c r="B62" s="58">
        <f>INT((ROWS(B$11:B62)-1)/20)+40+0.05*MOD(ROWS(B$11:B62)-1,20)</f>
        <v>42.55</v>
      </c>
      <c r="C62" s="58" t="str">
        <f t="shared" si="8"/>
        <v/>
      </c>
      <c r="D62" s="58" t="str">
        <f t="shared" si="2"/>
        <v/>
      </c>
      <c r="E62" s="30">
        <f t="shared" si="3"/>
        <v>1.0324763051722252E-12</v>
      </c>
      <c r="F62" s="30" t="str">
        <f t="shared" si="11"/>
        <v/>
      </c>
      <c r="G62" s="30" t="str">
        <f t="shared" si="11"/>
        <v/>
      </c>
      <c r="H62" s="30" t="str">
        <f t="shared" si="11"/>
        <v/>
      </c>
      <c r="I62" s="30" t="str">
        <f t="shared" si="5"/>
        <v/>
      </c>
      <c r="U62" s="26">
        <v>0</v>
      </c>
      <c r="V62" s="255">
        <f t="shared" si="10"/>
        <v>71</v>
      </c>
    </row>
    <row r="63" spans="1:22" hidden="1" x14ac:dyDescent="0.25">
      <c r="A63" s="30">
        <f t="shared" si="7"/>
        <v>-7.25</v>
      </c>
      <c r="B63" s="58">
        <f>INT((ROWS(B$11:B63)-1)/20)+40+0.05*MOD(ROWS(B$11:B63)-1,20)</f>
        <v>42.6</v>
      </c>
      <c r="C63" s="58" t="str">
        <f t="shared" si="8"/>
        <v/>
      </c>
      <c r="D63" s="58" t="str">
        <f t="shared" si="2"/>
        <v/>
      </c>
      <c r="E63" s="30">
        <f t="shared" si="3"/>
        <v>1.1283859193013794E-12</v>
      </c>
      <c r="F63" s="30" t="str">
        <f t="shared" si="11"/>
        <v/>
      </c>
      <c r="G63" s="30" t="str">
        <f t="shared" si="11"/>
        <v/>
      </c>
      <c r="H63" s="30" t="str">
        <f t="shared" si="11"/>
        <v/>
      </c>
      <c r="I63" s="30" t="str">
        <f t="shared" si="5"/>
        <v/>
      </c>
      <c r="U63" s="26">
        <v>0</v>
      </c>
      <c r="V63" s="255">
        <f t="shared" si="10"/>
        <v>71</v>
      </c>
    </row>
    <row r="64" spans="1:22" hidden="1" x14ac:dyDescent="0.25">
      <c r="A64" s="30">
        <f t="shared" si="7"/>
        <v>-7.25</v>
      </c>
      <c r="B64" s="58">
        <f>INT((ROWS(B$11:B64)-1)/20)+40+0.05*MOD(ROWS(B$11:B64)-1,20)</f>
        <v>42.65</v>
      </c>
      <c r="C64" s="58" t="str">
        <f t="shared" si="8"/>
        <v/>
      </c>
      <c r="D64" s="58" t="str">
        <f t="shared" si="2"/>
        <v/>
      </c>
      <c r="E64" s="30">
        <f t="shared" si="3"/>
        <v>1.2330121727561359E-12</v>
      </c>
      <c r="F64" s="30" t="str">
        <f t="shared" si="11"/>
        <v/>
      </c>
      <c r="G64" s="30" t="str">
        <f t="shared" si="11"/>
        <v/>
      </c>
      <c r="H64" s="30" t="str">
        <f t="shared" si="11"/>
        <v/>
      </c>
      <c r="I64" s="30" t="str">
        <f t="shared" si="5"/>
        <v/>
      </c>
      <c r="U64" s="26">
        <v>0</v>
      </c>
      <c r="V64" s="255">
        <f t="shared" si="10"/>
        <v>71</v>
      </c>
    </row>
    <row r="65" spans="1:22" hidden="1" x14ac:dyDescent="0.25">
      <c r="A65" s="30">
        <f t="shared" si="7"/>
        <v>-7.25</v>
      </c>
      <c r="B65" s="58">
        <f>INT((ROWS(B$11:B65)-1)/20)+40+0.05*MOD(ROWS(B$11:B65)-1,20)</f>
        <v>42.7</v>
      </c>
      <c r="C65" s="58" t="str">
        <f t="shared" si="8"/>
        <v/>
      </c>
      <c r="D65" s="58" t="str">
        <f t="shared" si="2"/>
        <v/>
      </c>
      <c r="E65" s="30">
        <f t="shared" si="3"/>
        <v>1.3471290813492094E-12</v>
      </c>
      <c r="F65" s="30" t="str">
        <f t="shared" si="11"/>
        <v/>
      </c>
      <c r="G65" s="30" t="str">
        <f t="shared" si="11"/>
        <v/>
      </c>
      <c r="H65" s="30" t="str">
        <f t="shared" si="11"/>
        <v/>
      </c>
      <c r="I65" s="30" t="str">
        <f t="shared" si="5"/>
        <v/>
      </c>
      <c r="U65" s="26">
        <v>0</v>
      </c>
      <c r="V65" s="255">
        <f t="shared" si="10"/>
        <v>71</v>
      </c>
    </row>
    <row r="66" spans="1:22" hidden="1" x14ac:dyDescent="0.25">
      <c r="A66" s="30">
        <f t="shared" si="7"/>
        <v>-7.25</v>
      </c>
      <c r="B66" s="58">
        <f>INT((ROWS(B$11:B66)-1)/20)+40+0.05*MOD(ROWS(B$11:B66)-1,20)</f>
        <v>42.75</v>
      </c>
      <c r="C66" s="58" t="str">
        <f t="shared" si="8"/>
        <v/>
      </c>
      <c r="D66" s="58" t="str">
        <f t="shared" si="2"/>
        <v/>
      </c>
      <c r="E66" s="30">
        <f t="shared" si="3"/>
        <v>1.4715777088951868E-12</v>
      </c>
      <c r="F66" s="30" t="str">
        <f t="shared" si="11"/>
        <v/>
      </c>
      <c r="G66" s="30" t="str">
        <f t="shared" si="11"/>
        <v/>
      </c>
      <c r="H66" s="30" t="str">
        <f t="shared" si="11"/>
        <v/>
      </c>
      <c r="I66" s="30" t="str">
        <f t="shared" si="5"/>
        <v/>
      </c>
      <c r="U66" s="26">
        <v>0</v>
      </c>
      <c r="V66" s="255">
        <f t="shared" si="10"/>
        <v>71</v>
      </c>
    </row>
    <row r="67" spans="1:22" hidden="1" x14ac:dyDescent="0.25">
      <c r="A67" s="30">
        <f t="shared" si="7"/>
        <v>-7.25</v>
      </c>
      <c r="B67" s="58">
        <f>INT((ROWS(B$11:B67)-1)/20)+40+0.05*MOD(ROWS(B$11:B67)-1,20)</f>
        <v>42.8</v>
      </c>
      <c r="C67" s="58" t="str">
        <f t="shared" si="8"/>
        <v/>
      </c>
      <c r="D67" s="58" t="str">
        <f t="shared" si="2"/>
        <v/>
      </c>
      <c r="E67" s="30">
        <f t="shared" si="3"/>
        <v>1.6072718226884059E-12</v>
      </c>
      <c r="F67" s="30" t="str">
        <f t="shared" si="11"/>
        <v/>
      </c>
      <c r="G67" s="30" t="str">
        <f t="shared" si="11"/>
        <v/>
      </c>
      <c r="H67" s="30" t="str">
        <f t="shared" si="11"/>
        <v/>
      </c>
      <c r="I67" s="30" t="str">
        <f t="shared" si="5"/>
        <v/>
      </c>
      <c r="U67" s="26">
        <v>0</v>
      </c>
      <c r="V67" s="255">
        <f t="shared" si="10"/>
        <v>71</v>
      </c>
    </row>
    <row r="68" spans="1:22" hidden="1" x14ac:dyDescent="0.25">
      <c r="A68" s="30">
        <f t="shared" si="7"/>
        <v>-7.25</v>
      </c>
      <c r="B68" s="58">
        <f>INT((ROWS(B$11:B68)-1)/20)+40+0.05*MOD(ROWS(B$11:B68)-1,20)</f>
        <v>42.85</v>
      </c>
      <c r="C68" s="58" t="str">
        <f t="shared" si="8"/>
        <v/>
      </c>
      <c r="D68" s="58" t="str">
        <f t="shared" si="2"/>
        <v/>
      </c>
      <c r="E68" s="30">
        <f t="shared" si="3"/>
        <v>1.7552040125061541E-12</v>
      </c>
      <c r="F68" s="30" t="str">
        <f t="shared" si="11"/>
        <v/>
      </c>
      <c r="G68" s="30" t="str">
        <f t="shared" si="11"/>
        <v/>
      </c>
      <c r="H68" s="30" t="str">
        <f t="shared" si="11"/>
        <v/>
      </c>
      <c r="I68" s="30" t="str">
        <f t="shared" si="5"/>
        <v/>
      </c>
      <c r="U68" s="26">
        <v>0</v>
      </c>
      <c r="V68" s="255">
        <f t="shared" si="10"/>
        <v>71</v>
      </c>
    </row>
    <row r="69" spans="1:22" hidden="1" x14ac:dyDescent="0.25">
      <c r="A69" s="30">
        <f t="shared" si="7"/>
        <v>-7.25</v>
      </c>
      <c r="B69" s="58">
        <f>INT((ROWS(B$11:B69)-1)/20)+40+0.05*MOD(ROWS(B$11:B69)-1,20)</f>
        <v>42.9</v>
      </c>
      <c r="C69" s="58" t="str">
        <f t="shared" si="8"/>
        <v/>
      </c>
      <c r="D69" s="58" t="str">
        <f t="shared" si="2"/>
        <v/>
      </c>
      <c r="E69" s="30">
        <f t="shared" si="3"/>
        <v>1.9164523099579638E-12</v>
      </c>
      <c r="F69" s="30" t="str">
        <f t="shared" si="11"/>
        <v/>
      </c>
      <c r="G69" s="30" t="str">
        <f t="shared" si="11"/>
        <v/>
      </c>
      <c r="H69" s="30" t="str">
        <f t="shared" si="11"/>
        <v/>
      </c>
      <c r="I69" s="30" t="str">
        <f t="shared" si="5"/>
        <v/>
      </c>
      <c r="U69" s="26">
        <v>0</v>
      </c>
      <c r="V69" s="255">
        <f t="shared" si="10"/>
        <v>71</v>
      </c>
    </row>
    <row r="70" spans="1:22" hidden="1" x14ac:dyDescent="0.25">
      <c r="A70" s="30">
        <f t="shared" si="7"/>
        <v>-7.25</v>
      </c>
      <c r="B70" s="58">
        <f>INT((ROWS(B$11:B70)-1)/20)+40+0.05*MOD(ROWS(B$11:B70)-1,20)</f>
        <v>42.95</v>
      </c>
      <c r="C70" s="58" t="str">
        <f t="shared" si="8"/>
        <v/>
      </c>
      <c r="D70" s="58" t="str">
        <f t="shared" si="2"/>
        <v/>
      </c>
      <c r="E70" s="30">
        <f t="shared" si="3"/>
        <v>2.0921873478279553E-12</v>
      </c>
      <c r="F70" s="30" t="str">
        <f t="shared" si="11"/>
        <v/>
      </c>
      <c r="G70" s="30" t="str">
        <f t="shared" si="11"/>
        <v/>
      </c>
      <c r="H70" s="30" t="str">
        <f t="shared" si="11"/>
        <v/>
      </c>
      <c r="I70" s="30" t="str">
        <f t="shared" si="5"/>
        <v/>
      </c>
      <c r="U70" s="26">
        <v>0</v>
      </c>
      <c r="V70" s="255">
        <f t="shared" ref="V70:V133" si="12">$F$1+U70*$F$2</f>
        <v>71</v>
      </c>
    </row>
    <row r="71" spans="1:22" hidden="1" x14ac:dyDescent="0.25">
      <c r="A71" s="30">
        <f t="shared" si="7"/>
        <v>-7</v>
      </c>
      <c r="B71" s="58">
        <f>INT((ROWS(B$11:B71)-1)/20)+40+0.05*MOD(ROWS(B$11:B71)-1,20)</f>
        <v>43</v>
      </c>
      <c r="C71" s="58">
        <f t="shared" si="8"/>
        <v>-7</v>
      </c>
      <c r="D71" s="58">
        <f t="shared" si="2"/>
        <v>43</v>
      </c>
      <c r="E71" s="30">
        <f t="shared" si="3"/>
        <v>2.2836801020911484E-12</v>
      </c>
      <c r="F71" s="30" t="str">
        <f t="shared" ref="F71:H90" si="13">IF(AND($B71&gt;=F$7,$B71&lt;=F$8),E71,"")</f>
        <v/>
      </c>
      <c r="G71" s="30" t="str">
        <f t="shared" si="13"/>
        <v/>
      </c>
      <c r="H71" s="30" t="str">
        <f t="shared" si="13"/>
        <v/>
      </c>
      <c r="I71" s="30" t="str">
        <f t="shared" si="5"/>
        <v/>
      </c>
      <c r="U71" s="26">
        <v>0</v>
      </c>
      <c r="V71" s="255">
        <f t="shared" si="12"/>
        <v>71</v>
      </c>
    </row>
    <row r="72" spans="1:22" hidden="1" x14ac:dyDescent="0.25">
      <c r="A72" s="30">
        <f t="shared" si="7"/>
        <v>-7</v>
      </c>
      <c r="B72" s="58">
        <f>INT((ROWS(B$11:B72)-1)/20)+40+0.05*MOD(ROWS(B$11:B72)-1,20)</f>
        <v>43.05</v>
      </c>
      <c r="C72" s="58" t="str">
        <f t="shared" si="8"/>
        <v/>
      </c>
      <c r="D72" s="58" t="str">
        <f t="shared" si="2"/>
        <v/>
      </c>
      <c r="E72" s="30">
        <f t="shared" si="3"/>
        <v>2.4923102625442708E-12</v>
      </c>
      <c r="F72" s="30" t="str">
        <f t="shared" si="13"/>
        <v/>
      </c>
      <c r="G72" s="30" t="str">
        <f t="shared" si="13"/>
        <v/>
      </c>
      <c r="H72" s="30" t="str">
        <f t="shared" si="13"/>
        <v/>
      </c>
      <c r="I72" s="30" t="str">
        <f t="shared" si="5"/>
        <v/>
      </c>
      <c r="U72" s="26">
        <v>0</v>
      </c>
      <c r="V72" s="255">
        <f t="shared" si="12"/>
        <v>71</v>
      </c>
    </row>
    <row r="73" spans="1:22" hidden="1" x14ac:dyDescent="0.25">
      <c r="A73" s="30">
        <f t="shared" si="7"/>
        <v>-7</v>
      </c>
      <c r="B73" s="58">
        <f>INT((ROWS(B$11:B73)-1)/20)+40+0.05*MOD(ROWS(B$11:B73)-1,20)</f>
        <v>43.1</v>
      </c>
      <c r="C73" s="58" t="str">
        <f t="shared" si="8"/>
        <v/>
      </c>
      <c r="D73" s="58" t="str">
        <f t="shared" si="2"/>
        <v/>
      </c>
      <c r="E73" s="30">
        <f t="shared" si="3"/>
        <v>2.7195752814879468E-12</v>
      </c>
      <c r="F73" s="30" t="str">
        <f t="shared" si="13"/>
        <v/>
      </c>
      <c r="G73" s="30" t="str">
        <f t="shared" si="13"/>
        <v/>
      </c>
      <c r="H73" s="30" t="str">
        <f t="shared" si="13"/>
        <v/>
      </c>
      <c r="I73" s="30" t="str">
        <f t="shared" si="5"/>
        <v/>
      </c>
      <c r="U73" s="26">
        <v>0</v>
      </c>
      <c r="V73" s="255">
        <f t="shared" si="12"/>
        <v>71</v>
      </c>
    </row>
    <row r="74" spans="1:22" hidden="1" x14ac:dyDescent="0.25">
      <c r="A74" s="30">
        <f t="shared" si="7"/>
        <v>-7</v>
      </c>
      <c r="B74" s="58">
        <f>INT((ROWS(B$11:B74)-1)/20)+40+0.05*MOD(ROWS(B$11:B74)-1,20)</f>
        <v>43.15</v>
      </c>
      <c r="C74" s="58" t="str">
        <f t="shared" si="8"/>
        <v/>
      </c>
      <c r="D74" s="58" t="str">
        <f t="shared" si="2"/>
        <v/>
      </c>
      <c r="E74" s="30">
        <f t="shared" si="3"/>
        <v>2.9671001536514986E-12</v>
      </c>
      <c r="F74" s="30" t="str">
        <f t="shared" si="13"/>
        <v/>
      </c>
      <c r="G74" s="30" t="str">
        <f t="shared" si="13"/>
        <v/>
      </c>
      <c r="H74" s="30" t="str">
        <f t="shared" si="13"/>
        <v/>
      </c>
      <c r="I74" s="30" t="str">
        <f t="shared" si="5"/>
        <v/>
      </c>
      <c r="U74" s="26">
        <v>0</v>
      </c>
      <c r="V74" s="255">
        <f t="shared" si="12"/>
        <v>71</v>
      </c>
    </row>
    <row r="75" spans="1:22" hidden="1" x14ac:dyDescent="0.25">
      <c r="A75" s="30">
        <f t="shared" si="7"/>
        <v>-7</v>
      </c>
      <c r="B75" s="58">
        <f>INT((ROWS(B$11:B75)-1)/20)+40+0.05*MOD(ROWS(B$11:B75)-1,20)</f>
        <v>43.2</v>
      </c>
      <c r="C75" s="58" t="str">
        <f t="shared" si="8"/>
        <v/>
      </c>
      <c r="D75" s="58" t="str">
        <f t="shared" ref="D75:D138" si="14">IF(INT(B75)=B75,B75,"")</f>
        <v/>
      </c>
      <c r="E75" s="30">
        <f t="shared" ref="E75:E138" si="15">_xlfn.NORM.DIST(B75,$F$1,$F$2,0)</f>
        <v>3.2366479845798166E-12</v>
      </c>
      <c r="F75" s="30" t="str">
        <f t="shared" si="13"/>
        <v/>
      </c>
      <c r="G75" s="30" t="str">
        <f t="shared" si="13"/>
        <v/>
      </c>
      <c r="H75" s="30" t="str">
        <f t="shared" si="13"/>
        <v/>
      </c>
      <c r="I75" s="30" t="str">
        <f t="shared" ref="I75:I138" si="16">IF(AND(B75&gt;=$F$1-0.2,B75&lt;=$F$1+0.2),E75,"")</f>
        <v/>
      </c>
      <c r="U75" s="26">
        <v>0</v>
      </c>
      <c r="V75" s="255">
        <f t="shared" si="12"/>
        <v>71</v>
      </c>
    </row>
    <row r="76" spans="1:22" hidden="1" x14ac:dyDescent="0.25">
      <c r="A76" s="30">
        <f t="shared" ref="A76:A139" si="17">(INT(B76)-$F$1)/$F$2</f>
        <v>-7</v>
      </c>
      <c r="B76" s="58">
        <f>INT((ROWS(B$11:B76)-1)/20)+40+0.05*MOD(ROWS(B$11:B76)-1,20)</f>
        <v>43.25</v>
      </c>
      <c r="C76" s="58" t="str">
        <f t="shared" ref="C76:C139" si="18">IF(AND(A76&lt;&gt;A75,INT(A76)=A76),A76,"")</f>
        <v/>
      </c>
      <c r="D76" s="58" t="str">
        <f t="shared" si="14"/>
        <v/>
      </c>
      <c r="E76" s="30">
        <f t="shared" si="15"/>
        <v>3.5301314090213703E-12</v>
      </c>
      <c r="F76" s="30" t="str">
        <f t="shared" si="13"/>
        <v/>
      </c>
      <c r="G76" s="30" t="str">
        <f t="shared" si="13"/>
        <v/>
      </c>
      <c r="H76" s="30" t="str">
        <f t="shared" si="13"/>
        <v/>
      </c>
      <c r="I76" s="30" t="str">
        <f t="shared" si="16"/>
        <v/>
      </c>
      <c r="U76" s="26">
        <v>0</v>
      </c>
      <c r="V76" s="255">
        <f t="shared" si="12"/>
        <v>71</v>
      </c>
    </row>
    <row r="77" spans="1:22" hidden="1" x14ac:dyDescent="0.25">
      <c r="A77" s="30">
        <f t="shared" si="17"/>
        <v>-7</v>
      </c>
      <c r="B77" s="58">
        <f>INT((ROWS(B$11:B77)-1)/20)+40+0.05*MOD(ROWS(B$11:B77)-1,20)</f>
        <v>43.3</v>
      </c>
      <c r="C77" s="58" t="str">
        <f t="shared" si="18"/>
        <v/>
      </c>
      <c r="D77" s="58" t="str">
        <f t="shared" si="14"/>
        <v/>
      </c>
      <c r="E77" s="30">
        <f t="shared" si="15"/>
        <v>3.8496249254929333E-12</v>
      </c>
      <c r="F77" s="30" t="str">
        <f t="shared" si="13"/>
        <v/>
      </c>
      <c r="G77" s="30" t="str">
        <f t="shared" si="13"/>
        <v/>
      </c>
      <c r="H77" s="30" t="str">
        <f t="shared" si="13"/>
        <v/>
      </c>
      <c r="I77" s="30" t="str">
        <f t="shared" si="16"/>
        <v/>
      </c>
      <c r="U77" s="26">
        <v>0</v>
      </c>
      <c r="V77" s="255">
        <f t="shared" si="12"/>
        <v>71</v>
      </c>
    </row>
    <row r="78" spans="1:22" hidden="1" x14ac:dyDescent="0.25">
      <c r="A78" s="30">
        <f t="shared" si="17"/>
        <v>-7</v>
      </c>
      <c r="B78" s="58">
        <f>INT((ROWS(B$11:B78)-1)/20)+40+0.05*MOD(ROWS(B$11:B78)-1,20)</f>
        <v>43.35</v>
      </c>
      <c r="C78" s="58" t="str">
        <f t="shared" si="18"/>
        <v/>
      </c>
      <c r="D78" s="58" t="str">
        <f t="shared" si="14"/>
        <v/>
      </c>
      <c r="E78" s="30">
        <f t="shared" si="15"/>
        <v>4.1973782181646732E-12</v>
      </c>
      <c r="F78" s="30" t="str">
        <f t="shared" si="13"/>
        <v/>
      </c>
      <c r="G78" s="30" t="str">
        <f t="shared" si="13"/>
        <v/>
      </c>
      <c r="H78" s="30" t="str">
        <f t="shared" si="13"/>
        <v/>
      </c>
      <c r="I78" s="30" t="str">
        <f t="shared" si="16"/>
        <v/>
      </c>
      <c r="U78" s="26">
        <v>0</v>
      </c>
      <c r="V78" s="255">
        <f t="shared" si="12"/>
        <v>71</v>
      </c>
    </row>
    <row r="79" spans="1:22" hidden="1" x14ac:dyDescent="0.25">
      <c r="A79" s="30">
        <f t="shared" si="17"/>
        <v>-7</v>
      </c>
      <c r="B79" s="58">
        <f>INT((ROWS(B$11:B79)-1)/20)+40+0.05*MOD(ROWS(B$11:B79)-1,20)</f>
        <v>43.4</v>
      </c>
      <c r="C79" s="58" t="str">
        <f t="shared" si="18"/>
        <v/>
      </c>
      <c r="D79" s="58" t="str">
        <f t="shared" si="14"/>
        <v/>
      </c>
      <c r="E79" s="30">
        <f t="shared" si="15"/>
        <v>4.5758305425389284E-12</v>
      </c>
      <c r="F79" s="30" t="str">
        <f t="shared" si="13"/>
        <v/>
      </c>
      <c r="G79" s="30" t="str">
        <f t="shared" si="13"/>
        <v/>
      </c>
      <c r="H79" s="30" t="str">
        <f t="shared" si="13"/>
        <v/>
      </c>
      <c r="I79" s="30" t="str">
        <f t="shared" si="16"/>
        <v/>
      </c>
      <c r="U79" s="26">
        <v>0</v>
      </c>
      <c r="V79" s="255">
        <f t="shared" si="12"/>
        <v>71</v>
      </c>
    </row>
    <row r="80" spans="1:22" hidden="1" x14ac:dyDescent="0.25">
      <c r="A80" s="30">
        <f t="shared" si="17"/>
        <v>-7</v>
      </c>
      <c r="B80" s="58">
        <f>INT((ROWS(B$11:B80)-1)/20)+40+0.05*MOD(ROWS(B$11:B80)-1,20)</f>
        <v>43.45</v>
      </c>
      <c r="C80" s="58" t="str">
        <f t="shared" si="18"/>
        <v/>
      </c>
      <c r="D80" s="58" t="str">
        <f t="shared" si="14"/>
        <v/>
      </c>
      <c r="E80" s="30">
        <f t="shared" si="15"/>
        <v>4.9876262571082466E-12</v>
      </c>
      <c r="F80" s="30" t="str">
        <f t="shared" si="13"/>
        <v/>
      </c>
      <c r="G80" s="30" t="str">
        <f t="shared" si="13"/>
        <v/>
      </c>
      <c r="H80" s="30" t="str">
        <f t="shared" si="13"/>
        <v/>
      </c>
      <c r="I80" s="30" t="str">
        <f t="shared" si="16"/>
        <v/>
      </c>
      <c r="U80" s="26">
        <v>0</v>
      </c>
      <c r="V80" s="255">
        <f t="shared" si="12"/>
        <v>71</v>
      </c>
    </row>
    <row r="81" spans="1:22" hidden="1" x14ac:dyDescent="0.25">
      <c r="A81" s="30">
        <f t="shared" si="17"/>
        <v>-7</v>
      </c>
      <c r="B81" s="58">
        <f>INT((ROWS(B$11:B81)-1)/20)+40+0.05*MOD(ROWS(B$11:B81)-1,20)</f>
        <v>43.5</v>
      </c>
      <c r="C81" s="58" t="str">
        <f t="shared" si="18"/>
        <v/>
      </c>
      <c r="D81" s="58" t="str">
        <f t="shared" si="14"/>
        <v/>
      </c>
      <c r="E81" s="30">
        <f t="shared" si="15"/>
        <v>5.4356315892974175E-12</v>
      </c>
      <c r="F81" s="30" t="str">
        <f t="shared" si="13"/>
        <v/>
      </c>
      <c r="G81" s="30" t="str">
        <f t="shared" si="13"/>
        <v/>
      </c>
      <c r="H81" s="30" t="str">
        <f t="shared" si="13"/>
        <v/>
      </c>
      <c r="I81" s="30" t="str">
        <f t="shared" si="16"/>
        <v/>
      </c>
      <c r="U81" s="26">
        <v>0</v>
      </c>
      <c r="V81" s="255">
        <f t="shared" si="12"/>
        <v>71</v>
      </c>
    </row>
    <row r="82" spans="1:22" hidden="1" x14ac:dyDescent="0.25">
      <c r="A82" s="30">
        <f t="shared" si="17"/>
        <v>-7</v>
      </c>
      <c r="B82" s="58">
        <f>INT((ROWS(B$11:B82)-1)/20)+40+0.05*MOD(ROWS(B$11:B82)-1,20)</f>
        <v>43.55</v>
      </c>
      <c r="C82" s="58" t="str">
        <f t="shared" si="18"/>
        <v/>
      </c>
      <c r="D82" s="58" t="str">
        <f t="shared" si="14"/>
        <v/>
      </c>
      <c r="E82" s="30">
        <f t="shared" si="15"/>
        <v>5.9229527305567262E-12</v>
      </c>
      <c r="F82" s="30" t="str">
        <f t="shared" si="13"/>
        <v/>
      </c>
      <c r="G82" s="30" t="str">
        <f t="shared" si="13"/>
        <v/>
      </c>
      <c r="H82" s="30" t="str">
        <f t="shared" si="13"/>
        <v/>
      </c>
      <c r="I82" s="30" t="str">
        <f t="shared" si="16"/>
        <v/>
      </c>
      <c r="U82" s="26">
        <v>0</v>
      </c>
      <c r="V82" s="255">
        <f t="shared" si="12"/>
        <v>71</v>
      </c>
    </row>
    <row r="83" spans="1:22" hidden="1" x14ac:dyDescent="0.25">
      <c r="A83" s="30">
        <f t="shared" si="17"/>
        <v>-7</v>
      </c>
      <c r="B83" s="58">
        <f>INT((ROWS(B$11:B83)-1)/20)+40+0.05*MOD(ROWS(B$11:B83)-1,20)</f>
        <v>43.6</v>
      </c>
      <c r="C83" s="58" t="str">
        <f t="shared" si="18"/>
        <v/>
      </c>
      <c r="D83" s="58" t="str">
        <f t="shared" si="14"/>
        <v/>
      </c>
      <c r="E83" s="30">
        <f t="shared" si="15"/>
        <v>6.4529553624966829E-12</v>
      </c>
      <c r="F83" s="30" t="str">
        <f t="shared" si="13"/>
        <v/>
      </c>
      <c r="G83" s="30" t="str">
        <f t="shared" si="13"/>
        <v/>
      </c>
      <c r="H83" s="30" t="str">
        <f t="shared" si="13"/>
        <v/>
      </c>
      <c r="I83" s="30" t="str">
        <f t="shared" si="16"/>
        <v/>
      </c>
      <c r="U83" s="26">
        <v>0</v>
      </c>
      <c r="V83" s="255">
        <f t="shared" si="12"/>
        <v>71</v>
      </c>
    </row>
    <row r="84" spans="1:22" hidden="1" x14ac:dyDescent="0.25">
      <c r="A84" s="30">
        <f t="shared" si="17"/>
        <v>-7</v>
      </c>
      <c r="B84" s="58">
        <f>INT((ROWS(B$11:B84)-1)/20)+40+0.05*MOD(ROWS(B$11:B84)-1,20)</f>
        <v>43.65</v>
      </c>
      <c r="C84" s="58" t="str">
        <f t="shared" si="18"/>
        <v/>
      </c>
      <c r="D84" s="58" t="str">
        <f t="shared" si="14"/>
        <v/>
      </c>
      <c r="E84" s="30">
        <f t="shared" si="15"/>
        <v>7.0292857234824679E-12</v>
      </c>
      <c r="F84" s="30" t="str">
        <f t="shared" si="13"/>
        <v/>
      </c>
      <c r="G84" s="30" t="str">
        <f t="shared" si="13"/>
        <v/>
      </c>
      <c r="H84" s="30" t="str">
        <f t="shared" si="13"/>
        <v/>
      </c>
      <c r="I84" s="30" t="str">
        <f t="shared" si="16"/>
        <v/>
      </c>
      <c r="U84" s="26">
        <v>0</v>
      </c>
      <c r="V84" s="255">
        <f t="shared" si="12"/>
        <v>71</v>
      </c>
    </row>
    <row r="85" spans="1:22" hidden="1" x14ac:dyDescent="0.25">
      <c r="A85" s="30">
        <f t="shared" si="17"/>
        <v>-7</v>
      </c>
      <c r="B85" s="58">
        <f>INT((ROWS(B$11:B85)-1)/20)+40+0.05*MOD(ROWS(B$11:B85)-1,20)</f>
        <v>43.7</v>
      </c>
      <c r="C85" s="58" t="str">
        <f t="shared" si="18"/>
        <v/>
      </c>
      <c r="D85" s="58" t="str">
        <f t="shared" si="14"/>
        <v/>
      </c>
      <c r="E85" s="30">
        <f t="shared" si="15"/>
        <v>7.655893333165815E-12</v>
      </c>
      <c r="F85" s="30" t="str">
        <f t="shared" si="13"/>
        <v/>
      </c>
      <c r="G85" s="30" t="str">
        <f t="shared" si="13"/>
        <v/>
      </c>
      <c r="H85" s="30" t="str">
        <f t="shared" si="13"/>
        <v/>
      </c>
      <c r="I85" s="30" t="str">
        <f t="shared" si="16"/>
        <v/>
      </c>
      <c r="U85" s="26">
        <v>0</v>
      </c>
      <c r="V85" s="255">
        <f t="shared" si="12"/>
        <v>71</v>
      </c>
    </row>
    <row r="86" spans="1:22" hidden="1" x14ac:dyDescent="0.25">
      <c r="A86" s="30">
        <f t="shared" si="17"/>
        <v>-7</v>
      </c>
      <c r="B86" s="58">
        <f>INT((ROWS(B$11:B86)-1)/20)+40+0.05*MOD(ROWS(B$11:B86)-1,20)</f>
        <v>43.75</v>
      </c>
      <c r="C86" s="58" t="str">
        <f t="shared" si="18"/>
        <v/>
      </c>
      <c r="D86" s="58" t="str">
        <f t="shared" si="14"/>
        <v/>
      </c>
      <c r="E86" s="30">
        <f t="shared" si="15"/>
        <v>8.3370555010569561E-12</v>
      </c>
      <c r="F86" s="30" t="str">
        <f t="shared" si="13"/>
        <v/>
      </c>
      <c r="G86" s="30" t="str">
        <f t="shared" si="13"/>
        <v/>
      </c>
      <c r="H86" s="30" t="str">
        <f t="shared" si="13"/>
        <v/>
      </c>
      <c r="I86" s="30" t="str">
        <f t="shared" si="16"/>
        <v/>
      </c>
      <c r="U86" s="26">
        <v>0</v>
      </c>
      <c r="V86" s="255">
        <f t="shared" si="12"/>
        <v>71</v>
      </c>
    </row>
    <row r="87" spans="1:22" hidden="1" x14ac:dyDescent="0.25">
      <c r="A87" s="30">
        <f t="shared" si="17"/>
        <v>-7</v>
      </c>
      <c r="B87" s="58">
        <f>INT((ROWS(B$11:B87)-1)/20)+40+0.05*MOD(ROWS(B$11:B87)-1,20)</f>
        <v>43.8</v>
      </c>
      <c r="C87" s="58" t="str">
        <f t="shared" si="18"/>
        <v/>
      </c>
      <c r="D87" s="58" t="str">
        <f t="shared" si="14"/>
        <v/>
      </c>
      <c r="E87" s="30">
        <f t="shared" si="15"/>
        <v>9.0774037544794381E-12</v>
      </c>
      <c r="F87" s="30" t="str">
        <f t="shared" si="13"/>
        <v/>
      </c>
      <c r="G87" s="30" t="str">
        <f t="shared" si="13"/>
        <v/>
      </c>
      <c r="H87" s="30" t="str">
        <f t="shared" si="13"/>
        <v/>
      </c>
      <c r="I87" s="30" t="str">
        <f t="shared" si="16"/>
        <v/>
      </c>
      <c r="U87" s="26">
        <v>0</v>
      </c>
      <c r="V87" s="255">
        <f t="shared" si="12"/>
        <v>71</v>
      </c>
    </row>
    <row r="88" spans="1:22" hidden="1" x14ac:dyDescent="0.25">
      <c r="A88" s="30">
        <f t="shared" si="17"/>
        <v>-7</v>
      </c>
      <c r="B88" s="58">
        <f>INT((ROWS(B$11:B88)-1)/20)+40+0.05*MOD(ROWS(B$11:B88)-1,20)</f>
        <v>43.85</v>
      </c>
      <c r="C88" s="58" t="str">
        <f t="shared" si="18"/>
        <v/>
      </c>
      <c r="D88" s="58" t="str">
        <f t="shared" si="14"/>
        <v/>
      </c>
      <c r="E88" s="30">
        <f t="shared" si="15"/>
        <v>9.881952331129965E-12</v>
      </c>
      <c r="F88" s="30" t="str">
        <f t="shared" si="13"/>
        <v/>
      </c>
      <c r="G88" s="30" t="str">
        <f t="shared" si="13"/>
        <v/>
      </c>
      <c r="H88" s="30" t="str">
        <f t="shared" si="13"/>
        <v/>
      </c>
      <c r="I88" s="30" t="str">
        <f t="shared" si="16"/>
        <v/>
      </c>
      <c r="U88" s="26">
        <v>0</v>
      </c>
      <c r="V88" s="255">
        <f t="shared" si="12"/>
        <v>71</v>
      </c>
    </row>
    <row r="89" spans="1:22" hidden="1" x14ac:dyDescent="0.25">
      <c r="A89" s="30">
        <f t="shared" si="17"/>
        <v>-7</v>
      </c>
      <c r="B89" s="58">
        <f>INT((ROWS(B$11:B89)-1)/20)+40+0.05*MOD(ROWS(B$11:B89)-1,20)</f>
        <v>43.9</v>
      </c>
      <c r="C89" s="58" t="str">
        <f t="shared" si="18"/>
        <v/>
      </c>
      <c r="D89" s="58" t="str">
        <f t="shared" si="14"/>
        <v/>
      </c>
      <c r="E89" s="30">
        <f t="shared" si="15"/>
        <v>1.0756128892043115E-11</v>
      </c>
      <c r="F89" s="30" t="str">
        <f t="shared" si="13"/>
        <v/>
      </c>
      <c r="G89" s="30" t="str">
        <f t="shared" si="13"/>
        <v/>
      </c>
      <c r="H89" s="30" t="str">
        <f t="shared" si="13"/>
        <v/>
      </c>
      <c r="I89" s="30" t="str">
        <f t="shared" si="16"/>
        <v/>
      </c>
      <c r="U89" s="26">
        <v>0</v>
      </c>
      <c r="V89" s="255">
        <f t="shared" si="12"/>
        <v>71</v>
      </c>
    </row>
    <row r="90" spans="1:22" hidden="1" x14ac:dyDescent="0.25">
      <c r="A90" s="30">
        <f t="shared" si="17"/>
        <v>-7</v>
      </c>
      <c r="B90" s="58">
        <f>INT((ROWS(B$11:B90)-1)/20)+40+0.05*MOD(ROWS(B$11:B90)-1,20)</f>
        <v>43.95</v>
      </c>
      <c r="C90" s="58" t="str">
        <f t="shared" si="18"/>
        <v/>
      </c>
      <c r="D90" s="58" t="str">
        <f t="shared" si="14"/>
        <v/>
      </c>
      <c r="E90" s="30">
        <f t="shared" si="15"/>
        <v>1.1705807622074238E-11</v>
      </c>
      <c r="F90" s="30" t="str">
        <f t="shared" si="13"/>
        <v/>
      </c>
      <c r="G90" s="30" t="str">
        <f t="shared" si="13"/>
        <v/>
      </c>
      <c r="H90" s="30" t="str">
        <f t="shared" si="13"/>
        <v/>
      </c>
      <c r="I90" s="30" t="str">
        <f t="shared" si="16"/>
        <v/>
      </c>
      <c r="U90" s="26">
        <v>0</v>
      </c>
      <c r="V90" s="255">
        <f t="shared" si="12"/>
        <v>71</v>
      </c>
    </row>
    <row r="91" spans="1:22" hidden="1" x14ac:dyDescent="0.25">
      <c r="A91" s="30">
        <f t="shared" si="17"/>
        <v>-6.75</v>
      </c>
      <c r="B91" s="58">
        <f>INT((ROWS(B$11:B91)-1)/20)+40+0.05*MOD(ROWS(B$11:B91)-1,20)</f>
        <v>44</v>
      </c>
      <c r="C91" s="58" t="str">
        <f t="shared" si="18"/>
        <v/>
      </c>
      <c r="D91" s="58">
        <f t="shared" si="14"/>
        <v>44</v>
      </c>
      <c r="E91" s="30">
        <f t="shared" si="15"/>
        <v>1.273734489710921E-11</v>
      </c>
      <c r="F91" s="30" t="str">
        <f t="shared" ref="F91:H110" si="19">IF(AND($B91&gt;=F$7,$B91&lt;=F$8),E91,"")</f>
        <v/>
      </c>
      <c r="G91" s="30" t="str">
        <f t="shared" si="19"/>
        <v/>
      </c>
      <c r="H91" s="30" t="str">
        <f t="shared" si="19"/>
        <v/>
      </c>
      <c r="I91" s="30" t="str">
        <f t="shared" si="16"/>
        <v/>
      </c>
      <c r="U91" s="26">
        <v>0</v>
      </c>
      <c r="V91" s="255">
        <f t="shared" si="12"/>
        <v>71</v>
      </c>
    </row>
    <row r="92" spans="1:22" hidden="1" x14ac:dyDescent="0.25">
      <c r="A92" s="30">
        <f t="shared" si="17"/>
        <v>-6.75</v>
      </c>
      <c r="B92" s="58">
        <f>INT((ROWS(B$11:B92)-1)/20)+40+0.05*MOD(ROWS(B$11:B92)-1,20)</f>
        <v>44.05</v>
      </c>
      <c r="C92" s="58" t="str">
        <f t="shared" si="18"/>
        <v/>
      </c>
      <c r="D92" s="58" t="str">
        <f t="shared" si="14"/>
        <v/>
      </c>
      <c r="E92" s="30">
        <f t="shared" si="15"/>
        <v>1.3857617710153517E-11</v>
      </c>
      <c r="F92" s="30" t="str">
        <f t="shared" si="19"/>
        <v/>
      </c>
      <c r="G92" s="30" t="str">
        <f t="shared" si="19"/>
        <v/>
      </c>
      <c r="H92" s="30" t="str">
        <f t="shared" si="19"/>
        <v/>
      </c>
      <c r="I92" s="30" t="str">
        <f t="shared" si="16"/>
        <v/>
      </c>
      <c r="U92" s="26">
        <v>0</v>
      </c>
      <c r="V92" s="255">
        <f t="shared" si="12"/>
        <v>71</v>
      </c>
    </row>
    <row r="93" spans="1:22" hidden="1" x14ac:dyDescent="0.25">
      <c r="A93" s="30">
        <f t="shared" si="17"/>
        <v>-6.75</v>
      </c>
      <c r="B93" s="58">
        <f>INT((ROWS(B$11:B93)-1)/20)+40+0.05*MOD(ROWS(B$11:B93)-1,20)</f>
        <v>44.1</v>
      </c>
      <c r="C93" s="58" t="str">
        <f t="shared" si="18"/>
        <v/>
      </c>
      <c r="D93" s="58" t="str">
        <f t="shared" si="14"/>
        <v/>
      </c>
      <c r="E93" s="30">
        <f t="shared" si="15"/>
        <v>1.507406506227858E-11</v>
      </c>
      <c r="F93" s="30" t="str">
        <f t="shared" si="19"/>
        <v/>
      </c>
      <c r="G93" s="30" t="str">
        <f t="shared" si="19"/>
        <v/>
      </c>
      <c r="H93" s="30" t="str">
        <f t="shared" si="19"/>
        <v/>
      </c>
      <c r="I93" s="30" t="str">
        <f t="shared" si="16"/>
        <v/>
      </c>
      <c r="U93" s="26">
        <v>0</v>
      </c>
      <c r="V93" s="255">
        <f t="shared" si="12"/>
        <v>71</v>
      </c>
    </row>
    <row r="94" spans="1:22" hidden="1" x14ac:dyDescent="0.25">
      <c r="A94" s="30">
        <f t="shared" si="17"/>
        <v>-6.75</v>
      </c>
      <c r="B94" s="58">
        <f>INT((ROWS(B$11:B94)-1)/20)+40+0.05*MOD(ROWS(B$11:B94)-1,20)</f>
        <v>44.15</v>
      </c>
      <c r="C94" s="58" t="str">
        <f t="shared" si="18"/>
        <v/>
      </c>
      <c r="D94" s="58" t="str">
        <f t="shared" si="14"/>
        <v/>
      </c>
      <c r="E94" s="30">
        <f t="shared" si="15"/>
        <v>1.6394732539190964E-11</v>
      </c>
      <c r="F94" s="30" t="str">
        <f t="shared" si="19"/>
        <v/>
      </c>
      <c r="G94" s="30" t="str">
        <f t="shared" si="19"/>
        <v/>
      </c>
      <c r="H94" s="30" t="str">
        <f t="shared" si="19"/>
        <v/>
      </c>
      <c r="I94" s="30" t="str">
        <f t="shared" si="16"/>
        <v/>
      </c>
      <c r="U94" s="26">
        <v>0</v>
      </c>
      <c r="V94" s="255">
        <f t="shared" si="12"/>
        <v>71</v>
      </c>
    </row>
    <row r="95" spans="1:22" hidden="1" x14ac:dyDescent="0.25">
      <c r="A95" s="30">
        <f t="shared" si="17"/>
        <v>-6.75</v>
      </c>
      <c r="B95" s="58">
        <f>INT((ROWS(B$11:B95)-1)/20)+40+0.05*MOD(ROWS(B$11:B95)-1,20)</f>
        <v>44.2</v>
      </c>
      <c r="C95" s="58" t="str">
        <f t="shared" si="18"/>
        <v/>
      </c>
      <c r="D95" s="58" t="str">
        <f t="shared" si="14"/>
        <v/>
      </c>
      <c r="E95" s="30">
        <f t="shared" si="15"/>
        <v>1.7828320309990252E-11</v>
      </c>
      <c r="F95" s="30" t="str">
        <f t="shared" si="19"/>
        <v/>
      </c>
      <c r="G95" s="30" t="str">
        <f t="shared" si="19"/>
        <v/>
      </c>
      <c r="H95" s="30" t="str">
        <f t="shared" si="19"/>
        <v/>
      </c>
      <c r="I95" s="30" t="str">
        <f t="shared" si="16"/>
        <v/>
      </c>
      <c r="U95" s="26">
        <v>0</v>
      </c>
      <c r="V95" s="255">
        <f t="shared" si="12"/>
        <v>71</v>
      </c>
    </row>
    <row r="96" spans="1:22" hidden="1" x14ac:dyDescent="0.25">
      <c r="A96" s="30">
        <f t="shared" si="17"/>
        <v>-6.75</v>
      </c>
      <c r="B96" s="58">
        <f>INT((ROWS(B$11:B96)-1)/20)+40+0.05*MOD(ROWS(B$11:B96)-1,20)</f>
        <v>44.25</v>
      </c>
      <c r="C96" s="58" t="str">
        <f t="shared" si="18"/>
        <v/>
      </c>
      <c r="D96" s="58" t="str">
        <f t="shared" si="14"/>
        <v/>
      </c>
      <c r="E96" s="30">
        <f t="shared" si="15"/>
        <v>1.9384234801553995E-11</v>
      </c>
      <c r="F96" s="30" t="str">
        <f t="shared" si="19"/>
        <v/>
      </c>
      <c r="G96" s="30" t="str">
        <f t="shared" si="19"/>
        <v/>
      </c>
      <c r="H96" s="30" t="str">
        <f t="shared" si="19"/>
        <v/>
      </c>
      <c r="I96" s="30" t="str">
        <f t="shared" si="16"/>
        <v/>
      </c>
      <c r="U96" s="26">
        <v>0</v>
      </c>
      <c r="V96" s="255">
        <f t="shared" si="12"/>
        <v>71</v>
      </c>
    </row>
    <row r="97" spans="1:22" hidden="1" x14ac:dyDescent="0.25">
      <c r="A97" s="30">
        <f t="shared" si="17"/>
        <v>-6.75</v>
      </c>
      <c r="B97" s="58">
        <f>INT((ROWS(B$11:B97)-1)/20)+40+0.05*MOD(ROWS(B$11:B97)-1,20)</f>
        <v>44.3</v>
      </c>
      <c r="C97" s="58" t="str">
        <f t="shared" si="18"/>
        <v/>
      </c>
      <c r="D97" s="58" t="str">
        <f t="shared" si="14"/>
        <v/>
      </c>
      <c r="E97" s="30">
        <f t="shared" si="15"/>
        <v>2.1072644320030117E-11</v>
      </c>
      <c r="F97" s="30" t="str">
        <f t="shared" si="19"/>
        <v/>
      </c>
      <c r="G97" s="30" t="str">
        <f t="shared" si="19"/>
        <v/>
      </c>
      <c r="H97" s="30" t="str">
        <f t="shared" si="19"/>
        <v/>
      </c>
      <c r="I97" s="30" t="str">
        <f t="shared" si="16"/>
        <v/>
      </c>
      <c r="U97" s="26">
        <v>0</v>
      </c>
      <c r="V97" s="255">
        <f t="shared" si="12"/>
        <v>71</v>
      </c>
    </row>
    <row r="98" spans="1:22" hidden="1" x14ac:dyDescent="0.25">
      <c r="A98" s="30">
        <f t="shared" si="17"/>
        <v>-6.75</v>
      </c>
      <c r="B98" s="58">
        <f>INT((ROWS(B$11:B98)-1)/20)+40+0.05*MOD(ROWS(B$11:B98)-1,20)</f>
        <v>44.35</v>
      </c>
      <c r="C98" s="58" t="str">
        <f t="shared" si="18"/>
        <v/>
      </c>
      <c r="D98" s="58" t="str">
        <f t="shared" si="14"/>
        <v/>
      </c>
      <c r="E98" s="30">
        <f t="shared" si="15"/>
        <v>2.2904538910162304E-11</v>
      </c>
      <c r="F98" s="30" t="str">
        <f t="shared" si="19"/>
        <v/>
      </c>
      <c r="G98" s="30" t="str">
        <f t="shared" si="19"/>
        <v/>
      </c>
      <c r="H98" s="30" t="str">
        <f t="shared" si="19"/>
        <v/>
      </c>
      <c r="I98" s="30" t="str">
        <f t="shared" si="16"/>
        <v/>
      </c>
      <c r="U98" s="26">
        <v>0</v>
      </c>
      <c r="V98" s="255">
        <f t="shared" si="12"/>
        <v>71</v>
      </c>
    </row>
    <row r="99" spans="1:22" hidden="1" x14ac:dyDescent="0.25">
      <c r="A99" s="30">
        <f t="shared" si="17"/>
        <v>-6.75</v>
      </c>
      <c r="B99" s="58">
        <f>INT((ROWS(B$11:B99)-1)/20)+40+0.05*MOD(ROWS(B$11:B99)-1,20)</f>
        <v>44.4</v>
      </c>
      <c r="C99" s="58" t="str">
        <f t="shared" si="18"/>
        <v/>
      </c>
      <c r="D99" s="58" t="str">
        <f t="shared" si="14"/>
        <v/>
      </c>
      <c r="E99" s="30">
        <f t="shared" si="15"/>
        <v>2.4891794763742512E-11</v>
      </c>
      <c r="F99" s="30" t="str">
        <f t="shared" si="19"/>
        <v/>
      </c>
      <c r="G99" s="30" t="str">
        <f t="shared" si="19"/>
        <v/>
      </c>
      <c r="H99" s="30" t="str">
        <f t="shared" si="19"/>
        <v/>
      </c>
      <c r="I99" s="30" t="str">
        <f t="shared" si="16"/>
        <v/>
      </c>
      <c r="U99" s="26">
        <v>0</v>
      </c>
      <c r="V99" s="255">
        <f t="shared" si="12"/>
        <v>71</v>
      </c>
    </row>
    <row r="100" spans="1:22" hidden="1" x14ac:dyDescent="0.25">
      <c r="A100" s="30">
        <f t="shared" si="17"/>
        <v>-6.75</v>
      </c>
      <c r="B100" s="58">
        <f>INT((ROWS(B$11:B100)-1)/20)+40+0.05*MOD(ROWS(B$11:B100)-1,20)</f>
        <v>44.45</v>
      </c>
      <c r="C100" s="58" t="str">
        <f t="shared" si="18"/>
        <v/>
      </c>
      <c r="D100" s="58" t="str">
        <f t="shared" si="14"/>
        <v/>
      </c>
      <c r="E100" s="30">
        <f t="shared" si="15"/>
        <v>2.7047243510433589E-11</v>
      </c>
      <c r="F100" s="30" t="str">
        <f t="shared" si="19"/>
        <v/>
      </c>
      <c r="G100" s="30" t="str">
        <f t="shared" si="19"/>
        <v/>
      </c>
      <c r="H100" s="30" t="str">
        <f t="shared" si="19"/>
        <v/>
      </c>
      <c r="I100" s="30" t="str">
        <f t="shared" si="16"/>
        <v/>
      </c>
      <c r="U100" s="26">
        <v>0</v>
      </c>
      <c r="V100" s="255">
        <f t="shared" si="12"/>
        <v>71</v>
      </c>
    </row>
    <row r="101" spans="1:22" hidden="1" x14ac:dyDescent="0.25">
      <c r="A101" s="30">
        <f t="shared" si="17"/>
        <v>-6.75</v>
      </c>
      <c r="B101" s="58">
        <f>INT((ROWS(B$11:B101)-1)/20)+40+0.05*MOD(ROWS(B$11:B101)-1,20)</f>
        <v>44.5</v>
      </c>
      <c r="C101" s="58" t="str">
        <f t="shared" si="18"/>
        <v/>
      </c>
      <c r="D101" s="58" t="str">
        <f t="shared" si="14"/>
        <v/>
      </c>
      <c r="E101" s="30">
        <f t="shared" si="15"/>
        <v>2.9384746747625741E-11</v>
      </c>
      <c r="F101" s="30" t="str">
        <f t="shared" si="19"/>
        <v/>
      </c>
      <c r="G101" s="30" t="str">
        <f t="shared" si="19"/>
        <v/>
      </c>
      <c r="H101" s="30" t="str">
        <f t="shared" si="19"/>
        <v/>
      </c>
      <c r="I101" s="30" t="str">
        <f t="shared" si="16"/>
        <v/>
      </c>
      <c r="U101" s="26">
        <v>0</v>
      </c>
      <c r="V101" s="255">
        <f t="shared" si="12"/>
        <v>71</v>
      </c>
    </row>
    <row r="102" spans="1:22" hidden="1" x14ac:dyDescent="0.25">
      <c r="A102" s="30">
        <f t="shared" si="17"/>
        <v>-6.75</v>
      </c>
      <c r="B102" s="58">
        <f>INT((ROWS(B$11:B102)-1)/20)+40+0.05*MOD(ROWS(B$11:B102)-1,20)</f>
        <v>44.55</v>
      </c>
      <c r="C102" s="58" t="str">
        <f t="shared" si="18"/>
        <v/>
      </c>
      <c r="D102" s="58" t="str">
        <f t="shared" si="14"/>
        <v/>
      </c>
      <c r="E102" s="30">
        <f t="shared" si="15"/>
        <v>3.1919276191000644E-11</v>
      </c>
      <c r="F102" s="30" t="str">
        <f t="shared" si="19"/>
        <v/>
      </c>
      <c r="G102" s="30" t="str">
        <f t="shared" si="19"/>
        <v/>
      </c>
      <c r="H102" s="30" t="str">
        <f t="shared" si="19"/>
        <v/>
      </c>
      <c r="I102" s="30" t="str">
        <f t="shared" si="16"/>
        <v/>
      </c>
      <c r="U102" s="26">
        <v>0</v>
      </c>
      <c r="V102" s="255">
        <f t="shared" si="12"/>
        <v>71</v>
      </c>
    </row>
    <row r="103" spans="1:22" hidden="1" x14ac:dyDescent="0.25">
      <c r="A103" s="30">
        <f t="shared" si="17"/>
        <v>-6.75</v>
      </c>
      <c r="B103" s="58">
        <f>INT((ROWS(B$11:B103)-1)/20)+40+0.05*MOD(ROWS(B$11:B103)-1,20)</f>
        <v>44.6</v>
      </c>
      <c r="C103" s="58" t="str">
        <f t="shared" si="18"/>
        <v/>
      </c>
      <c r="D103" s="58" t="str">
        <f t="shared" si="14"/>
        <v/>
      </c>
      <c r="E103" s="30">
        <f t="shared" si="15"/>
        <v>3.466699985413293E-11</v>
      </c>
      <c r="F103" s="30" t="str">
        <f t="shared" si="19"/>
        <v/>
      </c>
      <c r="G103" s="30" t="str">
        <f t="shared" si="19"/>
        <v/>
      </c>
      <c r="H103" s="30" t="str">
        <f t="shared" si="19"/>
        <v/>
      </c>
      <c r="I103" s="30" t="str">
        <f t="shared" si="16"/>
        <v/>
      </c>
      <c r="U103" s="26">
        <v>0</v>
      </c>
      <c r="V103" s="255">
        <f t="shared" si="12"/>
        <v>71</v>
      </c>
    </row>
    <row r="104" spans="1:22" hidden="1" x14ac:dyDescent="0.25">
      <c r="A104" s="30">
        <f t="shared" si="17"/>
        <v>-6.75</v>
      </c>
      <c r="B104" s="58">
        <f>INT((ROWS(B$11:B104)-1)/20)+40+0.05*MOD(ROWS(B$11:B104)-1,20)</f>
        <v>44.65</v>
      </c>
      <c r="C104" s="58" t="str">
        <f t="shared" si="18"/>
        <v/>
      </c>
      <c r="D104" s="58" t="str">
        <f t="shared" si="14"/>
        <v/>
      </c>
      <c r="E104" s="30">
        <f t="shared" si="15"/>
        <v>3.7645374693914596E-11</v>
      </c>
      <c r="F104" s="30" t="str">
        <f t="shared" si="19"/>
        <v/>
      </c>
      <c r="G104" s="30" t="str">
        <f t="shared" si="19"/>
        <v/>
      </c>
      <c r="H104" s="30" t="str">
        <f t="shared" si="19"/>
        <v/>
      </c>
      <c r="I104" s="30" t="str">
        <f t="shared" si="16"/>
        <v/>
      </c>
      <c r="U104" s="26">
        <v>0</v>
      </c>
      <c r="V104" s="255">
        <f t="shared" si="12"/>
        <v>71</v>
      </c>
    </row>
    <row r="105" spans="1:22" hidden="1" x14ac:dyDescent="0.25">
      <c r="A105" s="30">
        <f t="shared" si="17"/>
        <v>-6.75</v>
      </c>
      <c r="B105" s="58">
        <f>INT((ROWS(B$11:B105)-1)/20)+40+0.05*MOD(ROWS(B$11:B105)-1,20)</f>
        <v>44.7</v>
      </c>
      <c r="C105" s="58" t="str">
        <f t="shared" si="18"/>
        <v/>
      </c>
      <c r="D105" s="58" t="str">
        <f t="shared" si="14"/>
        <v/>
      </c>
      <c r="E105" s="30">
        <f t="shared" si="15"/>
        <v>4.0873246188927357E-11</v>
      </c>
      <c r="F105" s="30" t="str">
        <f t="shared" si="19"/>
        <v/>
      </c>
      <c r="G105" s="30" t="str">
        <f t="shared" si="19"/>
        <v/>
      </c>
      <c r="H105" s="30" t="str">
        <f t="shared" si="19"/>
        <v/>
      </c>
      <c r="I105" s="30" t="str">
        <f t="shared" si="16"/>
        <v/>
      </c>
      <c r="U105" s="26">
        <v>0</v>
      </c>
      <c r="V105" s="255">
        <f t="shared" si="12"/>
        <v>71</v>
      </c>
    </row>
    <row r="106" spans="1:22" hidden="1" x14ac:dyDescent="0.25">
      <c r="A106" s="30">
        <f t="shared" si="17"/>
        <v>-6.75</v>
      </c>
      <c r="B106" s="58">
        <f>INT((ROWS(B$11:B106)-1)/20)+40+0.05*MOD(ROWS(B$11:B106)-1,20)</f>
        <v>44.75</v>
      </c>
      <c r="C106" s="58" t="str">
        <f t="shared" si="18"/>
        <v/>
      </c>
      <c r="D106" s="58" t="str">
        <f t="shared" si="14"/>
        <v/>
      </c>
      <c r="E106" s="30">
        <f t="shared" si="15"/>
        <v>4.4370955350213097E-11</v>
      </c>
      <c r="F106" s="30" t="str">
        <f t="shared" si="19"/>
        <v/>
      </c>
      <c r="G106" s="30" t="str">
        <f t="shared" si="19"/>
        <v/>
      </c>
      <c r="H106" s="30" t="str">
        <f t="shared" si="19"/>
        <v/>
      </c>
      <c r="I106" s="30" t="str">
        <f t="shared" si="16"/>
        <v/>
      </c>
      <c r="U106" s="26">
        <v>0</v>
      </c>
      <c r="V106" s="255">
        <f t="shared" si="12"/>
        <v>71</v>
      </c>
    </row>
    <row r="107" spans="1:22" hidden="1" x14ac:dyDescent="0.25">
      <c r="A107" s="30">
        <f t="shared" si="17"/>
        <v>-6.75</v>
      </c>
      <c r="B107" s="58">
        <f>INT((ROWS(B$11:B107)-1)/20)+40+0.05*MOD(ROWS(B$11:B107)-1,20)</f>
        <v>44.8</v>
      </c>
      <c r="C107" s="58" t="str">
        <f t="shared" si="18"/>
        <v/>
      </c>
      <c r="D107" s="58" t="str">
        <f t="shared" si="14"/>
        <v/>
      </c>
      <c r="E107" s="30">
        <f t="shared" si="15"/>
        <v>4.8160453698397478E-11</v>
      </c>
      <c r="F107" s="30" t="str">
        <f t="shared" si="19"/>
        <v/>
      </c>
      <c r="G107" s="30" t="str">
        <f t="shared" si="19"/>
        <v/>
      </c>
      <c r="H107" s="30" t="str">
        <f t="shared" si="19"/>
        <v/>
      </c>
      <c r="I107" s="30" t="str">
        <f t="shared" si="16"/>
        <v/>
      </c>
      <c r="U107" s="26">
        <v>0</v>
      </c>
      <c r="V107" s="255">
        <f t="shared" si="12"/>
        <v>71</v>
      </c>
    </row>
    <row r="108" spans="1:22" hidden="1" x14ac:dyDescent="0.25">
      <c r="A108" s="30">
        <f t="shared" si="17"/>
        <v>-6.75</v>
      </c>
      <c r="B108" s="58">
        <f>INT((ROWS(B$11:B108)-1)/20)+40+0.05*MOD(ROWS(B$11:B108)-1,20)</f>
        <v>44.85</v>
      </c>
      <c r="C108" s="58" t="str">
        <f t="shared" si="18"/>
        <v/>
      </c>
      <c r="D108" s="58" t="str">
        <f t="shared" si="14"/>
        <v/>
      </c>
      <c r="E108" s="30">
        <f t="shared" si="15"/>
        <v>5.2265426777836116E-11</v>
      </c>
      <c r="F108" s="30" t="str">
        <f t="shared" si="19"/>
        <v/>
      </c>
      <c r="G108" s="30" t="str">
        <f t="shared" si="19"/>
        <v/>
      </c>
      <c r="H108" s="30" t="str">
        <f t="shared" si="19"/>
        <v/>
      </c>
      <c r="I108" s="30" t="str">
        <f t="shared" si="16"/>
        <v/>
      </c>
      <c r="U108" s="26">
        <v>0</v>
      </c>
      <c r="V108" s="255">
        <f t="shared" si="12"/>
        <v>71</v>
      </c>
    </row>
    <row r="109" spans="1:22" hidden="1" x14ac:dyDescent="0.25">
      <c r="A109" s="30">
        <f t="shared" si="17"/>
        <v>-6.75</v>
      </c>
      <c r="B109" s="58">
        <f>INT((ROWS(B$11:B109)-1)/20)+40+0.05*MOD(ROWS(B$11:B109)-1,20)</f>
        <v>44.9</v>
      </c>
      <c r="C109" s="58" t="str">
        <f t="shared" si="18"/>
        <v/>
      </c>
      <c r="D109" s="58" t="str">
        <f t="shared" si="14"/>
        <v/>
      </c>
      <c r="E109" s="30">
        <f t="shared" si="15"/>
        <v>5.6711426817620039E-11</v>
      </c>
      <c r="F109" s="30" t="str">
        <f t="shared" si="19"/>
        <v/>
      </c>
      <c r="G109" s="30" t="str">
        <f t="shared" si="19"/>
        <v/>
      </c>
      <c r="H109" s="30" t="str">
        <f t="shared" si="19"/>
        <v/>
      </c>
      <c r="I109" s="30" t="str">
        <f t="shared" si="16"/>
        <v/>
      </c>
      <c r="U109" s="26">
        <v>0</v>
      </c>
      <c r="V109" s="255">
        <f t="shared" si="12"/>
        <v>71</v>
      </c>
    </row>
    <row r="110" spans="1:22" hidden="1" x14ac:dyDescent="0.25">
      <c r="A110" s="30">
        <f t="shared" si="17"/>
        <v>-6.75</v>
      </c>
      <c r="B110" s="58">
        <f>INT((ROWS(B$11:B110)-1)/20)+40+0.05*MOD(ROWS(B$11:B110)-1,20)</f>
        <v>44.95</v>
      </c>
      <c r="C110" s="58" t="str">
        <f t="shared" si="18"/>
        <v/>
      </c>
      <c r="D110" s="58" t="str">
        <f t="shared" si="14"/>
        <v/>
      </c>
      <c r="E110" s="30">
        <f t="shared" si="15"/>
        <v>6.1526015190986142E-11</v>
      </c>
      <c r="F110" s="30" t="str">
        <f t="shared" si="19"/>
        <v/>
      </c>
      <c r="G110" s="30" t="str">
        <f t="shared" si="19"/>
        <v/>
      </c>
      <c r="H110" s="30" t="str">
        <f t="shared" si="19"/>
        <v/>
      </c>
      <c r="I110" s="30" t="str">
        <f t="shared" si="16"/>
        <v/>
      </c>
      <c r="U110" s="26">
        <v>0</v>
      </c>
      <c r="V110" s="255">
        <f t="shared" si="12"/>
        <v>71</v>
      </c>
    </row>
    <row r="111" spans="1:22" hidden="1" x14ac:dyDescent="0.25">
      <c r="A111" s="30">
        <f t="shared" si="17"/>
        <v>-6.5</v>
      </c>
      <c r="B111" s="58">
        <f>INT((ROWS(B$11:B111)-1)/20)+40+0.05*MOD(ROWS(B$11:B111)-1,20)</f>
        <v>45</v>
      </c>
      <c r="C111" s="58" t="str">
        <f t="shared" si="18"/>
        <v/>
      </c>
      <c r="D111" s="58">
        <f t="shared" si="14"/>
        <v>45</v>
      </c>
      <c r="E111" s="30">
        <f t="shared" si="15"/>
        <v>6.6738915369071298E-11</v>
      </c>
      <c r="F111" s="30" t="str">
        <f t="shared" ref="F111:H130" si="20">IF(AND($B111&gt;=F$7,$B111&lt;=F$8),E111,"")</f>
        <v/>
      </c>
      <c r="G111" s="30" t="str">
        <f t="shared" si="20"/>
        <v/>
      </c>
      <c r="H111" s="30" t="str">
        <f t="shared" si="20"/>
        <v/>
      </c>
      <c r="I111" s="30" t="str">
        <f t="shared" si="16"/>
        <v/>
      </c>
      <c r="U111" s="26">
        <v>0</v>
      </c>
      <c r="V111" s="255">
        <f t="shared" si="12"/>
        <v>71</v>
      </c>
    </row>
    <row r="112" spans="1:22" hidden="1" x14ac:dyDescent="0.25">
      <c r="A112" s="30">
        <f t="shared" si="17"/>
        <v>-6.5</v>
      </c>
      <c r="B112" s="58">
        <f>INT((ROWS(B$11:B112)-1)/20)+40+0.05*MOD(ROWS(B$11:B112)-1,20)</f>
        <v>45.05</v>
      </c>
      <c r="C112" s="58" t="str">
        <f t="shared" si="18"/>
        <v/>
      </c>
      <c r="D112" s="58" t="str">
        <f t="shared" si="14"/>
        <v/>
      </c>
      <c r="E112" s="30">
        <f t="shared" si="15"/>
        <v>7.2382177112283574E-11</v>
      </c>
      <c r="F112" s="30" t="str">
        <f t="shared" si="20"/>
        <v/>
      </c>
      <c r="G112" s="30" t="str">
        <f t="shared" si="20"/>
        <v/>
      </c>
      <c r="H112" s="30" t="str">
        <f t="shared" si="20"/>
        <v/>
      </c>
      <c r="I112" s="30" t="str">
        <f t="shared" si="16"/>
        <v/>
      </c>
      <c r="U112" s="26">
        <v>0</v>
      </c>
      <c r="V112" s="255">
        <f t="shared" si="12"/>
        <v>71</v>
      </c>
    </row>
    <row r="113" spans="1:22" hidden="1" x14ac:dyDescent="0.25">
      <c r="A113" s="30">
        <f t="shared" si="17"/>
        <v>-6.5</v>
      </c>
      <c r="B113" s="58">
        <f>INT((ROWS(B$11:B113)-1)/20)+40+0.05*MOD(ROWS(B$11:B113)-1,20)</f>
        <v>45.1</v>
      </c>
      <c r="C113" s="58" t="str">
        <f t="shared" si="18"/>
        <v/>
      </c>
      <c r="D113" s="58" t="str">
        <f t="shared" si="14"/>
        <v/>
      </c>
      <c r="E113" s="30">
        <f t="shared" si="15"/>
        <v>7.8490352692881004E-11</v>
      </c>
      <c r="F113" s="30" t="str">
        <f t="shared" si="20"/>
        <v/>
      </c>
      <c r="G113" s="30" t="str">
        <f t="shared" si="20"/>
        <v/>
      </c>
      <c r="H113" s="30" t="str">
        <f t="shared" si="20"/>
        <v/>
      </c>
      <c r="I113" s="30" t="str">
        <f t="shared" si="16"/>
        <v/>
      </c>
      <c r="U113" s="26">
        <v>0</v>
      </c>
      <c r="V113" s="255">
        <f t="shared" si="12"/>
        <v>71</v>
      </c>
    </row>
    <row r="114" spans="1:22" hidden="1" x14ac:dyDescent="0.25">
      <c r="A114" s="30">
        <f t="shared" si="17"/>
        <v>-6.5</v>
      </c>
      <c r="B114" s="58">
        <f>INT((ROWS(B$11:B114)-1)/20)+40+0.05*MOD(ROWS(B$11:B114)-1,20)</f>
        <v>45.15</v>
      </c>
      <c r="C114" s="58" t="str">
        <f t="shared" si="18"/>
        <v/>
      </c>
      <c r="D114" s="58" t="str">
        <f t="shared" si="14"/>
        <v/>
      </c>
      <c r="E114" s="30">
        <f t="shared" si="15"/>
        <v>8.5100685995962962E-11</v>
      </c>
      <c r="F114" s="30" t="str">
        <f t="shared" si="20"/>
        <v/>
      </c>
      <c r="G114" s="30" t="str">
        <f t="shared" si="20"/>
        <v/>
      </c>
      <c r="H114" s="30" t="str">
        <f t="shared" si="20"/>
        <v/>
      </c>
      <c r="I114" s="30" t="str">
        <f t="shared" si="16"/>
        <v/>
      </c>
      <c r="U114" s="26">
        <v>0</v>
      </c>
      <c r="V114" s="255">
        <f t="shared" si="12"/>
        <v>71</v>
      </c>
    </row>
    <row r="115" spans="1:22" hidden="1" x14ac:dyDescent="0.25">
      <c r="A115" s="30">
        <f t="shared" si="17"/>
        <v>-6.5</v>
      </c>
      <c r="B115" s="58">
        <f>INT((ROWS(B$11:B115)-1)/20)+40+0.05*MOD(ROWS(B$11:B115)-1,20)</f>
        <v>45.2</v>
      </c>
      <c r="C115" s="58" t="str">
        <f t="shared" si="18"/>
        <v/>
      </c>
      <c r="D115" s="58" t="str">
        <f t="shared" si="14"/>
        <v/>
      </c>
      <c r="E115" s="30">
        <f t="shared" si="15"/>
        <v>9.2253315403114515E-11</v>
      </c>
      <c r="F115" s="30" t="str">
        <f t="shared" si="20"/>
        <v/>
      </c>
      <c r="G115" s="30" t="str">
        <f t="shared" si="20"/>
        <v/>
      </c>
      <c r="H115" s="30" t="str">
        <f t="shared" si="20"/>
        <v/>
      </c>
      <c r="I115" s="30" t="str">
        <f t="shared" si="16"/>
        <v/>
      </c>
      <c r="U115" s="26">
        <v>0</v>
      </c>
      <c r="V115" s="255">
        <f t="shared" si="12"/>
        <v>71</v>
      </c>
    </row>
    <row r="116" spans="1:22" hidden="1" x14ac:dyDescent="0.25">
      <c r="A116" s="30">
        <f t="shared" si="17"/>
        <v>-6.5</v>
      </c>
      <c r="B116" s="58">
        <f>INT((ROWS(B$11:B116)-1)/20)+40+0.05*MOD(ROWS(B$11:B116)-1,20)</f>
        <v>45.25</v>
      </c>
      <c r="C116" s="58" t="str">
        <f t="shared" si="18"/>
        <v/>
      </c>
      <c r="D116" s="58" t="str">
        <f t="shared" si="14"/>
        <v/>
      </c>
      <c r="E116" s="30">
        <f t="shared" si="15"/>
        <v>9.9991491423589249E-11</v>
      </c>
      <c r="F116" s="30" t="str">
        <f t="shared" si="20"/>
        <v/>
      </c>
      <c r="G116" s="30" t="str">
        <f t="shared" si="20"/>
        <v/>
      </c>
      <c r="H116" s="30" t="str">
        <f t="shared" si="20"/>
        <v/>
      </c>
      <c r="I116" s="30" t="str">
        <f t="shared" si="16"/>
        <v/>
      </c>
      <c r="U116" s="26">
        <v>0</v>
      </c>
      <c r="V116" s="255">
        <f t="shared" si="12"/>
        <v>71</v>
      </c>
    </row>
    <row r="117" spans="1:22" hidden="1" x14ac:dyDescent="0.25">
      <c r="A117" s="30">
        <f t="shared" si="17"/>
        <v>-6.5</v>
      </c>
      <c r="B117" s="58">
        <f>INT((ROWS(B$11:B117)-1)/20)+40+0.05*MOD(ROWS(B$11:B117)-1,20)</f>
        <v>45.3</v>
      </c>
      <c r="C117" s="58" t="str">
        <f t="shared" si="18"/>
        <v/>
      </c>
      <c r="D117" s="58" t="str">
        <f t="shared" si="14"/>
        <v/>
      </c>
      <c r="E117" s="30">
        <f t="shared" si="15"/>
        <v>1.0836181010250301E-10</v>
      </c>
      <c r="F117" s="30" t="str">
        <f t="shared" si="20"/>
        <v/>
      </c>
      <c r="G117" s="30" t="str">
        <f t="shared" si="20"/>
        <v/>
      </c>
      <c r="H117" s="30" t="str">
        <f t="shared" si="20"/>
        <v/>
      </c>
      <c r="I117" s="30" t="str">
        <f t="shared" si="16"/>
        <v/>
      </c>
      <c r="U117" s="26">
        <v>0</v>
      </c>
      <c r="V117" s="255">
        <f t="shared" si="12"/>
        <v>71</v>
      </c>
    </row>
    <row r="118" spans="1:22" hidden="1" x14ac:dyDescent="0.25">
      <c r="A118" s="30">
        <f t="shared" si="17"/>
        <v>-6.5</v>
      </c>
      <c r="B118" s="58">
        <f>INT((ROWS(B$11:B118)-1)/20)+40+0.05*MOD(ROWS(B$11:B118)-1,20)</f>
        <v>45.35</v>
      </c>
      <c r="C118" s="58" t="str">
        <f t="shared" si="18"/>
        <v/>
      </c>
      <c r="D118" s="58" t="str">
        <f t="shared" si="14"/>
        <v/>
      </c>
      <c r="E118" s="30">
        <f t="shared" si="15"/>
        <v>1.1741446330409629E-10</v>
      </c>
      <c r="F118" s="30" t="str">
        <f t="shared" si="20"/>
        <v/>
      </c>
      <c r="G118" s="30" t="str">
        <f t="shared" si="20"/>
        <v/>
      </c>
      <c r="H118" s="30" t="str">
        <f t="shared" si="20"/>
        <v/>
      </c>
      <c r="I118" s="30" t="str">
        <f t="shared" si="16"/>
        <v/>
      </c>
      <c r="U118" s="26">
        <v>0</v>
      </c>
      <c r="V118" s="255">
        <f t="shared" si="12"/>
        <v>71</v>
      </c>
    </row>
    <row r="119" spans="1:22" hidden="1" x14ac:dyDescent="0.25">
      <c r="A119" s="30">
        <f t="shared" si="17"/>
        <v>-6.5</v>
      </c>
      <c r="B119" s="58">
        <f>INT((ROWS(B$11:B119)-1)/20)+40+0.05*MOD(ROWS(B$11:B119)-1,20)</f>
        <v>45.4</v>
      </c>
      <c r="C119" s="58" t="str">
        <f t="shared" si="18"/>
        <v/>
      </c>
      <c r="D119" s="58" t="str">
        <f t="shared" si="14"/>
        <v/>
      </c>
      <c r="E119" s="30">
        <f t="shared" si="15"/>
        <v>1.2720350704112597E-10</v>
      </c>
      <c r="F119" s="30" t="str">
        <f t="shared" si="20"/>
        <v/>
      </c>
      <c r="G119" s="30" t="str">
        <f t="shared" si="20"/>
        <v/>
      </c>
      <c r="H119" s="30" t="str">
        <f t="shared" si="20"/>
        <v/>
      </c>
      <c r="I119" s="30" t="str">
        <f t="shared" si="16"/>
        <v/>
      </c>
      <c r="U119" s="26">
        <v>0</v>
      </c>
      <c r="V119" s="255">
        <f t="shared" si="12"/>
        <v>71</v>
      </c>
    </row>
    <row r="120" spans="1:22" hidden="1" x14ac:dyDescent="0.25">
      <c r="A120" s="30">
        <f t="shared" si="17"/>
        <v>-6.5</v>
      </c>
      <c r="B120" s="58">
        <f>INT((ROWS(B$11:B120)-1)/20)+40+0.05*MOD(ROWS(B$11:B120)-1,20)</f>
        <v>45.45</v>
      </c>
      <c r="C120" s="58" t="str">
        <f t="shared" si="18"/>
        <v/>
      </c>
      <c r="D120" s="58" t="str">
        <f t="shared" si="14"/>
        <v/>
      </c>
      <c r="E120" s="30">
        <f t="shared" si="15"/>
        <v>1.3778714909902598E-10</v>
      </c>
      <c r="F120" s="30" t="str">
        <f t="shared" si="20"/>
        <v/>
      </c>
      <c r="G120" s="30" t="str">
        <f t="shared" si="20"/>
        <v/>
      </c>
      <c r="H120" s="30" t="str">
        <f t="shared" si="20"/>
        <v/>
      </c>
      <c r="I120" s="30" t="str">
        <f t="shared" si="16"/>
        <v/>
      </c>
      <c r="U120" s="26">
        <v>0</v>
      </c>
      <c r="V120" s="255">
        <f t="shared" si="12"/>
        <v>71</v>
      </c>
    </row>
    <row r="121" spans="1:22" hidden="1" x14ac:dyDescent="0.25">
      <c r="A121" s="30">
        <f t="shared" si="17"/>
        <v>-6.5</v>
      </c>
      <c r="B121" s="58">
        <f>INT((ROWS(B$11:B121)-1)/20)+40+0.05*MOD(ROWS(B$11:B121)-1,20)</f>
        <v>45.5</v>
      </c>
      <c r="C121" s="58" t="str">
        <f t="shared" si="18"/>
        <v/>
      </c>
      <c r="D121" s="58" t="str">
        <f t="shared" si="14"/>
        <v/>
      </c>
      <c r="E121" s="30">
        <f t="shared" si="15"/>
        <v>1.4922805728585808E-10</v>
      </c>
      <c r="F121" s="30" t="str">
        <f t="shared" si="20"/>
        <v/>
      </c>
      <c r="G121" s="30" t="str">
        <f t="shared" si="20"/>
        <v/>
      </c>
      <c r="H121" s="30" t="str">
        <f t="shared" si="20"/>
        <v/>
      </c>
      <c r="I121" s="30" t="str">
        <f t="shared" si="16"/>
        <v/>
      </c>
      <c r="U121" s="26">
        <v>0</v>
      </c>
      <c r="V121" s="255">
        <f t="shared" si="12"/>
        <v>71</v>
      </c>
    </row>
    <row r="122" spans="1:22" hidden="1" x14ac:dyDescent="0.25">
      <c r="A122" s="30">
        <f t="shared" si="17"/>
        <v>-6.5</v>
      </c>
      <c r="B122" s="58">
        <f>INT((ROWS(B$11:B122)-1)/20)+40+0.05*MOD(ROWS(B$11:B122)-1,20)</f>
        <v>45.55</v>
      </c>
      <c r="C122" s="58" t="str">
        <f t="shared" si="18"/>
        <v/>
      </c>
      <c r="D122" s="58" t="str">
        <f t="shared" si="14"/>
        <v/>
      </c>
      <c r="E122" s="30">
        <f t="shared" si="15"/>
        <v>1.6159368972675232E-10</v>
      </c>
      <c r="F122" s="30" t="str">
        <f t="shared" si="20"/>
        <v/>
      </c>
      <c r="G122" s="30" t="str">
        <f t="shared" si="20"/>
        <v/>
      </c>
      <c r="H122" s="30" t="str">
        <f t="shared" si="20"/>
        <v/>
      </c>
      <c r="I122" s="30" t="str">
        <f t="shared" si="16"/>
        <v/>
      </c>
      <c r="U122" s="26">
        <v>0</v>
      </c>
      <c r="V122" s="255">
        <f t="shared" si="12"/>
        <v>71</v>
      </c>
    </row>
    <row r="123" spans="1:22" hidden="1" x14ac:dyDescent="0.25">
      <c r="A123" s="30">
        <f t="shared" si="17"/>
        <v>-6.5</v>
      </c>
      <c r="B123" s="58">
        <f>INT((ROWS(B$11:B123)-1)/20)+40+0.05*MOD(ROWS(B$11:B123)-1,20)</f>
        <v>45.6</v>
      </c>
      <c r="C123" s="58" t="str">
        <f t="shared" si="18"/>
        <v/>
      </c>
      <c r="D123" s="58" t="str">
        <f t="shared" si="14"/>
        <v/>
      </c>
      <c r="E123" s="30">
        <f t="shared" si="15"/>
        <v>1.7495664871449508E-10</v>
      </c>
      <c r="F123" s="30" t="str">
        <f t="shared" si="20"/>
        <v/>
      </c>
      <c r="G123" s="30" t="str">
        <f t="shared" si="20"/>
        <v/>
      </c>
      <c r="H123" s="30" t="str">
        <f t="shared" si="20"/>
        <v/>
      </c>
      <c r="I123" s="30" t="str">
        <f t="shared" si="16"/>
        <v/>
      </c>
      <c r="U123" s="26">
        <v>0</v>
      </c>
      <c r="V123" s="255">
        <f t="shared" si="12"/>
        <v>71</v>
      </c>
    </row>
    <row r="124" spans="1:22" hidden="1" x14ac:dyDescent="0.25">
      <c r="A124" s="30">
        <f t="shared" si="17"/>
        <v>-6.5</v>
      </c>
      <c r="B124" s="58">
        <f>INT((ROWS(B$11:B124)-1)/20)+40+0.05*MOD(ROWS(B$11:B124)-1,20)</f>
        <v>45.65</v>
      </c>
      <c r="C124" s="58" t="str">
        <f t="shared" si="18"/>
        <v/>
      </c>
      <c r="D124" s="58" t="str">
        <f t="shared" si="14"/>
        <v/>
      </c>
      <c r="E124" s="30">
        <f t="shared" si="15"/>
        <v>1.8939505972680148E-10</v>
      </c>
      <c r="F124" s="30" t="str">
        <f t="shared" si="20"/>
        <v/>
      </c>
      <c r="G124" s="30" t="str">
        <f t="shared" si="20"/>
        <v/>
      </c>
      <c r="H124" s="30" t="str">
        <f t="shared" si="20"/>
        <v/>
      </c>
      <c r="I124" s="30" t="str">
        <f t="shared" si="16"/>
        <v/>
      </c>
      <c r="U124" s="26">
        <v>0</v>
      </c>
      <c r="V124" s="255">
        <f t="shared" si="12"/>
        <v>71</v>
      </c>
    </row>
    <row r="125" spans="1:22" hidden="1" x14ac:dyDescent="0.25">
      <c r="A125" s="30">
        <f t="shared" si="17"/>
        <v>-6.5</v>
      </c>
      <c r="B125" s="58">
        <f>INT((ROWS(B$11:B125)-1)/20)+40+0.05*MOD(ROWS(B$11:B125)-1,20)</f>
        <v>45.7</v>
      </c>
      <c r="C125" s="58" t="str">
        <f t="shared" si="18"/>
        <v/>
      </c>
      <c r="D125" s="58" t="str">
        <f t="shared" si="14"/>
        <v/>
      </c>
      <c r="E125" s="30">
        <f t="shared" si="15"/>
        <v>2.0499297732573492E-10</v>
      </c>
      <c r="F125" s="30" t="str">
        <f t="shared" si="20"/>
        <v/>
      </c>
      <c r="G125" s="30" t="str">
        <f t="shared" si="20"/>
        <v/>
      </c>
      <c r="H125" s="30" t="str">
        <f t="shared" si="20"/>
        <v/>
      </c>
      <c r="I125" s="30" t="str">
        <f t="shared" si="16"/>
        <v/>
      </c>
      <c r="U125" s="26">
        <v>0</v>
      </c>
      <c r="V125" s="255">
        <f t="shared" si="12"/>
        <v>71</v>
      </c>
    </row>
    <row r="126" spans="1:22" hidden="1" x14ac:dyDescent="0.25">
      <c r="A126" s="30">
        <f t="shared" si="17"/>
        <v>-6.5</v>
      </c>
      <c r="B126" s="58">
        <f>INT((ROWS(B$11:B126)-1)/20)+40+0.05*MOD(ROWS(B$11:B126)-1,20)</f>
        <v>45.75</v>
      </c>
      <c r="C126" s="58" t="str">
        <f t="shared" si="18"/>
        <v/>
      </c>
      <c r="D126" s="58" t="str">
        <f t="shared" si="14"/>
        <v/>
      </c>
      <c r="E126" s="30">
        <f t="shared" si="15"/>
        <v>2.2184081976608184E-10</v>
      </c>
      <c r="F126" s="30" t="str">
        <f t="shared" si="20"/>
        <v/>
      </c>
      <c r="G126" s="30" t="str">
        <f t="shared" si="20"/>
        <v/>
      </c>
      <c r="H126" s="30" t="str">
        <f t="shared" si="20"/>
        <v/>
      </c>
      <c r="I126" s="30" t="str">
        <f t="shared" si="16"/>
        <v/>
      </c>
      <c r="U126" s="26">
        <v>0</v>
      </c>
      <c r="V126" s="255">
        <f t="shared" si="12"/>
        <v>71</v>
      </c>
    </row>
    <row r="127" spans="1:22" hidden="1" x14ac:dyDescent="0.25">
      <c r="A127" s="30">
        <f t="shared" si="17"/>
        <v>-6.5</v>
      </c>
      <c r="B127" s="58">
        <f>INT((ROWS(B$11:B127)-1)/20)+40+0.05*MOD(ROWS(B$11:B127)-1,20)</f>
        <v>45.8</v>
      </c>
      <c r="C127" s="58" t="str">
        <f t="shared" si="18"/>
        <v/>
      </c>
      <c r="D127" s="58" t="str">
        <f t="shared" si="14"/>
        <v/>
      </c>
      <c r="E127" s="30">
        <f t="shared" si="15"/>
        <v>2.4003583425780665E-10</v>
      </c>
      <c r="F127" s="30" t="str">
        <f t="shared" si="20"/>
        <v/>
      </c>
      <c r="G127" s="30" t="str">
        <f t="shared" si="20"/>
        <v/>
      </c>
      <c r="H127" s="30" t="str">
        <f t="shared" si="20"/>
        <v/>
      </c>
      <c r="I127" s="30" t="str">
        <f t="shared" si="16"/>
        <v/>
      </c>
      <c r="U127" s="26">
        <v>0</v>
      </c>
      <c r="V127" s="255">
        <f t="shared" si="12"/>
        <v>71</v>
      </c>
    </row>
    <row r="128" spans="1:22" hidden="1" x14ac:dyDescent="0.25">
      <c r="A128" s="30">
        <f t="shared" si="17"/>
        <v>-6.5</v>
      </c>
      <c r="B128" s="58">
        <f>INT((ROWS(B$11:B128)-1)/20)+40+0.05*MOD(ROWS(B$11:B128)-1,20)</f>
        <v>45.85</v>
      </c>
      <c r="C128" s="58" t="str">
        <f t="shared" si="18"/>
        <v/>
      </c>
      <c r="D128" s="58" t="str">
        <f t="shared" si="14"/>
        <v/>
      </c>
      <c r="E128" s="30">
        <f t="shared" si="15"/>
        <v>2.5968259495306102E-10</v>
      </c>
      <c r="F128" s="30" t="str">
        <f t="shared" si="20"/>
        <v/>
      </c>
      <c r="G128" s="30" t="str">
        <f t="shared" si="20"/>
        <v/>
      </c>
      <c r="H128" s="30" t="str">
        <f t="shared" si="20"/>
        <v/>
      </c>
      <c r="I128" s="30" t="str">
        <f t="shared" si="16"/>
        <v/>
      </c>
      <c r="U128" s="26">
        <v>0</v>
      </c>
      <c r="V128" s="255">
        <f t="shared" si="12"/>
        <v>71</v>
      </c>
    </row>
    <row r="129" spans="1:22" hidden="1" x14ac:dyDescent="0.25">
      <c r="A129" s="30">
        <f t="shared" si="17"/>
        <v>-6.5</v>
      </c>
      <c r="B129" s="58">
        <f>INT((ROWS(B$11:B129)-1)/20)+40+0.05*MOD(ROWS(B$11:B129)-1,20)</f>
        <v>45.9</v>
      </c>
      <c r="C129" s="58" t="str">
        <f t="shared" si="18"/>
        <v/>
      </c>
      <c r="D129" s="58" t="str">
        <f t="shared" si="14"/>
        <v/>
      </c>
      <c r="E129" s="30">
        <f t="shared" si="15"/>
        <v>2.8089353586138213E-10</v>
      </c>
      <c r="F129" s="30" t="str">
        <f t="shared" si="20"/>
        <v/>
      </c>
      <c r="G129" s="30" t="str">
        <f t="shared" si="20"/>
        <v/>
      </c>
      <c r="H129" s="30" t="str">
        <f t="shared" si="20"/>
        <v/>
      </c>
      <c r="I129" s="30" t="str">
        <f t="shared" si="16"/>
        <v/>
      </c>
      <c r="U129" s="26">
        <v>0</v>
      </c>
      <c r="V129" s="255">
        <f t="shared" si="12"/>
        <v>71</v>
      </c>
    </row>
    <row r="130" spans="1:22" hidden="1" x14ac:dyDescent="0.25">
      <c r="A130" s="30">
        <f t="shared" si="17"/>
        <v>-6.5</v>
      </c>
      <c r="B130" s="58">
        <f>INT((ROWS(B$11:B130)-1)/20)+40+0.05*MOD(ROWS(B$11:B130)-1,20)</f>
        <v>45.95</v>
      </c>
      <c r="C130" s="58" t="str">
        <f t="shared" si="18"/>
        <v/>
      </c>
      <c r="D130" s="58" t="str">
        <f t="shared" si="14"/>
        <v/>
      </c>
      <c r="E130" s="30">
        <f t="shared" si="15"/>
        <v>3.0378952103790552E-10</v>
      </c>
      <c r="F130" s="30" t="str">
        <f t="shared" si="20"/>
        <v/>
      </c>
      <c r="G130" s="30" t="str">
        <f t="shared" si="20"/>
        <v/>
      </c>
      <c r="H130" s="30" t="str">
        <f t="shared" si="20"/>
        <v/>
      </c>
      <c r="I130" s="30" t="str">
        <f t="shared" si="16"/>
        <v/>
      </c>
      <c r="U130" s="26">
        <v>0</v>
      </c>
      <c r="V130" s="255">
        <f t="shared" si="12"/>
        <v>71</v>
      </c>
    </row>
    <row r="131" spans="1:22" hidden="1" x14ac:dyDescent="0.25">
      <c r="A131" s="30">
        <f t="shared" si="17"/>
        <v>-6.25</v>
      </c>
      <c r="B131" s="58">
        <f>INT((ROWS(B$11:B131)-1)/20)+40+0.05*MOD(ROWS(B$11:B131)-1,20)</f>
        <v>46</v>
      </c>
      <c r="C131" s="58" t="str">
        <f t="shared" si="18"/>
        <v/>
      </c>
      <c r="D131" s="58">
        <f t="shared" si="14"/>
        <v>46</v>
      </c>
      <c r="E131" s="30">
        <f t="shared" si="15"/>
        <v>3.28500454538971E-10</v>
      </c>
      <c r="F131" s="30" t="str">
        <f t="shared" ref="F131:H150" si="21">IF(AND($B131&gt;=F$7,$B131&lt;=F$8),E131,"")</f>
        <v/>
      </c>
      <c r="G131" s="30" t="str">
        <f t="shared" si="21"/>
        <v/>
      </c>
      <c r="H131" s="30" t="str">
        <f t="shared" si="21"/>
        <v/>
      </c>
      <c r="I131" s="30" t="str">
        <f t="shared" si="16"/>
        <v/>
      </c>
      <c r="U131" s="26">
        <v>0</v>
      </c>
      <c r="V131" s="255">
        <f t="shared" si="12"/>
        <v>71</v>
      </c>
    </row>
    <row r="132" spans="1:22" hidden="1" x14ac:dyDescent="0.25">
      <c r="A132" s="30">
        <f t="shared" si="17"/>
        <v>-6.25</v>
      </c>
      <c r="B132" s="58">
        <f>INT((ROWS(B$11:B132)-1)/20)+40+0.05*MOD(ROWS(B$11:B132)-1,20)</f>
        <v>46.05</v>
      </c>
      <c r="C132" s="58" t="str">
        <f t="shared" si="18"/>
        <v/>
      </c>
      <c r="D132" s="58" t="str">
        <f t="shared" si="14"/>
        <v/>
      </c>
      <c r="E132" s="30">
        <f t="shared" si="15"/>
        <v>3.5516593279841032E-10</v>
      </c>
      <c r="F132" s="30" t="str">
        <f t="shared" si="21"/>
        <v/>
      </c>
      <c r="G132" s="30" t="str">
        <f t="shared" si="21"/>
        <v/>
      </c>
      <c r="H132" s="30" t="str">
        <f t="shared" si="21"/>
        <v/>
      </c>
      <c r="I132" s="30" t="str">
        <f t="shared" si="16"/>
        <v/>
      </c>
      <c r="U132" s="26">
        <v>0</v>
      </c>
      <c r="V132" s="255">
        <f t="shared" si="12"/>
        <v>71</v>
      </c>
    </row>
    <row r="133" spans="1:22" hidden="1" x14ac:dyDescent="0.25">
      <c r="A133" s="30">
        <f t="shared" si="17"/>
        <v>-6.25</v>
      </c>
      <c r="B133" s="58">
        <f>INT((ROWS(B$11:B133)-1)/20)+40+0.05*MOD(ROWS(B$11:B133)-1,20)</f>
        <v>46.1</v>
      </c>
      <c r="C133" s="58" t="str">
        <f t="shared" si="18"/>
        <v/>
      </c>
      <c r="D133" s="58" t="str">
        <f t="shared" si="14"/>
        <v/>
      </c>
      <c r="E133" s="30">
        <f t="shared" si="15"/>
        <v>3.8393594224580222E-10</v>
      </c>
      <c r="F133" s="30" t="str">
        <f t="shared" si="21"/>
        <v/>
      </c>
      <c r="G133" s="30" t="str">
        <f t="shared" si="21"/>
        <v/>
      </c>
      <c r="H133" s="30" t="str">
        <f t="shared" si="21"/>
        <v/>
      </c>
      <c r="I133" s="30" t="str">
        <f t="shared" si="16"/>
        <v/>
      </c>
      <c r="U133" s="26">
        <v>0</v>
      </c>
      <c r="V133" s="255">
        <f t="shared" si="12"/>
        <v>71</v>
      </c>
    </row>
    <row r="134" spans="1:22" hidden="1" x14ac:dyDescent="0.25">
      <c r="A134" s="30">
        <f t="shared" si="17"/>
        <v>-6.25</v>
      </c>
      <c r="B134" s="58">
        <f>INT((ROWS(B$11:B134)-1)/20)+40+0.05*MOD(ROWS(B$11:B134)-1,20)</f>
        <v>46.15</v>
      </c>
      <c r="C134" s="58" t="str">
        <f t="shared" si="18"/>
        <v/>
      </c>
      <c r="D134" s="58" t="str">
        <f t="shared" si="14"/>
        <v/>
      </c>
      <c r="E134" s="30">
        <f t="shared" si="15"/>
        <v>4.1497160516636327E-10</v>
      </c>
      <c r="F134" s="30" t="str">
        <f t="shared" si="21"/>
        <v/>
      </c>
      <c r="G134" s="30" t="str">
        <f t="shared" si="21"/>
        <v/>
      </c>
      <c r="H134" s="30" t="str">
        <f t="shared" si="21"/>
        <v/>
      </c>
      <c r="I134" s="30" t="str">
        <f t="shared" si="16"/>
        <v/>
      </c>
      <c r="U134" s="26">
        <v>0</v>
      </c>
      <c r="V134" s="255">
        <f t="shared" ref="V134:V197" si="22">$F$1+U134*$F$2</f>
        <v>71</v>
      </c>
    </row>
    <row r="135" spans="1:22" hidden="1" x14ac:dyDescent="0.25">
      <c r="A135" s="30">
        <f t="shared" si="17"/>
        <v>-6.25</v>
      </c>
      <c r="B135" s="58">
        <f>INT((ROWS(B$11:B135)-1)/20)+40+0.05*MOD(ROWS(B$11:B135)-1,20)</f>
        <v>46.2</v>
      </c>
      <c r="C135" s="58" t="str">
        <f t="shared" si="18"/>
        <v/>
      </c>
      <c r="D135" s="58" t="str">
        <f t="shared" si="14"/>
        <v/>
      </c>
      <c r="E135" s="30">
        <f t="shared" si="15"/>
        <v>4.4844597699102306E-10</v>
      </c>
      <c r="F135" s="30" t="str">
        <f t="shared" si="21"/>
        <v/>
      </c>
      <c r="G135" s="30" t="str">
        <f t="shared" si="21"/>
        <v/>
      </c>
      <c r="H135" s="30" t="str">
        <f t="shared" si="21"/>
        <v/>
      </c>
      <c r="I135" s="30" t="str">
        <f t="shared" si="16"/>
        <v/>
      </c>
      <c r="U135" s="26">
        <v>0</v>
      </c>
      <c r="V135" s="255">
        <f t="shared" si="22"/>
        <v>71</v>
      </c>
    </row>
    <row r="136" spans="1:22" hidden="1" x14ac:dyDescent="0.25">
      <c r="A136" s="30">
        <f t="shared" si="17"/>
        <v>-6.25</v>
      </c>
      <c r="B136" s="58">
        <f>INT((ROWS(B$11:B136)-1)/20)+40+0.05*MOD(ROWS(B$11:B136)-1,20)</f>
        <v>46.25</v>
      </c>
      <c r="C136" s="58" t="str">
        <f t="shared" si="18"/>
        <v/>
      </c>
      <c r="D136" s="58" t="str">
        <f t="shared" si="14"/>
        <v/>
      </c>
      <c r="E136" s="30">
        <f t="shared" si="15"/>
        <v>4.8454489840507736E-10</v>
      </c>
      <c r="F136" s="30" t="str">
        <f t="shared" si="21"/>
        <v/>
      </c>
      <c r="G136" s="30" t="str">
        <f t="shared" si="21"/>
        <v/>
      </c>
      <c r="H136" s="30" t="str">
        <f t="shared" si="21"/>
        <v/>
      </c>
      <c r="I136" s="30" t="str">
        <f t="shared" si="16"/>
        <v/>
      </c>
      <c r="U136" s="26">
        <v>0</v>
      </c>
      <c r="V136" s="255">
        <f t="shared" si="22"/>
        <v>71</v>
      </c>
    </row>
    <row r="137" spans="1:22" hidden="1" x14ac:dyDescent="0.25">
      <c r="A137" s="30">
        <f t="shared" si="17"/>
        <v>-6.25</v>
      </c>
      <c r="B137" s="58">
        <f>INT((ROWS(B$11:B137)-1)/20)+40+0.05*MOD(ROWS(B$11:B137)-1,20)</f>
        <v>46.3</v>
      </c>
      <c r="C137" s="58" t="str">
        <f t="shared" si="18"/>
        <v/>
      </c>
      <c r="D137" s="58" t="str">
        <f t="shared" si="14"/>
        <v/>
      </c>
      <c r="E137" s="30">
        <f t="shared" si="15"/>
        <v>5.2346790587592371E-10</v>
      </c>
      <c r="F137" s="30" t="str">
        <f t="shared" si="21"/>
        <v/>
      </c>
      <c r="G137" s="30" t="str">
        <f t="shared" si="21"/>
        <v/>
      </c>
      <c r="H137" s="30" t="str">
        <f t="shared" si="21"/>
        <v/>
      </c>
      <c r="I137" s="30" t="str">
        <f t="shared" si="16"/>
        <v/>
      </c>
      <c r="U137" s="26">
        <v>0</v>
      </c>
      <c r="V137" s="255">
        <f t="shared" si="22"/>
        <v>71</v>
      </c>
    </row>
    <row r="138" spans="1:22" hidden="1" x14ac:dyDescent="0.25">
      <c r="A138" s="30">
        <f t="shared" si="17"/>
        <v>-6.25</v>
      </c>
      <c r="B138" s="58">
        <f>INT((ROWS(B$11:B138)-1)/20)+40+0.05*MOD(ROWS(B$11:B138)-1,20)</f>
        <v>46.35</v>
      </c>
      <c r="C138" s="58" t="str">
        <f t="shared" si="18"/>
        <v/>
      </c>
      <c r="D138" s="58" t="str">
        <f t="shared" si="14"/>
        <v/>
      </c>
      <c r="E138" s="30">
        <f t="shared" si="15"/>
        <v>5.6542920442439588E-10</v>
      </c>
      <c r="F138" s="30" t="str">
        <f t="shared" si="21"/>
        <v/>
      </c>
      <c r="G138" s="30" t="str">
        <f t="shared" si="21"/>
        <v/>
      </c>
      <c r="H138" s="30" t="str">
        <f t="shared" si="21"/>
        <v/>
      </c>
      <c r="I138" s="30" t="str">
        <f t="shared" si="16"/>
        <v/>
      </c>
      <c r="U138" s="26">
        <v>0</v>
      </c>
      <c r="V138" s="255">
        <f t="shared" si="22"/>
        <v>71</v>
      </c>
    </row>
    <row r="139" spans="1:22" hidden="1" x14ac:dyDescent="0.25">
      <c r="A139" s="30">
        <f t="shared" si="17"/>
        <v>-6.25</v>
      </c>
      <c r="B139" s="58">
        <f>INT((ROWS(B$11:B139)-1)/20)+40+0.05*MOD(ROWS(B$11:B139)-1,20)</f>
        <v>46.4</v>
      </c>
      <c r="C139" s="58" t="str">
        <f t="shared" si="18"/>
        <v/>
      </c>
      <c r="D139" s="58" t="str">
        <f t="shared" ref="D139:D202" si="23">IF(INT(B139)=B139,B139,"")</f>
        <v/>
      </c>
      <c r="E139" s="30">
        <f t="shared" ref="E139:E202" si="24">_xlfn.NORM.DIST(B139,$F$1,$F$2,0)</f>
        <v>6.1065870670176101E-10</v>
      </c>
      <c r="F139" s="30" t="str">
        <f t="shared" si="21"/>
        <v/>
      </c>
      <c r="G139" s="30" t="str">
        <f t="shared" si="21"/>
        <v/>
      </c>
      <c r="H139" s="30" t="str">
        <f t="shared" si="21"/>
        <v/>
      </c>
      <c r="I139" s="30" t="str">
        <f t="shared" ref="I139:I202" si="25">IF(AND(B139&gt;=$F$1-0.2,B139&lt;=$F$1+0.2),E139,"")</f>
        <v/>
      </c>
      <c r="U139" s="26">
        <v>0</v>
      </c>
      <c r="V139" s="255">
        <f t="shared" si="22"/>
        <v>71</v>
      </c>
    </row>
    <row r="140" spans="1:22" hidden="1" x14ac:dyDescent="0.25">
      <c r="A140" s="30">
        <f t="shared" ref="A140:A203" si="26">(INT(B140)-$F$1)/$F$2</f>
        <v>-6.25</v>
      </c>
      <c r="B140" s="58">
        <f>INT((ROWS(B$11:B140)-1)/20)+40+0.05*MOD(ROWS(B$11:B140)-1,20)</f>
        <v>46.45</v>
      </c>
      <c r="C140" s="58" t="str">
        <f t="shared" ref="C140:C203" si="27">IF(AND(A140&lt;&gt;A139,INT(A140)=A140),A140,"")</f>
        <v/>
      </c>
      <c r="D140" s="58" t="str">
        <f t="shared" si="23"/>
        <v/>
      </c>
      <c r="E140" s="30">
        <f t="shared" si="24"/>
        <v>6.5940314268570557E-10</v>
      </c>
      <c r="F140" s="30" t="str">
        <f t="shared" si="21"/>
        <v/>
      </c>
      <c r="G140" s="30" t="str">
        <f t="shared" si="21"/>
        <v/>
      </c>
      <c r="H140" s="30" t="str">
        <f t="shared" si="21"/>
        <v/>
      </c>
      <c r="I140" s="30" t="str">
        <f t="shared" si="25"/>
        <v/>
      </c>
      <c r="U140" s="26">
        <v>0</v>
      </c>
      <c r="V140" s="255">
        <f t="shared" si="22"/>
        <v>71</v>
      </c>
    </row>
    <row r="141" spans="1:22" hidden="1" x14ac:dyDescent="0.25">
      <c r="A141" s="30">
        <f t="shared" si="26"/>
        <v>-6.25</v>
      </c>
      <c r="B141" s="58">
        <f>INT((ROWS(B$11:B141)-1)/20)+40+0.05*MOD(ROWS(B$11:B141)-1,20)</f>
        <v>46.5</v>
      </c>
      <c r="C141" s="58" t="str">
        <f t="shared" si="27"/>
        <v/>
      </c>
      <c r="D141" s="58" t="str">
        <f t="shared" si="23"/>
        <v/>
      </c>
      <c r="E141" s="30">
        <f t="shared" si="24"/>
        <v>7.1192724457420534E-10</v>
      </c>
      <c r="F141" s="30" t="str">
        <f t="shared" si="21"/>
        <v/>
      </c>
      <c r="G141" s="30" t="str">
        <f t="shared" si="21"/>
        <v/>
      </c>
      <c r="H141" s="30" t="str">
        <f t="shared" si="21"/>
        <v/>
      </c>
      <c r="I141" s="30" t="str">
        <f t="shared" si="25"/>
        <v/>
      </c>
      <c r="U141" s="26">
        <v>0</v>
      </c>
      <c r="V141" s="255">
        <f t="shared" si="22"/>
        <v>71</v>
      </c>
    </row>
    <row r="142" spans="1:22" hidden="1" x14ac:dyDescent="0.25">
      <c r="A142" s="30">
        <f t="shared" si="26"/>
        <v>-6.25</v>
      </c>
      <c r="B142" s="58">
        <f>INT((ROWS(B$11:B142)-1)/20)+40+0.05*MOD(ROWS(B$11:B142)-1,20)</f>
        <v>46.55</v>
      </c>
      <c r="C142" s="58" t="str">
        <f t="shared" si="27"/>
        <v/>
      </c>
      <c r="D142" s="58" t="str">
        <f t="shared" si="23"/>
        <v/>
      </c>
      <c r="E142" s="30">
        <f t="shared" si="24"/>
        <v>7.6851501173768287E-10</v>
      </c>
      <c r="F142" s="30" t="str">
        <f t="shared" si="21"/>
        <v/>
      </c>
      <c r="G142" s="30" t="str">
        <f t="shared" si="21"/>
        <v/>
      </c>
      <c r="H142" s="30" t="str">
        <f t="shared" si="21"/>
        <v/>
      </c>
      <c r="I142" s="30" t="str">
        <f t="shared" si="25"/>
        <v/>
      </c>
      <c r="U142" s="26">
        <v>0</v>
      </c>
      <c r="V142" s="255">
        <f t="shared" si="22"/>
        <v>71</v>
      </c>
    </row>
    <row r="143" spans="1:22" hidden="1" x14ac:dyDescent="0.25">
      <c r="A143" s="30">
        <f t="shared" si="26"/>
        <v>-6.25</v>
      </c>
      <c r="B143" s="58">
        <f>INT((ROWS(B$11:B143)-1)/20)+40+0.05*MOD(ROWS(B$11:B143)-1,20)</f>
        <v>46.6</v>
      </c>
      <c r="C143" s="58" t="str">
        <f t="shared" si="27"/>
        <v/>
      </c>
      <c r="D143" s="58" t="str">
        <f t="shared" si="23"/>
        <v/>
      </c>
      <c r="E143" s="30">
        <f t="shared" si="24"/>
        <v>8.2947106088682623E-10</v>
      </c>
      <c r="F143" s="30" t="str">
        <f t="shared" si="21"/>
        <v/>
      </c>
      <c r="G143" s="30" t="str">
        <f t="shared" si="21"/>
        <v/>
      </c>
      <c r="H143" s="30" t="str">
        <f t="shared" si="21"/>
        <v/>
      </c>
      <c r="I143" s="30" t="str">
        <f t="shared" si="25"/>
        <v/>
      </c>
      <c r="U143" s="26">
        <v>0</v>
      </c>
      <c r="V143" s="255">
        <f t="shared" si="22"/>
        <v>71</v>
      </c>
    </row>
    <row r="144" spans="1:22" hidden="1" x14ac:dyDescent="0.25">
      <c r="A144" s="30">
        <f t="shared" si="26"/>
        <v>-6.25</v>
      </c>
      <c r="B144" s="58">
        <f>INT((ROWS(B$11:B144)-1)/20)+40+0.05*MOD(ROWS(B$11:B144)-1,20)</f>
        <v>46.65</v>
      </c>
      <c r="C144" s="58" t="str">
        <f t="shared" si="27"/>
        <v/>
      </c>
      <c r="D144" s="58" t="str">
        <f t="shared" si="23"/>
        <v/>
      </c>
      <c r="E144" s="30">
        <f t="shared" si="24"/>
        <v>8.9512206692802318E-10</v>
      </c>
      <c r="F144" s="30" t="str">
        <f t="shared" si="21"/>
        <v/>
      </c>
      <c r="G144" s="30" t="str">
        <f t="shared" si="21"/>
        <v/>
      </c>
      <c r="H144" s="30" t="str">
        <f t="shared" si="21"/>
        <v/>
      </c>
      <c r="I144" s="30" t="str">
        <f t="shared" si="25"/>
        <v/>
      </c>
      <c r="U144" s="26">
        <v>0</v>
      </c>
      <c r="V144" s="255">
        <f t="shared" si="22"/>
        <v>71</v>
      </c>
    </row>
    <row r="145" spans="1:22" hidden="1" x14ac:dyDescent="0.25">
      <c r="A145" s="30">
        <f t="shared" si="26"/>
        <v>-6.25</v>
      </c>
      <c r="B145" s="58">
        <f>INT((ROWS(B$11:B145)-1)/20)+40+0.05*MOD(ROWS(B$11:B145)-1,20)</f>
        <v>46.7</v>
      </c>
      <c r="C145" s="58" t="str">
        <f t="shared" si="27"/>
        <v/>
      </c>
      <c r="D145" s="58" t="str">
        <f t="shared" si="23"/>
        <v/>
      </c>
      <c r="E145" s="30">
        <f t="shared" si="24"/>
        <v>9.6581830031069726E-10</v>
      </c>
      <c r="F145" s="30" t="str">
        <f t="shared" si="21"/>
        <v/>
      </c>
      <c r="G145" s="30" t="str">
        <f t="shared" si="21"/>
        <v/>
      </c>
      <c r="H145" s="30" t="str">
        <f t="shared" si="21"/>
        <v/>
      </c>
      <c r="I145" s="30" t="str">
        <f t="shared" si="25"/>
        <v/>
      </c>
      <c r="U145" s="26">
        <v>0</v>
      </c>
      <c r="V145" s="255">
        <f t="shared" si="22"/>
        <v>71</v>
      </c>
    </row>
    <row r="146" spans="1:22" hidden="1" x14ac:dyDescent="0.25">
      <c r="A146" s="30">
        <f t="shared" si="26"/>
        <v>-6.25</v>
      </c>
      <c r="B146" s="58">
        <f>INT((ROWS(B$11:B146)-1)/20)+40+0.05*MOD(ROWS(B$11:B146)-1,20)</f>
        <v>46.75</v>
      </c>
      <c r="C146" s="58" t="str">
        <f t="shared" si="27"/>
        <v/>
      </c>
      <c r="D146" s="58" t="str">
        <f t="shared" si="23"/>
        <v/>
      </c>
      <c r="E146" s="30">
        <f t="shared" si="24"/>
        <v>1.0419352670216928E-9</v>
      </c>
      <c r="F146" s="30" t="str">
        <f t="shared" si="21"/>
        <v/>
      </c>
      <c r="G146" s="30" t="str">
        <f t="shared" si="21"/>
        <v/>
      </c>
      <c r="H146" s="30" t="str">
        <f t="shared" si="21"/>
        <v/>
      </c>
      <c r="I146" s="30" t="str">
        <f t="shared" si="25"/>
        <v/>
      </c>
      <c r="U146" s="26">
        <v>0</v>
      </c>
      <c r="V146" s="255">
        <f t="shared" si="22"/>
        <v>71</v>
      </c>
    </row>
    <row r="147" spans="1:22" hidden="1" x14ac:dyDescent="0.25">
      <c r="A147" s="30">
        <f t="shared" si="26"/>
        <v>-6.25</v>
      </c>
      <c r="B147" s="58">
        <f>INT((ROWS(B$11:B147)-1)/20)+40+0.05*MOD(ROWS(B$11:B147)-1,20)</f>
        <v>46.8</v>
      </c>
      <c r="C147" s="58" t="str">
        <f t="shared" si="27"/>
        <v/>
      </c>
      <c r="D147" s="58" t="str">
        <f t="shared" si="23"/>
        <v/>
      </c>
      <c r="E147" s="30">
        <f t="shared" si="24"/>
        <v>1.1238754577533072E-9</v>
      </c>
      <c r="F147" s="30" t="str">
        <f t="shared" si="21"/>
        <v/>
      </c>
      <c r="G147" s="30" t="str">
        <f t="shared" si="21"/>
        <v/>
      </c>
      <c r="H147" s="30" t="str">
        <f t="shared" si="21"/>
        <v/>
      </c>
      <c r="I147" s="30" t="str">
        <f t="shared" si="25"/>
        <v/>
      </c>
      <c r="U147" s="26">
        <v>0</v>
      </c>
      <c r="V147" s="255">
        <f t="shared" si="22"/>
        <v>71</v>
      </c>
    </row>
    <row r="148" spans="1:22" hidden="1" x14ac:dyDescent="0.25">
      <c r="A148" s="30">
        <f t="shared" si="26"/>
        <v>-6.25</v>
      </c>
      <c r="B148" s="58">
        <f>INT((ROWS(B$11:B148)-1)/20)+40+0.05*MOD(ROWS(B$11:B148)-1,20)</f>
        <v>46.85</v>
      </c>
      <c r="C148" s="58" t="str">
        <f t="shared" si="27"/>
        <v/>
      </c>
      <c r="D148" s="58" t="str">
        <f t="shared" si="23"/>
        <v/>
      </c>
      <c r="E148" s="30">
        <f t="shared" si="24"/>
        <v>1.2120702131630719E-9</v>
      </c>
      <c r="F148" s="30" t="str">
        <f t="shared" si="21"/>
        <v/>
      </c>
      <c r="G148" s="30" t="str">
        <f t="shared" si="21"/>
        <v/>
      </c>
      <c r="H148" s="30" t="str">
        <f t="shared" si="21"/>
        <v/>
      </c>
      <c r="I148" s="30" t="str">
        <f t="shared" si="25"/>
        <v/>
      </c>
      <c r="U148" s="26">
        <v>0</v>
      </c>
      <c r="V148" s="255">
        <f t="shared" si="22"/>
        <v>71</v>
      </c>
    </row>
    <row r="149" spans="1:22" hidden="1" x14ac:dyDescent="0.25">
      <c r="A149" s="30">
        <f t="shared" si="26"/>
        <v>-6.25</v>
      </c>
      <c r="B149" s="58">
        <f>INT((ROWS(B$11:B149)-1)/20)+40+0.05*MOD(ROWS(B$11:B149)-1,20)</f>
        <v>46.9</v>
      </c>
      <c r="C149" s="58" t="str">
        <f t="shared" si="27"/>
        <v/>
      </c>
      <c r="D149" s="58" t="str">
        <f t="shared" si="23"/>
        <v/>
      </c>
      <c r="E149" s="30">
        <f t="shared" si="24"/>
        <v>1.3069817125574873E-9</v>
      </c>
      <c r="F149" s="30" t="str">
        <f t="shared" si="21"/>
        <v/>
      </c>
      <c r="G149" s="30" t="str">
        <f t="shared" si="21"/>
        <v/>
      </c>
      <c r="H149" s="30" t="str">
        <f t="shared" si="21"/>
        <v/>
      </c>
      <c r="I149" s="30" t="str">
        <f t="shared" si="25"/>
        <v/>
      </c>
      <c r="U149" s="26">
        <v>0</v>
      </c>
      <c r="V149" s="255">
        <f t="shared" si="22"/>
        <v>71</v>
      </c>
    </row>
    <row r="150" spans="1:22" hidden="1" x14ac:dyDescent="0.25">
      <c r="A150" s="30">
        <f t="shared" si="26"/>
        <v>-6.25</v>
      </c>
      <c r="B150" s="58">
        <f>INT((ROWS(B$11:B150)-1)/20)+40+0.05*MOD(ROWS(B$11:B150)-1,20)</f>
        <v>46.95</v>
      </c>
      <c r="C150" s="58" t="str">
        <f t="shared" si="27"/>
        <v/>
      </c>
      <c r="D150" s="58" t="str">
        <f t="shared" si="23"/>
        <v/>
      </c>
      <c r="E150" s="30">
        <f t="shared" si="24"/>
        <v>1.4091050937689231E-9</v>
      </c>
      <c r="F150" s="30" t="str">
        <f t="shared" si="21"/>
        <v/>
      </c>
      <c r="G150" s="30" t="str">
        <f t="shared" si="21"/>
        <v/>
      </c>
      <c r="H150" s="30" t="str">
        <f t="shared" si="21"/>
        <v/>
      </c>
      <c r="I150" s="30" t="str">
        <f t="shared" si="25"/>
        <v/>
      </c>
      <c r="U150" s="26">
        <v>0</v>
      </c>
      <c r="V150" s="255">
        <f t="shared" si="22"/>
        <v>71</v>
      </c>
    </row>
    <row r="151" spans="1:22" hidden="1" x14ac:dyDescent="0.25">
      <c r="A151" s="30">
        <f t="shared" si="26"/>
        <v>-6</v>
      </c>
      <c r="B151" s="58">
        <f>INT((ROWS(B$11:B151)-1)/20)+40+0.05*MOD(ROWS(B$11:B151)-1,20)</f>
        <v>47</v>
      </c>
      <c r="C151" s="58">
        <f t="shared" si="27"/>
        <v>-6</v>
      </c>
      <c r="D151" s="58">
        <f t="shared" si="23"/>
        <v>47</v>
      </c>
      <c r="E151" s="30">
        <f t="shared" si="24"/>
        <v>1.5189707124558215E-9</v>
      </c>
      <c r="F151" s="30" t="str">
        <f t="shared" ref="F151:H170" si="28">IF(AND($B151&gt;=F$7,$B151&lt;=F$8),E151,"")</f>
        <v/>
      </c>
      <c r="G151" s="30" t="str">
        <f t="shared" si="28"/>
        <v/>
      </c>
      <c r="H151" s="30" t="str">
        <f t="shared" si="28"/>
        <v/>
      </c>
      <c r="I151" s="30" t="str">
        <f t="shared" si="25"/>
        <v/>
      </c>
      <c r="U151" s="26">
        <v>0</v>
      </c>
      <c r="V151" s="255">
        <f t="shared" si="22"/>
        <v>71</v>
      </c>
    </row>
    <row r="152" spans="1:22" hidden="1" x14ac:dyDescent="0.25">
      <c r="A152" s="30">
        <f t="shared" si="26"/>
        <v>-6</v>
      </c>
      <c r="B152" s="58">
        <f>INT((ROWS(B$11:B152)-1)/20)+40+0.05*MOD(ROWS(B$11:B152)-1,20)</f>
        <v>47.05</v>
      </c>
      <c r="C152" s="58" t="str">
        <f t="shared" si="27"/>
        <v/>
      </c>
      <c r="D152" s="58" t="str">
        <f t="shared" si="23"/>
        <v/>
      </c>
      <c r="E152" s="30">
        <f t="shared" si="24"/>
        <v>1.637146549543569E-9</v>
      </c>
      <c r="F152" s="30" t="str">
        <f t="shared" si="28"/>
        <v/>
      </c>
      <c r="G152" s="30" t="str">
        <f t="shared" si="28"/>
        <v/>
      </c>
      <c r="H152" s="30" t="str">
        <f t="shared" si="28"/>
        <v/>
      </c>
      <c r="I152" s="30" t="str">
        <f t="shared" si="25"/>
        <v/>
      </c>
      <c r="U152" s="26">
        <v>0</v>
      </c>
      <c r="V152" s="255">
        <f t="shared" si="22"/>
        <v>71</v>
      </c>
    </row>
    <row r="153" spans="1:22" hidden="1" x14ac:dyDescent="0.25">
      <c r="A153" s="30">
        <f t="shared" si="26"/>
        <v>-6</v>
      </c>
      <c r="B153" s="58">
        <f>INT((ROWS(B$11:B153)-1)/20)+40+0.05*MOD(ROWS(B$11:B153)-1,20)</f>
        <v>47.1</v>
      </c>
      <c r="C153" s="58" t="str">
        <f t="shared" si="27"/>
        <v/>
      </c>
      <c r="D153" s="58" t="str">
        <f t="shared" si="23"/>
        <v/>
      </c>
      <c r="E153" s="30">
        <f t="shared" si="24"/>
        <v>1.7642407760364996E-9</v>
      </c>
      <c r="F153" s="30" t="str">
        <f t="shared" si="28"/>
        <v/>
      </c>
      <c r="G153" s="30" t="str">
        <f t="shared" si="28"/>
        <v/>
      </c>
      <c r="H153" s="30" t="str">
        <f t="shared" si="28"/>
        <v/>
      </c>
      <c r="I153" s="30" t="str">
        <f t="shared" si="25"/>
        <v/>
      </c>
      <c r="U153" s="26">
        <v>0</v>
      </c>
      <c r="V153" s="255">
        <f t="shared" si="22"/>
        <v>71</v>
      </c>
    </row>
    <row r="154" spans="1:22" hidden="1" x14ac:dyDescent="0.25">
      <c r="A154" s="30">
        <f t="shared" si="26"/>
        <v>-6</v>
      </c>
      <c r="B154" s="58">
        <f>INT((ROWS(B$11:B154)-1)/20)+40+0.05*MOD(ROWS(B$11:B154)-1,20)</f>
        <v>47.15</v>
      </c>
      <c r="C154" s="58" t="str">
        <f t="shared" si="27"/>
        <v/>
      </c>
      <c r="D154" s="58" t="str">
        <f t="shared" si="23"/>
        <v/>
      </c>
      <c r="E154" s="30">
        <f t="shared" si="24"/>
        <v>1.9009044849733035E-9</v>
      </c>
      <c r="F154" s="30" t="str">
        <f t="shared" si="28"/>
        <v/>
      </c>
      <c r="G154" s="30" t="str">
        <f t="shared" si="28"/>
        <v/>
      </c>
      <c r="H154" s="30" t="str">
        <f t="shared" si="28"/>
        <v/>
      </c>
      <c r="I154" s="30" t="str">
        <f t="shared" si="25"/>
        <v/>
      </c>
      <c r="U154" s="26">
        <v>0</v>
      </c>
      <c r="V154" s="255">
        <f t="shared" si="22"/>
        <v>71</v>
      </c>
    </row>
    <row r="155" spans="1:22" hidden="1" x14ac:dyDescent="0.25">
      <c r="A155" s="30">
        <f t="shared" si="26"/>
        <v>-6</v>
      </c>
      <c r="B155" s="58">
        <f>INT((ROWS(B$11:B155)-1)/20)+40+0.05*MOD(ROWS(B$11:B155)-1,20)</f>
        <v>47.2</v>
      </c>
      <c r="C155" s="58" t="str">
        <f t="shared" si="27"/>
        <v/>
      </c>
      <c r="D155" s="58" t="str">
        <f t="shared" si="23"/>
        <v/>
      </c>
      <c r="E155" s="30">
        <f t="shared" si="24"/>
        <v>2.0478346008698079E-9</v>
      </c>
      <c r="F155" s="30" t="str">
        <f t="shared" si="28"/>
        <v/>
      </c>
      <c r="G155" s="30" t="str">
        <f t="shared" si="28"/>
        <v/>
      </c>
      <c r="H155" s="30" t="str">
        <f t="shared" si="28"/>
        <v/>
      </c>
      <c r="I155" s="30" t="str">
        <f t="shared" si="25"/>
        <v/>
      </c>
      <c r="U155" s="26">
        <v>0</v>
      </c>
      <c r="V155" s="255">
        <f t="shared" si="22"/>
        <v>71</v>
      </c>
    </row>
    <row r="156" spans="1:22" hidden="1" x14ac:dyDescent="0.25">
      <c r="A156" s="30">
        <f t="shared" si="26"/>
        <v>-6</v>
      </c>
      <c r="B156" s="58">
        <f>INT((ROWS(B$11:B156)-1)/20)+40+0.05*MOD(ROWS(B$11:B156)-1,20)</f>
        <v>47.25</v>
      </c>
      <c r="C156" s="58" t="str">
        <f t="shared" si="27"/>
        <v/>
      </c>
      <c r="D156" s="58" t="str">
        <f t="shared" si="23"/>
        <v/>
      </c>
      <c r="E156" s="30">
        <f t="shared" si="24"/>
        <v>2.2057769775942552E-9</v>
      </c>
      <c r="F156" s="30" t="str">
        <f t="shared" si="28"/>
        <v/>
      </c>
      <c r="G156" s="30" t="str">
        <f t="shared" si="28"/>
        <v/>
      </c>
      <c r="H156" s="30" t="str">
        <f t="shared" si="28"/>
        <v/>
      </c>
      <c r="I156" s="30" t="str">
        <f t="shared" si="25"/>
        <v/>
      </c>
      <c r="U156" s="26">
        <v>0</v>
      </c>
      <c r="V156" s="255">
        <f t="shared" si="22"/>
        <v>71</v>
      </c>
    </row>
    <row r="157" spans="1:22" hidden="1" x14ac:dyDescent="0.25">
      <c r="A157" s="30">
        <f t="shared" si="26"/>
        <v>-6</v>
      </c>
      <c r="B157" s="58">
        <f>INT((ROWS(B$11:B157)-1)/20)+40+0.05*MOD(ROWS(B$11:B157)-1,20)</f>
        <v>47.3</v>
      </c>
      <c r="C157" s="58" t="str">
        <f t="shared" si="27"/>
        <v/>
      </c>
      <c r="D157" s="58" t="str">
        <f t="shared" si="23"/>
        <v/>
      </c>
      <c r="E157" s="30">
        <f t="shared" si="24"/>
        <v>2.3755296962564877E-9</v>
      </c>
      <c r="F157" s="30" t="str">
        <f t="shared" si="28"/>
        <v/>
      </c>
      <c r="G157" s="30" t="str">
        <f t="shared" si="28"/>
        <v/>
      </c>
      <c r="H157" s="30" t="str">
        <f t="shared" si="28"/>
        <v/>
      </c>
      <c r="I157" s="30" t="str">
        <f t="shared" si="25"/>
        <v/>
      </c>
      <c r="U157" s="26">
        <v>0</v>
      </c>
      <c r="V157" s="255">
        <f t="shared" si="22"/>
        <v>71</v>
      </c>
    </row>
    <row r="158" spans="1:22" hidden="1" x14ac:dyDescent="0.25">
      <c r="A158" s="30">
        <f t="shared" si="26"/>
        <v>-6</v>
      </c>
      <c r="B158" s="58">
        <f>INT((ROWS(B$11:B158)-1)/20)+40+0.05*MOD(ROWS(B$11:B158)-1,20)</f>
        <v>47.35</v>
      </c>
      <c r="C158" s="58" t="str">
        <f t="shared" si="27"/>
        <v/>
      </c>
      <c r="D158" s="58" t="str">
        <f t="shared" si="23"/>
        <v/>
      </c>
      <c r="E158" s="30">
        <f t="shared" si="24"/>
        <v>2.5579465753598864E-9</v>
      </c>
      <c r="F158" s="30" t="str">
        <f t="shared" si="28"/>
        <v/>
      </c>
      <c r="G158" s="30" t="str">
        <f t="shared" si="28"/>
        <v/>
      </c>
      <c r="H158" s="30" t="str">
        <f t="shared" si="28"/>
        <v/>
      </c>
      <c r="I158" s="30" t="str">
        <f t="shared" si="25"/>
        <v/>
      </c>
      <c r="U158" s="26">
        <v>0</v>
      </c>
      <c r="V158" s="255">
        <f t="shared" si="22"/>
        <v>71</v>
      </c>
    </row>
    <row r="159" spans="1:22" hidden="1" x14ac:dyDescent="0.25">
      <c r="A159" s="30">
        <f t="shared" si="26"/>
        <v>-6</v>
      </c>
      <c r="B159" s="58">
        <f>INT((ROWS(B$11:B159)-1)/20)+40+0.05*MOD(ROWS(B$11:B159)-1,20)</f>
        <v>47.4</v>
      </c>
      <c r="C159" s="58" t="str">
        <f t="shared" si="27"/>
        <v/>
      </c>
      <c r="D159" s="58" t="str">
        <f t="shared" si="23"/>
        <v/>
      </c>
      <c r="E159" s="30">
        <f t="shared" si="24"/>
        <v>2.7539409061705771E-9</v>
      </c>
      <c r="F159" s="30" t="str">
        <f t="shared" si="28"/>
        <v/>
      </c>
      <c r="G159" s="30" t="str">
        <f t="shared" si="28"/>
        <v/>
      </c>
      <c r="H159" s="30" t="str">
        <f t="shared" si="28"/>
        <v/>
      </c>
      <c r="I159" s="30" t="str">
        <f t="shared" si="25"/>
        <v/>
      </c>
      <c r="U159" s="26">
        <v>0</v>
      </c>
      <c r="V159" s="255">
        <f t="shared" si="22"/>
        <v>71</v>
      </c>
    </row>
    <row r="160" spans="1:22" hidden="1" x14ac:dyDescent="0.25">
      <c r="A160" s="30">
        <f t="shared" si="26"/>
        <v>-6</v>
      </c>
      <c r="B160" s="58">
        <f>INT((ROWS(B$11:B160)-1)/20)+40+0.05*MOD(ROWS(B$11:B160)-1,20)</f>
        <v>47.45</v>
      </c>
      <c r="C160" s="58" t="str">
        <f t="shared" si="27"/>
        <v/>
      </c>
      <c r="D160" s="58" t="str">
        <f t="shared" si="23"/>
        <v/>
      </c>
      <c r="E160" s="30">
        <f t="shared" si="24"/>
        <v>2.9644894270008479E-9</v>
      </c>
      <c r="F160" s="30" t="str">
        <f t="shared" si="28"/>
        <v/>
      </c>
      <c r="G160" s="30" t="str">
        <f t="shared" si="28"/>
        <v/>
      </c>
      <c r="H160" s="30" t="str">
        <f t="shared" si="28"/>
        <v/>
      </c>
      <c r="I160" s="30" t="str">
        <f t="shared" si="25"/>
        <v/>
      </c>
      <c r="U160" s="26">
        <v>0</v>
      </c>
      <c r="V160" s="255">
        <f t="shared" si="22"/>
        <v>71</v>
      </c>
    </row>
    <row r="161" spans="1:22" hidden="1" x14ac:dyDescent="0.25">
      <c r="A161" s="30">
        <f t="shared" si="26"/>
        <v>-6</v>
      </c>
      <c r="B161" s="58">
        <f>INT((ROWS(B$11:B161)-1)/20)+40+0.05*MOD(ROWS(B$11:B161)-1,20)</f>
        <v>47.5</v>
      </c>
      <c r="C161" s="58" t="str">
        <f t="shared" si="27"/>
        <v/>
      </c>
      <c r="D161" s="58" t="str">
        <f t="shared" si="23"/>
        <v/>
      </c>
      <c r="E161" s="30">
        <f t="shared" si="24"/>
        <v>3.1906365508841103E-9</v>
      </c>
      <c r="F161" s="30" t="str">
        <f t="shared" si="28"/>
        <v/>
      </c>
      <c r="G161" s="30" t="str">
        <f t="shared" si="28"/>
        <v/>
      </c>
      <c r="H161" s="30" t="str">
        <f t="shared" si="28"/>
        <v/>
      </c>
      <c r="I161" s="30" t="str">
        <f t="shared" si="25"/>
        <v/>
      </c>
      <c r="U161" s="26">
        <v>0</v>
      </c>
      <c r="V161" s="255">
        <f t="shared" si="22"/>
        <v>71</v>
      </c>
    </row>
    <row r="162" spans="1:22" hidden="1" x14ac:dyDescent="0.25">
      <c r="A162" s="30">
        <f t="shared" si="26"/>
        <v>-6</v>
      </c>
      <c r="B162" s="58">
        <f>INT((ROWS(B$11:B162)-1)/20)+40+0.05*MOD(ROWS(B$11:B162)-1,20)</f>
        <v>47.55</v>
      </c>
      <c r="C162" s="58" t="str">
        <f t="shared" si="27"/>
        <v/>
      </c>
      <c r="D162" s="58" t="str">
        <f t="shared" si="23"/>
        <v/>
      </c>
      <c r="E162" s="30">
        <f t="shared" si="24"/>
        <v>3.4334988619434353E-9</v>
      </c>
      <c r="F162" s="30" t="str">
        <f t="shared" si="28"/>
        <v/>
      </c>
      <c r="G162" s="30" t="str">
        <f t="shared" si="28"/>
        <v/>
      </c>
      <c r="H162" s="30" t="str">
        <f t="shared" si="28"/>
        <v/>
      </c>
      <c r="I162" s="30" t="str">
        <f t="shared" si="25"/>
        <v/>
      </c>
      <c r="U162" s="26">
        <v>0</v>
      </c>
      <c r="V162" s="255">
        <f t="shared" si="22"/>
        <v>71</v>
      </c>
    </row>
    <row r="163" spans="1:22" hidden="1" x14ac:dyDescent="0.25">
      <c r="A163" s="30">
        <f t="shared" si="26"/>
        <v>-6</v>
      </c>
      <c r="B163" s="58">
        <f>INT((ROWS(B$11:B163)-1)/20)+40+0.05*MOD(ROWS(B$11:B163)-1,20)</f>
        <v>47.6</v>
      </c>
      <c r="C163" s="58" t="str">
        <f t="shared" si="27"/>
        <v/>
      </c>
      <c r="D163" s="58" t="str">
        <f t="shared" si="23"/>
        <v/>
      </c>
      <c r="E163" s="30">
        <f t="shared" si="24"/>
        <v>3.6942698966200133E-9</v>
      </c>
      <c r="F163" s="30" t="str">
        <f t="shared" si="28"/>
        <v/>
      </c>
      <c r="G163" s="30" t="str">
        <f t="shared" si="28"/>
        <v/>
      </c>
      <c r="H163" s="30" t="str">
        <f t="shared" si="28"/>
        <v/>
      </c>
      <c r="I163" s="30" t="str">
        <f t="shared" si="25"/>
        <v/>
      </c>
      <c r="U163" s="26">
        <v>0</v>
      </c>
      <c r="V163" s="255">
        <f t="shared" si="22"/>
        <v>71</v>
      </c>
    </row>
    <row r="164" spans="1:22" hidden="1" x14ac:dyDescent="0.25">
      <c r="A164" s="30">
        <f t="shared" si="26"/>
        <v>-6</v>
      </c>
      <c r="B164" s="58">
        <f>INT((ROWS(B$11:B164)-1)/20)+40+0.05*MOD(ROWS(B$11:B164)-1,20)</f>
        <v>47.65</v>
      </c>
      <c r="C164" s="58" t="str">
        <f t="shared" si="27"/>
        <v/>
      </c>
      <c r="D164" s="58" t="str">
        <f t="shared" si="23"/>
        <v/>
      </c>
      <c r="E164" s="30">
        <f t="shared" si="24"/>
        <v>3.9742252268402187E-9</v>
      </c>
      <c r="F164" s="30" t="str">
        <f t="shared" si="28"/>
        <v/>
      </c>
      <c r="G164" s="30" t="str">
        <f t="shared" si="28"/>
        <v/>
      </c>
      <c r="H164" s="30" t="str">
        <f t="shared" si="28"/>
        <v/>
      </c>
      <c r="I164" s="30" t="str">
        <f t="shared" si="25"/>
        <v/>
      </c>
      <c r="U164" s="26">
        <v>0</v>
      </c>
      <c r="V164" s="255">
        <f t="shared" si="22"/>
        <v>71</v>
      </c>
    </row>
    <row r="165" spans="1:22" hidden="1" x14ac:dyDescent="0.25">
      <c r="A165" s="30">
        <f t="shared" si="26"/>
        <v>-6</v>
      </c>
      <c r="B165" s="58">
        <f>INT((ROWS(B$11:B165)-1)/20)+40+0.05*MOD(ROWS(B$11:B165)-1,20)</f>
        <v>47.7</v>
      </c>
      <c r="C165" s="58" t="str">
        <f t="shared" si="27"/>
        <v/>
      </c>
      <c r="D165" s="58" t="str">
        <f t="shared" si="23"/>
        <v/>
      </c>
      <c r="E165" s="30">
        <f t="shared" si="24"/>
        <v>4.2747278631587994E-9</v>
      </c>
      <c r="F165" s="30" t="str">
        <f t="shared" si="28"/>
        <v/>
      </c>
      <c r="G165" s="30" t="str">
        <f t="shared" si="28"/>
        <v/>
      </c>
      <c r="H165" s="30" t="str">
        <f t="shared" si="28"/>
        <v/>
      </c>
      <c r="I165" s="30" t="str">
        <f t="shared" si="25"/>
        <v/>
      </c>
      <c r="U165" s="26">
        <v>0</v>
      </c>
      <c r="V165" s="255">
        <f t="shared" si="22"/>
        <v>71</v>
      </c>
    </row>
    <row r="166" spans="1:22" hidden="1" x14ac:dyDescent="0.25">
      <c r="A166" s="30">
        <f t="shared" si="26"/>
        <v>-6</v>
      </c>
      <c r="B166" s="58">
        <f>INT((ROWS(B$11:B166)-1)/20)+40+0.05*MOD(ROWS(B$11:B166)-1,20)</f>
        <v>47.75</v>
      </c>
      <c r="C166" s="58" t="str">
        <f t="shared" si="27"/>
        <v/>
      </c>
      <c r="D166" s="58" t="str">
        <f t="shared" si="23"/>
        <v/>
      </c>
      <c r="E166" s="30">
        <f t="shared" si="24"/>
        <v>4.597233996922553E-9</v>
      </c>
      <c r="F166" s="30" t="str">
        <f t="shared" si="28"/>
        <v/>
      </c>
      <c r="G166" s="30" t="str">
        <f t="shared" si="28"/>
        <v/>
      </c>
      <c r="H166" s="30" t="str">
        <f t="shared" si="28"/>
        <v/>
      </c>
      <c r="I166" s="30" t="str">
        <f t="shared" si="25"/>
        <v/>
      </c>
      <c r="U166" s="26">
        <v>0</v>
      </c>
      <c r="V166" s="255">
        <f t="shared" si="22"/>
        <v>71</v>
      </c>
    </row>
    <row r="167" spans="1:22" hidden="1" x14ac:dyDescent="0.25">
      <c r="A167" s="30">
        <f t="shared" si="26"/>
        <v>-6</v>
      </c>
      <c r="B167" s="58">
        <f>INT((ROWS(B$11:B167)-1)/20)+40+0.05*MOD(ROWS(B$11:B167)-1,20)</f>
        <v>47.8</v>
      </c>
      <c r="C167" s="58" t="str">
        <f t="shared" si="27"/>
        <v/>
      </c>
      <c r="D167" s="58" t="str">
        <f t="shared" si="23"/>
        <v/>
      </c>
      <c r="E167" s="30">
        <f t="shared" si="24"/>
        <v>4.9432991015611506E-9</v>
      </c>
      <c r="F167" s="30" t="str">
        <f t="shared" si="28"/>
        <v/>
      </c>
      <c r="G167" s="30" t="str">
        <f t="shared" si="28"/>
        <v/>
      </c>
      <c r="H167" s="30" t="str">
        <f t="shared" si="28"/>
        <v/>
      </c>
      <c r="I167" s="30" t="str">
        <f t="shared" si="25"/>
        <v/>
      </c>
      <c r="U167" s="26">
        <v>0</v>
      </c>
      <c r="V167" s="255">
        <f t="shared" si="22"/>
        <v>71</v>
      </c>
    </row>
    <row r="168" spans="1:22" hidden="1" x14ac:dyDescent="0.25">
      <c r="A168" s="30">
        <f t="shared" si="26"/>
        <v>-6</v>
      </c>
      <c r="B168" s="58">
        <f>INT((ROWS(B$11:B168)-1)/20)+40+0.05*MOD(ROWS(B$11:B168)-1,20)</f>
        <v>47.85</v>
      </c>
      <c r="C168" s="58" t="str">
        <f t="shared" si="27"/>
        <v/>
      </c>
      <c r="D168" s="58" t="str">
        <f t="shared" si="23"/>
        <v/>
      </c>
      <c r="E168" s="30">
        <f t="shared" si="24"/>
        <v>5.3145844142239048E-9</v>
      </c>
      <c r="F168" s="30" t="str">
        <f t="shared" si="28"/>
        <v/>
      </c>
      <c r="G168" s="30" t="str">
        <f t="shared" si="28"/>
        <v/>
      </c>
      <c r="H168" s="30" t="str">
        <f t="shared" si="28"/>
        <v/>
      </c>
      <c r="I168" s="30" t="str">
        <f t="shared" si="25"/>
        <v/>
      </c>
      <c r="U168" s="26">
        <v>0</v>
      </c>
      <c r="V168" s="255">
        <f t="shared" si="22"/>
        <v>71</v>
      </c>
    </row>
    <row r="169" spans="1:22" hidden="1" x14ac:dyDescent="0.25">
      <c r="A169" s="30">
        <f t="shared" si="26"/>
        <v>-6</v>
      </c>
      <c r="B169" s="58">
        <f>INT((ROWS(B$11:B169)-1)/20)+40+0.05*MOD(ROWS(B$11:B169)-1,20)</f>
        <v>47.9</v>
      </c>
      <c r="C169" s="58" t="str">
        <f t="shared" si="27"/>
        <v/>
      </c>
      <c r="D169" s="58" t="str">
        <f t="shared" si="23"/>
        <v/>
      </c>
      <c r="E169" s="30">
        <f t="shared" si="24"/>
        <v>5.7128638201537833E-9</v>
      </c>
      <c r="F169" s="30" t="str">
        <f t="shared" si="28"/>
        <v/>
      </c>
      <c r="G169" s="30" t="str">
        <f t="shared" si="28"/>
        <v/>
      </c>
      <c r="H169" s="30" t="str">
        <f t="shared" si="28"/>
        <v/>
      </c>
      <c r="I169" s="30" t="str">
        <f t="shared" si="25"/>
        <v/>
      </c>
      <c r="U169" s="26">
        <v>0</v>
      </c>
      <c r="V169" s="255">
        <f t="shared" si="22"/>
        <v>71</v>
      </c>
    </row>
    <row r="170" spans="1:22" hidden="1" x14ac:dyDescent="0.25">
      <c r="A170" s="30">
        <f t="shared" si="26"/>
        <v>-6</v>
      </c>
      <c r="B170" s="58">
        <f>INT((ROWS(B$11:B170)-1)/20)+40+0.05*MOD(ROWS(B$11:B170)-1,20)</f>
        <v>47.95</v>
      </c>
      <c r="C170" s="58" t="str">
        <f t="shared" si="27"/>
        <v/>
      </c>
      <c r="D170" s="58" t="str">
        <f t="shared" si="23"/>
        <v/>
      </c>
      <c r="E170" s="30">
        <f t="shared" si="24"/>
        <v>6.1400311634206769E-9</v>
      </c>
      <c r="F170" s="30" t="str">
        <f t="shared" si="28"/>
        <v/>
      </c>
      <c r="G170" s="30" t="str">
        <f t="shared" si="28"/>
        <v/>
      </c>
      <c r="H170" s="30" t="str">
        <f t="shared" si="28"/>
        <v/>
      </c>
      <c r="I170" s="30" t="str">
        <f t="shared" si="25"/>
        <v/>
      </c>
      <c r="U170" s="26">
        <v>0</v>
      </c>
      <c r="V170" s="255">
        <f t="shared" si="22"/>
        <v>71</v>
      </c>
    </row>
    <row r="171" spans="1:22" hidden="1" x14ac:dyDescent="0.25">
      <c r="A171" s="30">
        <f t="shared" si="26"/>
        <v>-5.75</v>
      </c>
      <c r="B171" s="58">
        <f>INT((ROWS(B$11:B171)-1)/20)+40+0.05*MOD(ROWS(B$11:B171)-1,20)</f>
        <v>48</v>
      </c>
      <c r="C171" s="58" t="str">
        <f t="shared" si="27"/>
        <v/>
      </c>
      <c r="D171" s="58">
        <f t="shared" si="23"/>
        <v>48</v>
      </c>
      <c r="E171" s="30">
        <f t="shared" si="24"/>
        <v>6.5981080089264338E-9</v>
      </c>
      <c r="F171" s="30" t="str">
        <f t="shared" ref="F171:H190" si="29">IF(AND($B171&gt;=F$7,$B171&lt;=F$8),E171,"")</f>
        <v/>
      </c>
      <c r="G171" s="30" t="str">
        <f t="shared" si="29"/>
        <v/>
      </c>
      <c r="H171" s="30" t="str">
        <f t="shared" si="29"/>
        <v/>
      </c>
      <c r="I171" s="30" t="str">
        <f t="shared" si="25"/>
        <v/>
      </c>
      <c r="U171" s="26">
        <v>0</v>
      </c>
      <c r="V171" s="255">
        <f t="shared" si="22"/>
        <v>71</v>
      </c>
    </row>
    <row r="172" spans="1:22" hidden="1" x14ac:dyDescent="0.25">
      <c r="A172" s="30">
        <f t="shared" si="26"/>
        <v>-5.75</v>
      </c>
      <c r="B172" s="58">
        <f>INT((ROWS(B$11:B172)-1)/20)+40+0.05*MOD(ROWS(B$11:B172)-1,20)</f>
        <v>48.05</v>
      </c>
      <c r="C172" s="58" t="str">
        <f t="shared" si="27"/>
        <v/>
      </c>
      <c r="D172" s="58" t="str">
        <f t="shared" si="23"/>
        <v/>
      </c>
      <c r="E172" s="30">
        <f t="shared" si="24"/>
        <v>7.0892518819541582E-9</v>
      </c>
      <c r="F172" s="30" t="str">
        <f t="shared" si="29"/>
        <v/>
      </c>
      <c r="G172" s="30" t="str">
        <f t="shared" si="29"/>
        <v/>
      </c>
      <c r="H172" s="30" t="str">
        <f t="shared" si="29"/>
        <v/>
      </c>
      <c r="I172" s="30" t="str">
        <f t="shared" si="25"/>
        <v/>
      </c>
      <c r="U172" s="26">
        <v>0</v>
      </c>
      <c r="V172" s="255">
        <f t="shared" si="22"/>
        <v>71</v>
      </c>
    </row>
    <row r="173" spans="1:22" hidden="1" x14ac:dyDescent="0.25">
      <c r="A173" s="30">
        <f t="shared" si="26"/>
        <v>-5.75</v>
      </c>
      <c r="B173" s="58">
        <f>INT((ROWS(B$11:B173)-1)/20)+40+0.05*MOD(ROWS(B$11:B173)-1,20)</f>
        <v>48.1</v>
      </c>
      <c r="C173" s="58" t="str">
        <f t="shared" si="27"/>
        <v/>
      </c>
      <c r="D173" s="58" t="str">
        <f t="shared" si="23"/>
        <v/>
      </c>
      <c r="E173" s="30">
        <f t="shared" si="24"/>
        <v>7.6157650129565532E-9</v>
      </c>
      <c r="F173" s="30" t="str">
        <f t="shared" si="29"/>
        <v/>
      </c>
      <c r="G173" s="30" t="str">
        <f t="shared" si="29"/>
        <v/>
      </c>
      <c r="H173" s="30" t="str">
        <f t="shared" si="29"/>
        <v/>
      </c>
      <c r="I173" s="30" t="str">
        <f t="shared" si="25"/>
        <v/>
      </c>
      <c r="U173" s="26">
        <v>0</v>
      </c>
      <c r="V173" s="255">
        <f t="shared" si="22"/>
        <v>71</v>
      </c>
    </row>
    <row r="174" spans="1:22" hidden="1" x14ac:dyDescent="0.25">
      <c r="A174" s="30">
        <f t="shared" si="26"/>
        <v>-5.75</v>
      </c>
      <c r="B174" s="58">
        <f>INT((ROWS(B$11:B174)-1)/20)+40+0.05*MOD(ROWS(B$11:B174)-1,20)</f>
        <v>48.15</v>
      </c>
      <c r="C174" s="58" t="str">
        <f t="shared" si="27"/>
        <v/>
      </c>
      <c r="D174" s="58" t="str">
        <f t="shared" si="23"/>
        <v/>
      </c>
      <c r="E174" s="30">
        <f t="shared" si="24"/>
        <v>8.1801036167750733E-9</v>
      </c>
      <c r="F174" s="30" t="str">
        <f t="shared" si="29"/>
        <v/>
      </c>
      <c r="G174" s="30" t="str">
        <f t="shared" si="29"/>
        <v/>
      </c>
      <c r="H174" s="30" t="str">
        <f t="shared" si="29"/>
        <v/>
      </c>
      <c r="I174" s="30" t="str">
        <f t="shared" si="25"/>
        <v/>
      </c>
      <c r="U174" s="26">
        <v>0</v>
      </c>
      <c r="V174" s="255">
        <f t="shared" si="22"/>
        <v>71</v>
      </c>
    </row>
    <row r="175" spans="1:22" hidden="1" x14ac:dyDescent="0.25">
      <c r="A175" s="30">
        <f t="shared" si="26"/>
        <v>-5.75</v>
      </c>
      <c r="B175" s="58">
        <f>INT((ROWS(B$11:B175)-1)/20)+40+0.05*MOD(ROWS(B$11:B175)-1,20)</f>
        <v>48.2</v>
      </c>
      <c r="C175" s="58" t="str">
        <f t="shared" si="27"/>
        <v/>
      </c>
      <c r="D175" s="58" t="str">
        <f t="shared" si="23"/>
        <v/>
      </c>
      <c r="E175" s="30">
        <f t="shared" si="24"/>
        <v>8.7848877370511165E-9</v>
      </c>
      <c r="F175" s="30" t="str">
        <f t="shared" si="29"/>
        <v/>
      </c>
      <c r="G175" s="30" t="str">
        <f t="shared" si="29"/>
        <v/>
      </c>
      <c r="H175" s="30" t="str">
        <f t="shared" si="29"/>
        <v/>
      </c>
      <c r="I175" s="30" t="str">
        <f t="shared" si="25"/>
        <v/>
      </c>
      <c r="U175" s="26">
        <v>0</v>
      </c>
      <c r="V175" s="255">
        <f t="shared" si="22"/>
        <v>71</v>
      </c>
    </row>
    <row r="176" spans="1:22" hidden="1" x14ac:dyDescent="0.25">
      <c r="A176" s="30">
        <f t="shared" si="26"/>
        <v>-5.75</v>
      </c>
      <c r="B176" s="58">
        <f>INT((ROWS(B$11:B176)-1)/20)+40+0.05*MOD(ROWS(B$11:B176)-1,20)</f>
        <v>48.25</v>
      </c>
      <c r="C176" s="58" t="str">
        <f t="shared" si="27"/>
        <v/>
      </c>
      <c r="D176" s="58" t="str">
        <f t="shared" si="23"/>
        <v/>
      </c>
      <c r="E176" s="30">
        <f t="shared" si="24"/>
        <v>9.4329116882347148E-9</v>
      </c>
      <c r="F176" s="30" t="str">
        <f t="shared" si="29"/>
        <v/>
      </c>
      <c r="G176" s="30" t="str">
        <f t="shared" si="29"/>
        <v/>
      </c>
      <c r="H176" s="30" t="str">
        <f t="shared" si="29"/>
        <v/>
      </c>
      <c r="I176" s="30" t="str">
        <f t="shared" si="25"/>
        <v/>
      </c>
      <c r="U176" s="26">
        <v>0</v>
      </c>
      <c r="V176" s="255">
        <f t="shared" si="22"/>
        <v>71</v>
      </c>
    </row>
    <row r="177" spans="1:22" hidden="1" x14ac:dyDescent="0.25">
      <c r="A177" s="30">
        <f t="shared" si="26"/>
        <v>-5.75</v>
      </c>
      <c r="B177" s="58">
        <f>INT((ROWS(B$11:B177)-1)/20)+40+0.05*MOD(ROWS(B$11:B177)-1,20)</f>
        <v>48.3</v>
      </c>
      <c r="C177" s="58" t="str">
        <f t="shared" si="27"/>
        <v/>
      </c>
      <c r="D177" s="58" t="str">
        <f t="shared" si="23"/>
        <v/>
      </c>
      <c r="E177" s="30">
        <f t="shared" si="24"/>
        <v>1.0127155129325634E-8</v>
      </c>
      <c r="F177" s="30" t="str">
        <f t="shared" si="29"/>
        <v/>
      </c>
      <c r="G177" s="30" t="str">
        <f t="shared" si="29"/>
        <v/>
      </c>
      <c r="H177" s="30" t="str">
        <f t="shared" si="29"/>
        <v/>
      </c>
      <c r="I177" s="30" t="str">
        <f t="shared" si="25"/>
        <v/>
      </c>
      <c r="U177" s="26">
        <v>0</v>
      </c>
      <c r="V177" s="255">
        <f t="shared" si="22"/>
        <v>71</v>
      </c>
    </row>
    <row r="178" spans="1:22" hidden="1" x14ac:dyDescent="0.25">
      <c r="A178" s="30">
        <f t="shared" si="26"/>
        <v>-5.75</v>
      </c>
      <c r="B178" s="58">
        <f>INT((ROWS(B$11:B178)-1)/20)+40+0.05*MOD(ROWS(B$11:B178)-1,20)</f>
        <v>48.35</v>
      </c>
      <c r="C178" s="58" t="str">
        <f t="shared" si="27"/>
        <v/>
      </c>
      <c r="D178" s="58" t="str">
        <f t="shared" si="23"/>
        <v/>
      </c>
      <c r="E178" s="30">
        <f t="shared" si="24"/>
        <v>1.087079480528885E-8</v>
      </c>
      <c r="F178" s="30" t="str">
        <f t="shared" si="29"/>
        <v/>
      </c>
      <c r="G178" s="30" t="str">
        <f t="shared" si="29"/>
        <v/>
      </c>
      <c r="H178" s="30" t="str">
        <f t="shared" si="29"/>
        <v/>
      </c>
      <c r="I178" s="30" t="str">
        <f t="shared" si="25"/>
        <v/>
      </c>
      <c r="U178" s="26">
        <v>0</v>
      </c>
      <c r="V178" s="255">
        <f t="shared" si="22"/>
        <v>71</v>
      </c>
    </row>
    <row r="179" spans="1:22" hidden="1" x14ac:dyDescent="0.25">
      <c r="A179" s="30">
        <f t="shared" si="26"/>
        <v>-5.75</v>
      </c>
      <c r="B179" s="58">
        <f>INT((ROWS(B$11:B179)-1)/20)+40+0.05*MOD(ROWS(B$11:B179)-1,20)</f>
        <v>48.4</v>
      </c>
      <c r="C179" s="58" t="str">
        <f t="shared" si="27"/>
        <v/>
      </c>
      <c r="D179" s="58" t="str">
        <f t="shared" si="23"/>
        <v/>
      </c>
      <c r="E179" s="30">
        <f t="shared" si="24"/>
        <v>1.166721699398564E-8</v>
      </c>
      <c r="F179" s="30" t="str">
        <f t="shared" si="29"/>
        <v/>
      </c>
      <c r="G179" s="30" t="str">
        <f t="shared" si="29"/>
        <v/>
      </c>
      <c r="H179" s="30" t="str">
        <f t="shared" si="29"/>
        <v/>
      </c>
      <c r="I179" s="30" t="str">
        <f t="shared" si="25"/>
        <v/>
      </c>
      <c r="U179" s="26">
        <v>0</v>
      </c>
      <c r="V179" s="255">
        <f t="shared" si="22"/>
        <v>71</v>
      </c>
    </row>
    <row r="180" spans="1:22" hidden="1" x14ac:dyDescent="0.25">
      <c r="A180" s="30">
        <f t="shared" si="26"/>
        <v>-5.75</v>
      </c>
      <c r="B180" s="58">
        <f>INT((ROWS(B$11:B180)-1)/20)+40+0.05*MOD(ROWS(B$11:B180)-1,20)</f>
        <v>48.45</v>
      </c>
      <c r="C180" s="58" t="str">
        <f t="shared" si="27"/>
        <v/>
      </c>
      <c r="D180" s="58" t="str">
        <f t="shared" si="23"/>
        <v/>
      </c>
      <c r="E180" s="30">
        <f t="shared" si="24"/>
        <v>1.2520030698450372E-8</v>
      </c>
      <c r="F180" s="30" t="str">
        <f t="shared" si="29"/>
        <v/>
      </c>
      <c r="G180" s="30" t="str">
        <f t="shared" si="29"/>
        <v/>
      </c>
      <c r="H180" s="30" t="str">
        <f t="shared" si="29"/>
        <v/>
      </c>
      <c r="I180" s="30" t="str">
        <f t="shared" si="25"/>
        <v/>
      </c>
      <c r="U180" s="26">
        <v>0</v>
      </c>
      <c r="V180" s="255">
        <f t="shared" si="22"/>
        <v>71</v>
      </c>
    </row>
    <row r="181" spans="1:22" hidden="1" x14ac:dyDescent="0.25">
      <c r="A181" s="30">
        <f t="shared" si="26"/>
        <v>-5.75</v>
      </c>
      <c r="B181" s="58">
        <f>INT((ROWS(B$11:B181)-1)/20)+40+0.05*MOD(ROWS(B$11:B181)-1,20)</f>
        <v>48.5</v>
      </c>
      <c r="C181" s="58" t="str">
        <f t="shared" si="27"/>
        <v/>
      </c>
      <c r="D181" s="58" t="str">
        <f t="shared" si="23"/>
        <v/>
      </c>
      <c r="E181" s="30">
        <f t="shared" si="24"/>
        <v>1.3433081626422875E-8</v>
      </c>
      <c r="F181" s="30" t="str">
        <f t="shared" si="29"/>
        <v/>
      </c>
      <c r="G181" s="30" t="str">
        <f t="shared" si="29"/>
        <v/>
      </c>
      <c r="H181" s="30" t="str">
        <f t="shared" si="29"/>
        <v/>
      </c>
      <c r="I181" s="30" t="str">
        <f t="shared" si="25"/>
        <v/>
      </c>
      <c r="U181" s="26">
        <v>0</v>
      </c>
      <c r="V181" s="255">
        <f t="shared" si="22"/>
        <v>71</v>
      </c>
    </row>
    <row r="182" spans="1:22" hidden="1" x14ac:dyDescent="0.25">
      <c r="A182" s="30">
        <f t="shared" si="26"/>
        <v>-5.75</v>
      </c>
      <c r="B182" s="58">
        <f>INT((ROWS(B$11:B182)-1)/20)+40+0.05*MOD(ROWS(B$11:B182)-1,20)</f>
        <v>48.55</v>
      </c>
      <c r="C182" s="58" t="str">
        <f t="shared" si="27"/>
        <v/>
      </c>
      <c r="D182" s="58" t="str">
        <f t="shared" si="23"/>
        <v/>
      </c>
      <c r="E182" s="30">
        <f t="shared" si="24"/>
        <v>1.4410467001233217E-8</v>
      </c>
      <c r="F182" s="30" t="str">
        <f t="shared" si="29"/>
        <v/>
      </c>
      <c r="G182" s="30" t="str">
        <f t="shared" si="29"/>
        <v/>
      </c>
      <c r="H182" s="30" t="str">
        <f t="shared" si="29"/>
        <v/>
      </c>
      <c r="I182" s="30" t="str">
        <f t="shared" si="25"/>
        <v/>
      </c>
      <c r="U182" s="26">
        <v>0</v>
      </c>
      <c r="V182" s="255">
        <f t="shared" si="22"/>
        <v>71</v>
      </c>
    </row>
    <row r="183" spans="1:22" hidden="1" x14ac:dyDescent="0.25">
      <c r="A183" s="30">
        <f t="shared" si="26"/>
        <v>-5.75</v>
      </c>
      <c r="B183" s="58">
        <f>INT((ROWS(B$11:B183)-1)/20)+40+0.05*MOD(ROWS(B$11:B183)-1,20)</f>
        <v>48.6</v>
      </c>
      <c r="C183" s="58" t="str">
        <f t="shared" si="27"/>
        <v/>
      </c>
      <c r="D183" s="58" t="str">
        <f t="shared" si="23"/>
        <v/>
      </c>
      <c r="E183" s="30">
        <f t="shared" si="24"/>
        <v>1.5456551250414643E-8</v>
      </c>
      <c r="F183" s="30" t="str">
        <f t="shared" si="29"/>
        <v/>
      </c>
      <c r="G183" s="30" t="str">
        <f t="shared" si="29"/>
        <v/>
      </c>
      <c r="H183" s="30" t="str">
        <f t="shared" si="29"/>
        <v/>
      </c>
      <c r="I183" s="30" t="str">
        <f t="shared" si="25"/>
        <v/>
      </c>
      <c r="U183" s="26">
        <v>0</v>
      </c>
      <c r="V183" s="255">
        <f t="shared" si="22"/>
        <v>71</v>
      </c>
    </row>
    <row r="184" spans="1:22" hidden="1" x14ac:dyDescent="0.25">
      <c r="A184" s="30">
        <f t="shared" si="26"/>
        <v>-5.75</v>
      </c>
      <c r="B184" s="58">
        <f>INT((ROWS(B$11:B184)-1)/20)+40+0.05*MOD(ROWS(B$11:B184)-1,20)</f>
        <v>48.65</v>
      </c>
      <c r="C184" s="58" t="str">
        <f t="shared" si="27"/>
        <v/>
      </c>
      <c r="D184" s="58" t="str">
        <f t="shared" si="23"/>
        <v/>
      </c>
      <c r="E184" s="30">
        <f t="shared" si="24"/>
        <v>1.6575982620815286E-8</v>
      </c>
      <c r="F184" s="30" t="str">
        <f t="shared" si="29"/>
        <v/>
      </c>
      <c r="G184" s="30" t="str">
        <f t="shared" si="29"/>
        <v/>
      </c>
      <c r="H184" s="30" t="str">
        <f t="shared" si="29"/>
        <v/>
      </c>
      <c r="I184" s="30" t="str">
        <f t="shared" si="25"/>
        <v/>
      </c>
      <c r="U184" s="26">
        <v>0</v>
      </c>
      <c r="V184" s="255">
        <f t="shared" si="22"/>
        <v>71</v>
      </c>
    </row>
    <row r="185" spans="1:22" hidden="1" x14ac:dyDescent="0.25">
      <c r="A185" s="30">
        <f t="shared" si="26"/>
        <v>-5.75</v>
      </c>
      <c r="B185" s="58">
        <f>INT((ROWS(B$11:B185)-1)/20)+40+0.05*MOD(ROWS(B$11:B185)-1,20)</f>
        <v>48.7</v>
      </c>
      <c r="C185" s="58" t="str">
        <f t="shared" si="27"/>
        <v/>
      </c>
      <c r="D185" s="58" t="str">
        <f t="shared" si="23"/>
        <v/>
      </c>
      <c r="E185" s="30">
        <f t="shared" si="24"/>
        <v>1.7773710771482453E-8</v>
      </c>
      <c r="F185" s="30" t="str">
        <f t="shared" si="29"/>
        <v/>
      </c>
      <c r="G185" s="30" t="str">
        <f t="shared" si="29"/>
        <v/>
      </c>
      <c r="H185" s="30" t="str">
        <f t="shared" si="29"/>
        <v/>
      </c>
      <c r="I185" s="30" t="str">
        <f t="shared" si="25"/>
        <v/>
      </c>
      <c r="U185" s="26">
        <v>0</v>
      </c>
      <c r="V185" s="255">
        <f t="shared" si="22"/>
        <v>71</v>
      </c>
    </row>
    <row r="186" spans="1:22" hidden="1" x14ac:dyDescent="0.25">
      <c r="A186" s="30">
        <f t="shared" si="26"/>
        <v>-5.75</v>
      </c>
      <c r="B186" s="58">
        <f>INT((ROWS(B$11:B186)-1)/20)+40+0.05*MOD(ROWS(B$11:B186)-1,20)</f>
        <v>48.75</v>
      </c>
      <c r="C186" s="58" t="str">
        <f t="shared" si="27"/>
        <v/>
      </c>
      <c r="D186" s="58" t="str">
        <f t="shared" si="23"/>
        <v/>
      </c>
      <c r="E186" s="30">
        <f t="shared" si="24"/>
        <v>1.905500539820651E-8</v>
      </c>
      <c r="F186" s="30" t="str">
        <f t="shared" si="29"/>
        <v/>
      </c>
      <c r="G186" s="30" t="str">
        <f t="shared" si="29"/>
        <v/>
      </c>
      <c r="H186" s="30" t="str">
        <f t="shared" si="29"/>
        <v/>
      </c>
      <c r="I186" s="30" t="str">
        <f t="shared" si="25"/>
        <v/>
      </c>
      <c r="U186" s="26">
        <v>0</v>
      </c>
      <c r="V186" s="255">
        <f t="shared" si="22"/>
        <v>71</v>
      </c>
    </row>
    <row r="187" spans="1:22" hidden="1" x14ac:dyDescent="0.25">
      <c r="A187" s="30">
        <f t="shared" si="26"/>
        <v>-5.75</v>
      </c>
      <c r="B187" s="58">
        <f>INT((ROWS(B$11:B187)-1)/20)+40+0.05*MOD(ROWS(B$11:B187)-1,20)</f>
        <v>48.8</v>
      </c>
      <c r="C187" s="58" t="str">
        <f t="shared" si="27"/>
        <v/>
      </c>
      <c r="D187" s="58" t="str">
        <f t="shared" si="23"/>
        <v/>
      </c>
      <c r="E187" s="30">
        <f t="shared" si="24"/>
        <v>2.0425475946357938E-8</v>
      </c>
      <c r="F187" s="30" t="str">
        <f t="shared" si="29"/>
        <v/>
      </c>
      <c r="G187" s="30" t="str">
        <f t="shared" si="29"/>
        <v/>
      </c>
      <c r="H187" s="30" t="str">
        <f t="shared" si="29"/>
        <v/>
      </c>
      <c r="I187" s="30" t="str">
        <f t="shared" si="25"/>
        <v/>
      </c>
      <c r="U187" s="26">
        <v>0</v>
      </c>
      <c r="V187" s="255">
        <f t="shared" si="22"/>
        <v>71</v>
      </c>
    </row>
    <row r="188" spans="1:22" hidden="1" x14ac:dyDescent="0.25">
      <c r="A188" s="30">
        <f t="shared" si="26"/>
        <v>-5.75</v>
      </c>
      <c r="B188" s="58">
        <f>INT((ROWS(B$11:B188)-1)/20)+40+0.05*MOD(ROWS(B$11:B188)-1,20)</f>
        <v>48.85</v>
      </c>
      <c r="C188" s="58" t="str">
        <f t="shared" si="27"/>
        <v/>
      </c>
      <c r="D188" s="58" t="str">
        <f t="shared" si="23"/>
        <v/>
      </c>
      <c r="E188" s="30">
        <f t="shared" si="24"/>
        <v>2.1891092471506399E-8</v>
      </c>
      <c r="F188" s="30" t="str">
        <f t="shared" si="29"/>
        <v/>
      </c>
      <c r="G188" s="30" t="str">
        <f t="shared" si="29"/>
        <v/>
      </c>
      <c r="H188" s="30" t="str">
        <f t="shared" si="29"/>
        <v/>
      </c>
      <c r="I188" s="30" t="str">
        <f t="shared" si="25"/>
        <v/>
      </c>
      <c r="U188" s="26">
        <v>0</v>
      </c>
      <c r="V188" s="255">
        <f t="shared" si="22"/>
        <v>71</v>
      </c>
    </row>
    <row r="189" spans="1:22" hidden="1" x14ac:dyDescent="0.25">
      <c r="A189" s="30">
        <f t="shared" si="26"/>
        <v>-5.75</v>
      </c>
      <c r="B189" s="58">
        <f>INT((ROWS(B$11:B189)-1)/20)+40+0.05*MOD(ROWS(B$11:B189)-1,20)</f>
        <v>48.9</v>
      </c>
      <c r="C189" s="58" t="str">
        <f t="shared" si="27"/>
        <v/>
      </c>
      <c r="D189" s="58" t="str">
        <f t="shared" si="23"/>
        <v/>
      </c>
      <c r="E189" s="30">
        <f t="shared" si="24"/>
        <v>2.3458207710309141E-8</v>
      </c>
      <c r="F189" s="30" t="str">
        <f t="shared" si="29"/>
        <v/>
      </c>
      <c r="G189" s="30" t="str">
        <f t="shared" si="29"/>
        <v/>
      </c>
      <c r="H189" s="30" t="str">
        <f t="shared" si="29"/>
        <v/>
      </c>
      <c r="I189" s="30" t="str">
        <f t="shared" si="25"/>
        <v/>
      </c>
      <c r="U189" s="26">
        <v>0</v>
      </c>
      <c r="V189" s="255">
        <f t="shared" si="22"/>
        <v>71</v>
      </c>
    </row>
    <row r="190" spans="1:22" hidden="1" x14ac:dyDescent="0.25">
      <c r="A190" s="30">
        <f t="shared" si="26"/>
        <v>-5.75</v>
      </c>
      <c r="B190" s="58">
        <f>INT((ROWS(B$11:B190)-1)/20)+40+0.05*MOD(ROWS(B$11:B190)-1,20)</f>
        <v>48.95</v>
      </c>
      <c r="C190" s="58" t="str">
        <f t="shared" si="27"/>
        <v/>
      </c>
      <c r="D190" s="58" t="str">
        <f t="shared" si="23"/>
        <v/>
      </c>
      <c r="E190" s="30">
        <f t="shared" si="24"/>
        <v>2.5133580427286042E-8</v>
      </c>
      <c r="F190" s="30" t="str">
        <f t="shared" si="29"/>
        <v/>
      </c>
      <c r="G190" s="30" t="str">
        <f t="shared" si="29"/>
        <v/>
      </c>
      <c r="H190" s="30" t="str">
        <f t="shared" si="29"/>
        <v/>
      </c>
      <c r="I190" s="30" t="str">
        <f t="shared" si="25"/>
        <v/>
      </c>
      <c r="U190" s="26">
        <v>0</v>
      </c>
      <c r="V190" s="255">
        <f t="shared" si="22"/>
        <v>71</v>
      </c>
    </row>
    <row r="191" spans="1:22" hidden="1" x14ac:dyDescent="0.25">
      <c r="A191" s="30">
        <f t="shared" si="26"/>
        <v>-5.5</v>
      </c>
      <c r="B191" s="58">
        <f>INT((ROWS(B$11:B191)-1)/20)+40+0.05*MOD(ROWS(B$11:B191)-1,20)</f>
        <v>49</v>
      </c>
      <c r="C191" s="58" t="str">
        <f t="shared" si="27"/>
        <v/>
      </c>
      <c r="D191" s="58">
        <f t="shared" si="23"/>
        <v>49</v>
      </c>
      <c r="E191" s="30">
        <f t="shared" si="24"/>
        <v>2.692440010635819E-8</v>
      </c>
      <c r="F191" s="30" t="str">
        <f t="shared" ref="F191:H210" si="30">IF(AND($B191&gt;=F$7,$B191&lt;=F$8),E191,"")</f>
        <v/>
      </c>
      <c r="G191" s="30" t="str">
        <f t="shared" si="30"/>
        <v/>
      </c>
      <c r="H191" s="30" t="str">
        <f t="shared" si="30"/>
        <v/>
      </c>
      <c r="I191" s="30" t="str">
        <f t="shared" si="25"/>
        <v/>
      </c>
      <c r="U191" s="26">
        <v>0</v>
      </c>
      <c r="V191" s="255">
        <f t="shared" si="22"/>
        <v>71</v>
      </c>
    </row>
    <row r="192" spans="1:22" hidden="1" x14ac:dyDescent="0.25">
      <c r="A192" s="30">
        <f t="shared" si="26"/>
        <v>-5.5</v>
      </c>
      <c r="B192" s="58">
        <f>INT((ROWS(B$11:B192)-1)/20)+40+0.05*MOD(ROWS(B$11:B192)-1,20)</f>
        <v>49.05</v>
      </c>
      <c r="C192" s="58" t="str">
        <f t="shared" si="27"/>
        <v/>
      </c>
      <c r="D192" s="58" t="str">
        <f t="shared" si="23"/>
        <v/>
      </c>
      <c r="E192" s="30">
        <f t="shared" si="24"/>
        <v>2.883831305945406E-8</v>
      </c>
      <c r="F192" s="30" t="str">
        <f t="shared" si="30"/>
        <v/>
      </c>
      <c r="G192" s="30" t="str">
        <f t="shared" si="30"/>
        <v/>
      </c>
      <c r="H192" s="30" t="str">
        <f t="shared" si="30"/>
        <v/>
      </c>
      <c r="I192" s="30" t="str">
        <f t="shared" si="25"/>
        <v/>
      </c>
      <c r="U192" s="26">
        <v>0</v>
      </c>
      <c r="V192" s="255">
        <f t="shared" si="22"/>
        <v>71</v>
      </c>
    </row>
    <row r="193" spans="1:22" hidden="1" x14ac:dyDescent="0.25">
      <c r="A193" s="30">
        <f t="shared" si="26"/>
        <v>-5.5</v>
      </c>
      <c r="B193" s="58">
        <f>INT((ROWS(B$11:B193)-1)/20)+40+0.05*MOD(ROWS(B$11:B193)-1,20)</f>
        <v>49.1</v>
      </c>
      <c r="C193" s="58" t="str">
        <f t="shared" si="27"/>
        <v/>
      </c>
      <c r="D193" s="58" t="str">
        <f t="shared" si="23"/>
        <v/>
      </c>
      <c r="E193" s="30">
        <f t="shared" si="24"/>
        <v>3.0883450028038257E-8</v>
      </c>
      <c r="F193" s="30" t="str">
        <f t="shared" si="30"/>
        <v/>
      </c>
      <c r="G193" s="30" t="str">
        <f t="shared" si="30"/>
        <v/>
      </c>
      <c r="H193" s="30" t="str">
        <f t="shared" si="30"/>
        <v/>
      </c>
      <c r="I193" s="30" t="str">
        <f t="shared" si="25"/>
        <v/>
      </c>
      <c r="U193" s="26">
        <v>0</v>
      </c>
      <c r="V193" s="255">
        <f t="shared" si="22"/>
        <v>71</v>
      </c>
    </row>
    <row r="194" spans="1:22" hidden="1" x14ac:dyDescent="0.25">
      <c r="A194" s="30">
        <f t="shared" si="26"/>
        <v>-5.5</v>
      </c>
      <c r="B194" s="58">
        <f>INT((ROWS(B$11:B194)-1)/20)+40+0.05*MOD(ROWS(B$11:B194)-1,20)</f>
        <v>49.15</v>
      </c>
      <c r="C194" s="58" t="str">
        <f t="shared" si="27"/>
        <v/>
      </c>
      <c r="D194" s="58" t="str">
        <f t="shared" si="23"/>
        <v/>
      </c>
      <c r="E194" s="30">
        <f t="shared" si="24"/>
        <v>3.3068455357147662E-8</v>
      </c>
      <c r="F194" s="30" t="str">
        <f t="shared" si="30"/>
        <v/>
      </c>
      <c r="G194" s="30" t="str">
        <f t="shared" si="30"/>
        <v/>
      </c>
      <c r="H194" s="30" t="str">
        <f t="shared" si="30"/>
        <v/>
      </c>
      <c r="I194" s="30" t="str">
        <f t="shared" si="25"/>
        <v/>
      </c>
      <c r="U194" s="26">
        <v>0</v>
      </c>
      <c r="V194" s="255">
        <f t="shared" si="22"/>
        <v>71</v>
      </c>
    </row>
    <row r="195" spans="1:22" hidden="1" x14ac:dyDescent="0.25">
      <c r="A195" s="30">
        <f t="shared" si="26"/>
        <v>-5.5</v>
      </c>
      <c r="B195" s="58">
        <f>INT((ROWS(B$11:B195)-1)/20)+40+0.05*MOD(ROWS(B$11:B195)-1,20)</f>
        <v>49.2</v>
      </c>
      <c r="C195" s="58" t="str">
        <f t="shared" si="27"/>
        <v/>
      </c>
      <c r="D195" s="58" t="str">
        <f t="shared" si="23"/>
        <v/>
      </c>
      <c r="E195" s="30">
        <f t="shared" si="24"/>
        <v>3.5402517825403065E-8</v>
      </c>
      <c r="F195" s="30" t="str">
        <f t="shared" si="30"/>
        <v/>
      </c>
      <c r="G195" s="30" t="str">
        <f t="shared" si="30"/>
        <v/>
      </c>
      <c r="H195" s="30" t="str">
        <f t="shared" si="30"/>
        <v/>
      </c>
      <c r="I195" s="30" t="str">
        <f t="shared" si="25"/>
        <v/>
      </c>
      <c r="U195" s="26">
        <v>0</v>
      </c>
      <c r="V195" s="255">
        <f t="shared" si="22"/>
        <v>71</v>
      </c>
    </row>
    <row r="196" spans="1:22" hidden="1" x14ac:dyDescent="0.25">
      <c r="A196" s="30">
        <f t="shared" si="26"/>
        <v>-5.5</v>
      </c>
      <c r="B196" s="58">
        <f>INT((ROWS(B$11:B196)-1)/20)+40+0.05*MOD(ROWS(B$11:B196)-1,20)</f>
        <v>49.25</v>
      </c>
      <c r="C196" s="58" t="str">
        <f t="shared" si="27"/>
        <v/>
      </c>
      <c r="D196" s="58" t="str">
        <f t="shared" si="23"/>
        <v/>
      </c>
      <c r="E196" s="30">
        <f t="shared" si="24"/>
        <v>3.789540321850612E-8</v>
      </c>
      <c r="F196" s="30" t="str">
        <f t="shared" si="30"/>
        <v/>
      </c>
      <c r="G196" s="30" t="str">
        <f t="shared" si="30"/>
        <v/>
      </c>
      <c r="H196" s="30" t="str">
        <f t="shared" si="30"/>
        <v/>
      </c>
      <c r="I196" s="30" t="str">
        <f t="shared" si="25"/>
        <v/>
      </c>
      <c r="U196" s="26">
        <v>0</v>
      </c>
      <c r="V196" s="255">
        <f t="shared" si="22"/>
        <v>71</v>
      </c>
    </row>
    <row r="197" spans="1:22" hidden="1" x14ac:dyDescent="0.25">
      <c r="A197" s="30">
        <f t="shared" si="26"/>
        <v>-5.5</v>
      </c>
      <c r="B197" s="58">
        <f>INT((ROWS(B$11:B197)-1)/20)+40+0.05*MOD(ROWS(B$11:B197)-1,20)</f>
        <v>49.3</v>
      </c>
      <c r="C197" s="58" t="str">
        <f t="shared" si="27"/>
        <v/>
      </c>
      <c r="D197" s="58" t="str">
        <f t="shared" si="23"/>
        <v/>
      </c>
      <c r="E197" s="30">
        <f t="shared" si="24"/>
        <v>4.0557488737971758E-8</v>
      </c>
      <c r="F197" s="30" t="str">
        <f t="shared" si="30"/>
        <v/>
      </c>
      <c r="G197" s="30" t="str">
        <f t="shared" si="30"/>
        <v/>
      </c>
      <c r="H197" s="30" t="str">
        <f t="shared" si="30"/>
        <v/>
      </c>
      <c r="I197" s="30" t="str">
        <f t="shared" si="25"/>
        <v/>
      </c>
      <c r="U197" s="26">
        <v>0</v>
      </c>
      <c r="V197" s="255">
        <f t="shared" si="22"/>
        <v>71</v>
      </c>
    </row>
    <row r="198" spans="1:22" hidden="1" x14ac:dyDescent="0.25">
      <c r="A198" s="30">
        <f t="shared" si="26"/>
        <v>-5.5</v>
      </c>
      <c r="B198" s="58">
        <f>INT((ROWS(B$11:B198)-1)/20)+40+0.05*MOD(ROWS(B$11:B198)-1,20)</f>
        <v>49.35</v>
      </c>
      <c r="C198" s="58" t="str">
        <f t="shared" si="27"/>
        <v/>
      </c>
      <c r="D198" s="58" t="str">
        <f t="shared" si="23"/>
        <v/>
      </c>
      <c r="E198" s="30">
        <f t="shared" si="24"/>
        <v>4.33997993412362E-8</v>
      </c>
      <c r="F198" s="30" t="str">
        <f t="shared" si="30"/>
        <v/>
      </c>
      <c r="G198" s="30" t="str">
        <f t="shared" si="30"/>
        <v/>
      </c>
      <c r="H198" s="30" t="str">
        <f t="shared" si="30"/>
        <v/>
      </c>
      <c r="I198" s="30" t="str">
        <f t="shared" si="25"/>
        <v/>
      </c>
      <c r="U198" s="26">
        <v>0</v>
      </c>
      <c r="V198" s="255">
        <f t="shared" ref="V198:V261" si="31">$F$1+U198*$F$2</f>
        <v>71</v>
      </c>
    </row>
    <row r="199" spans="1:22" hidden="1" x14ac:dyDescent="0.25">
      <c r="A199" s="30">
        <f t="shared" si="26"/>
        <v>-5.5</v>
      </c>
      <c r="B199" s="58">
        <f>INT((ROWS(B$11:B199)-1)/20)+40+0.05*MOD(ROWS(B$11:B199)-1,20)</f>
        <v>49.4</v>
      </c>
      <c r="C199" s="58" t="str">
        <f t="shared" si="27"/>
        <v/>
      </c>
      <c r="D199" s="58" t="str">
        <f t="shared" si="23"/>
        <v/>
      </c>
      <c r="E199" s="30">
        <f t="shared" si="24"/>
        <v>4.6434046113882242E-8</v>
      </c>
      <c r="F199" s="30" t="str">
        <f t="shared" si="30"/>
        <v/>
      </c>
      <c r="G199" s="30" t="str">
        <f t="shared" si="30"/>
        <v/>
      </c>
      <c r="H199" s="30" t="str">
        <f t="shared" si="30"/>
        <v/>
      </c>
      <c r="I199" s="30" t="str">
        <f t="shared" si="25"/>
        <v/>
      </c>
      <c r="U199" s="26">
        <v>0</v>
      </c>
      <c r="V199" s="255">
        <f t="shared" si="31"/>
        <v>71</v>
      </c>
    </row>
    <row r="200" spans="1:22" hidden="1" x14ac:dyDescent="0.25">
      <c r="A200" s="30">
        <f t="shared" si="26"/>
        <v>-5.5</v>
      </c>
      <c r="B200" s="58">
        <f>INT((ROWS(B$11:B200)-1)/20)+40+0.05*MOD(ROWS(B$11:B200)-1,20)</f>
        <v>49.45</v>
      </c>
      <c r="C200" s="58" t="str">
        <f t="shared" si="27"/>
        <v/>
      </c>
      <c r="D200" s="58" t="str">
        <f t="shared" si="23"/>
        <v/>
      </c>
      <c r="E200" s="30">
        <f t="shared" si="24"/>
        <v>4.9672666779510853E-8</v>
      </c>
      <c r="F200" s="30" t="str">
        <f t="shared" si="30"/>
        <v/>
      </c>
      <c r="G200" s="30" t="str">
        <f t="shared" si="30"/>
        <v/>
      </c>
      <c r="H200" s="30" t="str">
        <f t="shared" si="30"/>
        <v/>
      </c>
      <c r="I200" s="30" t="str">
        <f t="shared" si="25"/>
        <v/>
      </c>
      <c r="U200" s="26">
        <v>0</v>
      </c>
      <c r="V200" s="255">
        <f t="shared" si="31"/>
        <v>71</v>
      </c>
    </row>
    <row r="201" spans="1:22" hidden="1" x14ac:dyDescent="0.25">
      <c r="A201" s="30">
        <f t="shared" si="26"/>
        <v>-5.5</v>
      </c>
      <c r="B201" s="58">
        <f>INT((ROWS(B$11:B201)-1)/20)+40+0.05*MOD(ROWS(B$11:B201)-1,20)</f>
        <v>49.5</v>
      </c>
      <c r="C201" s="58" t="str">
        <f t="shared" si="27"/>
        <v/>
      </c>
      <c r="D201" s="58" t="str">
        <f t="shared" si="23"/>
        <v/>
      </c>
      <c r="E201" s="30">
        <f t="shared" si="24"/>
        <v>5.3128868457757201E-8</v>
      </c>
      <c r="F201" s="30" t="str">
        <f t="shared" si="30"/>
        <v/>
      </c>
      <c r="G201" s="30" t="str">
        <f t="shared" si="30"/>
        <v/>
      </c>
      <c r="H201" s="30" t="str">
        <f t="shared" si="30"/>
        <v/>
      </c>
      <c r="I201" s="30" t="str">
        <f t="shared" si="25"/>
        <v/>
      </c>
      <c r="U201" s="26">
        <v>0</v>
      </c>
      <c r="V201" s="255">
        <f t="shared" si="31"/>
        <v>71</v>
      </c>
    </row>
    <row r="202" spans="1:22" hidden="1" x14ac:dyDescent="0.25">
      <c r="A202" s="30">
        <f t="shared" si="26"/>
        <v>-5.5</v>
      </c>
      <c r="B202" s="58">
        <f>INT((ROWS(B$11:B202)-1)/20)+40+0.05*MOD(ROWS(B$11:B202)-1,20)</f>
        <v>49.55</v>
      </c>
      <c r="C202" s="58" t="str">
        <f t="shared" si="27"/>
        <v/>
      </c>
      <c r="D202" s="58" t="str">
        <f t="shared" si="23"/>
        <v/>
      </c>
      <c r="E202" s="30">
        <f t="shared" si="24"/>
        <v>5.6816672786165246E-8</v>
      </c>
      <c r="F202" s="30" t="str">
        <f t="shared" si="30"/>
        <v/>
      </c>
      <c r="G202" s="30" t="str">
        <f t="shared" si="30"/>
        <v/>
      </c>
      <c r="H202" s="30" t="str">
        <f t="shared" si="30"/>
        <v/>
      </c>
      <c r="I202" s="30" t="str">
        <f t="shared" si="25"/>
        <v/>
      </c>
      <c r="U202" s="26">
        <v>0</v>
      </c>
      <c r="V202" s="255">
        <f t="shared" si="31"/>
        <v>71</v>
      </c>
    </row>
    <row r="203" spans="1:22" hidden="1" x14ac:dyDescent="0.25">
      <c r="A203" s="30">
        <f t="shared" si="26"/>
        <v>-5.5</v>
      </c>
      <c r="B203" s="58">
        <f>INT((ROWS(B$11:B203)-1)/20)+40+0.05*MOD(ROWS(B$11:B203)-1,20)</f>
        <v>49.6</v>
      </c>
      <c r="C203" s="58" t="str">
        <f t="shared" si="27"/>
        <v/>
      </c>
      <c r="D203" s="58" t="str">
        <f t="shared" ref="D203:D266" si="32">IF(INT(B203)=B203,B203,"")</f>
        <v/>
      </c>
      <c r="E203" s="30">
        <f t="shared" ref="E203:E266" si="33">_xlfn.NORM.DIST(B203,$F$1,$F$2,0)</f>
        <v>6.0750963527013375E-8</v>
      </c>
      <c r="F203" s="30" t="str">
        <f t="shared" si="30"/>
        <v/>
      </c>
      <c r="G203" s="30" t="str">
        <f t="shared" si="30"/>
        <v/>
      </c>
      <c r="H203" s="30" t="str">
        <f t="shared" si="30"/>
        <v/>
      </c>
      <c r="I203" s="30" t="str">
        <f t="shared" ref="I203:I266" si="34">IF(AND(B203&gt;=$F$1-0.2,B203&lt;=$F$1+0.2),E203,"")</f>
        <v/>
      </c>
      <c r="U203" s="26">
        <v>0</v>
      </c>
      <c r="V203" s="255">
        <f t="shared" si="31"/>
        <v>71</v>
      </c>
    </row>
    <row r="204" spans="1:22" hidden="1" x14ac:dyDescent="0.25">
      <c r="A204" s="30">
        <f t="shared" ref="A204:A267" si="35">(INT(B204)-$F$1)/$F$2</f>
        <v>-5.5</v>
      </c>
      <c r="B204" s="58">
        <f>INT((ROWS(B$11:B204)-1)/20)+40+0.05*MOD(ROWS(B$11:B204)-1,20)</f>
        <v>49.65</v>
      </c>
      <c r="C204" s="58" t="str">
        <f t="shared" ref="C204:C267" si="36">IF(AND(A204&lt;&gt;A203,INT(A204)=A204),A204,"")</f>
        <v/>
      </c>
      <c r="D204" s="58" t="str">
        <f t="shared" si="32"/>
        <v/>
      </c>
      <c r="E204" s="30">
        <f t="shared" si="33"/>
        <v>6.4947536785824789E-8</v>
      </c>
      <c r="F204" s="30" t="str">
        <f t="shared" si="30"/>
        <v/>
      </c>
      <c r="G204" s="30" t="str">
        <f t="shared" si="30"/>
        <v/>
      </c>
      <c r="H204" s="30" t="str">
        <f t="shared" si="30"/>
        <v/>
      </c>
      <c r="I204" s="30" t="str">
        <f t="shared" si="34"/>
        <v/>
      </c>
      <c r="U204" s="26">
        <v>0</v>
      </c>
      <c r="V204" s="255">
        <f t="shared" si="31"/>
        <v>71</v>
      </c>
    </row>
    <row r="205" spans="1:22" hidden="1" x14ac:dyDescent="0.25">
      <c r="A205" s="30">
        <f t="shared" si="35"/>
        <v>-5.5</v>
      </c>
      <c r="B205" s="58">
        <f>INT((ROWS(B$11:B205)-1)/20)+40+0.05*MOD(ROWS(B$11:B205)-1,20)</f>
        <v>49.7</v>
      </c>
      <c r="C205" s="58" t="str">
        <f t="shared" si="36"/>
        <v/>
      </c>
      <c r="D205" s="58" t="str">
        <f t="shared" si="32"/>
        <v/>
      </c>
      <c r="E205" s="30">
        <f t="shared" si="33"/>
        <v>6.9423153974151058E-8</v>
      </c>
      <c r="F205" s="30" t="str">
        <f t="shared" si="30"/>
        <v/>
      </c>
      <c r="G205" s="30" t="str">
        <f t="shared" si="30"/>
        <v/>
      </c>
      <c r="H205" s="30" t="str">
        <f t="shared" si="30"/>
        <v/>
      </c>
      <c r="I205" s="30" t="str">
        <f t="shared" si="34"/>
        <v/>
      </c>
      <c r="U205" s="26">
        <v>0</v>
      </c>
      <c r="V205" s="255">
        <f t="shared" si="31"/>
        <v>71</v>
      </c>
    </row>
    <row r="206" spans="1:22" hidden="1" x14ac:dyDescent="0.25">
      <c r="A206" s="30">
        <f t="shared" si="35"/>
        <v>-5.5</v>
      </c>
      <c r="B206" s="58">
        <f>INT((ROWS(B$11:B206)-1)/20)+40+0.05*MOD(ROWS(B$11:B206)-1,20)</f>
        <v>49.75</v>
      </c>
      <c r="C206" s="58" t="str">
        <f t="shared" si="36"/>
        <v/>
      </c>
      <c r="D206" s="58" t="str">
        <f t="shared" si="32"/>
        <v/>
      </c>
      <c r="E206" s="30">
        <f t="shared" si="33"/>
        <v>7.4195597655282137E-8</v>
      </c>
      <c r="F206" s="30" t="str">
        <f t="shared" si="30"/>
        <v/>
      </c>
      <c r="G206" s="30" t="str">
        <f t="shared" si="30"/>
        <v/>
      </c>
      <c r="H206" s="30" t="str">
        <f t="shared" si="30"/>
        <v/>
      </c>
      <c r="I206" s="30" t="str">
        <f t="shared" si="34"/>
        <v/>
      </c>
      <c r="U206" s="26">
        <v>0</v>
      </c>
      <c r="V206" s="255">
        <f t="shared" si="31"/>
        <v>71</v>
      </c>
    </row>
    <row r="207" spans="1:22" hidden="1" x14ac:dyDescent="0.25">
      <c r="A207" s="30">
        <f t="shared" si="35"/>
        <v>-5.5</v>
      </c>
      <c r="B207" s="58">
        <f>INT((ROWS(B$11:B207)-1)/20)+40+0.05*MOD(ROWS(B$11:B207)-1,20)</f>
        <v>49.8</v>
      </c>
      <c r="C207" s="58" t="str">
        <f t="shared" si="36"/>
        <v/>
      </c>
      <c r="D207" s="58" t="str">
        <f t="shared" si="32"/>
        <v/>
      </c>
      <c r="E207" s="30">
        <f t="shared" si="33"/>
        <v>7.9283730417899107E-8</v>
      </c>
      <c r="F207" s="30" t="str">
        <f t="shared" si="30"/>
        <v/>
      </c>
      <c r="G207" s="30" t="str">
        <f t="shared" si="30"/>
        <v/>
      </c>
      <c r="H207" s="30" t="str">
        <f t="shared" si="30"/>
        <v/>
      </c>
      <c r="I207" s="30" t="str">
        <f t="shared" si="34"/>
        <v/>
      </c>
      <c r="U207" s="26">
        <v>0</v>
      </c>
      <c r="V207" s="255">
        <f t="shared" si="31"/>
        <v>71</v>
      </c>
    </row>
    <row r="208" spans="1:22" hidden="1" x14ac:dyDescent="0.25">
      <c r="A208" s="30">
        <f t="shared" si="35"/>
        <v>-5.5</v>
      </c>
      <c r="B208" s="58">
        <f>INT((ROWS(B$11:B208)-1)/20)+40+0.05*MOD(ROWS(B$11:B208)-1,20)</f>
        <v>49.85</v>
      </c>
      <c r="C208" s="58" t="str">
        <f t="shared" si="36"/>
        <v/>
      </c>
      <c r="D208" s="58" t="str">
        <f t="shared" si="32"/>
        <v/>
      </c>
      <c r="E208" s="30">
        <f t="shared" si="33"/>
        <v>8.4707556929231695E-8</v>
      </c>
      <c r="F208" s="30" t="str">
        <f t="shared" si="30"/>
        <v/>
      </c>
      <c r="G208" s="30" t="str">
        <f t="shared" si="30"/>
        <v/>
      </c>
      <c r="H208" s="30" t="str">
        <f t="shared" si="30"/>
        <v/>
      </c>
      <c r="I208" s="30" t="str">
        <f t="shared" si="34"/>
        <v/>
      </c>
      <c r="U208" s="26">
        <v>0</v>
      </c>
      <c r="V208" s="255">
        <f t="shared" si="31"/>
        <v>71</v>
      </c>
    </row>
    <row r="209" spans="1:22" hidden="1" x14ac:dyDescent="0.25">
      <c r="A209" s="30">
        <f t="shared" si="35"/>
        <v>-5.5</v>
      </c>
      <c r="B209" s="58">
        <f>INT((ROWS(B$11:B209)-1)/20)+40+0.05*MOD(ROWS(B$11:B209)-1,20)</f>
        <v>49.9</v>
      </c>
      <c r="C209" s="58" t="str">
        <f t="shared" si="36"/>
        <v/>
      </c>
      <c r="D209" s="58" t="str">
        <f t="shared" si="32"/>
        <v/>
      </c>
      <c r="E209" s="30">
        <f t="shared" si="33"/>
        <v>9.0488289326139222E-8</v>
      </c>
      <c r="F209" s="30" t="str">
        <f t="shared" si="30"/>
        <v/>
      </c>
      <c r="G209" s="30" t="str">
        <f t="shared" si="30"/>
        <v/>
      </c>
      <c r="H209" s="30" t="str">
        <f t="shared" si="30"/>
        <v/>
      </c>
      <c r="I209" s="30" t="str">
        <f t="shared" si="34"/>
        <v/>
      </c>
      <c r="U209" s="26">
        <v>0</v>
      </c>
      <c r="V209" s="255">
        <f t="shared" si="31"/>
        <v>71</v>
      </c>
    </row>
    <row r="210" spans="1:22" hidden="1" x14ac:dyDescent="0.25">
      <c r="A210" s="30">
        <f t="shared" si="35"/>
        <v>-5.5</v>
      </c>
      <c r="B210" s="58">
        <f>INT((ROWS(B$11:B210)-1)/20)+40+0.05*MOD(ROWS(B$11:B210)-1,20)</f>
        <v>49.95</v>
      </c>
      <c r="C210" s="58" t="str">
        <f t="shared" si="36"/>
        <v/>
      </c>
      <c r="D210" s="58" t="str">
        <f t="shared" si="32"/>
        <v/>
      </c>
      <c r="E210" s="30">
        <f t="shared" si="33"/>
        <v>9.6648416109638376E-8</v>
      </c>
      <c r="F210" s="30" t="str">
        <f t="shared" si="30"/>
        <v/>
      </c>
      <c r="G210" s="30" t="str">
        <f t="shared" si="30"/>
        <v/>
      </c>
      <c r="H210" s="30" t="str">
        <f t="shared" si="30"/>
        <v/>
      </c>
      <c r="I210" s="30" t="str">
        <f t="shared" si="34"/>
        <v/>
      </c>
      <c r="U210" s="26">
        <v>0</v>
      </c>
      <c r="V210" s="255">
        <f t="shared" si="31"/>
        <v>71</v>
      </c>
    </row>
    <row r="211" spans="1:22" hidden="1" x14ac:dyDescent="0.25">
      <c r="A211" s="30">
        <f t="shared" si="35"/>
        <v>-5.25</v>
      </c>
      <c r="B211" s="58">
        <f>INT((ROWS(B$11:B211)-1)/20)+40+0.05*MOD(ROWS(B$11:B211)-1,20)</f>
        <v>50</v>
      </c>
      <c r="C211" s="58" t="str">
        <f t="shared" si="36"/>
        <v/>
      </c>
      <c r="D211" s="58">
        <f t="shared" si="32"/>
        <v>50</v>
      </c>
      <c r="E211" s="30">
        <f t="shared" si="33"/>
        <v>1.0321177471574996E-7</v>
      </c>
      <c r="F211" s="30" t="str">
        <f t="shared" ref="F211:H230" si="37">IF(AND($B211&gt;=F$7,$B211&lt;=F$8),E211,"")</f>
        <v/>
      </c>
      <c r="G211" s="30" t="str">
        <f t="shared" si="37"/>
        <v/>
      </c>
      <c r="H211" s="30" t="str">
        <f t="shared" si="37"/>
        <v/>
      </c>
      <c r="I211" s="30" t="str">
        <f t="shared" si="34"/>
        <v/>
      </c>
      <c r="U211" s="26">
        <v>0</v>
      </c>
      <c r="V211" s="255">
        <f t="shared" si="31"/>
        <v>71</v>
      </c>
    </row>
    <row r="212" spans="1:22" hidden="1" x14ac:dyDescent="0.25">
      <c r="A212" s="30">
        <f t="shared" si="35"/>
        <v>-5.25</v>
      </c>
      <c r="B212" s="58">
        <f>INT((ROWS(B$11:B212)-1)/20)+40+0.05*MOD(ROWS(B$11:B212)-1,20)</f>
        <v>50.05</v>
      </c>
      <c r="C212" s="58" t="str">
        <f t="shared" si="36"/>
        <v/>
      </c>
      <c r="D212" s="58" t="str">
        <f t="shared" si="32"/>
        <v/>
      </c>
      <c r="E212" s="30">
        <f t="shared" si="33"/>
        <v>1.1020362794323108E-7</v>
      </c>
      <c r="F212" s="30" t="str">
        <f t="shared" si="37"/>
        <v/>
      </c>
      <c r="G212" s="30" t="str">
        <f t="shared" si="37"/>
        <v/>
      </c>
      <c r="H212" s="30" t="str">
        <f t="shared" si="37"/>
        <v/>
      </c>
      <c r="I212" s="30" t="str">
        <f t="shared" si="34"/>
        <v/>
      </c>
      <c r="U212" s="26">
        <v>0</v>
      </c>
      <c r="V212" s="255">
        <f t="shared" si="31"/>
        <v>71</v>
      </c>
    </row>
    <row r="213" spans="1:22" hidden="1" x14ac:dyDescent="0.25">
      <c r="A213" s="30">
        <f t="shared" si="35"/>
        <v>-5.25</v>
      </c>
      <c r="B213" s="58">
        <f>INT((ROWS(B$11:B213)-1)/20)+40+0.05*MOD(ROWS(B$11:B213)-1,20)</f>
        <v>50.1</v>
      </c>
      <c r="C213" s="58" t="str">
        <f t="shared" si="36"/>
        <v/>
      </c>
      <c r="D213" s="58" t="str">
        <f t="shared" si="32"/>
        <v/>
      </c>
      <c r="E213" s="30">
        <f t="shared" si="33"/>
        <v>1.176507444266686E-7</v>
      </c>
      <c r="F213" s="30" t="str">
        <f t="shared" si="37"/>
        <v/>
      </c>
      <c r="G213" s="30" t="str">
        <f t="shared" si="37"/>
        <v/>
      </c>
      <c r="H213" s="30" t="str">
        <f t="shared" si="37"/>
        <v/>
      </c>
      <c r="I213" s="30" t="str">
        <f t="shared" si="34"/>
        <v/>
      </c>
      <c r="U213" s="26">
        <v>0</v>
      </c>
      <c r="V213" s="255">
        <f t="shared" si="31"/>
        <v>71</v>
      </c>
    </row>
    <row r="214" spans="1:22" hidden="1" x14ac:dyDescent="0.25">
      <c r="A214" s="30">
        <f t="shared" si="35"/>
        <v>-5.25</v>
      </c>
      <c r="B214" s="58">
        <f>INT((ROWS(B$11:B214)-1)/20)+40+0.05*MOD(ROWS(B$11:B214)-1,20)</f>
        <v>50.15</v>
      </c>
      <c r="C214" s="58" t="str">
        <f t="shared" si="36"/>
        <v/>
      </c>
      <c r="D214" s="58" t="str">
        <f t="shared" si="32"/>
        <v/>
      </c>
      <c r="E214" s="30">
        <f t="shared" si="33"/>
        <v>1.2558148335166865E-7</v>
      </c>
      <c r="F214" s="30" t="str">
        <f t="shared" si="37"/>
        <v/>
      </c>
      <c r="G214" s="30" t="str">
        <f t="shared" si="37"/>
        <v/>
      </c>
      <c r="H214" s="30" t="str">
        <f t="shared" si="37"/>
        <v/>
      </c>
      <c r="I214" s="30" t="str">
        <f t="shared" si="34"/>
        <v/>
      </c>
      <c r="U214" s="26">
        <v>0</v>
      </c>
      <c r="V214" s="255">
        <f t="shared" si="31"/>
        <v>71</v>
      </c>
    </row>
    <row r="215" spans="1:22" hidden="1" x14ac:dyDescent="0.25">
      <c r="A215" s="30">
        <f t="shared" si="35"/>
        <v>-5.25</v>
      </c>
      <c r="B215" s="58">
        <f>INT((ROWS(B$11:B215)-1)/20)+40+0.05*MOD(ROWS(B$11:B215)-1,20)</f>
        <v>50.2</v>
      </c>
      <c r="C215" s="58" t="str">
        <f t="shared" si="36"/>
        <v/>
      </c>
      <c r="D215" s="58" t="str">
        <f t="shared" si="32"/>
        <v/>
      </c>
      <c r="E215" s="30">
        <f t="shared" si="33"/>
        <v>1.3402588361744105E-7</v>
      </c>
      <c r="F215" s="30" t="str">
        <f t="shared" si="37"/>
        <v/>
      </c>
      <c r="G215" s="30" t="str">
        <f t="shared" si="37"/>
        <v/>
      </c>
      <c r="H215" s="30" t="str">
        <f t="shared" si="37"/>
        <v/>
      </c>
      <c r="I215" s="30" t="str">
        <f t="shared" si="34"/>
        <v/>
      </c>
      <c r="U215" s="26">
        <v>0</v>
      </c>
      <c r="V215" s="255">
        <f t="shared" si="31"/>
        <v>71</v>
      </c>
    </row>
    <row r="216" spans="1:22" hidden="1" x14ac:dyDescent="0.25">
      <c r="A216" s="30">
        <f t="shared" si="35"/>
        <v>-5.25</v>
      </c>
      <c r="B216" s="58">
        <f>INT((ROWS(B$11:B216)-1)/20)+40+0.05*MOD(ROWS(B$11:B216)-1,20)</f>
        <v>50.25</v>
      </c>
      <c r="C216" s="58" t="str">
        <f t="shared" si="36"/>
        <v/>
      </c>
      <c r="D216" s="58" t="str">
        <f t="shared" si="32"/>
        <v/>
      </c>
      <c r="E216" s="30">
        <f t="shared" si="33"/>
        <v>1.430157576608891E-7</v>
      </c>
      <c r="F216" s="30" t="str">
        <f t="shared" si="37"/>
        <v/>
      </c>
      <c r="G216" s="30" t="str">
        <f t="shared" si="37"/>
        <v/>
      </c>
      <c r="H216" s="30" t="str">
        <f t="shared" si="37"/>
        <v/>
      </c>
      <c r="I216" s="30" t="str">
        <f t="shared" si="34"/>
        <v/>
      </c>
      <c r="U216" s="26">
        <v>0</v>
      </c>
      <c r="V216" s="255">
        <f t="shared" si="31"/>
        <v>71</v>
      </c>
    </row>
    <row r="217" spans="1:22" hidden="1" x14ac:dyDescent="0.25">
      <c r="A217" s="30">
        <f t="shared" si="35"/>
        <v>-5.25</v>
      </c>
      <c r="B217" s="58">
        <f>INT((ROWS(B$11:B217)-1)/20)+40+0.05*MOD(ROWS(B$11:B217)-1,20)</f>
        <v>50.3</v>
      </c>
      <c r="C217" s="58" t="str">
        <f t="shared" si="36"/>
        <v/>
      </c>
      <c r="D217" s="58" t="str">
        <f t="shared" si="32"/>
        <v/>
      </c>
      <c r="E217" s="30">
        <f t="shared" si="33"/>
        <v>1.5258479016557103E-7</v>
      </c>
      <c r="F217" s="30" t="str">
        <f t="shared" si="37"/>
        <v/>
      </c>
      <c r="G217" s="30" t="str">
        <f t="shared" si="37"/>
        <v/>
      </c>
      <c r="H217" s="30" t="str">
        <f t="shared" si="37"/>
        <v/>
      </c>
      <c r="I217" s="30" t="str">
        <f t="shared" si="34"/>
        <v/>
      </c>
      <c r="U217" s="26">
        <v>0</v>
      </c>
      <c r="V217" s="255">
        <f t="shared" si="31"/>
        <v>71</v>
      </c>
    </row>
    <row r="218" spans="1:22" hidden="1" x14ac:dyDescent="0.25">
      <c r="A218" s="30">
        <f t="shared" si="35"/>
        <v>-5.25</v>
      </c>
      <c r="B218" s="58">
        <f>INT((ROWS(B$11:B218)-1)/20)+40+0.05*MOD(ROWS(B$11:B218)-1,20)</f>
        <v>50.35</v>
      </c>
      <c r="C218" s="58" t="str">
        <f t="shared" si="36"/>
        <v/>
      </c>
      <c r="D218" s="58" t="str">
        <f t="shared" si="32"/>
        <v/>
      </c>
      <c r="E218" s="30">
        <f t="shared" si="33"/>
        <v>1.6276864188834175E-7</v>
      </c>
      <c r="F218" s="30" t="str">
        <f t="shared" si="37"/>
        <v/>
      </c>
      <c r="G218" s="30" t="str">
        <f t="shared" si="37"/>
        <v/>
      </c>
      <c r="H218" s="30" t="str">
        <f t="shared" si="37"/>
        <v/>
      </c>
      <c r="I218" s="30" t="str">
        <f t="shared" si="34"/>
        <v/>
      </c>
      <c r="U218" s="26">
        <v>0</v>
      </c>
      <c r="V218" s="255">
        <f t="shared" si="31"/>
        <v>71</v>
      </c>
    </row>
    <row r="219" spans="1:22" hidden="1" x14ac:dyDescent="0.25">
      <c r="A219" s="30">
        <f t="shared" si="35"/>
        <v>-5.25</v>
      </c>
      <c r="B219" s="58">
        <f>INT((ROWS(B$11:B219)-1)/20)+40+0.05*MOD(ROWS(B$11:B219)-1,20)</f>
        <v>50.4</v>
      </c>
      <c r="C219" s="58" t="str">
        <f t="shared" si="36"/>
        <v/>
      </c>
      <c r="D219" s="58" t="str">
        <f t="shared" si="32"/>
        <v/>
      </c>
      <c r="E219" s="30">
        <f t="shared" si="33"/>
        <v>1.7360505884638348E-7</v>
      </c>
      <c r="F219" s="30" t="str">
        <f t="shared" si="37"/>
        <v/>
      </c>
      <c r="G219" s="30" t="str">
        <f t="shared" si="37"/>
        <v/>
      </c>
      <c r="H219" s="30" t="str">
        <f t="shared" si="37"/>
        <v/>
      </c>
      <c r="I219" s="30" t="str">
        <f t="shared" si="34"/>
        <v/>
      </c>
      <c r="U219" s="26">
        <v>0</v>
      </c>
      <c r="V219" s="255">
        <f t="shared" si="31"/>
        <v>71</v>
      </c>
    </row>
    <row r="220" spans="1:22" hidden="1" x14ac:dyDescent="0.25">
      <c r="A220" s="30">
        <f t="shared" si="35"/>
        <v>-5.25</v>
      </c>
      <c r="B220" s="58">
        <f>INT((ROWS(B$11:B220)-1)/20)+40+0.05*MOD(ROWS(B$11:B220)-1,20)</f>
        <v>50.45</v>
      </c>
      <c r="C220" s="58" t="str">
        <f t="shared" si="36"/>
        <v/>
      </c>
      <c r="D220" s="58" t="str">
        <f t="shared" si="32"/>
        <v/>
      </c>
      <c r="E220" s="30">
        <f t="shared" si="33"/>
        <v>1.8513398711753675E-7</v>
      </c>
      <c r="F220" s="30" t="str">
        <f t="shared" si="37"/>
        <v/>
      </c>
      <c r="G220" s="30" t="str">
        <f t="shared" si="37"/>
        <v/>
      </c>
      <c r="H220" s="30" t="str">
        <f t="shared" si="37"/>
        <v/>
      </c>
      <c r="I220" s="30" t="str">
        <f t="shared" si="34"/>
        <v/>
      </c>
      <c r="U220" s="26">
        <v>0</v>
      </c>
      <c r="V220" s="255">
        <f t="shared" si="31"/>
        <v>71</v>
      </c>
    </row>
    <row r="221" spans="1:22" hidden="1" x14ac:dyDescent="0.25">
      <c r="A221" s="30">
        <f t="shared" si="35"/>
        <v>-5.25</v>
      </c>
      <c r="B221" s="58">
        <f>INT((ROWS(B$11:B221)-1)/20)+40+0.05*MOD(ROWS(B$11:B221)-1,20)</f>
        <v>50.5</v>
      </c>
      <c r="C221" s="58" t="str">
        <f t="shared" si="36"/>
        <v/>
      </c>
      <c r="D221" s="58" t="str">
        <f t="shared" si="32"/>
        <v/>
      </c>
      <c r="E221" s="30">
        <f t="shared" si="33"/>
        <v>1.9739769351734986E-7</v>
      </c>
      <c r="F221" s="30" t="str">
        <f t="shared" si="37"/>
        <v/>
      </c>
      <c r="G221" s="30" t="str">
        <f t="shared" si="37"/>
        <v/>
      </c>
      <c r="H221" s="30" t="str">
        <f t="shared" si="37"/>
        <v/>
      </c>
      <c r="I221" s="30" t="str">
        <f t="shared" si="34"/>
        <v/>
      </c>
      <c r="U221" s="26">
        <v>0</v>
      </c>
      <c r="V221" s="255">
        <f t="shared" si="31"/>
        <v>71</v>
      </c>
    </row>
    <row r="222" spans="1:22" hidden="1" x14ac:dyDescent="0.25">
      <c r="A222" s="30">
        <f t="shared" si="35"/>
        <v>-5.25</v>
      </c>
      <c r="B222" s="58">
        <f>INT((ROWS(B$11:B222)-1)/20)+40+0.05*MOD(ROWS(B$11:B222)-1,20)</f>
        <v>50.55</v>
      </c>
      <c r="C222" s="58" t="str">
        <f t="shared" si="36"/>
        <v/>
      </c>
      <c r="D222" s="58" t="str">
        <f t="shared" si="32"/>
        <v/>
      </c>
      <c r="E222" s="30">
        <f t="shared" si="33"/>
        <v>2.104408924272664E-7</v>
      </c>
      <c r="F222" s="30" t="str">
        <f t="shared" si="37"/>
        <v/>
      </c>
      <c r="G222" s="30" t="str">
        <f t="shared" si="37"/>
        <v/>
      </c>
      <c r="H222" s="30" t="str">
        <f t="shared" si="37"/>
        <v/>
      </c>
      <c r="I222" s="30" t="str">
        <f t="shared" si="34"/>
        <v/>
      </c>
      <c r="U222" s="26">
        <v>0</v>
      </c>
      <c r="V222" s="255">
        <f t="shared" si="31"/>
        <v>71</v>
      </c>
    </row>
    <row r="223" spans="1:22" hidden="1" x14ac:dyDescent="0.25">
      <c r="A223" s="30">
        <f t="shared" si="35"/>
        <v>-5.25</v>
      </c>
      <c r="B223" s="58">
        <f>INT((ROWS(B$11:B223)-1)/20)+40+0.05*MOD(ROWS(B$11:B223)-1,20)</f>
        <v>50.6</v>
      </c>
      <c r="C223" s="58" t="str">
        <f t="shared" si="36"/>
        <v/>
      </c>
      <c r="D223" s="58" t="str">
        <f t="shared" si="32"/>
        <v/>
      </c>
      <c r="E223" s="30">
        <f t="shared" si="33"/>
        <v>2.2431087905958343E-7</v>
      </c>
      <c r="F223" s="30" t="str">
        <f t="shared" si="37"/>
        <v/>
      </c>
      <c r="G223" s="30" t="str">
        <f t="shared" si="37"/>
        <v/>
      </c>
      <c r="H223" s="30" t="str">
        <f t="shared" si="37"/>
        <v/>
      </c>
      <c r="I223" s="30" t="str">
        <f t="shared" si="34"/>
        <v/>
      </c>
      <c r="U223" s="26">
        <v>0</v>
      </c>
      <c r="V223" s="255">
        <f t="shared" si="31"/>
        <v>71</v>
      </c>
    </row>
    <row r="224" spans="1:22" hidden="1" x14ac:dyDescent="0.25">
      <c r="A224" s="30">
        <f t="shared" si="35"/>
        <v>-5.25</v>
      </c>
      <c r="B224" s="58">
        <f>INT((ROWS(B$11:B224)-1)/20)+40+0.05*MOD(ROWS(B$11:B224)-1,20)</f>
        <v>50.65</v>
      </c>
      <c r="C224" s="58" t="str">
        <f t="shared" si="36"/>
        <v/>
      </c>
      <c r="D224" s="58" t="str">
        <f t="shared" si="32"/>
        <v/>
      </c>
      <c r="E224" s="30">
        <f t="shared" si="33"/>
        <v>2.39057669456541E-7</v>
      </c>
      <c r="F224" s="30" t="str">
        <f t="shared" si="37"/>
        <v/>
      </c>
      <c r="G224" s="30" t="str">
        <f t="shared" si="37"/>
        <v/>
      </c>
      <c r="H224" s="30" t="str">
        <f t="shared" si="37"/>
        <v/>
      </c>
      <c r="I224" s="30" t="str">
        <f t="shared" si="34"/>
        <v/>
      </c>
      <c r="U224" s="26">
        <v>0</v>
      </c>
      <c r="V224" s="255">
        <f t="shared" si="31"/>
        <v>71</v>
      </c>
    </row>
    <row r="225" spans="1:22" hidden="1" x14ac:dyDescent="0.25">
      <c r="A225" s="30">
        <f t="shared" si="35"/>
        <v>-5.25</v>
      </c>
      <c r="B225" s="58">
        <f>INT((ROWS(B$11:B225)-1)/20)+40+0.05*MOD(ROWS(B$11:B225)-1,20)</f>
        <v>50.7</v>
      </c>
      <c r="C225" s="58" t="str">
        <f t="shared" si="36"/>
        <v/>
      </c>
      <c r="D225" s="58" t="str">
        <f t="shared" si="32"/>
        <v/>
      </c>
      <c r="E225" s="30">
        <f t="shared" si="33"/>
        <v>2.5473414753297035E-7</v>
      </c>
      <c r="F225" s="30" t="str">
        <f t="shared" si="37"/>
        <v/>
      </c>
      <c r="G225" s="30" t="str">
        <f t="shared" si="37"/>
        <v/>
      </c>
      <c r="H225" s="30" t="str">
        <f t="shared" si="37"/>
        <v/>
      </c>
      <c r="I225" s="30" t="str">
        <f t="shared" si="34"/>
        <v/>
      </c>
      <c r="U225" s="26">
        <v>0</v>
      </c>
      <c r="V225" s="255">
        <f t="shared" si="31"/>
        <v>71</v>
      </c>
    </row>
    <row r="226" spans="1:22" hidden="1" x14ac:dyDescent="0.25">
      <c r="A226" s="30">
        <f t="shared" si="35"/>
        <v>-5.25</v>
      </c>
      <c r="B226" s="58">
        <f>INT((ROWS(B$11:B226)-1)/20)+40+0.05*MOD(ROWS(B$11:B226)-1,20)</f>
        <v>50.75</v>
      </c>
      <c r="C226" s="58" t="str">
        <f t="shared" si="36"/>
        <v/>
      </c>
      <c r="D226" s="58" t="str">
        <f t="shared" si="32"/>
        <v/>
      </c>
      <c r="E226" s="30">
        <f t="shared" si="33"/>
        <v>2.713962194843318E-7</v>
      </c>
      <c r="F226" s="30" t="str">
        <f t="shared" si="37"/>
        <v/>
      </c>
      <c r="G226" s="30" t="str">
        <f t="shared" si="37"/>
        <v/>
      </c>
      <c r="H226" s="30" t="str">
        <f t="shared" si="37"/>
        <v/>
      </c>
      <c r="I226" s="30" t="str">
        <f t="shared" si="34"/>
        <v/>
      </c>
      <c r="U226" s="26">
        <v>0</v>
      </c>
      <c r="V226" s="255">
        <f t="shared" si="31"/>
        <v>71</v>
      </c>
    </row>
    <row r="227" spans="1:22" hidden="1" x14ac:dyDescent="0.25">
      <c r="A227" s="30">
        <f t="shared" si="35"/>
        <v>-5.25</v>
      </c>
      <c r="B227" s="58">
        <f>INT((ROWS(B$11:B227)-1)/20)+40+0.05*MOD(ROWS(B$11:B227)-1,20)</f>
        <v>50.8</v>
      </c>
      <c r="C227" s="58" t="str">
        <f t="shared" si="36"/>
        <v/>
      </c>
      <c r="D227" s="58" t="str">
        <f t="shared" si="32"/>
        <v/>
      </c>
      <c r="E227" s="30">
        <f t="shared" si="33"/>
        <v>2.8910297589494426E-7</v>
      </c>
      <c r="F227" s="30" t="str">
        <f t="shared" si="37"/>
        <v/>
      </c>
      <c r="G227" s="30" t="str">
        <f t="shared" si="37"/>
        <v/>
      </c>
      <c r="H227" s="30" t="str">
        <f t="shared" si="37"/>
        <v/>
      </c>
      <c r="I227" s="30" t="str">
        <f t="shared" si="34"/>
        <v/>
      </c>
      <c r="U227" s="26">
        <v>0</v>
      </c>
      <c r="V227" s="255">
        <f t="shared" si="31"/>
        <v>71</v>
      </c>
    </row>
    <row r="228" spans="1:22" hidden="1" x14ac:dyDescent="0.25">
      <c r="A228" s="30">
        <f t="shared" si="35"/>
        <v>-5.25</v>
      </c>
      <c r="B228" s="58">
        <f>INT((ROWS(B$11:B228)-1)/20)+40+0.05*MOD(ROWS(B$11:B228)-1,20)</f>
        <v>50.85</v>
      </c>
      <c r="C228" s="58" t="str">
        <f t="shared" si="36"/>
        <v/>
      </c>
      <c r="D228" s="58" t="str">
        <f t="shared" si="32"/>
        <v/>
      </c>
      <c r="E228" s="30">
        <f t="shared" si="33"/>
        <v>3.0791686189437787E-7</v>
      </c>
      <c r="F228" s="30" t="str">
        <f t="shared" si="37"/>
        <v/>
      </c>
      <c r="G228" s="30" t="str">
        <f t="shared" si="37"/>
        <v/>
      </c>
      <c r="H228" s="30" t="str">
        <f t="shared" si="37"/>
        <v/>
      </c>
      <c r="I228" s="30" t="str">
        <f t="shared" si="34"/>
        <v/>
      </c>
      <c r="U228" s="26">
        <v>0</v>
      </c>
      <c r="V228" s="255">
        <f t="shared" si="31"/>
        <v>71</v>
      </c>
    </row>
    <row r="229" spans="1:22" hidden="1" x14ac:dyDescent="0.25">
      <c r="A229" s="30">
        <f t="shared" si="35"/>
        <v>-5.25</v>
      </c>
      <c r="B229" s="58">
        <f>INT((ROWS(B$11:B229)-1)/20)+40+0.05*MOD(ROWS(B$11:B229)-1,20)</f>
        <v>50.9</v>
      </c>
      <c r="C229" s="58" t="str">
        <f t="shared" si="36"/>
        <v/>
      </c>
      <c r="D229" s="58" t="str">
        <f t="shared" si="32"/>
        <v/>
      </c>
      <c r="E229" s="30">
        <f t="shared" si="33"/>
        <v>3.2790385572376009E-7</v>
      </c>
      <c r="F229" s="30" t="str">
        <f t="shared" si="37"/>
        <v/>
      </c>
      <c r="G229" s="30" t="str">
        <f t="shared" si="37"/>
        <v/>
      </c>
      <c r="H229" s="30" t="str">
        <f t="shared" si="37"/>
        <v/>
      </c>
      <c r="I229" s="30" t="str">
        <f t="shared" si="34"/>
        <v/>
      </c>
      <c r="U229" s="26">
        <v>0</v>
      </c>
      <c r="V229" s="255">
        <f t="shared" si="31"/>
        <v>71</v>
      </c>
    </row>
    <row r="230" spans="1:22" hidden="1" x14ac:dyDescent="0.25">
      <c r="A230" s="30">
        <f t="shared" si="35"/>
        <v>-5.25</v>
      </c>
      <c r="B230" s="58">
        <f>INT((ROWS(B$11:B230)-1)/20)+40+0.05*MOD(ROWS(B$11:B230)-1,20)</f>
        <v>50.95</v>
      </c>
      <c r="C230" s="58" t="str">
        <f t="shared" si="36"/>
        <v/>
      </c>
      <c r="D230" s="58" t="str">
        <f t="shared" si="32"/>
        <v/>
      </c>
      <c r="E230" s="30">
        <f t="shared" si="33"/>
        <v>3.4913365608789807E-7</v>
      </c>
      <c r="F230" s="30" t="str">
        <f t="shared" si="37"/>
        <v/>
      </c>
      <c r="G230" s="30" t="str">
        <f t="shared" si="37"/>
        <v/>
      </c>
      <c r="H230" s="30" t="str">
        <f t="shared" si="37"/>
        <v/>
      </c>
      <c r="I230" s="30" t="str">
        <f t="shared" si="34"/>
        <v/>
      </c>
      <c r="U230" s="26">
        <v>0</v>
      </c>
      <c r="V230" s="255">
        <f t="shared" si="31"/>
        <v>71</v>
      </c>
    </row>
    <row r="231" spans="1:22" hidden="1" x14ac:dyDescent="0.25">
      <c r="A231" s="30">
        <f t="shared" si="35"/>
        <v>-5</v>
      </c>
      <c r="B231" s="58">
        <f>INT((ROWS(B$11:B231)-1)/20)+40+0.05*MOD(ROWS(B$11:B231)-1,20)</f>
        <v>51</v>
      </c>
      <c r="C231" s="58">
        <f t="shared" si="36"/>
        <v>-5</v>
      </c>
      <c r="D231" s="58">
        <f t="shared" si="32"/>
        <v>51</v>
      </c>
      <c r="E231" s="30">
        <f t="shared" si="33"/>
        <v>3.7167987868357442E-7</v>
      </c>
      <c r="F231" s="30" t="str">
        <f t="shared" ref="F231:H250" si="38">IF(AND($B231&gt;=F$7,$B231&lt;=F$8),E231,"")</f>
        <v/>
      </c>
      <c r="G231" s="30" t="str">
        <f t="shared" si="38"/>
        <v/>
      </c>
      <c r="H231" s="30" t="str">
        <f t="shared" si="38"/>
        <v/>
      </c>
      <c r="I231" s="30" t="str">
        <f t="shared" si="34"/>
        <v/>
      </c>
      <c r="U231" s="26">
        <v>0</v>
      </c>
      <c r="V231" s="255">
        <f t="shared" si="31"/>
        <v>71</v>
      </c>
    </row>
    <row r="232" spans="1:22" hidden="1" x14ac:dyDescent="0.25">
      <c r="A232" s="30">
        <f t="shared" si="35"/>
        <v>-5</v>
      </c>
      <c r="B232" s="58">
        <f>INT((ROWS(B$11:B232)-1)/20)+40+0.05*MOD(ROWS(B$11:B232)-1,20)</f>
        <v>51.05</v>
      </c>
      <c r="C232" s="58" t="str">
        <f t="shared" si="36"/>
        <v/>
      </c>
      <c r="D232" s="58" t="str">
        <f t="shared" si="32"/>
        <v/>
      </c>
      <c r="E232" s="30">
        <f t="shared" si="33"/>
        <v>3.9562026230956422E-7</v>
      </c>
      <c r="F232" s="30" t="str">
        <f t="shared" si="38"/>
        <v/>
      </c>
      <c r="G232" s="30" t="str">
        <f t="shared" si="38"/>
        <v/>
      </c>
      <c r="H232" s="30" t="str">
        <f t="shared" si="38"/>
        <v/>
      </c>
      <c r="I232" s="30" t="str">
        <f t="shared" si="34"/>
        <v/>
      </c>
      <c r="U232" s="26">
        <v>0</v>
      </c>
      <c r="V232" s="255">
        <f t="shared" si="31"/>
        <v>71</v>
      </c>
    </row>
    <row r="233" spans="1:22" hidden="1" x14ac:dyDescent="0.25">
      <c r="A233" s="30">
        <f t="shared" si="35"/>
        <v>-5</v>
      </c>
      <c r="B233" s="58">
        <f>INT((ROWS(B$11:B233)-1)/20)+40+0.05*MOD(ROWS(B$11:B233)-1,20)</f>
        <v>51.1</v>
      </c>
      <c r="C233" s="58" t="str">
        <f t="shared" si="36"/>
        <v/>
      </c>
      <c r="D233" s="58" t="str">
        <f t="shared" si="32"/>
        <v/>
      </c>
      <c r="E233" s="30">
        <f t="shared" si="33"/>
        <v>4.2103688497921958E-7</v>
      </c>
      <c r="F233" s="30" t="str">
        <f t="shared" si="38"/>
        <v/>
      </c>
      <c r="G233" s="30" t="str">
        <f t="shared" si="38"/>
        <v/>
      </c>
      <c r="H233" s="30" t="str">
        <f t="shared" si="38"/>
        <v/>
      </c>
      <c r="I233" s="30" t="str">
        <f t="shared" si="34"/>
        <v/>
      </c>
      <c r="U233" s="26">
        <v>0</v>
      </c>
      <c r="V233" s="255">
        <f t="shared" si="31"/>
        <v>71</v>
      </c>
    </row>
    <row r="234" spans="1:22" hidden="1" x14ac:dyDescent="0.25">
      <c r="A234" s="30">
        <f t="shared" si="35"/>
        <v>-5</v>
      </c>
      <c r="B234" s="58">
        <f>INT((ROWS(B$11:B234)-1)/20)+40+0.05*MOD(ROWS(B$11:B234)-1,20)</f>
        <v>51.15</v>
      </c>
      <c r="C234" s="58" t="str">
        <f t="shared" si="36"/>
        <v/>
      </c>
      <c r="D234" s="58" t="str">
        <f t="shared" si="32"/>
        <v/>
      </c>
      <c r="E234" s="30">
        <f t="shared" si="33"/>
        <v>4.4801639047249657E-7</v>
      </c>
      <c r="F234" s="30" t="str">
        <f t="shared" si="38"/>
        <v/>
      </c>
      <c r="G234" s="30" t="str">
        <f t="shared" si="38"/>
        <v/>
      </c>
      <c r="H234" s="30" t="str">
        <f t="shared" si="38"/>
        <v/>
      </c>
      <c r="I234" s="30" t="str">
        <f t="shared" si="34"/>
        <v/>
      </c>
      <c r="U234" s="26">
        <v>0</v>
      </c>
      <c r="V234" s="255">
        <f t="shared" si="31"/>
        <v>71</v>
      </c>
    </row>
    <row r="235" spans="1:22" hidden="1" x14ac:dyDescent="0.25">
      <c r="A235" s="30">
        <f t="shared" si="35"/>
        <v>-5</v>
      </c>
      <c r="B235" s="58">
        <f>INT((ROWS(B$11:B235)-1)/20)+40+0.05*MOD(ROWS(B$11:B235)-1,20)</f>
        <v>51.2</v>
      </c>
      <c r="C235" s="58" t="str">
        <f t="shared" si="36"/>
        <v/>
      </c>
      <c r="D235" s="58" t="str">
        <f t="shared" si="32"/>
        <v/>
      </c>
      <c r="E235" s="30">
        <f t="shared" si="33"/>
        <v>4.7665022578070438E-7</v>
      </c>
      <c r="F235" s="30" t="str">
        <f t="shared" si="38"/>
        <v/>
      </c>
      <c r="G235" s="30" t="str">
        <f t="shared" si="38"/>
        <v/>
      </c>
      <c r="H235" s="30" t="str">
        <f t="shared" si="38"/>
        <v/>
      </c>
      <c r="I235" s="30" t="str">
        <f t="shared" si="34"/>
        <v/>
      </c>
      <c r="U235" s="26">
        <v>0</v>
      </c>
      <c r="V235" s="255">
        <f t="shared" si="31"/>
        <v>71</v>
      </c>
    </row>
    <row r="236" spans="1:22" hidden="1" x14ac:dyDescent="0.25">
      <c r="A236" s="30">
        <f t="shared" si="35"/>
        <v>-5</v>
      </c>
      <c r="B236" s="58">
        <f>INT((ROWS(B$11:B236)-1)/20)+40+0.05*MOD(ROWS(B$11:B236)-1,20)</f>
        <v>51.25</v>
      </c>
      <c r="C236" s="58" t="str">
        <f t="shared" si="36"/>
        <v/>
      </c>
      <c r="D236" s="58" t="str">
        <f t="shared" si="32"/>
        <v/>
      </c>
      <c r="E236" s="30">
        <f t="shared" si="33"/>
        <v>5.0703488991399102E-7</v>
      </c>
      <c r="F236" s="30" t="str">
        <f t="shared" si="38"/>
        <v/>
      </c>
      <c r="G236" s="30" t="str">
        <f t="shared" si="38"/>
        <v/>
      </c>
      <c r="H236" s="30" t="str">
        <f t="shared" si="38"/>
        <v/>
      </c>
      <c r="I236" s="30" t="str">
        <f t="shared" si="34"/>
        <v/>
      </c>
      <c r="U236" s="26">
        <v>0</v>
      </c>
      <c r="V236" s="255">
        <f t="shared" si="31"/>
        <v>71</v>
      </c>
    </row>
    <row r="237" spans="1:22" hidden="1" x14ac:dyDescent="0.25">
      <c r="A237" s="30">
        <f t="shared" si="35"/>
        <v>-5</v>
      </c>
      <c r="B237" s="58">
        <f>INT((ROWS(B$11:B237)-1)/20)+40+0.05*MOD(ROWS(B$11:B237)-1,20)</f>
        <v>51.3</v>
      </c>
      <c r="C237" s="58" t="str">
        <f t="shared" si="36"/>
        <v/>
      </c>
      <c r="D237" s="58" t="str">
        <f t="shared" si="32"/>
        <v/>
      </c>
      <c r="E237" s="30">
        <f t="shared" si="33"/>
        <v>5.3927219455910993E-7</v>
      </c>
      <c r="F237" s="30" t="str">
        <f t="shared" si="38"/>
        <v/>
      </c>
      <c r="G237" s="30" t="str">
        <f t="shared" si="38"/>
        <v/>
      </c>
      <c r="H237" s="30" t="str">
        <f t="shared" si="38"/>
        <v/>
      </c>
      <c r="I237" s="30" t="str">
        <f t="shared" si="34"/>
        <v/>
      </c>
      <c r="U237" s="26">
        <v>0</v>
      </c>
      <c r="V237" s="255">
        <f t="shared" si="31"/>
        <v>71</v>
      </c>
    </row>
    <row r="238" spans="1:22" hidden="1" x14ac:dyDescent="0.25">
      <c r="A238" s="30">
        <f t="shared" si="35"/>
        <v>-5</v>
      </c>
      <c r="B238" s="58">
        <f>INT((ROWS(B$11:B238)-1)/20)+40+0.05*MOD(ROWS(B$11:B238)-1,20)</f>
        <v>51.35</v>
      </c>
      <c r="C238" s="58" t="str">
        <f t="shared" si="36"/>
        <v/>
      </c>
      <c r="D238" s="58" t="str">
        <f t="shared" si="32"/>
        <v/>
      </c>
      <c r="E238" s="30">
        <f t="shared" si="33"/>
        <v>5.7346953709265124E-7</v>
      </c>
      <c r="F238" s="30" t="str">
        <f t="shared" si="38"/>
        <v/>
      </c>
      <c r="G238" s="30" t="str">
        <f t="shared" si="38"/>
        <v/>
      </c>
      <c r="H238" s="30" t="str">
        <f t="shared" si="38"/>
        <v/>
      </c>
      <c r="I238" s="30" t="str">
        <f t="shared" si="34"/>
        <v/>
      </c>
      <c r="U238" s="26">
        <v>0</v>
      </c>
      <c r="V238" s="255">
        <f t="shared" si="31"/>
        <v>71</v>
      </c>
    </row>
    <row r="239" spans="1:22" hidden="1" x14ac:dyDescent="0.25">
      <c r="A239" s="30">
        <f t="shared" si="35"/>
        <v>-5</v>
      </c>
      <c r="B239" s="58">
        <f>INT((ROWS(B$11:B239)-1)/20)+40+0.05*MOD(ROWS(B$11:B239)-1,20)</f>
        <v>51.4</v>
      </c>
      <c r="C239" s="58" t="str">
        <f t="shared" si="36"/>
        <v/>
      </c>
      <c r="D239" s="58" t="str">
        <f t="shared" si="32"/>
        <v/>
      </c>
      <c r="E239" s="30">
        <f t="shared" si="33"/>
        <v>6.0974018647333804E-7</v>
      </c>
      <c r="F239" s="30" t="str">
        <f t="shared" si="38"/>
        <v/>
      </c>
      <c r="G239" s="30" t="str">
        <f t="shared" si="38"/>
        <v/>
      </c>
      <c r="H239" s="30" t="str">
        <f t="shared" si="38"/>
        <v/>
      </c>
      <c r="I239" s="30" t="str">
        <f t="shared" si="34"/>
        <v/>
      </c>
      <c r="U239" s="26">
        <v>0</v>
      </c>
      <c r="V239" s="255">
        <f t="shared" si="31"/>
        <v>71</v>
      </c>
    </row>
    <row r="240" spans="1:22" hidden="1" x14ac:dyDescent="0.25">
      <c r="A240" s="30">
        <f t="shared" si="35"/>
        <v>-5</v>
      </c>
      <c r="B240" s="58">
        <f>INT((ROWS(B$11:B240)-1)/20)+40+0.05*MOD(ROWS(B$11:B240)-1,20)</f>
        <v>51.45</v>
      </c>
      <c r="C240" s="58" t="str">
        <f t="shared" si="36"/>
        <v/>
      </c>
      <c r="D240" s="58" t="str">
        <f t="shared" si="32"/>
        <v/>
      </c>
      <c r="E240" s="30">
        <f t="shared" si="33"/>
        <v>6.4820358255581748E-7</v>
      </c>
      <c r="F240" s="30" t="str">
        <f t="shared" si="38"/>
        <v/>
      </c>
      <c r="G240" s="30" t="str">
        <f t="shared" si="38"/>
        <v/>
      </c>
      <c r="H240" s="30" t="str">
        <f t="shared" si="38"/>
        <v/>
      </c>
      <c r="I240" s="30" t="str">
        <f t="shared" si="34"/>
        <v/>
      </c>
      <c r="U240" s="26">
        <v>0</v>
      </c>
      <c r="V240" s="255">
        <f t="shared" si="31"/>
        <v>71</v>
      </c>
    </row>
    <row r="241" spans="1:22" hidden="1" x14ac:dyDescent="0.25">
      <c r="A241" s="30">
        <f t="shared" si="35"/>
        <v>-5</v>
      </c>
      <c r="B241" s="58">
        <f>INT((ROWS(B$11:B241)-1)/20)+40+0.05*MOD(ROWS(B$11:B241)-1,20)</f>
        <v>51.5</v>
      </c>
      <c r="C241" s="58" t="str">
        <f t="shared" si="36"/>
        <v/>
      </c>
      <c r="D241" s="58" t="str">
        <f t="shared" si="32"/>
        <v/>
      </c>
      <c r="E241" s="30">
        <f t="shared" si="33"/>
        <v>6.8898564938749303E-7</v>
      </c>
      <c r="F241" s="30" t="str">
        <f t="shared" si="38"/>
        <v/>
      </c>
      <c r="G241" s="30" t="str">
        <f t="shared" si="38"/>
        <v/>
      </c>
      <c r="H241" s="30" t="str">
        <f t="shared" si="38"/>
        <v/>
      </c>
      <c r="I241" s="30" t="str">
        <f t="shared" si="34"/>
        <v/>
      </c>
      <c r="U241" s="26">
        <v>0</v>
      </c>
      <c r="V241" s="255">
        <f t="shared" si="31"/>
        <v>71</v>
      </c>
    </row>
    <row r="242" spans="1:22" hidden="1" x14ac:dyDescent="0.25">
      <c r="A242" s="30">
        <f t="shared" si="35"/>
        <v>-5</v>
      </c>
      <c r="B242" s="58">
        <f>INT((ROWS(B$11:B242)-1)/20)+40+0.05*MOD(ROWS(B$11:B242)-1,20)</f>
        <v>51.55</v>
      </c>
      <c r="C242" s="58" t="str">
        <f t="shared" si="36"/>
        <v/>
      </c>
      <c r="D242" s="58" t="str">
        <f t="shared" si="32"/>
        <v/>
      </c>
      <c r="E242" s="30">
        <f t="shared" si="33"/>
        <v>7.322191230700425E-7</v>
      </c>
      <c r="F242" s="30" t="str">
        <f t="shared" si="38"/>
        <v/>
      </c>
      <c r="G242" s="30" t="str">
        <f t="shared" si="38"/>
        <v/>
      </c>
      <c r="H242" s="30" t="str">
        <f t="shared" si="38"/>
        <v/>
      </c>
      <c r="I242" s="30" t="str">
        <f t="shared" si="34"/>
        <v/>
      </c>
      <c r="U242" s="26">
        <v>0</v>
      </c>
      <c r="V242" s="255">
        <f t="shared" si="31"/>
        <v>71</v>
      </c>
    </row>
    <row r="243" spans="1:22" hidden="1" x14ac:dyDescent="0.25">
      <c r="A243" s="30">
        <f t="shared" si="35"/>
        <v>-5</v>
      </c>
      <c r="B243" s="58">
        <f>INT((ROWS(B$11:B243)-1)/20)+40+0.05*MOD(ROWS(B$11:B243)-1,20)</f>
        <v>51.6</v>
      </c>
      <c r="C243" s="58" t="str">
        <f t="shared" si="36"/>
        <v/>
      </c>
      <c r="D243" s="58" t="str">
        <f t="shared" si="32"/>
        <v/>
      </c>
      <c r="E243" s="30">
        <f t="shared" si="33"/>
        <v>7.7804389478723611E-7</v>
      </c>
      <c r="F243" s="30" t="str">
        <f t="shared" si="38"/>
        <v/>
      </c>
      <c r="G243" s="30" t="str">
        <f t="shared" si="38"/>
        <v/>
      </c>
      <c r="H243" s="30" t="str">
        <f t="shared" si="38"/>
        <v/>
      </c>
      <c r="I243" s="30" t="str">
        <f t="shared" si="34"/>
        <v/>
      </c>
      <c r="U243" s="26">
        <v>0</v>
      </c>
      <c r="V243" s="255">
        <f t="shared" si="31"/>
        <v>71</v>
      </c>
    </row>
    <row r="244" spans="1:22" hidden="1" x14ac:dyDescent="0.25">
      <c r="A244" s="30">
        <f t="shared" si="35"/>
        <v>-5</v>
      </c>
      <c r="B244" s="58">
        <f>INT((ROWS(B$11:B244)-1)/20)+40+0.05*MOD(ROWS(B$11:B244)-1,20)</f>
        <v>51.65</v>
      </c>
      <c r="C244" s="58" t="str">
        <f t="shared" si="36"/>
        <v/>
      </c>
      <c r="D244" s="58" t="str">
        <f t="shared" si="32"/>
        <v/>
      </c>
      <c r="E244" s="30">
        <f t="shared" si="33"/>
        <v>8.266073696216991E-7</v>
      </c>
      <c r="F244" s="30" t="str">
        <f t="shared" si="38"/>
        <v/>
      </c>
      <c r="G244" s="30" t="str">
        <f t="shared" si="38"/>
        <v/>
      </c>
      <c r="H244" s="30" t="str">
        <f t="shared" si="38"/>
        <v/>
      </c>
      <c r="I244" s="30" t="str">
        <f t="shared" si="34"/>
        <v/>
      </c>
      <c r="U244" s="26">
        <v>0</v>
      </c>
      <c r="V244" s="255">
        <f t="shared" si="31"/>
        <v>71</v>
      </c>
    </row>
    <row r="245" spans="1:22" hidden="1" x14ac:dyDescent="0.25">
      <c r="A245" s="30">
        <f t="shared" si="35"/>
        <v>-5</v>
      </c>
      <c r="B245" s="58">
        <f>INT((ROWS(B$11:B245)-1)/20)+40+0.05*MOD(ROWS(B$11:B245)-1,20)</f>
        <v>51.7</v>
      </c>
      <c r="C245" s="58" t="str">
        <f t="shared" si="36"/>
        <v/>
      </c>
      <c r="D245" s="58" t="str">
        <f t="shared" si="32"/>
        <v/>
      </c>
      <c r="E245" s="30">
        <f t="shared" si="33"/>
        <v>8.780648418045741E-7</v>
      </c>
      <c r="F245" s="30" t="str">
        <f t="shared" si="38"/>
        <v/>
      </c>
      <c r="G245" s="30" t="str">
        <f t="shared" si="38"/>
        <v/>
      </c>
      <c r="H245" s="30" t="str">
        <f t="shared" si="38"/>
        <v/>
      </c>
      <c r="I245" s="30" t="str">
        <f t="shared" si="34"/>
        <v/>
      </c>
      <c r="U245" s="26">
        <v>0</v>
      </c>
      <c r="V245" s="255">
        <f t="shared" si="31"/>
        <v>71</v>
      </c>
    </row>
    <row r="246" spans="1:22" hidden="1" x14ac:dyDescent="0.25">
      <c r="A246" s="30">
        <f t="shared" si="35"/>
        <v>-5</v>
      </c>
      <c r="B246" s="58">
        <f>INT((ROWS(B$11:B246)-1)/20)+40+0.05*MOD(ROWS(B$11:B246)-1,20)</f>
        <v>51.75</v>
      </c>
      <c r="C246" s="58" t="str">
        <f t="shared" si="36"/>
        <v/>
      </c>
      <c r="D246" s="58" t="str">
        <f t="shared" si="32"/>
        <v/>
      </c>
      <c r="E246" s="30">
        <f t="shared" si="33"/>
        <v>9.3257988706362347E-7</v>
      </c>
      <c r="F246" s="30" t="str">
        <f t="shared" si="38"/>
        <v/>
      </c>
      <c r="G246" s="30" t="str">
        <f t="shared" si="38"/>
        <v/>
      </c>
      <c r="H246" s="30" t="str">
        <f t="shared" si="38"/>
        <v/>
      </c>
      <c r="I246" s="30" t="str">
        <f t="shared" si="34"/>
        <v/>
      </c>
      <c r="U246" s="26">
        <v>0</v>
      </c>
      <c r="V246" s="255">
        <f t="shared" si="31"/>
        <v>71</v>
      </c>
    </row>
    <row r="247" spans="1:22" hidden="1" x14ac:dyDescent="0.25">
      <c r="A247" s="30">
        <f t="shared" si="35"/>
        <v>-5</v>
      </c>
      <c r="B247" s="58">
        <f>INT((ROWS(B$11:B247)-1)/20)+40+0.05*MOD(ROWS(B$11:B247)-1,20)</f>
        <v>51.8</v>
      </c>
      <c r="C247" s="58" t="str">
        <f t="shared" si="36"/>
        <v/>
      </c>
      <c r="D247" s="58" t="str">
        <f t="shared" si="32"/>
        <v/>
      </c>
      <c r="E247" s="30">
        <f t="shared" si="33"/>
        <v>9.9032477275801523E-7</v>
      </c>
      <c r="F247" s="30" t="str">
        <f t="shared" si="38"/>
        <v/>
      </c>
      <c r="G247" s="30" t="str">
        <f t="shared" si="38"/>
        <v/>
      </c>
      <c r="H247" s="30" t="str">
        <f t="shared" si="38"/>
        <v/>
      </c>
      <c r="I247" s="30" t="str">
        <f t="shared" si="34"/>
        <v/>
      </c>
      <c r="U247" s="26">
        <v>0</v>
      </c>
      <c r="V247" s="255">
        <f t="shared" si="31"/>
        <v>71</v>
      </c>
    </row>
    <row r="248" spans="1:22" hidden="1" x14ac:dyDescent="0.25">
      <c r="A248" s="30">
        <f t="shared" si="35"/>
        <v>-5</v>
      </c>
      <c r="B248" s="58">
        <f>INT((ROWS(B$11:B248)-1)/20)+40+0.05*MOD(ROWS(B$11:B248)-1,20)</f>
        <v>51.85</v>
      </c>
      <c r="C248" s="58" t="str">
        <f t="shared" si="36"/>
        <v/>
      </c>
      <c r="D248" s="58" t="str">
        <f t="shared" si="32"/>
        <v/>
      </c>
      <c r="E248" s="30">
        <f t="shared" si="33"/>
        <v>1.0514808865104863E-6</v>
      </c>
      <c r="F248" s="30" t="str">
        <f t="shared" si="38"/>
        <v/>
      </c>
      <c r="G248" s="30" t="str">
        <f t="shared" si="38"/>
        <v/>
      </c>
      <c r="H248" s="30" t="str">
        <f t="shared" si="38"/>
        <v/>
      </c>
      <c r="I248" s="30" t="str">
        <f t="shared" si="34"/>
        <v/>
      </c>
      <c r="U248" s="26">
        <v>0</v>
      </c>
      <c r="V248" s="255">
        <f t="shared" si="31"/>
        <v>71</v>
      </c>
    </row>
    <row r="249" spans="1:22" hidden="1" x14ac:dyDescent="0.25">
      <c r="A249" s="30">
        <f t="shared" si="35"/>
        <v>-5</v>
      </c>
      <c r="B249" s="58">
        <f>INT((ROWS(B$11:B249)-1)/20)+40+0.05*MOD(ROWS(B$11:B249)-1,20)</f>
        <v>51.9</v>
      </c>
      <c r="C249" s="58" t="str">
        <f t="shared" si="36"/>
        <v/>
      </c>
      <c r="D249" s="58" t="str">
        <f t="shared" si="32"/>
        <v/>
      </c>
      <c r="E249" s="30">
        <f t="shared" si="33"/>
        <v>1.1162391840711578E-6</v>
      </c>
      <c r="F249" s="30" t="str">
        <f t="shared" si="38"/>
        <v/>
      </c>
      <c r="G249" s="30" t="str">
        <f t="shared" si="38"/>
        <v/>
      </c>
      <c r="H249" s="30" t="str">
        <f t="shared" si="38"/>
        <v/>
      </c>
      <c r="I249" s="30" t="str">
        <f t="shared" si="34"/>
        <v/>
      </c>
      <c r="U249" s="26">
        <v>0</v>
      </c>
      <c r="V249" s="255">
        <f t="shared" si="31"/>
        <v>71</v>
      </c>
    </row>
    <row r="250" spans="1:22" hidden="1" x14ac:dyDescent="0.25">
      <c r="A250" s="30">
        <f t="shared" si="35"/>
        <v>-5</v>
      </c>
      <c r="B250" s="58">
        <f>INT((ROWS(B$11:B250)-1)/20)+40+0.05*MOD(ROWS(B$11:B250)-1,20)</f>
        <v>51.95</v>
      </c>
      <c r="C250" s="58" t="str">
        <f t="shared" si="36"/>
        <v/>
      </c>
      <c r="D250" s="58" t="str">
        <f t="shared" si="32"/>
        <v/>
      </c>
      <c r="E250" s="30">
        <f t="shared" si="33"/>
        <v>1.1848006571711384E-6</v>
      </c>
      <c r="F250" s="30" t="str">
        <f t="shared" si="38"/>
        <v/>
      </c>
      <c r="G250" s="30" t="str">
        <f t="shared" si="38"/>
        <v/>
      </c>
      <c r="H250" s="30" t="str">
        <f t="shared" si="38"/>
        <v/>
      </c>
      <c r="I250" s="30" t="str">
        <f t="shared" si="34"/>
        <v/>
      </c>
      <c r="U250" s="26">
        <v>0</v>
      </c>
      <c r="V250" s="255">
        <f t="shared" si="31"/>
        <v>71</v>
      </c>
    </row>
    <row r="251" spans="1:22" hidden="1" x14ac:dyDescent="0.25">
      <c r="A251" s="30">
        <f t="shared" si="35"/>
        <v>-4.75</v>
      </c>
      <c r="B251" s="58">
        <f>INT((ROWS(B$11:B251)-1)/20)+40+0.05*MOD(ROWS(B$11:B251)-1,20)</f>
        <v>52</v>
      </c>
      <c r="C251" s="58" t="str">
        <f t="shared" si="36"/>
        <v/>
      </c>
      <c r="D251" s="58">
        <f t="shared" si="32"/>
        <v>52</v>
      </c>
      <c r="E251" s="30">
        <f t="shared" si="33"/>
        <v>1.2573768221481113E-6</v>
      </c>
      <c r="F251" s="30" t="str">
        <f t="shared" ref="F251:H270" si="39">IF(AND($B251&gt;=F$7,$B251&lt;=F$8),E251,"")</f>
        <v/>
      </c>
      <c r="G251" s="30" t="str">
        <f t="shared" si="39"/>
        <v/>
      </c>
      <c r="H251" s="30" t="str">
        <f t="shared" si="39"/>
        <v/>
      </c>
      <c r="I251" s="30" t="str">
        <f t="shared" si="34"/>
        <v/>
      </c>
      <c r="U251" s="26">
        <v>0</v>
      </c>
      <c r="V251" s="255">
        <f t="shared" si="31"/>
        <v>71</v>
      </c>
    </row>
    <row r="252" spans="1:22" hidden="1" x14ac:dyDescent="0.25">
      <c r="A252" s="30">
        <f t="shared" si="35"/>
        <v>-4.75</v>
      </c>
      <c r="B252" s="58">
        <f>INT((ROWS(B$11:B252)-1)/20)+40+0.05*MOD(ROWS(B$11:B252)-1,20)</f>
        <v>52.05</v>
      </c>
      <c r="C252" s="58" t="str">
        <f t="shared" si="36"/>
        <v/>
      </c>
      <c r="D252" s="58" t="str">
        <f t="shared" si="32"/>
        <v/>
      </c>
      <c r="E252" s="30">
        <f t="shared" si="33"/>
        <v>1.3341902301513758E-6</v>
      </c>
      <c r="F252" s="30" t="str">
        <f t="shared" si="39"/>
        <v/>
      </c>
      <c r="G252" s="30" t="str">
        <f t="shared" si="39"/>
        <v/>
      </c>
      <c r="H252" s="30" t="str">
        <f t="shared" si="39"/>
        <v/>
      </c>
      <c r="I252" s="30" t="str">
        <f t="shared" si="34"/>
        <v/>
      </c>
      <c r="U252" s="26">
        <v>0</v>
      </c>
      <c r="V252" s="255">
        <f t="shared" si="31"/>
        <v>71</v>
      </c>
    </row>
    <row r="253" spans="1:22" hidden="1" x14ac:dyDescent="0.25">
      <c r="A253" s="30">
        <f t="shared" si="35"/>
        <v>-4.75</v>
      </c>
      <c r="B253" s="58">
        <f>INT((ROWS(B$11:B253)-1)/20)+40+0.05*MOD(ROWS(B$11:B253)-1,20)</f>
        <v>52.1</v>
      </c>
      <c r="C253" s="58" t="str">
        <f t="shared" si="36"/>
        <v/>
      </c>
      <c r="D253" s="58" t="str">
        <f t="shared" si="32"/>
        <v/>
      </c>
      <c r="E253" s="30">
        <f t="shared" si="33"/>
        <v>1.4154749997587146E-6</v>
      </c>
      <c r="F253" s="30" t="str">
        <f t="shared" si="39"/>
        <v/>
      </c>
      <c r="G253" s="30" t="str">
        <f t="shared" si="39"/>
        <v/>
      </c>
      <c r="H253" s="30" t="str">
        <f t="shared" si="39"/>
        <v/>
      </c>
      <c r="I253" s="30" t="str">
        <f t="shared" si="34"/>
        <v/>
      </c>
      <c r="U253" s="26">
        <v>0</v>
      </c>
      <c r="V253" s="255">
        <f t="shared" si="31"/>
        <v>71</v>
      </c>
    </row>
    <row r="254" spans="1:22" hidden="1" x14ac:dyDescent="0.25">
      <c r="A254" s="30">
        <f t="shared" si="35"/>
        <v>-4.75</v>
      </c>
      <c r="B254" s="58">
        <f>INT((ROWS(B$11:B254)-1)/20)+40+0.05*MOD(ROWS(B$11:B254)-1,20)</f>
        <v>52.15</v>
      </c>
      <c r="C254" s="58" t="str">
        <f t="shared" si="36"/>
        <v/>
      </c>
      <c r="D254" s="58" t="str">
        <f t="shared" si="32"/>
        <v/>
      </c>
      <c r="E254" s="30">
        <f t="shared" si="33"/>
        <v>1.5014773728634834E-6</v>
      </c>
      <c r="F254" s="30" t="str">
        <f t="shared" si="39"/>
        <v/>
      </c>
      <c r="G254" s="30" t="str">
        <f t="shared" si="39"/>
        <v/>
      </c>
      <c r="H254" s="30" t="str">
        <f t="shared" si="39"/>
        <v/>
      </c>
      <c r="I254" s="30" t="str">
        <f t="shared" si="34"/>
        <v/>
      </c>
      <c r="U254" s="26">
        <v>0</v>
      </c>
      <c r="V254" s="255">
        <f t="shared" si="31"/>
        <v>71</v>
      </c>
    </row>
    <row r="255" spans="1:22" hidden="1" x14ac:dyDescent="0.25">
      <c r="A255" s="30">
        <f t="shared" si="35"/>
        <v>-4.75</v>
      </c>
      <c r="B255" s="58">
        <f>INT((ROWS(B$11:B255)-1)/20)+40+0.05*MOD(ROWS(B$11:B255)-1,20)</f>
        <v>52.2</v>
      </c>
      <c r="C255" s="58" t="str">
        <f t="shared" si="36"/>
        <v/>
      </c>
      <c r="D255" s="58" t="str">
        <f t="shared" si="32"/>
        <v/>
      </c>
      <c r="E255" s="30">
        <f t="shared" si="33"/>
        <v>1.5924562947167809E-6</v>
      </c>
      <c r="F255" s="30" t="str">
        <f t="shared" si="39"/>
        <v/>
      </c>
      <c r="G255" s="30" t="str">
        <f t="shared" si="39"/>
        <v/>
      </c>
      <c r="H255" s="30" t="str">
        <f t="shared" si="39"/>
        <v/>
      </c>
      <c r="I255" s="30" t="str">
        <f t="shared" si="34"/>
        <v/>
      </c>
      <c r="U255" s="26">
        <v>0</v>
      </c>
      <c r="V255" s="255">
        <f t="shared" si="31"/>
        <v>71</v>
      </c>
    </row>
    <row r="256" spans="1:22" hidden="1" x14ac:dyDescent="0.25">
      <c r="A256" s="30">
        <f t="shared" si="35"/>
        <v>-4.75</v>
      </c>
      <c r="B256" s="58">
        <f>INT((ROWS(B$11:B256)-1)/20)+40+0.05*MOD(ROWS(B$11:B256)-1,20)</f>
        <v>52.25</v>
      </c>
      <c r="C256" s="58" t="str">
        <f t="shared" si="36"/>
        <v/>
      </c>
      <c r="D256" s="58" t="str">
        <f t="shared" si="32"/>
        <v/>
      </c>
      <c r="E256" s="30">
        <f t="shared" si="33"/>
        <v>1.688684019035739E-6</v>
      </c>
      <c r="F256" s="30" t="str">
        <f t="shared" si="39"/>
        <v/>
      </c>
      <c r="G256" s="30" t="str">
        <f t="shared" si="39"/>
        <v/>
      </c>
      <c r="H256" s="30" t="str">
        <f t="shared" si="39"/>
        <v/>
      </c>
      <c r="I256" s="30" t="str">
        <f t="shared" si="34"/>
        <v/>
      </c>
      <c r="U256" s="26">
        <v>0</v>
      </c>
      <c r="V256" s="255">
        <f t="shared" si="31"/>
        <v>71</v>
      </c>
    </row>
    <row r="257" spans="1:22" hidden="1" x14ac:dyDescent="0.25">
      <c r="A257" s="30">
        <f t="shared" si="35"/>
        <v>-4.75</v>
      </c>
      <c r="B257" s="58">
        <f>INT((ROWS(B$11:B257)-1)/20)+40+0.05*MOD(ROWS(B$11:B257)-1,20)</f>
        <v>52.3</v>
      </c>
      <c r="C257" s="58" t="str">
        <f t="shared" si="36"/>
        <v/>
      </c>
      <c r="D257" s="58" t="str">
        <f t="shared" si="32"/>
        <v/>
      </c>
      <c r="E257" s="30">
        <f t="shared" si="33"/>
        <v>1.7904467391169753E-6</v>
      </c>
      <c r="F257" s="30" t="str">
        <f t="shared" si="39"/>
        <v/>
      </c>
      <c r="G257" s="30" t="str">
        <f t="shared" si="39"/>
        <v/>
      </c>
      <c r="H257" s="30" t="str">
        <f t="shared" si="39"/>
        <v/>
      </c>
      <c r="I257" s="30" t="str">
        <f t="shared" si="34"/>
        <v/>
      </c>
      <c r="U257" s="26">
        <v>0</v>
      </c>
      <c r="V257" s="255">
        <f t="shared" si="31"/>
        <v>71</v>
      </c>
    </row>
    <row r="258" spans="1:22" hidden="1" x14ac:dyDescent="0.25">
      <c r="A258" s="30">
        <f t="shared" si="35"/>
        <v>-4.75</v>
      </c>
      <c r="B258" s="58">
        <f>INT((ROWS(B$11:B258)-1)/20)+40+0.05*MOD(ROWS(B$11:B258)-1,20)</f>
        <v>52.35</v>
      </c>
      <c r="C258" s="58" t="str">
        <f t="shared" si="36"/>
        <v/>
      </c>
      <c r="D258" s="58" t="str">
        <f t="shared" si="32"/>
        <v/>
      </c>
      <c r="E258" s="30">
        <f t="shared" si="33"/>
        <v>1.8980452459211462E-6</v>
      </c>
      <c r="F258" s="30" t="str">
        <f t="shared" si="39"/>
        <v/>
      </c>
      <c r="G258" s="30" t="str">
        <f t="shared" si="39"/>
        <v/>
      </c>
      <c r="H258" s="30" t="str">
        <f t="shared" si="39"/>
        <v/>
      </c>
      <c r="I258" s="30" t="str">
        <f t="shared" si="34"/>
        <v/>
      </c>
      <c r="U258" s="26">
        <v>0</v>
      </c>
      <c r="V258" s="255">
        <f t="shared" si="31"/>
        <v>71</v>
      </c>
    </row>
    <row r="259" spans="1:22" hidden="1" x14ac:dyDescent="0.25">
      <c r="A259" s="30">
        <f t="shared" si="35"/>
        <v>-4.75</v>
      </c>
      <c r="B259" s="58">
        <f>INT((ROWS(B$11:B259)-1)/20)+40+0.05*MOD(ROWS(B$11:B259)-1,20)</f>
        <v>52.4</v>
      </c>
      <c r="C259" s="58" t="str">
        <f t="shared" si="36"/>
        <v/>
      </c>
      <c r="D259" s="58" t="str">
        <f t="shared" si="32"/>
        <v/>
      </c>
      <c r="E259" s="30">
        <f t="shared" si="33"/>
        <v>2.0117956141230738E-6</v>
      </c>
      <c r="F259" s="30" t="str">
        <f t="shared" si="39"/>
        <v/>
      </c>
      <c r="G259" s="30" t="str">
        <f t="shared" si="39"/>
        <v/>
      </c>
      <c r="H259" s="30" t="str">
        <f t="shared" si="39"/>
        <v/>
      </c>
      <c r="I259" s="30" t="str">
        <f t="shared" si="34"/>
        <v/>
      </c>
      <c r="U259" s="26">
        <v>0</v>
      </c>
      <c r="V259" s="255">
        <f t="shared" si="31"/>
        <v>71</v>
      </c>
    </row>
    <row r="260" spans="1:22" hidden="1" x14ac:dyDescent="0.25">
      <c r="A260" s="30">
        <f t="shared" si="35"/>
        <v>-4.75</v>
      </c>
      <c r="B260" s="58">
        <f>INT((ROWS(B$11:B260)-1)/20)+40+0.05*MOD(ROWS(B$11:B260)-1,20)</f>
        <v>52.45</v>
      </c>
      <c r="C260" s="58" t="str">
        <f t="shared" si="36"/>
        <v/>
      </c>
      <c r="D260" s="58" t="str">
        <f t="shared" si="32"/>
        <v/>
      </c>
      <c r="E260" s="30">
        <f t="shared" si="33"/>
        <v>2.1320299171505017E-6</v>
      </c>
      <c r="F260" s="30" t="str">
        <f t="shared" si="39"/>
        <v/>
      </c>
      <c r="G260" s="30" t="str">
        <f t="shared" si="39"/>
        <v/>
      </c>
      <c r="H260" s="30" t="str">
        <f t="shared" si="39"/>
        <v/>
      </c>
      <c r="I260" s="30" t="str">
        <f t="shared" si="34"/>
        <v/>
      </c>
      <c r="U260" s="26">
        <v>0</v>
      </c>
      <c r="V260" s="255">
        <f t="shared" si="31"/>
        <v>71</v>
      </c>
    </row>
    <row r="261" spans="1:22" hidden="1" x14ac:dyDescent="0.25">
      <c r="A261" s="30">
        <f t="shared" si="35"/>
        <v>-4.75</v>
      </c>
      <c r="B261" s="58">
        <f>INT((ROWS(B$11:B261)-1)/20)+40+0.05*MOD(ROWS(B$11:B261)-1,20)</f>
        <v>52.5</v>
      </c>
      <c r="C261" s="58" t="str">
        <f t="shared" si="36"/>
        <v/>
      </c>
      <c r="D261" s="58" t="str">
        <f t="shared" si="32"/>
        <v/>
      </c>
      <c r="E261" s="30">
        <f t="shared" si="33"/>
        <v>2.2590969722628434E-6</v>
      </c>
      <c r="F261" s="30" t="str">
        <f t="shared" si="39"/>
        <v/>
      </c>
      <c r="G261" s="30" t="str">
        <f t="shared" si="39"/>
        <v/>
      </c>
      <c r="H261" s="30" t="str">
        <f t="shared" si="39"/>
        <v/>
      </c>
      <c r="I261" s="30" t="str">
        <f t="shared" si="34"/>
        <v/>
      </c>
      <c r="U261" s="26">
        <v>0</v>
      </c>
      <c r="V261" s="255">
        <f t="shared" si="31"/>
        <v>71</v>
      </c>
    </row>
    <row r="262" spans="1:22" hidden="1" x14ac:dyDescent="0.25">
      <c r="A262" s="30">
        <f t="shared" si="35"/>
        <v>-4.75</v>
      </c>
      <c r="B262" s="58">
        <f>INT((ROWS(B$11:B262)-1)/20)+40+0.05*MOD(ROWS(B$11:B262)-1,20)</f>
        <v>52.55</v>
      </c>
      <c r="C262" s="58" t="str">
        <f t="shared" si="36"/>
        <v/>
      </c>
      <c r="D262" s="58" t="str">
        <f t="shared" si="32"/>
        <v/>
      </c>
      <c r="E262" s="30">
        <f t="shared" si="33"/>
        <v>2.3933631167514417E-6</v>
      </c>
      <c r="F262" s="30" t="str">
        <f t="shared" si="39"/>
        <v/>
      </c>
      <c r="G262" s="30" t="str">
        <f t="shared" si="39"/>
        <v/>
      </c>
      <c r="H262" s="30" t="str">
        <f t="shared" si="39"/>
        <v/>
      </c>
      <c r="I262" s="30" t="str">
        <f t="shared" si="34"/>
        <v/>
      </c>
      <c r="U262" s="26">
        <v>0</v>
      </c>
      <c r="V262" s="255">
        <f t="shared" ref="V262:V302" si="40">$F$1+U262*$F$2</f>
        <v>71</v>
      </c>
    </row>
    <row r="263" spans="1:22" hidden="1" x14ac:dyDescent="0.25">
      <c r="A263" s="30">
        <f t="shared" si="35"/>
        <v>-4.75</v>
      </c>
      <c r="B263" s="58">
        <f>INT((ROWS(B$11:B263)-1)/20)+40+0.05*MOD(ROWS(B$11:B263)-1,20)</f>
        <v>52.6</v>
      </c>
      <c r="C263" s="58" t="str">
        <f t="shared" si="36"/>
        <v/>
      </c>
      <c r="D263" s="58" t="str">
        <f t="shared" si="32"/>
        <v/>
      </c>
      <c r="E263" s="30">
        <f t="shared" si="33"/>
        <v>2.5352130163716896E-6</v>
      </c>
      <c r="F263" s="30" t="str">
        <f t="shared" si="39"/>
        <v/>
      </c>
      <c r="G263" s="30" t="str">
        <f t="shared" si="39"/>
        <v/>
      </c>
      <c r="H263" s="30" t="str">
        <f t="shared" si="39"/>
        <v/>
      </c>
      <c r="I263" s="30" t="str">
        <f t="shared" si="34"/>
        <v/>
      </c>
      <c r="U263" s="26">
        <v>0</v>
      </c>
      <c r="V263" s="255">
        <f t="shared" si="40"/>
        <v>71</v>
      </c>
    </row>
    <row r="264" spans="1:22" hidden="1" x14ac:dyDescent="0.25">
      <c r="A264" s="30">
        <f t="shared" si="35"/>
        <v>-4.75</v>
      </c>
      <c r="B264" s="58">
        <f>INT((ROWS(B$11:B264)-1)/20)+40+0.05*MOD(ROWS(B$11:B264)-1,20)</f>
        <v>52.65</v>
      </c>
      <c r="C264" s="58" t="str">
        <f t="shared" si="36"/>
        <v/>
      </c>
      <c r="D264" s="58" t="str">
        <f t="shared" si="32"/>
        <v/>
      </c>
      <c r="E264" s="30">
        <f t="shared" si="33"/>
        <v>2.6850505071478336E-6</v>
      </c>
      <c r="F264" s="30" t="str">
        <f t="shared" si="39"/>
        <v/>
      </c>
      <c r="G264" s="30" t="str">
        <f t="shared" si="39"/>
        <v/>
      </c>
      <c r="H264" s="30" t="str">
        <f t="shared" si="39"/>
        <v/>
      </c>
      <c r="I264" s="30" t="str">
        <f t="shared" si="34"/>
        <v/>
      </c>
      <c r="U264" s="26">
        <v>0</v>
      </c>
      <c r="V264" s="255">
        <f t="shared" si="40"/>
        <v>71</v>
      </c>
    </row>
    <row r="265" spans="1:22" hidden="1" x14ac:dyDescent="0.25">
      <c r="A265" s="30">
        <f t="shared" si="35"/>
        <v>-4.75</v>
      </c>
      <c r="B265" s="58">
        <f>INT((ROWS(B$11:B265)-1)/20)+40+0.05*MOD(ROWS(B$11:B265)-1,20)</f>
        <v>52.7</v>
      </c>
      <c r="C265" s="58" t="str">
        <f t="shared" si="36"/>
        <v/>
      </c>
      <c r="D265" s="58" t="str">
        <f t="shared" si="32"/>
        <v/>
      </c>
      <c r="E265" s="30">
        <f t="shared" si="33"/>
        <v>2.8432994717216791E-6</v>
      </c>
      <c r="F265" s="30" t="str">
        <f t="shared" si="39"/>
        <v/>
      </c>
      <c r="G265" s="30" t="str">
        <f t="shared" si="39"/>
        <v/>
      </c>
      <c r="H265" s="30" t="str">
        <f t="shared" si="39"/>
        <v/>
      </c>
      <c r="I265" s="30" t="str">
        <f t="shared" si="34"/>
        <v/>
      </c>
      <c r="U265" s="26">
        <v>0</v>
      </c>
      <c r="V265" s="255">
        <f t="shared" si="40"/>
        <v>71</v>
      </c>
    </row>
    <row r="266" spans="1:22" hidden="1" x14ac:dyDescent="0.25">
      <c r="A266" s="30">
        <f t="shared" si="35"/>
        <v>-4.75</v>
      </c>
      <c r="B266" s="58">
        <f>INT((ROWS(B$11:B266)-1)/20)+40+0.05*MOD(ROWS(B$11:B266)-1,20)</f>
        <v>52.75</v>
      </c>
      <c r="C266" s="58" t="str">
        <f t="shared" si="36"/>
        <v/>
      </c>
      <c r="D266" s="58" t="str">
        <f t="shared" si="32"/>
        <v/>
      </c>
      <c r="E266" s="30">
        <f t="shared" si="33"/>
        <v>3.0104047514463741E-6</v>
      </c>
      <c r="F266" s="30" t="str">
        <f t="shared" si="39"/>
        <v/>
      </c>
      <c r="G266" s="30" t="str">
        <f t="shared" si="39"/>
        <v/>
      </c>
      <c r="H266" s="30" t="str">
        <f t="shared" si="39"/>
        <v/>
      </c>
      <c r="I266" s="30" t="str">
        <f t="shared" si="34"/>
        <v/>
      </c>
      <c r="U266" s="26">
        <v>0</v>
      </c>
      <c r="V266" s="255">
        <f t="shared" si="40"/>
        <v>71</v>
      </c>
    </row>
    <row r="267" spans="1:22" hidden="1" x14ac:dyDescent="0.25">
      <c r="A267" s="30">
        <f t="shared" si="35"/>
        <v>-4.75</v>
      </c>
      <c r="B267" s="58">
        <f>INT((ROWS(B$11:B267)-1)/20)+40+0.05*MOD(ROWS(B$11:B267)-1,20)</f>
        <v>52.8</v>
      </c>
      <c r="C267" s="58" t="str">
        <f t="shared" si="36"/>
        <v/>
      </c>
      <c r="D267" s="58" t="str">
        <f t="shared" ref="D267:D300" si="41">IF(INT(B267)=B267,B267,"")</f>
        <v/>
      </c>
      <c r="E267" s="30">
        <f t="shared" ref="E267:E330" si="42">_xlfn.NORM.DIST(B267,$F$1,$F$2,0)</f>
        <v>3.186833095458349E-6</v>
      </c>
      <c r="F267" s="30" t="str">
        <f t="shared" si="39"/>
        <v/>
      </c>
      <c r="G267" s="30" t="str">
        <f t="shared" si="39"/>
        <v/>
      </c>
      <c r="H267" s="30" t="str">
        <f t="shared" si="39"/>
        <v/>
      </c>
      <c r="I267" s="30" t="str">
        <f t="shared" ref="I267:I300" si="43">IF(AND(B267&gt;=$F$1-0.2,B267&lt;=$F$1+0.2),E267,"")</f>
        <v/>
      </c>
      <c r="U267" s="26">
        <v>0</v>
      </c>
      <c r="V267" s="255">
        <f t="shared" si="40"/>
        <v>71</v>
      </c>
    </row>
    <row r="268" spans="1:22" hidden="1" x14ac:dyDescent="0.25">
      <c r="A268" s="30">
        <f t="shared" ref="A268:A331" si="44">(INT(B268)-$F$1)/$F$2</f>
        <v>-4.75</v>
      </c>
      <c r="B268" s="58">
        <f>INT((ROWS(B$11:B268)-1)/20)+40+0.05*MOD(ROWS(B$11:B268)-1,20)</f>
        <v>52.85</v>
      </c>
      <c r="C268" s="58" t="str">
        <f t="shared" ref="C268:C331" si="45">IF(AND(A268&lt;&gt;A267,INT(A268)=A268),A268,"")</f>
        <v/>
      </c>
      <c r="D268" s="58" t="str">
        <f t="shared" si="41"/>
        <v/>
      </c>
      <c r="E268" s="30">
        <f t="shared" si="42"/>
        <v>3.3730741479905295E-6</v>
      </c>
      <c r="F268" s="30" t="str">
        <f t="shared" si="39"/>
        <v/>
      </c>
      <c r="G268" s="30" t="str">
        <f t="shared" si="39"/>
        <v/>
      </c>
      <c r="H268" s="30" t="str">
        <f t="shared" si="39"/>
        <v/>
      </c>
      <c r="I268" s="30" t="str">
        <f t="shared" si="43"/>
        <v/>
      </c>
      <c r="U268" s="26">
        <v>0</v>
      </c>
      <c r="V268" s="255">
        <f t="shared" si="40"/>
        <v>71</v>
      </c>
    </row>
    <row r="269" spans="1:22" hidden="1" x14ac:dyDescent="0.25">
      <c r="A269" s="30">
        <f t="shared" si="44"/>
        <v>-4.75</v>
      </c>
      <c r="B269" s="58">
        <f>INT((ROWS(B$11:B269)-1)/20)+40+0.05*MOD(ROWS(B$11:B269)-1,20)</f>
        <v>52.9</v>
      </c>
      <c r="C269" s="58" t="str">
        <f t="shared" si="45"/>
        <v/>
      </c>
      <c r="D269" s="58" t="str">
        <f t="shared" si="41"/>
        <v/>
      </c>
      <c r="E269" s="30">
        <f t="shared" si="42"/>
        <v>3.5696414752219433E-6</v>
      </c>
      <c r="F269" s="30" t="str">
        <f t="shared" si="39"/>
        <v/>
      </c>
      <c r="G269" s="30" t="str">
        <f t="shared" si="39"/>
        <v/>
      </c>
      <c r="H269" s="30" t="str">
        <f t="shared" si="39"/>
        <v/>
      </c>
      <c r="I269" s="30" t="str">
        <f t="shared" si="43"/>
        <v/>
      </c>
      <c r="U269" s="26">
        <v>0</v>
      </c>
      <c r="V269" s="255">
        <f t="shared" si="40"/>
        <v>71</v>
      </c>
    </row>
    <row r="270" spans="1:22" hidden="1" x14ac:dyDescent="0.25">
      <c r="A270" s="30">
        <f t="shared" si="44"/>
        <v>-4.75</v>
      </c>
      <c r="B270" s="58">
        <f>INT((ROWS(B$11:B270)-1)/20)+40+0.05*MOD(ROWS(B$11:B270)-1,20)</f>
        <v>52.95</v>
      </c>
      <c r="C270" s="58" t="str">
        <f t="shared" si="45"/>
        <v/>
      </c>
      <c r="D270" s="58" t="str">
        <f t="shared" si="41"/>
        <v/>
      </c>
      <c r="E270" s="30">
        <f t="shared" si="42"/>
        <v>3.7770736329905143E-6</v>
      </c>
      <c r="F270" s="30" t="str">
        <f t="shared" si="39"/>
        <v/>
      </c>
      <c r="G270" s="30" t="str">
        <f t="shared" si="39"/>
        <v/>
      </c>
      <c r="H270" s="30" t="str">
        <f t="shared" si="39"/>
        <v/>
      </c>
      <c r="I270" s="30" t="str">
        <f t="shared" si="43"/>
        <v/>
      </c>
      <c r="U270" s="26">
        <v>0</v>
      </c>
      <c r="V270" s="255">
        <f t="shared" si="40"/>
        <v>71</v>
      </c>
    </row>
    <row r="271" spans="1:22" hidden="1" x14ac:dyDescent="0.25">
      <c r="A271" s="30">
        <f t="shared" si="44"/>
        <v>-4.5</v>
      </c>
      <c r="B271" s="58">
        <f>INT((ROWS(B$11:B271)-1)/20)+40+0.05*MOD(ROWS(B$11:B271)-1,20)</f>
        <v>53</v>
      </c>
      <c r="C271" s="58" t="str">
        <f t="shared" si="45"/>
        <v/>
      </c>
      <c r="D271" s="58">
        <f t="shared" si="41"/>
        <v>53</v>
      </c>
      <c r="E271" s="30">
        <f t="shared" si="42"/>
        <v>3.9959352767263687E-6</v>
      </c>
      <c r="F271" s="30" t="str">
        <f t="shared" ref="F271:H290" si="46">IF(AND($B271&gt;=F$7,$B271&lt;=F$8),E271,"")</f>
        <v/>
      </c>
      <c r="G271" s="30" t="str">
        <f t="shared" si="46"/>
        <v/>
      </c>
      <c r="H271" s="30" t="str">
        <f t="shared" si="46"/>
        <v/>
      </c>
      <c r="I271" s="30" t="str">
        <f t="shared" si="43"/>
        <v/>
      </c>
      <c r="U271" s="26">
        <v>0</v>
      </c>
      <c r="V271" s="255">
        <f t="shared" si="40"/>
        <v>71</v>
      </c>
    </row>
    <row r="272" spans="1:22" hidden="1" x14ac:dyDescent="0.25">
      <c r="A272" s="30">
        <f t="shared" si="44"/>
        <v>-4.5</v>
      </c>
      <c r="B272" s="58">
        <f>INT((ROWS(B$11:B272)-1)/20)+40+0.05*MOD(ROWS(B$11:B272)-1,20)</f>
        <v>53.05</v>
      </c>
      <c r="C272" s="58" t="str">
        <f t="shared" si="45"/>
        <v/>
      </c>
      <c r="D272" s="58" t="str">
        <f t="shared" si="41"/>
        <v/>
      </c>
      <c r="E272" s="30">
        <f t="shared" si="42"/>
        <v>4.2268183149964225E-6</v>
      </c>
      <c r="F272" s="30" t="str">
        <f t="shared" si="46"/>
        <v/>
      </c>
      <c r="G272" s="30" t="str">
        <f t="shared" si="46"/>
        <v/>
      </c>
      <c r="H272" s="30" t="str">
        <f t="shared" si="46"/>
        <v/>
      </c>
      <c r="I272" s="30" t="str">
        <f t="shared" si="43"/>
        <v/>
      </c>
      <c r="U272" s="26">
        <v>0</v>
      </c>
      <c r="V272" s="255">
        <f t="shared" si="40"/>
        <v>71</v>
      </c>
    </row>
    <row r="273" spans="1:22" hidden="1" x14ac:dyDescent="0.25">
      <c r="A273" s="30">
        <f t="shared" si="44"/>
        <v>-4.5</v>
      </c>
      <c r="B273" s="58">
        <f>INT((ROWS(B$11:B273)-1)/20)+40+0.05*MOD(ROWS(B$11:B273)-1,20)</f>
        <v>53.1</v>
      </c>
      <c r="C273" s="58" t="str">
        <f t="shared" si="45"/>
        <v/>
      </c>
      <c r="D273" s="58" t="str">
        <f t="shared" si="41"/>
        <v/>
      </c>
      <c r="E273" s="30">
        <f t="shared" si="42"/>
        <v>4.4703431080810919E-6</v>
      </c>
      <c r="F273" s="30" t="str">
        <f t="shared" si="46"/>
        <v/>
      </c>
      <c r="G273" s="30" t="str">
        <f t="shared" si="46"/>
        <v/>
      </c>
      <c r="H273" s="30" t="str">
        <f t="shared" si="46"/>
        <v/>
      </c>
      <c r="I273" s="30" t="str">
        <f t="shared" si="43"/>
        <v/>
      </c>
      <c r="U273" s="26">
        <v>0</v>
      </c>
      <c r="V273" s="255">
        <f t="shared" si="40"/>
        <v>71</v>
      </c>
    </row>
    <row r="274" spans="1:22" hidden="1" x14ac:dyDescent="0.25">
      <c r="A274" s="30">
        <f t="shared" si="44"/>
        <v>-4.5</v>
      </c>
      <c r="B274" s="58">
        <f>INT((ROWS(B$11:B274)-1)/20)+40+0.05*MOD(ROWS(B$11:B274)-1,20)</f>
        <v>53.15</v>
      </c>
      <c r="C274" s="58" t="str">
        <f t="shared" si="45"/>
        <v/>
      </c>
      <c r="D274" s="58" t="str">
        <f t="shared" si="41"/>
        <v/>
      </c>
      <c r="E274" s="30">
        <f t="shared" si="42"/>
        <v>4.7271597130369214E-6</v>
      </c>
      <c r="F274" s="30" t="str">
        <f t="shared" si="46"/>
        <v/>
      </c>
      <c r="G274" s="30" t="str">
        <f t="shared" si="46"/>
        <v/>
      </c>
      <c r="H274" s="30" t="str">
        <f t="shared" si="46"/>
        <v/>
      </c>
      <c r="I274" s="30" t="str">
        <f t="shared" si="43"/>
        <v/>
      </c>
      <c r="U274" s="26">
        <v>0</v>
      </c>
      <c r="V274" s="255">
        <f t="shared" si="40"/>
        <v>71</v>
      </c>
    </row>
    <row r="275" spans="1:22" hidden="1" x14ac:dyDescent="0.25">
      <c r="A275" s="30">
        <f t="shared" si="44"/>
        <v>-4.5</v>
      </c>
      <c r="B275" s="58">
        <f>INT((ROWS(B$11:B275)-1)/20)+40+0.05*MOD(ROWS(B$11:B275)-1,20)</f>
        <v>53.2</v>
      </c>
      <c r="C275" s="58" t="str">
        <f t="shared" si="45"/>
        <v/>
      </c>
      <c r="D275" s="58" t="str">
        <f t="shared" si="41"/>
        <v/>
      </c>
      <c r="E275" s="30">
        <f t="shared" si="42"/>
        <v>4.9979491767307147E-6</v>
      </c>
      <c r="F275" s="30" t="str">
        <f t="shared" si="46"/>
        <v/>
      </c>
      <c r="G275" s="30" t="str">
        <f t="shared" si="46"/>
        <v/>
      </c>
      <c r="H275" s="30" t="str">
        <f t="shared" si="46"/>
        <v/>
      </c>
      <c r="I275" s="30" t="str">
        <f t="shared" si="43"/>
        <v/>
      </c>
      <c r="U275" s="26">
        <v>0</v>
      </c>
      <c r="V275" s="255">
        <f t="shared" si="40"/>
        <v>71</v>
      </c>
    </row>
    <row r="276" spans="1:22" hidden="1" x14ac:dyDescent="0.25">
      <c r="A276" s="30">
        <f t="shared" si="44"/>
        <v>-4.5</v>
      </c>
      <c r="B276" s="58">
        <f>INT((ROWS(B$11:B276)-1)/20)+40+0.05*MOD(ROWS(B$11:B276)-1,20)</f>
        <v>53.25</v>
      </c>
      <c r="C276" s="58" t="str">
        <f t="shared" si="45"/>
        <v/>
      </c>
      <c r="D276" s="58" t="str">
        <f t="shared" si="41"/>
        <v/>
      </c>
      <c r="E276" s="30">
        <f t="shared" si="42"/>
        <v>5.2834248783613687E-6</v>
      </c>
      <c r="F276" s="30" t="str">
        <f t="shared" si="46"/>
        <v/>
      </c>
      <c r="G276" s="30" t="str">
        <f t="shared" si="46"/>
        <v/>
      </c>
      <c r="H276" s="30" t="str">
        <f t="shared" si="46"/>
        <v/>
      </c>
      <c r="I276" s="30" t="str">
        <f t="shared" si="43"/>
        <v/>
      </c>
      <c r="U276" s="26">
        <v>0</v>
      </c>
      <c r="V276" s="255">
        <f t="shared" si="40"/>
        <v>71</v>
      </c>
    </row>
    <row r="277" spans="1:22" hidden="1" x14ac:dyDescent="0.25">
      <c r="A277" s="30">
        <f t="shared" si="44"/>
        <v>-4.5</v>
      </c>
      <c r="B277" s="58">
        <f>INT((ROWS(B$11:B277)-1)/20)+40+0.05*MOD(ROWS(B$11:B277)-1,20)</f>
        <v>53.3</v>
      </c>
      <c r="C277" s="58" t="str">
        <f t="shared" si="45"/>
        <v/>
      </c>
      <c r="D277" s="58" t="str">
        <f t="shared" si="41"/>
        <v/>
      </c>
      <c r="E277" s="30">
        <f t="shared" si="42"/>
        <v>5.5843339230189875E-6</v>
      </c>
      <c r="F277" s="30" t="str">
        <f t="shared" si="46"/>
        <v/>
      </c>
      <c r="G277" s="30" t="str">
        <f t="shared" si="46"/>
        <v/>
      </c>
      <c r="H277" s="30" t="str">
        <f t="shared" si="46"/>
        <v/>
      </c>
      <c r="I277" s="30" t="str">
        <f t="shared" si="43"/>
        <v/>
      </c>
      <c r="U277" s="26">
        <v>0</v>
      </c>
      <c r="V277" s="255">
        <f t="shared" si="40"/>
        <v>71</v>
      </c>
    </row>
    <row r="278" spans="1:22" hidden="1" x14ac:dyDescent="0.25">
      <c r="A278" s="30">
        <f t="shared" si="44"/>
        <v>-4.5</v>
      </c>
      <c r="B278" s="58">
        <f>INT((ROWS(B$11:B278)-1)/20)+40+0.05*MOD(ROWS(B$11:B278)-1,20)</f>
        <v>53.35</v>
      </c>
      <c r="C278" s="58" t="str">
        <f t="shared" si="45"/>
        <v/>
      </c>
      <c r="D278" s="58" t="str">
        <f t="shared" si="41"/>
        <v/>
      </c>
      <c r="E278" s="30">
        <f t="shared" si="42"/>
        <v>5.901458587860516E-6</v>
      </c>
      <c r="F278" s="30" t="str">
        <f t="shared" si="46"/>
        <v/>
      </c>
      <c r="G278" s="30" t="str">
        <f t="shared" si="46"/>
        <v/>
      </c>
      <c r="H278" s="30" t="str">
        <f t="shared" si="46"/>
        <v/>
      </c>
      <c r="I278" s="30" t="str">
        <f t="shared" si="43"/>
        <v/>
      </c>
      <c r="U278" s="26">
        <v>0</v>
      </c>
      <c r="V278" s="255">
        <f t="shared" si="40"/>
        <v>71</v>
      </c>
    </row>
    <row r="279" spans="1:22" hidden="1" x14ac:dyDescent="0.25">
      <c r="A279" s="30">
        <f t="shared" si="44"/>
        <v>-4.5</v>
      </c>
      <c r="B279" s="58">
        <f>INT((ROWS(B$11:B279)-1)/20)+40+0.05*MOD(ROWS(B$11:B279)-1,20)</f>
        <v>53.4</v>
      </c>
      <c r="C279" s="58" t="str">
        <f t="shared" si="45"/>
        <v/>
      </c>
      <c r="D279" s="58" t="str">
        <f t="shared" si="41"/>
        <v/>
      </c>
      <c r="E279" s="30">
        <f t="shared" si="42"/>
        <v>6.2356178225133838E-6</v>
      </c>
      <c r="F279" s="30" t="str">
        <f t="shared" si="46"/>
        <v/>
      </c>
      <c r="G279" s="30" t="str">
        <f t="shared" si="46"/>
        <v/>
      </c>
      <c r="H279" s="30" t="str">
        <f t="shared" si="46"/>
        <v/>
      </c>
      <c r="I279" s="30" t="str">
        <f t="shared" si="43"/>
        <v/>
      </c>
      <c r="U279" s="26">
        <v>0</v>
      </c>
      <c r="V279" s="255">
        <f t="shared" si="40"/>
        <v>71</v>
      </c>
    </row>
    <row r="280" spans="1:22" hidden="1" x14ac:dyDescent="0.25">
      <c r="A280" s="30">
        <f t="shared" si="44"/>
        <v>-4.5</v>
      </c>
      <c r="B280" s="58">
        <f>INT((ROWS(B$11:B280)-1)/20)+40+0.05*MOD(ROWS(B$11:B280)-1,20)</f>
        <v>53.45</v>
      </c>
      <c r="C280" s="58" t="str">
        <f t="shared" si="45"/>
        <v/>
      </c>
      <c r="D280" s="58" t="str">
        <f t="shared" si="41"/>
        <v/>
      </c>
      <c r="E280" s="30">
        <f t="shared" si="42"/>
        <v>6.5876688053498795E-6</v>
      </c>
      <c r="F280" s="30" t="str">
        <f t="shared" si="46"/>
        <v/>
      </c>
      <c r="G280" s="30" t="str">
        <f t="shared" si="46"/>
        <v/>
      </c>
      <c r="H280" s="30" t="str">
        <f t="shared" si="46"/>
        <v/>
      </c>
      <c r="I280" s="30" t="str">
        <f t="shared" si="43"/>
        <v/>
      </c>
      <c r="U280" s="26">
        <v>0</v>
      </c>
      <c r="V280" s="255">
        <f t="shared" si="40"/>
        <v>71</v>
      </c>
    </row>
    <row r="281" spans="1:22" hidden="1" x14ac:dyDescent="0.25">
      <c r="A281" s="30">
        <f t="shared" si="44"/>
        <v>-4.5</v>
      </c>
      <c r="B281" s="58">
        <f>INT((ROWS(B$11:B281)-1)/20)+40+0.05*MOD(ROWS(B$11:B281)-1,20)</f>
        <v>53.5</v>
      </c>
      <c r="C281" s="58" t="str">
        <f t="shared" si="45"/>
        <v/>
      </c>
      <c r="D281" s="58" t="str">
        <f t="shared" si="41"/>
        <v/>
      </c>
      <c r="E281" s="30">
        <f t="shared" si="42"/>
        <v>6.9585085573037197E-6</v>
      </c>
      <c r="F281" s="30" t="str">
        <f t="shared" si="46"/>
        <v/>
      </c>
      <c r="G281" s="30" t="str">
        <f t="shared" si="46"/>
        <v/>
      </c>
      <c r="H281" s="30" t="str">
        <f t="shared" si="46"/>
        <v/>
      </c>
      <c r="I281" s="30" t="str">
        <f t="shared" si="43"/>
        <v/>
      </c>
      <c r="U281" s="26">
        <v>0</v>
      </c>
      <c r="V281" s="255">
        <f t="shared" si="40"/>
        <v>71</v>
      </c>
    </row>
    <row r="282" spans="1:22" hidden="1" x14ac:dyDescent="0.25">
      <c r="A282" s="30">
        <f t="shared" si="44"/>
        <v>-4.5</v>
      </c>
      <c r="B282" s="58">
        <f>INT((ROWS(B$11:B282)-1)/20)+40+0.05*MOD(ROWS(B$11:B282)-1,20)</f>
        <v>53.55</v>
      </c>
      <c r="C282" s="58" t="str">
        <f t="shared" si="45"/>
        <v/>
      </c>
      <c r="D282" s="58" t="str">
        <f t="shared" si="41"/>
        <v/>
      </c>
      <c r="E282" s="30">
        <f t="shared" si="42"/>
        <v>7.3490756149332638E-6</v>
      </c>
      <c r="F282" s="30" t="str">
        <f t="shared" si="46"/>
        <v/>
      </c>
      <c r="G282" s="30" t="str">
        <f t="shared" si="46"/>
        <v/>
      </c>
      <c r="H282" s="30" t="str">
        <f t="shared" si="46"/>
        <v/>
      </c>
      <c r="I282" s="30" t="str">
        <f t="shared" si="43"/>
        <v/>
      </c>
      <c r="U282" s="26">
        <v>0</v>
      </c>
      <c r="V282" s="255">
        <f t="shared" si="40"/>
        <v>71</v>
      </c>
    </row>
    <row r="283" spans="1:22" hidden="1" x14ac:dyDescent="0.25">
      <c r="A283" s="30">
        <f t="shared" si="44"/>
        <v>-4.5</v>
      </c>
      <c r="B283" s="58">
        <f>INT((ROWS(B$11:B283)-1)/20)+40+0.05*MOD(ROWS(B$11:B283)-1,20)</f>
        <v>53.6</v>
      </c>
      <c r="C283" s="58" t="str">
        <f t="shared" si="45"/>
        <v/>
      </c>
      <c r="D283" s="58" t="str">
        <f t="shared" si="41"/>
        <v/>
      </c>
      <c r="E283" s="30">
        <f t="shared" si="42"/>
        <v>7.7603517644625666E-6</v>
      </c>
      <c r="F283" s="30" t="str">
        <f t="shared" si="46"/>
        <v/>
      </c>
      <c r="G283" s="30" t="str">
        <f t="shared" si="46"/>
        <v/>
      </c>
      <c r="H283" s="30" t="str">
        <f t="shared" si="46"/>
        <v/>
      </c>
      <c r="I283" s="30" t="str">
        <f t="shared" si="43"/>
        <v/>
      </c>
      <c r="U283" s="26">
        <v>0</v>
      </c>
      <c r="V283" s="255">
        <f t="shared" si="40"/>
        <v>71</v>
      </c>
    </row>
    <row r="284" spans="1:22" hidden="1" x14ac:dyDescent="0.25">
      <c r="A284" s="30">
        <f t="shared" si="44"/>
        <v>-4.5</v>
      </c>
      <c r="B284" s="58">
        <f>INT((ROWS(B$11:B284)-1)/20)+40+0.05*MOD(ROWS(B$11:B284)-1,20)</f>
        <v>53.65</v>
      </c>
      <c r="C284" s="58" t="str">
        <f t="shared" si="45"/>
        <v/>
      </c>
      <c r="D284" s="58" t="str">
        <f t="shared" si="41"/>
        <v/>
      </c>
      <c r="E284" s="30">
        <f t="shared" si="42"/>
        <v>8.1933638385624185E-6</v>
      </c>
      <c r="F284" s="30" t="str">
        <f t="shared" si="46"/>
        <v/>
      </c>
      <c r="G284" s="30" t="str">
        <f t="shared" si="46"/>
        <v/>
      </c>
      <c r="H284" s="30" t="str">
        <f t="shared" si="46"/>
        <v/>
      </c>
      <c r="I284" s="30" t="str">
        <f t="shared" si="43"/>
        <v/>
      </c>
      <c r="U284" s="26">
        <v>0</v>
      </c>
      <c r="V284" s="255">
        <f t="shared" si="40"/>
        <v>71</v>
      </c>
    </row>
    <row r="285" spans="1:22" hidden="1" x14ac:dyDescent="0.25">
      <c r="A285" s="30">
        <f t="shared" si="44"/>
        <v>-4.5</v>
      </c>
      <c r="B285" s="58">
        <f>INT((ROWS(B$11:B285)-1)/20)+40+0.05*MOD(ROWS(B$11:B285)-1,20)</f>
        <v>53.7</v>
      </c>
      <c r="C285" s="58" t="str">
        <f t="shared" si="45"/>
        <v/>
      </c>
      <c r="D285" s="58" t="str">
        <f t="shared" si="41"/>
        <v/>
      </c>
      <c r="E285" s="30">
        <f t="shared" si="42"/>
        <v>8.6491855776622661E-6</v>
      </c>
      <c r="F285" s="30" t="str">
        <f t="shared" si="46"/>
        <v/>
      </c>
      <c r="G285" s="30" t="str">
        <f t="shared" si="46"/>
        <v/>
      </c>
      <c r="H285" s="30" t="str">
        <f t="shared" si="46"/>
        <v/>
      </c>
      <c r="I285" s="30" t="str">
        <f t="shared" si="43"/>
        <v/>
      </c>
      <c r="U285" s="26">
        <v>0</v>
      </c>
      <c r="V285" s="255">
        <f t="shared" si="40"/>
        <v>71</v>
      </c>
    </row>
    <row r="286" spans="1:22" hidden="1" x14ac:dyDescent="0.25">
      <c r="A286" s="30">
        <f t="shared" si="44"/>
        <v>-4.5</v>
      </c>
      <c r="B286" s="58">
        <f>INT((ROWS(B$11:B286)-1)/20)+40+0.05*MOD(ROWS(B$11:B286)-1,20)</f>
        <v>53.75</v>
      </c>
      <c r="C286" s="58" t="str">
        <f t="shared" si="45"/>
        <v/>
      </c>
      <c r="D286" s="58" t="str">
        <f t="shared" si="41"/>
        <v/>
      </c>
      <c r="E286" s="30">
        <f t="shared" si="42"/>
        <v>9.128939557609321E-6</v>
      </c>
      <c r="F286" s="30" t="str">
        <f t="shared" si="46"/>
        <v/>
      </c>
      <c r="G286" s="30" t="str">
        <f t="shared" si="46"/>
        <v/>
      </c>
      <c r="H286" s="30" t="str">
        <f t="shared" si="46"/>
        <v/>
      </c>
      <c r="I286" s="30" t="str">
        <f t="shared" si="43"/>
        <v/>
      </c>
      <c r="U286" s="26">
        <v>0</v>
      </c>
      <c r="V286" s="255">
        <f t="shared" si="40"/>
        <v>71</v>
      </c>
    </row>
    <row r="287" spans="1:22" hidden="1" x14ac:dyDescent="0.25">
      <c r="A287" s="30">
        <f t="shared" si="44"/>
        <v>-4.5</v>
      </c>
      <c r="B287" s="58">
        <f>INT((ROWS(B$11:B287)-1)/20)+40+0.05*MOD(ROWS(B$11:B287)-1,20)</f>
        <v>53.8</v>
      </c>
      <c r="C287" s="58" t="str">
        <f t="shared" si="45"/>
        <v/>
      </c>
      <c r="D287" s="58" t="str">
        <f t="shared" si="41"/>
        <v/>
      </c>
      <c r="E287" s="30">
        <f t="shared" si="42"/>
        <v>9.6337991855217485E-6</v>
      </c>
      <c r="F287" s="30" t="str">
        <f t="shared" si="46"/>
        <v/>
      </c>
      <c r="G287" s="30" t="str">
        <f t="shared" si="46"/>
        <v/>
      </c>
      <c r="H287" s="30" t="str">
        <f t="shared" si="46"/>
        <v/>
      </c>
      <c r="I287" s="30" t="str">
        <f t="shared" si="43"/>
        <v/>
      </c>
      <c r="U287" s="26">
        <v>0</v>
      </c>
      <c r="V287" s="255">
        <f t="shared" si="40"/>
        <v>71</v>
      </c>
    </row>
    <row r="288" spans="1:22" hidden="1" x14ac:dyDescent="0.25">
      <c r="A288" s="30">
        <f t="shared" si="44"/>
        <v>-4.5</v>
      </c>
      <c r="B288" s="58">
        <f>INT((ROWS(B$11:B288)-1)/20)+40+0.05*MOD(ROWS(B$11:B288)-1,20)</f>
        <v>53.85</v>
      </c>
      <c r="C288" s="58" t="str">
        <f t="shared" si="45"/>
        <v/>
      </c>
      <c r="D288" s="58" t="str">
        <f t="shared" si="41"/>
        <v/>
      </c>
      <c r="E288" s="30">
        <f t="shared" si="42"/>
        <v>1.016499076570552E-5</v>
      </c>
      <c r="F288" s="30" t="str">
        <f t="shared" si="46"/>
        <v/>
      </c>
      <c r="G288" s="30" t="str">
        <f t="shared" si="46"/>
        <v/>
      </c>
      <c r="H288" s="30" t="str">
        <f t="shared" si="46"/>
        <v/>
      </c>
      <c r="I288" s="30" t="str">
        <f t="shared" si="43"/>
        <v/>
      </c>
      <c r="U288" s="26">
        <v>0</v>
      </c>
      <c r="V288" s="255">
        <f t="shared" si="40"/>
        <v>71</v>
      </c>
    </row>
    <row r="289" spans="1:23" hidden="1" x14ac:dyDescent="0.25">
      <c r="A289" s="30">
        <f t="shared" si="44"/>
        <v>-4.5</v>
      </c>
      <c r="B289" s="58">
        <f>INT((ROWS(B$11:B289)-1)/20)+40+0.05*MOD(ROWS(B$11:B289)-1,20)</f>
        <v>53.9</v>
      </c>
      <c r="C289" s="58" t="str">
        <f t="shared" si="45"/>
        <v/>
      </c>
      <c r="D289" s="58" t="str">
        <f t="shared" si="41"/>
        <v/>
      </c>
      <c r="E289" s="30">
        <f t="shared" si="42"/>
        <v>1.0723795637531799E-5</v>
      </c>
      <c r="F289" s="30" t="str">
        <f t="shared" si="46"/>
        <v/>
      </c>
      <c r="G289" s="30" t="str">
        <f t="shared" si="46"/>
        <v/>
      </c>
      <c r="H289" s="30" t="str">
        <f t="shared" si="46"/>
        <v/>
      </c>
      <c r="I289" s="30" t="str">
        <f t="shared" si="43"/>
        <v/>
      </c>
      <c r="U289" s="26">
        <v>0</v>
      </c>
      <c r="V289" s="255">
        <f t="shared" si="40"/>
        <v>71</v>
      </c>
    </row>
    <row r="290" spans="1:23" hidden="1" x14ac:dyDescent="0.25">
      <c r="A290" s="30">
        <f t="shared" si="44"/>
        <v>-4.5</v>
      </c>
      <c r="B290" s="58">
        <f>INT((ROWS(B$11:B290)-1)/20)+40+0.05*MOD(ROWS(B$11:B290)-1,20)</f>
        <v>53.95</v>
      </c>
      <c r="C290" s="58" t="str">
        <f t="shared" si="45"/>
        <v/>
      </c>
      <c r="D290" s="58" t="str">
        <f t="shared" si="41"/>
        <v/>
      </c>
      <c r="E290" s="30">
        <f t="shared" si="42"/>
        <v>1.1311552387196125E-5</v>
      </c>
      <c r="F290" s="30" t="str">
        <f t="shared" si="46"/>
        <v/>
      </c>
      <c r="G290" s="30" t="str">
        <f t="shared" si="46"/>
        <v/>
      </c>
      <c r="H290" s="30" t="str">
        <f t="shared" si="46"/>
        <v/>
      </c>
      <c r="I290" s="30" t="str">
        <f t="shared" si="43"/>
        <v/>
      </c>
      <c r="U290" s="26">
        <v>0</v>
      </c>
      <c r="V290" s="255">
        <f t="shared" si="40"/>
        <v>71</v>
      </c>
    </row>
    <row r="291" spans="1:23" hidden="1" x14ac:dyDescent="0.25">
      <c r="A291" s="30">
        <f t="shared" si="44"/>
        <v>-4.25</v>
      </c>
      <c r="B291" s="58">
        <f>INT((ROWS(B$11:B291)-1)/20)+40+0.05*MOD(ROWS(B$11:B291)-1,20)</f>
        <v>54</v>
      </c>
      <c r="C291" s="58" t="str">
        <f t="shared" si="45"/>
        <v/>
      </c>
      <c r="D291" s="58">
        <f t="shared" si="41"/>
        <v>54</v>
      </c>
      <c r="E291" s="30">
        <f t="shared" si="42"/>
        <v>1.1929659135301238E-5</v>
      </c>
      <c r="F291" s="30" t="str">
        <f t="shared" ref="F291:H310" si="47">IF(AND($B291&gt;=F$7,$B291&lt;=F$8),E291,"")</f>
        <v/>
      </c>
      <c r="G291" s="30" t="str">
        <f t="shared" si="47"/>
        <v/>
      </c>
      <c r="H291" s="30" t="str">
        <f t="shared" si="47"/>
        <v/>
      </c>
      <c r="I291" s="30" t="str">
        <f t="shared" si="43"/>
        <v/>
      </c>
      <c r="U291" s="26">
        <v>0</v>
      </c>
      <c r="V291" s="255">
        <f t="shared" si="40"/>
        <v>71</v>
      </c>
    </row>
    <row r="292" spans="1:23" hidden="1" x14ac:dyDescent="0.25">
      <c r="A292" s="30">
        <f t="shared" si="44"/>
        <v>-4.25</v>
      </c>
      <c r="B292" s="58">
        <f>INT((ROWS(B$11:B292)-1)/20)+40+0.05*MOD(ROWS(B$11:B292)-1,20)</f>
        <v>54.05</v>
      </c>
      <c r="C292" s="58" t="str">
        <f t="shared" si="45"/>
        <v/>
      </c>
      <c r="D292" s="58" t="str">
        <f t="shared" si="41"/>
        <v/>
      </c>
      <c r="E292" s="30">
        <f t="shared" si="42"/>
        <v>1.2579575902230815E-5</v>
      </c>
      <c r="F292" s="30" t="str">
        <f t="shared" si="47"/>
        <v/>
      </c>
      <c r="G292" s="30" t="str">
        <f t="shared" si="47"/>
        <v/>
      </c>
      <c r="H292" s="30" t="str">
        <f t="shared" si="47"/>
        <v/>
      </c>
      <c r="I292" s="30" t="str">
        <f t="shared" si="43"/>
        <v/>
      </c>
      <c r="U292" s="26">
        <v>0</v>
      </c>
      <c r="V292" s="255">
        <f t="shared" si="40"/>
        <v>71</v>
      </c>
    </row>
    <row r="293" spans="1:23" hidden="1" x14ac:dyDescent="0.25">
      <c r="A293" s="30">
        <f t="shared" si="44"/>
        <v>-4.25</v>
      </c>
      <c r="B293" s="58">
        <f>INT((ROWS(B$11:B293)-1)/20)+40+0.05*MOD(ROWS(B$11:B293)-1,20)</f>
        <v>54.1</v>
      </c>
      <c r="C293" s="58" t="str">
        <f t="shared" si="45"/>
        <v/>
      </c>
      <c r="D293" s="58" t="str">
        <f t="shared" si="41"/>
        <v/>
      </c>
      <c r="E293" s="30">
        <f t="shared" si="42"/>
        <v>1.3262827053298588E-5</v>
      </c>
      <c r="F293" s="30" t="str">
        <f t="shared" si="47"/>
        <v/>
      </c>
      <c r="G293" s="30" t="str">
        <f t="shared" si="47"/>
        <v/>
      </c>
      <c r="H293" s="30" t="str">
        <f t="shared" si="47"/>
        <v/>
      </c>
      <c r="I293" s="30" t="str">
        <f t="shared" si="43"/>
        <v/>
      </c>
      <c r="U293" s="26">
        <v>0</v>
      </c>
      <c r="V293" s="255">
        <f t="shared" si="40"/>
        <v>71</v>
      </c>
    </row>
    <row r="294" spans="1:23" hidden="1" x14ac:dyDescent="0.25">
      <c r="A294" s="30">
        <f t="shared" si="44"/>
        <v>-4.25</v>
      </c>
      <c r="B294" s="58">
        <f>INT((ROWS(B$11:B294)-1)/20)+40+0.05*MOD(ROWS(B$11:B294)-1,20)</f>
        <v>54.15</v>
      </c>
      <c r="C294" s="58" t="str">
        <f t="shared" si="45"/>
        <v/>
      </c>
      <c r="D294" s="58" t="str">
        <f t="shared" si="41"/>
        <v/>
      </c>
      <c r="E294" s="30">
        <f t="shared" si="42"/>
        <v>1.3981003825677771E-5</v>
      </c>
      <c r="F294" s="30" t="str">
        <f t="shared" si="47"/>
        <v/>
      </c>
      <c r="G294" s="30" t="str">
        <f t="shared" si="47"/>
        <v/>
      </c>
      <c r="H294" s="30" t="str">
        <f t="shared" si="47"/>
        <v/>
      </c>
      <c r="I294" s="30" t="str">
        <f t="shared" si="43"/>
        <v/>
      </c>
      <c r="U294" s="26">
        <v>0</v>
      </c>
      <c r="V294" s="255">
        <f t="shared" si="40"/>
        <v>71</v>
      </c>
    </row>
    <row r="295" spans="1:23" hidden="1" x14ac:dyDescent="0.25">
      <c r="A295" s="30">
        <f t="shared" si="44"/>
        <v>-4.25</v>
      </c>
      <c r="B295" s="58">
        <f>INT((ROWS(B$11:B295)-1)/20)+40+0.05*MOD(ROWS(B$11:B295)-1,20)</f>
        <v>54.2</v>
      </c>
      <c r="C295" s="58" t="str">
        <f t="shared" si="45"/>
        <v/>
      </c>
      <c r="D295" s="58" t="str">
        <f t="shared" si="41"/>
        <v/>
      </c>
      <c r="E295" s="30">
        <f t="shared" si="42"/>
        <v>1.4735766939135015E-5</v>
      </c>
      <c r="F295" s="30" t="str">
        <f t="shared" si="47"/>
        <v/>
      </c>
      <c r="G295" s="30" t="str">
        <f t="shared" si="47"/>
        <v/>
      </c>
      <c r="H295" s="30" t="str">
        <f t="shared" si="47"/>
        <v/>
      </c>
      <c r="I295" s="30" t="str">
        <f t="shared" si="43"/>
        <v/>
      </c>
      <c r="U295" s="26">
        <v>0</v>
      </c>
      <c r="V295" s="255">
        <f t="shared" si="40"/>
        <v>71</v>
      </c>
    </row>
    <row r="296" spans="1:23" hidden="1" x14ac:dyDescent="0.25">
      <c r="A296" s="30">
        <f t="shared" si="44"/>
        <v>-4.25</v>
      </c>
      <c r="B296" s="58">
        <f>INT((ROWS(B$11:B296)-1)/20)+40+0.05*MOD(ROWS(B$11:B296)-1,20)</f>
        <v>54.25</v>
      </c>
      <c r="C296" s="58" t="str">
        <f t="shared" si="45"/>
        <v/>
      </c>
      <c r="D296" s="58" t="str">
        <f t="shared" si="41"/>
        <v/>
      </c>
      <c r="E296" s="30">
        <f t="shared" si="42"/>
        <v>1.5528849292604042E-5</v>
      </c>
      <c r="F296" s="30" t="str">
        <f t="shared" si="47"/>
        <v/>
      </c>
      <c r="G296" s="30" t="str">
        <f t="shared" si="47"/>
        <v/>
      </c>
      <c r="H296" s="30" t="str">
        <f t="shared" si="47"/>
        <v/>
      </c>
      <c r="I296" s="30" t="str">
        <f t="shared" si="43"/>
        <v/>
      </c>
      <c r="U296" s="26">
        <v>0</v>
      </c>
      <c r="V296" s="255">
        <f t="shared" si="40"/>
        <v>71</v>
      </c>
    </row>
    <row r="297" spans="1:23" hidden="1" x14ac:dyDescent="0.25">
      <c r="A297" s="30">
        <f t="shared" si="44"/>
        <v>-4.25</v>
      </c>
      <c r="B297" s="58">
        <f>INT((ROWS(B$11:B297)-1)/20)+40+0.05*MOD(ROWS(B$11:B297)-1,20)</f>
        <v>54.3</v>
      </c>
      <c r="C297" s="58" t="str">
        <f t="shared" si="45"/>
        <v/>
      </c>
      <c r="D297" s="58" t="str">
        <f t="shared" si="41"/>
        <v/>
      </c>
      <c r="E297" s="30">
        <f t="shared" si="42"/>
        <v>1.6362058748655138E-5</v>
      </c>
      <c r="F297" s="30" t="str">
        <f t="shared" si="47"/>
        <v/>
      </c>
      <c r="G297" s="30" t="str">
        <f t="shared" si="47"/>
        <v/>
      </c>
      <c r="H297" s="30" t="str">
        <f t="shared" si="47"/>
        <v/>
      </c>
      <c r="I297" s="30" t="str">
        <f t="shared" si="43"/>
        <v/>
      </c>
      <c r="U297" s="26">
        <v>0</v>
      </c>
      <c r="V297" s="255">
        <f t="shared" si="40"/>
        <v>71</v>
      </c>
    </row>
    <row r="298" spans="1:23" hidden="1" x14ac:dyDescent="0.25">
      <c r="A298" s="30">
        <f t="shared" si="44"/>
        <v>-4.25</v>
      </c>
      <c r="B298" s="58">
        <f>INT((ROWS(B$11:B298)-1)/20)+40+0.05*MOD(ROWS(B$11:B298)-1,20)</f>
        <v>54.35</v>
      </c>
      <c r="C298" s="58" t="str">
        <f t="shared" si="45"/>
        <v/>
      </c>
      <c r="D298" s="58" t="str">
        <f t="shared" si="41"/>
        <v/>
      </c>
      <c r="E298" s="30">
        <f t="shared" si="42"/>
        <v>1.7237281007922119E-5</v>
      </c>
      <c r="F298" s="30" t="str">
        <f t="shared" si="47"/>
        <v/>
      </c>
      <c r="G298" s="30" t="str">
        <f t="shared" si="47"/>
        <v/>
      </c>
      <c r="H298" s="30" t="str">
        <f t="shared" si="47"/>
        <v/>
      </c>
      <c r="I298" s="30" t="str">
        <f t="shared" si="43"/>
        <v/>
      </c>
      <c r="U298" s="26">
        <v>0</v>
      </c>
      <c r="V298" s="255">
        <f t="shared" si="40"/>
        <v>71</v>
      </c>
    </row>
    <row r="299" spans="1:23" hidden="1" x14ac:dyDescent="0.25">
      <c r="A299" s="30">
        <f t="shared" si="44"/>
        <v>-4.25</v>
      </c>
      <c r="B299" s="58">
        <f>INT((ROWS(B$11:B299)-1)/20)+40+0.05*MOD(ROWS(B$11:B299)-1,20)</f>
        <v>54.4</v>
      </c>
      <c r="C299" s="58" t="str">
        <f t="shared" si="45"/>
        <v/>
      </c>
      <c r="D299" s="58" t="str">
        <f t="shared" si="41"/>
        <v/>
      </c>
      <c r="E299" s="30">
        <f t="shared" si="42"/>
        <v>1.8156482575563081E-5</v>
      </c>
      <c r="F299" s="30" t="str">
        <f t="shared" si="47"/>
        <v/>
      </c>
      <c r="G299" s="30" t="str">
        <f t="shared" si="47"/>
        <v/>
      </c>
      <c r="H299" s="30" t="str">
        <f t="shared" si="47"/>
        <v/>
      </c>
      <c r="I299" s="30" t="str">
        <f t="shared" si="43"/>
        <v/>
      </c>
      <c r="U299" s="26">
        <v>0</v>
      </c>
      <c r="V299" s="255">
        <f t="shared" si="40"/>
        <v>71</v>
      </c>
    </row>
    <row r="300" spans="1:23" hidden="1" x14ac:dyDescent="0.25">
      <c r="A300" s="30">
        <f t="shared" si="44"/>
        <v>-4.25</v>
      </c>
      <c r="B300" s="58">
        <f>INT((ROWS(B$11:B300)-1)/20)+40+0.05*MOD(ROWS(B$11:B300)-1,20)</f>
        <v>54.45</v>
      </c>
      <c r="C300" s="58" t="str">
        <f t="shared" si="45"/>
        <v/>
      </c>
      <c r="D300" s="58" t="str">
        <f t="shared" si="41"/>
        <v/>
      </c>
      <c r="E300" s="30">
        <f t="shared" si="42"/>
        <v>1.912171382183933E-5</v>
      </c>
      <c r="F300" s="30" t="str">
        <f t="shared" si="47"/>
        <v/>
      </c>
      <c r="G300" s="30" t="str">
        <f t="shared" si="47"/>
        <v/>
      </c>
      <c r="H300" s="30" t="str">
        <f t="shared" si="47"/>
        <v/>
      </c>
      <c r="I300" s="30" t="str">
        <f t="shared" si="43"/>
        <v/>
      </c>
      <c r="U300" s="26">
        <v>0</v>
      </c>
      <c r="V300" s="255">
        <f t="shared" si="40"/>
        <v>71</v>
      </c>
    </row>
    <row r="301" spans="1:23" x14ac:dyDescent="0.25">
      <c r="A301" s="30">
        <f t="shared" si="44"/>
        <v>-4.25</v>
      </c>
      <c r="B301" s="94">
        <f>INT((ROWS(B$11:B301)-1)/20)+40+0.05*MOD(ROWS(B$11:B301)-1,20)</f>
        <v>54.5</v>
      </c>
      <c r="C301" s="58" t="str">
        <f t="shared" si="45"/>
        <v/>
      </c>
      <c r="D301" s="58" t="str">
        <f t="shared" ref="D301:D364" si="48">IF(ISNUMBER(MATCH(B301,$K$2:$K$8,0)),TEXT(B301,"0\""")&amp;CHAR(10)&amp;TEXT((B301-$F$1)/$F$2," 0 z"),"")</f>
        <v/>
      </c>
      <c r="E301" s="30">
        <f t="shared" si="42"/>
        <v>2.0135112138898535E-5</v>
      </c>
      <c r="F301" s="30" t="str">
        <f t="shared" si="47"/>
        <v/>
      </c>
      <c r="G301" s="30" t="str">
        <f t="shared" si="47"/>
        <v/>
      </c>
      <c r="H301" s="30" t="str">
        <f t="shared" si="47"/>
        <v/>
      </c>
      <c r="I301" s="30" t="str">
        <f>IF(AND(B301&gt;=$F$1-0.05,B301&lt;=$F$1+0.05),E301,"")</f>
        <v/>
      </c>
      <c r="U301" s="26">
        <v>0</v>
      </c>
      <c r="V301" s="255">
        <f t="shared" si="40"/>
        <v>71</v>
      </c>
    </row>
    <row r="302" spans="1:23" x14ac:dyDescent="0.25">
      <c r="A302" s="30">
        <f t="shared" si="44"/>
        <v>-4.25</v>
      </c>
      <c r="B302" s="94">
        <f>INT((ROWS(B$11:B302)-1)/20)+40+0.05*MOD(ROWS(B$11:B302)-1,20)</f>
        <v>54.55</v>
      </c>
      <c r="C302" s="58" t="str">
        <f t="shared" si="45"/>
        <v/>
      </c>
      <c r="D302" s="58" t="str">
        <f t="shared" si="48"/>
        <v/>
      </c>
      <c r="E302" s="30">
        <f t="shared" si="42"/>
        <v>2.1198905195858671E-5</v>
      </c>
      <c r="F302" s="30" t="str">
        <f t="shared" si="47"/>
        <v/>
      </c>
      <c r="G302" s="30" t="str">
        <f t="shared" si="47"/>
        <v/>
      </c>
      <c r="H302" s="30" t="str">
        <f t="shared" si="47"/>
        <v/>
      </c>
      <c r="I302" s="30" t="str">
        <f t="shared" ref="I302:I365" si="49">IF(AND(B302&gt;=$F$1-0.05,B302&lt;=$F$1+0.05),E302,"")</f>
        <v/>
      </c>
      <c r="U302" s="26">
        <v>0</v>
      </c>
      <c r="V302" s="255">
        <f t="shared" si="40"/>
        <v>71</v>
      </c>
    </row>
    <row r="303" spans="1:23" x14ac:dyDescent="0.25">
      <c r="A303" s="30">
        <f t="shared" si="44"/>
        <v>-4.25</v>
      </c>
      <c r="B303" s="94">
        <f>INT((ROWS(B$11:B303)-1)/20)+40+0.05*MOD(ROWS(B$11:B303)-1,20)</f>
        <v>54.6</v>
      </c>
      <c r="C303" s="58" t="str">
        <f t="shared" si="45"/>
        <v/>
      </c>
      <c r="D303" s="58" t="str">
        <f t="shared" si="48"/>
        <v/>
      </c>
      <c r="E303" s="30">
        <f t="shared" si="42"/>
        <v>2.2315414294283232E-5</v>
      </c>
      <c r="F303" s="30" t="str">
        <f t="shared" si="47"/>
        <v/>
      </c>
      <c r="G303" s="30" t="str">
        <f t="shared" si="47"/>
        <v/>
      </c>
      <c r="H303" s="30" t="str">
        <f t="shared" si="47"/>
        <v/>
      </c>
      <c r="I303" s="30" t="str">
        <f t="shared" si="49"/>
        <v/>
      </c>
      <c r="U303" s="62" t="s">
        <v>633</v>
      </c>
      <c r="V303" s="62" t="s">
        <v>365</v>
      </c>
      <c r="W303" s="62" t="str">
        <f>"Line"&amp;U304</f>
        <v>Line1</v>
      </c>
    </row>
    <row r="304" spans="1:23" x14ac:dyDescent="0.25">
      <c r="A304" s="30">
        <f t="shared" si="44"/>
        <v>-4.25</v>
      </c>
      <c r="B304" s="94">
        <f>INT((ROWS(B$11:B304)-1)/20)+40+0.05*MOD(ROWS(B$11:B304)-1,20)</f>
        <v>54.65</v>
      </c>
      <c r="C304" s="58" t="str">
        <f t="shared" si="45"/>
        <v/>
      </c>
      <c r="D304" s="58" t="str">
        <f t="shared" si="48"/>
        <v/>
      </c>
      <c r="E304" s="30">
        <f t="shared" si="42"/>
        <v>2.3487057826141418E-5</v>
      </c>
      <c r="F304" s="30" t="str">
        <f t="shared" si="47"/>
        <v/>
      </c>
      <c r="G304" s="30" t="str">
        <f t="shared" si="47"/>
        <v/>
      </c>
      <c r="H304" s="30" t="str">
        <f t="shared" si="47"/>
        <v/>
      </c>
      <c r="I304" s="30" t="str">
        <f t="shared" si="49"/>
        <v/>
      </c>
      <c r="U304" s="26">
        <v>1</v>
      </c>
      <c r="V304" s="255">
        <f>$F$1+U304*$F$2</f>
        <v>75</v>
      </c>
      <c r="W304" s="26">
        <v>0</v>
      </c>
    </row>
    <row r="305" spans="1:23" x14ac:dyDescent="0.25">
      <c r="A305" s="30">
        <f t="shared" si="44"/>
        <v>-4.25</v>
      </c>
      <c r="B305" s="94">
        <f>INT((ROWS(B$11:B305)-1)/20)+40+0.05*MOD(ROWS(B$11:B305)-1,20)</f>
        <v>54.7</v>
      </c>
      <c r="C305" s="58" t="str">
        <f t="shared" si="45"/>
        <v/>
      </c>
      <c r="D305" s="58" t="str">
        <f t="shared" si="48"/>
        <v/>
      </c>
      <c r="E305" s="30">
        <f t="shared" si="42"/>
        <v>2.4716354836342382E-5</v>
      </c>
      <c r="F305" s="30" t="str">
        <f t="shared" si="47"/>
        <v/>
      </c>
      <c r="G305" s="30" t="str">
        <f t="shared" si="47"/>
        <v/>
      </c>
      <c r="H305" s="30" t="str">
        <f t="shared" si="47"/>
        <v/>
      </c>
      <c r="I305" s="30" t="str">
        <f t="shared" si="49"/>
        <v/>
      </c>
      <c r="U305" s="26">
        <v>1</v>
      </c>
      <c r="V305" s="255">
        <f>$F$1+U305*$F$2</f>
        <v>75</v>
      </c>
      <c r="W305" s="26">
        <v>0.11</v>
      </c>
    </row>
    <row r="306" spans="1:23" x14ac:dyDescent="0.25">
      <c r="A306" s="30">
        <f t="shared" si="44"/>
        <v>-4.25</v>
      </c>
      <c r="B306" s="94">
        <f>INT((ROWS(B$11:B306)-1)/20)+40+0.05*MOD(ROWS(B$11:B306)-1,20)</f>
        <v>54.75</v>
      </c>
      <c r="C306" s="58" t="str">
        <f t="shared" si="45"/>
        <v/>
      </c>
      <c r="D306" s="58" t="str">
        <f t="shared" si="48"/>
        <v/>
      </c>
      <c r="E306" s="30">
        <f t="shared" si="42"/>
        <v>2.6005928691920975E-5</v>
      </c>
      <c r="F306" s="30" t="str">
        <f t="shared" si="47"/>
        <v/>
      </c>
      <c r="G306" s="30" t="str">
        <f t="shared" si="47"/>
        <v/>
      </c>
      <c r="H306" s="30" t="str">
        <f t="shared" si="47"/>
        <v/>
      </c>
      <c r="I306" s="30" t="str">
        <f t="shared" si="49"/>
        <v/>
      </c>
      <c r="U306" s="62" t="s">
        <v>633</v>
      </c>
      <c r="V306" s="62" t="s">
        <v>365</v>
      </c>
      <c r="W306" s="62" t="str">
        <f>"Line"&amp;U307</f>
        <v>Line2</v>
      </c>
    </row>
    <row r="307" spans="1:23" x14ac:dyDescent="0.25">
      <c r="A307" s="30">
        <f t="shared" si="44"/>
        <v>-4.25</v>
      </c>
      <c r="B307" s="94">
        <f>INT((ROWS(B$11:B307)-1)/20)+40+0.05*MOD(ROWS(B$11:B307)-1,20)</f>
        <v>54.8</v>
      </c>
      <c r="C307" s="58" t="str">
        <f t="shared" si="45"/>
        <v/>
      </c>
      <c r="D307" s="58" t="str">
        <f t="shared" si="48"/>
        <v/>
      </c>
      <c r="E307" s="30">
        <f t="shared" si="42"/>
        <v>2.735851085995004E-5</v>
      </c>
      <c r="F307" s="30" t="str">
        <f t="shared" si="47"/>
        <v/>
      </c>
      <c r="G307" s="30" t="str">
        <f t="shared" si="47"/>
        <v/>
      </c>
      <c r="H307" s="30" t="str">
        <f t="shared" si="47"/>
        <v/>
      </c>
      <c r="I307" s="30" t="str">
        <f t="shared" si="49"/>
        <v/>
      </c>
      <c r="U307" s="26">
        <v>2</v>
      </c>
      <c r="V307" s="255">
        <f>$F$1+U307*$F$2</f>
        <v>79</v>
      </c>
      <c r="W307" s="26">
        <v>0</v>
      </c>
    </row>
    <row r="308" spans="1:23" x14ac:dyDescent="0.25">
      <c r="A308" s="30">
        <f t="shared" si="44"/>
        <v>-4.25</v>
      </c>
      <c r="B308" s="94">
        <f>INT((ROWS(B$11:B308)-1)/20)+40+0.05*MOD(ROWS(B$11:B308)-1,20)</f>
        <v>54.85</v>
      </c>
      <c r="C308" s="58" t="str">
        <f t="shared" si="45"/>
        <v/>
      </c>
      <c r="D308" s="58" t="str">
        <f t="shared" si="48"/>
        <v/>
      </c>
      <c r="E308" s="30">
        <f t="shared" si="42"/>
        <v>2.8776944796231929E-5</v>
      </c>
      <c r="F308" s="30" t="str">
        <f t="shared" si="47"/>
        <v/>
      </c>
      <c r="G308" s="30" t="str">
        <f t="shared" si="47"/>
        <v/>
      </c>
      <c r="H308" s="30" t="str">
        <f t="shared" si="47"/>
        <v/>
      </c>
      <c r="I308" s="30" t="str">
        <f t="shared" si="49"/>
        <v/>
      </c>
      <c r="U308" s="26">
        <v>2</v>
      </c>
      <c r="V308" s="255">
        <f>$F$1+U308*$F$2</f>
        <v>79</v>
      </c>
      <c r="W308" s="26">
        <v>0.12</v>
      </c>
    </row>
    <row r="309" spans="1:23" x14ac:dyDescent="0.25">
      <c r="A309" s="30">
        <f t="shared" si="44"/>
        <v>-4.25</v>
      </c>
      <c r="B309" s="94">
        <f>INT((ROWS(B$11:B309)-1)/20)+40+0.05*MOD(ROWS(B$11:B309)-1,20)</f>
        <v>54.9</v>
      </c>
      <c r="C309" s="58" t="str">
        <f t="shared" si="45"/>
        <v/>
      </c>
      <c r="D309" s="58" t="str">
        <f t="shared" si="48"/>
        <v/>
      </c>
      <c r="E309" s="30">
        <f t="shared" si="42"/>
        <v>3.0264189946811098E-5</v>
      </c>
      <c r="F309" s="30" t="str">
        <f t="shared" si="47"/>
        <v/>
      </c>
      <c r="G309" s="30" t="str">
        <f t="shared" si="47"/>
        <v/>
      </c>
      <c r="H309" s="30" t="str">
        <f t="shared" si="47"/>
        <v/>
      </c>
      <c r="I309" s="30" t="str">
        <f t="shared" si="49"/>
        <v/>
      </c>
      <c r="U309" s="62" t="s">
        <v>633</v>
      </c>
      <c r="V309" s="62" t="s">
        <v>365</v>
      </c>
      <c r="W309" s="62" t="str">
        <f>"Line"&amp;U310</f>
        <v>Line3</v>
      </c>
    </row>
    <row r="310" spans="1:23" x14ac:dyDescent="0.25">
      <c r="A310" s="30">
        <f t="shared" si="44"/>
        <v>-4.25</v>
      </c>
      <c r="B310" s="94">
        <f>INT((ROWS(B$11:B310)-1)/20)+40+0.05*MOD(ROWS(B$11:B310)-1,20)</f>
        <v>54.95</v>
      </c>
      <c r="C310" s="58" t="str">
        <f t="shared" si="45"/>
        <v/>
      </c>
      <c r="D310" s="58" t="str">
        <f t="shared" si="48"/>
        <v/>
      </c>
      <c r="E310" s="30">
        <f t="shared" si="42"/>
        <v>3.1823325864330464E-5</v>
      </c>
      <c r="F310" s="30" t="str">
        <f t="shared" si="47"/>
        <v/>
      </c>
      <c r="G310" s="30" t="str">
        <f t="shared" si="47"/>
        <v/>
      </c>
      <c r="H310" s="30" t="str">
        <f t="shared" si="47"/>
        <v/>
      </c>
      <c r="I310" s="30" t="str">
        <f t="shared" si="49"/>
        <v/>
      </c>
      <c r="U310" s="26">
        <v>3</v>
      </c>
      <c r="V310" s="255">
        <f>$F$1+U310*$F$2</f>
        <v>83</v>
      </c>
      <c r="W310" s="26">
        <v>0</v>
      </c>
    </row>
    <row r="311" spans="1:23" x14ac:dyDescent="0.25">
      <c r="A311" s="30">
        <f t="shared" si="44"/>
        <v>-4</v>
      </c>
      <c r="B311" s="94">
        <f>INT((ROWS(B$11:B311)-1)/20)+40+0.05*MOD(ROWS(B$11:B311)-1,20)</f>
        <v>55</v>
      </c>
      <c r="C311" s="58">
        <f t="shared" si="45"/>
        <v>-4</v>
      </c>
      <c r="D311" s="58" t="str">
        <f t="shared" si="48"/>
        <v/>
      </c>
      <c r="E311" s="30">
        <f t="shared" si="42"/>
        <v>3.3457556441221342E-5</v>
      </c>
      <c r="F311" s="30" t="str">
        <f t="shared" ref="F311:H330" si="50">IF(AND($B311&gt;=F$7,$B311&lt;=F$8),E311,"")</f>
        <v/>
      </c>
      <c r="G311" s="30" t="str">
        <f t="shared" si="50"/>
        <v/>
      </c>
      <c r="H311" s="30" t="str">
        <f t="shared" si="50"/>
        <v/>
      </c>
      <c r="I311" s="30" t="str">
        <f t="shared" si="49"/>
        <v/>
      </c>
      <c r="U311" s="26">
        <v>3</v>
      </c>
      <c r="V311" s="255">
        <f>$F$1+U311*$F$2</f>
        <v>83</v>
      </c>
      <c r="W311" s="26">
        <v>0.15</v>
      </c>
    </row>
    <row r="312" spans="1:23" x14ac:dyDescent="0.25">
      <c r="A312" s="30">
        <f t="shared" si="44"/>
        <v>-4</v>
      </c>
      <c r="B312" s="94">
        <f>INT((ROWS(B$11:B312)-1)/20)+40+0.05*MOD(ROWS(B$11:B312)-1,20)</f>
        <v>55.05</v>
      </c>
      <c r="C312" s="58" t="str">
        <f t="shared" si="45"/>
        <v/>
      </c>
      <c r="D312" s="58" t="str">
        <f t="shared" si="48"/>
        <v/>
      </c>
      <c r="E312" s="30">
        <f t="shared" si="42"/>
        <v>3.5170214261702399E-5</v>
      </c>
      <c r="F312" s="30" t="str">
        <f t="shared" si="50"/>
        <v/>
      </c>
      <c r="G312" s="30" t="str">
        <f t="shared" si="50"/>
        <v/>
      </c>
      <c r="H312" s="30" t="str">
        <f t="shared" si="50"/>
        <v/>
      </c>
      <c r="I312" s="30" t="str">
        <f t="shared" si="49"/>
        <v/>
      </c>
    </row>
    <row r="313" spans="1:23" x14ac:dyDescent="0.25">
      <c r="A313" s="30">
        <f t="shared" si="44"/>
        <v>-4</v>
      </c>
      <c r="B313" s="94">
        <f>INT((ROWS(B$11:B313)-1)/20)+40+0.05*MOD(ROWS(B$11:B313)-1,20)</f>
        <v>55.1</v>
      </c>
      <c r="C313" s="58" t="str">
        <f t="shared" si="45"/>
        <v/>
      </c>
      <c r="D313" s="58" t="str">
        <f t="shared" si="48"/>
        <v/>
      </c>
      <c r="E313" s="30">
        <f t="shared" si="42"/>
        <v>3.6964765074518469E-5</v>
      </c>
      <c r="F313" s="30" t="str">
        <f t="shared" si="50"/>
        <v/>
      </c>
      <c r="G313" s="30" t="str">
        <f t="shared" si="50"/>
        <v/>
      </c>
      <c r="H313" s="30" t="str">
        <f t="shared" si="50"/>
        <v/>
      </c>
      <c r="I313" s="30" t="str">
        <f t="shared" si="49"/>
        <v/>
      </c>
    </row>
    <row r="314" spans="1:23" x14ac:dyDescent="0.25">
      <c r="A314" s="30">
        <f t="shared" si="44"/>
        <v>-4</v>
      </c>
      <c r="B314" s="94">
        <f>INT((ROWS(B$11:B314)-1)/20)+40+0.05*MOD(ROWS(B$11:B314)-1,20)</f>
        <v>55.15</v>
      </c>
      <c r="C314" s="58" t="str">
        <f t="shared" si="45"/>
        <v/>
      </c>
      <c r="D314" s="58" t="str">
        <f t="shared" si="48"/>
        <v/>
      </c>
      <c r="E314" s="30">
        <f t="shared" si="42"/>
        <v>3.8844812388321954E-5</v>
      </c>
      <c r="F314" s="30" t="str">
        <f t="shared" si="50"/>
        <v/>
      </c>
      <c r="G314" s="30" t="str">
        <f t="shared" si="50"/>
        <v/>
      </c>
      <c r="H314" s="30" t="str">
        <f t="shared" si="50"/>
        <v/>
      </c>
      <c r="I314" s="30" t="str">
        <f t="shared" si="49"/>
        <v/>
      </c>
    </row>
    <row r="315" spans="1:23" x14ac:dyDescent="0.25">
      <c r="A315" s="30">
        <f t="shared" si="44"/>
        <v>-4</v>
      </c>
      <c r="B315" s="94">
        <f>INT((ROWS(B$11:B315)-1)/20)+40+0.05*MOD(ROWS(B$11:B315)-1,20)</f>
        <v>55.2</v>
      </c>
      <c r="C315" s="58" t="str">
        <f t="shared" si="45"/>
        <v/>
      </c>
      <c r="D315" s="58" t="str">
        <f t="shared" si="48"/>
        <v/>
      </c>
      <c r="E315" s="30">
        <f t="shared" si="42"/>
        <v>4.0814102191560646E-5</v>
      </c>
      <c r="F315" s="30" t="str">
        <f t="shared" si="50"/>
        <v/>
      </c>
      <c r="G315" s="30" t="str">
        <f t="shared" si="50"/>
        <v/>
      </c>
      <c r="H315" s="30" t="str">
        <f t="shared" si="50"/>
        <v/>
      </c>
      <c r="I315" s="30" t="str">
        <f t="shared" si="49"/>
        <v/>
      </c>
    </row>
    <row r="316" spans="1:23" x14ac:dyDescent="0.25">
      <c r="A316" s="30">
        <f t="shared" si="44"/>
        <v>-4</v>
      </c>
      <c r="B316" s="94">
        <f>INT((ROWS(B$11:B316)-1)/20)+40+0.05*MOD(ROWS(B$11:B316)-1,20)</f>
        <v>55.25</v>
      </c>
      <c r="C316" s="58" t="str">
        <f t="shared" si="45"/>
        <v/>
      </c>
      <c r="D316" s="58" t="str">
        <f t="shared" si="48"/>
        <v/>
      </c>
      <c r="E316" s="30">
        <f t="shared" si="42"/>
        <v>4.2876527798680873E-5</v>
      </c>
      <c r="F316" s="30" t="str">
        <f t="shared" si="50"/>
        <v/>
      </c>
      <c r="G316" s="30" t="str">
        <f t="shared" si="50"/>
        <v/>
      </c>
      <c r="H316" s="30" t="str">
        <f t="shared" si="50"/>
        <v/>
      </c>
      <c r="I316" s="30" t="str">
        <f t="shared" si="49"/>
        <v/>
      </c>
    </row>
    <row r="317" spans="1:23" x14ac:dyDescent="0.25">
      <c r="A317" s="30">
        <f t="shared" si="44"/>
        <v>-4</v>
      </c>
      <c r="B317" s="94">
        <f>INT((ROWS(B$11:B317)-1)/20)+40+0.05*MOD(ROWS(B$11:B317)-1,20)</f>
        <v>55.3</v>
      </c>
      <c r="C317" s="58" t="str">
        <f t="shared" si="45"/>
        <v/>
      </c>
      <c r="D317" s="58" t="str">
        <f t="shared" si="48"/>
        <v/>
      </c>
      <c r="E317" s="30">
        <f t="shared" si="42"/>
        <v>4.503613482442204E-5</v>
      </c>
      <c r="F317" s="30" t="str">
        <f t="shared" si="50"/>
        <v/>
      </c>
      <c r="G317" s="30" t="str">
        <f t="shared" si="50"/>
        <v/>
      </c>
      <c r="H317" s="30" t="str">
        <f t="shared" si="50"/>
        <v/>
      </c>
      <c r="I317" s="30" t="str">
        <f t="shared" si="49"/>
        <v/>
      </c>
    </row>
    <row r="318" spans="1:23" x14ac:dyDescent="0.25">
      <c r="A318" s="30">
        <f t="shared" si="44"/>
        <v>-4</v>
      </c>
      <c r="B318" s="94">
        <f>INT((ROWS(B$11:B318)-1)/20)+40+0.05*MOD(ROWS(B$11:B318)-1,20)</f>
        <v>55.35</v>
      </c>
      <c r="C318" s="58" t="str">
        <f t="shared" si="45"/>
        <v/>
      </c>
      <c r="D318" s="58" t="str">
        <f t="shared" si="48"/>
        <v/>
      </c>
      <c r="E318" s="30">
        <f t="shared" si="42"/>
        <v>4.729712628790806E-5</v>
      </c>
      <c r="F318" s="30" t="str">
        <f t="shared" si="50"/>
        <v/>
      </c>
      <c r="G318" s="30" t="str">
        <f t="shared" si="50"/>
        <v/>
      </c>
      <c r="H318" s="30" t="str">
        <f t="shared" si="50"/>
        <v/>
      </c>
      <c r="I318" s="30" t="str">
        <f t="shared" si="49"/>
        <v/>
      </c>
    </row>
    <row r="319" spans="1:23" x14ac:dyDescent="0.25">
      <c r="A319" s="30">
        <f t="shared" si="44"/>
        <v>-4</v>
      </c>
      <c r="B319" s="94">
        <f>INT((ROWS(B$11:B319)-1)/20)+40+0.05*MOD(ROWS(B$11:B319)-1,20)</f>
        <v>55.4</v>
      </c>
      <c r="C319" s="58" t="str">
        <f t="shared" si="45"/>
        <v/>
      </c>
      <c r="D319" s="58" t="str">
        <f t="shared" si="48"/>
        <v/>
      </c>
      <c r="E319" s="30">
        <f t="shared" si="42"/>
        <v>4.9663867848193091E-5</v>
      </c>
      <c r="F319" s="30" t="str">
        <f t="shared" si="50"/>
        <v/>
      </c>
      <c r="G319" s="30" t="str">
        <f t="shared" si="50"/>
        <v/>
      </c>
      <c r="H319" s="30" t="str">
        <f t="shared" si="50"/>
        <v/>
      </c>
      <c r="I319" s="30" t="str">
        <f t="shared" si="49"/>
        <v/>
      </c>
    </row>
    <row r="320" spans="1:23" x14ac:dyDescent="0.25">
      <c r="A320" s="30">
        <f t="shared" si="44"/>
        <v>-4</v>
      </c>
      <c r="B320" s="94">
        <f>INT((ROWS(B$11:B320)-1)/20)+40+0.05*MOD(ROWS(B$11:B320)-1,20)</f>
        <v>55.45</v>
      </c>
      <c r="C320" s="58" t="str">
        <f t="shared" si="45"/>
        <v/>
      </c>
      <c r="D320" s="58" t="str">
        <f t="shared" si="48"/>
        <v/>
      </c>
      <c r="E320" s="30">
        <f t="shared" si="42"/>
        <v>5.2140893172855465E-5</v>
      </c>
      <c r="F320" s="30" t="str">
        <f t="shared" si="50"/>
        <v/>
      </c>
      <c r="G320" s="30" t="str">
        <f t="shared" si="50"/>
        <v/>
      </c>
      <c r="H320" s="30" t="str">
        <f t="shared" si="50"/>
        <v/>
      </c>
      <c r="I320" s="30" t="str">
        <f t="shared" si="49"/>
        <v/>
      </c>
    </row>
    <row r="321" spans="1:9" x14ac:dyDescent="0.25">
      <c r="A321" s="30">
        <f t="shared" si="44"/>
        <v>-4</v>
      </c>
      <c r="B321" s="94">
        <f>INT((ROWS(B$11:B321)-1)/20)+40+0.05*MOD(ROWS(B$11:B321)-1,20)</f>
        <v>55.5</v>
      </c>
      <c r="C321" s="58" t="str">
        <f t="shared" si="45"/>
        <v/>
      </c>
      <c r="D321" s="58" t="str">
        <f t="shared" si="48"/>
        <v/>
      </c>
      <c r="E321" s="30">
        <f t="shared" si="42"/>
        <v>5.4732909441153025E-5</v>
      </c>
      <c r="F321" s="30" t="str">
        <f t="shared" si="50"/>
        <v/>
      </c>
      <c r="G321" s="30" t="str">
        <f t="shared" si="50"/>
        <v/>
      </c>
      <c r="H321" s="30" t="str">
        <f t="shared" si="50"/>
        <v/>
      </c>
      <c r="I321" s="30" t="str">
        <f t="shared" si="49"/>
        <v/>
      </c>
    </row>
    <row r="322" spans="1:9" x14ac:dyDescent="0.25">
      <c r="A322" s="30">
        <f t="shared" si="44"/>
        <v>-4</v>
      </c>
      <c r="B322" s="94">
        <f>INT((ROWS(B$11:B322)-1)/20)+40+0.05*MOD(ROWS(B$11:B322)-1,20)</f>
        <v>55.55</v>
      </c>
      <c r="C322" s="58" t="str">
        <f t="shared" si="45"/>
        <v/>
      </c>
      <c r="D322" s="58" t="str">
        <f t="shared" si="48"/>
        <v/>
      </c>
      <c r="E322" s="30">
        <f t="shared" si="42"/>
        <v>5.7444802983196287E-5</v>
      </c>
      <c r="F322" s="30" t="str">
        <f t="shared" si="50"/>
        <v/>
      </c>
      <c r="G322" s="30" t="str">
        <f t="shared" si="50"/>
        <v/>
      </c>
      <c r="H322" s="30" t="str">
        <f t="shared" si="50"/>
        <v/>
      </c>
      <c r="I322" s="30" t="str">
        <f t="shared" si="49"/>
        <v/>
      </c>
    </row>
    <row r="323" spans="1:9" x14ac:dyDescent="0.25">
      <c r="A323" s="30">
        <f t="shared" si="44"/>
        <v>-4</v>
      </c>
      <c r="B323" s="94">
        <f>INT((ROWS(B$11:B323)-1)/20)+40+0.05*MOD(ROWS(B$11:B323)-1,20)</f>
        <v>55.6</v>
      </c>
      <c r="C323" s="58" t="str">
        <f t="shared" si="45"/>
        <v/>
      </c>
      <c r="D323" s="58" t="str">
        <f t="shared" si="48"/>
        <v/>
      </c>
      <c r="E323" s="30">
        <f t="shared" si="42"/>
        <v>6.0281645056498418E-5</v>
      </c>
      <c r="F323" s="30" t="str">
        <f t="shared" si="50"/>
        <v/>
      </c>
      <c r="G323" s="30" t="str">
        <f t="shared" si="50"/>
        <v/>
      </c>
      <c r="H323" s="30" t="str">
        <f t="shared" si="50"/>
        <v/>
      </c>
      <c r="I323" s="30" t="str">
        <f t="shared" si="49"/>
        <v/>
      </c>
    </row>
    <row r="324" spans="1:9" x14ac:dyDescent="0.25">
      <c r="A324" s="30">
        <f t="shared" si="44"/>
        <v>-4</v>
      </c>
      <c r="B324" s="94">
        <f>INT((ROWS(B$11:B324)-1)/20)+40+0.05*MOD(ROWS(B$11:B324)-1,20)</f>
        <v>55.65</v>
      </c>
      <c r="C324" s="58" t="str">
        <f t="shared" si="45"/>
        <v/>
      </c>
      <c r="D324" s="58" t="str">
        <f t="shared" si="48"/>
        <v/>
      </c>
      <c r="E324" s="30">
        <f t="shared" si="42"/>
        <v>6.3248697761185001E-5</v>
      </c>
      <c r="F324" s="30" t="str">
        <f t="shared" si="50"/>
        <v/>
      </c>
      <c r="G324" s="30" t="str">
        <f t="shared" si="50"/>
        <v/>
      </c>
      <c r="H324" s="30" t="str">
        <f t="shared" si="50"/>
        <v/>
      </c>
      <c r="I324" s="30" t="str">
        <f t="shared" si="49"/>
        <v/>
      </c>
    </row>
    <row r="325" spans="1:9" x14ac:dyDescent="0.25">
      <c r="A325" s="30">
        <f t="shared" si="44"/>
        <v>-4</v>
      </c>
      <c r="B325" s="94">
        <f>INT((ROWS(B$11:B325)-1)/20)+40+0.05*MOD(ROWS(B$11:B325)-1,20)</f>
        <v>55.7</v>
      </c>
      <c r="C325" s="58" t="str">
        <f t="shared" si="45"/>
        <v/>
      </c>
      <c r="D325" s="58" t="str">
        <f t="shared" si="48"/>
        <v/>
      </c>
      <c r="E325" s="30">
        <f t="shared" si="42"/>
        <v>6.6351420095057308E-5</v>
      </c>
      <c r="F325" s="30" t="str">
        <f t="shared" si="50"/>
        <v/>
      </c>
      <c r="G325" s="30" t="str">
        <f t="shared" si="50"/>
        <v/>
      </c>
      <c r="H325" s="30" t="str">
        <f t="shared" si="50"/>
        <v/>
      </c>
      <c r="I325" s="30" t="str">
        <f t="shared" si="49"/>
        <v/>
      </c>
    </row>
    <row r="326" spans="1:9" x14ac:dyDescent="0.25">
      <c r="A326" s="30">
        <f t="shared" si="44"/>
        <v>-4</v>
      </c>
      <c r="B326" s="94">
        <f>INT((ROWS(B$11:B326)-1)/20)+40+0.05*MOD(ROWS(B$11:B326)-1,20)</f>
        <v>55.75</v>
      </c>
      <c r="C326" s="58" t="str">
        <f t="shared" si="45"/>
        <v/>
      </c>
      <c r="D326" s="58" t="str">
        <f t="shared" si="48"/>
        <v/>
      </c>
      <c r="E326" s="30">
        <f t="shared" si="42"/>
        <v>6.9595474149590522E-5</v>
      </c>
      <c r="F326" s="30" t="str">
        <f t="shared" si="50"/>
        <v/>
      </c>
      <c r="G326" s="30" t="str">
        <f t="shared" si="50"/>
        <v/>
      </c>
      <c r="H326" s="30" t="str">
        <f t="shared" si="50"/>
        <v/>
      </c>
      <c r="I326" s="30" t="str">
        <f t="shared" si="49"/>
        <v/>
      </c>
    </row>
    <row r="327" spans="1:9" x14ac:dyDescent="0.25">
      <c r="A327" s="30">
        <f t="shared" si="44"/>
        <v>-4</v>
      </c>
      <c r="B327" s="94">
        <f>INT((ROWS(B$11:B327)-1)/20)+40+0.05*MOD(ROWS(B$11:B327)-1,20)</f>
        <v>55.8</v>
      </c>
      <c r="C327" s="58" t="str">
        <f t="shared" si="45"/>
        <v/>
      </c>
      <c r="D327" s="58" t="str">
        <f t="shared" si="48"/>
        <v/>
      </c>
      <c r="E327" s="30">
        <f t="shared" si="42"/>
        <v>7.2986731447864878E-5</v>
      </c>
      <c r="F327" s="30" t="str">
        <f t="shared" si="50"/>
        <v/>
      </c>
      <c r="G327" s="30" t="str">
        <f t="shared" si="50"/>
        <v/>
      </c>
      <c r="H327" s="30" t="str">
        <f t="shared" si="50"/>
        <v/>
      </c>
      <c r="I327" s="30" t="str">
        <f t="shared" si="49"/>
        <v/>
      </c>
    </row>
    <row r="328" spans="1:9" x14ac:dyDescent="0.25">
      <c r="A328" s="30">
        <f t="shared" si="44"/>
        <v>-4</v>
      </c>
      <c r="B328" s="94">
        <f>INT((ROWS(B$11:B328)-1)/20)+40+0.05*MOD(ROWS(B$11:B328)-1,20)</f>
        <v>55.85</v>
      </c>
      <c r="C328" s="58" t="str">
        <f t="shared" si="45"/>
        <v/>
      </c>
      <c r="D328" s="58" t="str">
        <f t="shared" si="48"/>
        <v/>
      </c>
      <c r="E328" s="30">
        <f t="shared" si="42"/>
        <v>7.6531279425297126E-5</v>
      </c>
      <c r="F328" s="30" t="str">
        <f t="shared" si="50"/>
        <v/>
      </c>
      <c r="G328" s="30" t="str">
        <f t="shared" si="50"/>
        <v/>
      </c>
      <c r="H328" s="30" t="str">
        <f t="shared" si="50"/>
        <v/>
      </c>
      <c r="I328" s="30" t="str">
        <f t="shared" si="49"/>
        <v/>
      </c>
    </row>
    <row r="329" spans="1:9" x14ac:dyDescent="0.25">
      <c r="A329" s="30">
        <f t="shared" si="44"/>
        <v>-4</v>
      </c>
      <c r="B329" s="94">
        <f>INT((ROWS(B$11:B329)-1)/20)+40+0.05*MOD(ROWS(B$11:B329)-1,20)</f>
        <v>55.9</v>
      </c>
      <c r="C329" s="58" t="str">
        <f t="shared" si="45"/>
        <v/>
      </c>
      <c r="D329" s="58" t="str">
        <f t="shared" si="48"/>
        <v/>
      </c>
      <c r="E329" s="30">
        <f t="shared" si="42"/>
        <v>8.0235428053934997E-5</v>
      </c>
      <c r="F329" s="30" t="str">
        <f t="shared" si="50"/>
        <v/>
      </c>
      <c r="G329" s="30" t="str">
        <f t="shared" si="50"/>
        <v/>
      </c>
      <c r="H329" s="30" t="str">
        <f t="shared" si="50"/>
        <v/>
      </c>
      <c r="I329" s="30" t="str">
        <f t="shared" si="49"/>
        <v/>
      </c>
    </row>
    <row r="330" spans="1:9" x14ac:dyDescent="0.25">
      <c r="A330" s="30">
        <f t="shared" si="44"/>
        <v>-4</v>
      </c>
      <c r="B330" s="94">
        <f>INT((ROWS(B$11:B330)-1)/20)+40+0.05*MOD(ROWS(B$11:B330)-1,20)</f>
        <v>55.95</v>
      </c>
      <c r="C330" s="58" t="str">
        <f t="shared" si="45"/>
        <v/>
      </c>
      <c r="D330" s="58" t="str">
        <f t="shared" si="48"/>
        <v/>
      </c>
      <c r="E330" s="30">
        <f t="shared" si="42"/>
        <v>8.4105716610955778E-5</v>
      </c>
      <c r="F330" s="30" t="str">
        <f t="shared" si="50"/>
        <v/>
      </c>
      <c r="G330" s="30" t="str">
        <f t="shared" si="50"/>
        <v/>
      </c>
      <c r="H330" s="30" t="str">
        <f t="shared" si="50"/>
        <v/>
      </c>
      <c r="I330" s="30" t="str">
        <f t="shared" si="49"/>
        <v/>
      </c>
    </row>
    <row r="331" spans="1:9" x14ac:dyDescent="0.25">
      <c r="A331" s="30">
        <f t="shared" si="44"/>
        <v>-3.75</v>
      </c>
      <c r="B331" s="94">
        <f>INT((ROWS(B$11:B331)-1)/20)+40+0.05*MOD(ROWS(B$11:B331)-1,20)</f>
        <v>56</v>
      </c>
      <c r="C331" s="58" t="str">
        <f t="shared" si="45"/>
        <v/>
      </c>
      <c r="D331" s="58" t="str">
        <f t="shared" si="48"/>
        <v/>
      </c>
      <c r="E331" s="30">
        <f t="shared" ref="E331:E394" si="51">_xlfn.NORM.DIST(B331,$F$1,$F$2,0)</f>
        <v>8.8148920591861352E-5</v>
      </c>
      <c r="F331" s="30" t="str">
        <f t="shared" ref="F331:H350" si="52">IF(AND($B331&gt;=F$7,$B331&lt;=F$8),E331,"")</f>
        <v/>
      </c>
      <c r="G331" s="30" t="str">
        <f t="shared" si="52"/>
        <v/>
      </c>
      <c r="H331" s="30" t="str">
        <f t="shared" si="52"/>
        <v/>
      </c>
      <c r="I331" s="30" t="str">
        <f t="shared" si="49"/>
        <v/>
      </c>
    </row>
    <row r="332" spans="1:9" x14ac:dyDescent="0.25">
      <c r="A332" s="30">
        <f t="shared" ref="A332:A395" si="53">(INT(B332)-$F$1)/$F$2</f>
        <v>-3.75</v>
      </c>
      <c r="B332" s="94">
        <f>INT((ROWS(B$11:B332)-1)/20)+40+0.05*MOD(ROWS(B$11:B332)-1,20)</f>
        <v>56.05</v>
      </c>
      <c r="C332" s="58" t="str">
        <f t="shared" ref="C332:C395" si="54">IF(AND(A332&lt;&gt;A331,INT(A332)=A332),A332,"")</f>
        <v/>
      </c>
      <c r="D332" s="58" t="str">
        <f t="shared" si="48"/>
        <v/>
      </c>
      <c r="E332" s="30">
        <f t="shared" si="51"/>
        <v>9.2372058768753335E-5</v>
      </c>
      <c r="F332" s="30" t="str">
        <f t="shared" si="52"/>
        <v/>
      </c>
      <c r="G332" s="30" t="str">
        <f t="shared" si="52"/>
        <v/>
      </c>
      <c r="H332" s="30" t="str">
        <f t="shared" si="52"/>
        <v/>
      </c>
      <c r="I332" s="30" t="str">
        <f t="shared" si="49"/>
        <v/>
      </c>
    </row>
    <row r="333" spans="1:9" x14ac:dyDescent="0.25">
      <c r="A333" s="30">
        <f t="shared" si="53"/>
        <v>-3.75</v>
      </c>
      <c r="B333" s="94">
        <f>INT((ROWS(B$11:B333)-1)/20)+40+0.05*MOD(ROWS(B$11:B333)-1,20)</f>
        <v>56.1</v>
      </c>
      <c r="C333" s="58" t="str">
        <f t="shared" si="54"/>
        <v/>
      </c>
      <c r="D333" s="58" t="str">
        <f t="shared" si="48"/>
        <v/>
      </c>
      <c r="E333" s="30">
        <f t="shared" si="51"/>
        <v>9.6782400393897422E-5</v>
      </c>
      <c r="F333" s="30" t="str">
        <f t="shared" si="52"/>
        <v/>
      </c>
      <c r="G333" s="30" t="str">
        <f t="shared" si="52"/>
        <v/>
      </c>
      <c r="H333" s="30" t="str">
        <f t="shared" si="52"/>
        <v/>
      </c>
      <c r="I333" s="30" t="str">
        <f t="shared" si="49"/>
        <v/>
      </c>
    </row>
    <row r="334" spans="1:9" x14ac:dyDescent="0.25">
      <c r="A334" s="30">
        <f t="shared" si="53"/>
        <v>-3.75</v>
      </c>
      <c r="B334" s="94">
        <f>INT((ROWS(B$11:B334)-1)/20)+40+0.05*MOD(ROWS(B$11:B334)-1,20)</f>
        <v>56.15</v>
      </c>
      <c r="C334" s="58" t="str">
        <f t="shared" si="54"/>
        <v/>
      </c>
      <c r="D334" s="58" t="str">
        <f t="shared" si="48"/>
        <v/>
      </c>
      <c r="E334" s="30">
        <f t="shared" si="51"/>
        <v>1.0138747254865338E-4</v>
      </c>
      <c r="F334" s="30" t="str">
        <f t="shared" si="52"/>
        <v/>
      </c>
      <c r="G334" s="30" t="str">
        <f t="shared" si="52"/>
        <v/>
      </c>
      <c r="H334" s="30" t="str">
        <f t="shared" si="52"/>
        <v/>
      </c>
      <c r="I334" s="30" t="str">
        <f t="shared" si="49"/>
        <v/>
      </c>
    </row>
    <row r="335" spans="1:9" x14ac:dyDescent="0.25">
      <c r="A335" s="30">
        <f t="shared" si="53"/>
        <v>-3.75</v>
      </c>
      <c r="B335" s="94">
        <f>INT((ROWS(B$11:B335)-1)/20)+40+0.05*MOD(ROWS(B$11:B335)-1,20)</f>
        <v>56.2</v>
      </c>
      <c r="C335" s="58" t="str">
        <f t="shared" si="54"/>
        <v/>
      </c>
      <c r="D335" s="58" t="str">
        <f t="shared" si="48"/>
        <v/>
      </c>
      <c r="E335" s="30">
        <f t="shared" si="51"/>
        <v>1.0619506763768822E-4</v>
      </c>
      <c r="F335" s="30" t="str">
        <f t="shared" si="52"/>
        <v/>
      </c>
      <c r="G335" s="30" t="str">
        <f t="shared" si="52"/>
        <v/>
      </c>
      <c r="H335" s="30" t="str">
        <f t="shared" si="52"/>
        <v/>
      </c>
      <c r="I335" s="30" t="str">
        <f t="shared" si="49"/>
        <v/>
      </c>
    </row>
    <row r="336" spans="1:9" x14ac:dyDescent="0.25">
      <c r="A336" s="30">
        <f t="shared" si="53"/>
        <v>-3.75</v>
      </c>
      <c r="B336" s="94">
        <f>INT((ROWS(B$11:B336)-1)/20)+40+0.05*MOD(ROWS(B$11:B336)-1,20)</f>
        <v>56.25</v>
      </c>
      <c r="C336" s="58" t="str">
        <f t="shared" si="54"/>
        <v/>
      </c>
      <c r="D336" s="58" t="str">
        <f t="shared" si="48"/>
        <v/>
      </c>
      <c r="E336" s="30">
        <f t="shared" si="51"/>
        <v>1.1121325102820257E-4</v>
      </c>
      <c r="F336" s="30" t="str">
        <f t="shared" si="52"/>
        <v/>
      </c>
      <c r="G336" s="30" t="str">
        <f t="shared" si="52"/>
        <v/>
      </c>
      <c r="H336" s="30" t="str">
        <f t="shared" si="52"/>
        <v/>
      </c>
      <c r="I336" s="30" t="str">
        <f t="shared" si="49"/>
        <v/>
      </c>
    </row>
    <row r="337" spans="1:9" x14ac:dyDescent="0.25">
      <c r="A337" s="30">
        <f t="shared" si="53"/>
        <v>-3.75</v>
      </c>
      <c r="B337" s="94">
        <f>INT((ROWS(B$11:B337)-1)/20)+40+0.05*MOD(ROWS(B$11:B337)-1,20)</f>
        <v>56.3</v>
      </c>
      <c r="C337" s="58" t="str">
        <f t="shared" si="54"/>
        <v/>
      </c>
      <c r="D337" s="58" t="str">
        <f t="shared" si="48"/>
        <v/>
      </c>
      <c r="E337" s="30">
        <f t="shared" si="51"/>
        <v>1.1645036883375885E-4</v>
      </c>
      <c r="F337" s="30" t="str">
        <f t="shared" si="52"/>
        <v/>
      </c>
      <c r="G337" s="30" t="str">
        <f t="shared" si="52"/>
        <v/>
      </c>
      <c r="H337" s="30" t="str">
        <f t="shared" si="52"/>
        <v/>
      </c>
      <c r="I337" s="30" t="str">
        <f t="shared" si="49"/>
        <v/>
      </c>
    </row>
    <row r="338" spans="1:9" x14ac:dyDescent="0.25">
      <c r="A338" s="30">
        <f t="shared" si="53"/>
        <v>-3.75</v>
      </c>
      <c r="B338" s="94">
        <f>INT((ROWS(B$11:B338)-1)/20)+40+0.05*MOD(ROWS(B$11:B338)-1,20)</f>
        <v>56.35</v>
      </c>
      <c r="C338" s="58" t="str">
        <f t="shared" si="54"/>
        <v/>
      </c>
      <c r="D338" s="58" t="str">
        <f t="shared" si="48"/>
        <v/>
      </c>
      <c r="E338" s="30">
        <f t="shared" si="51"/>
        <v>1.2191505584208344E-4</v>
      </c>
      <c r="F338" s="30" t="str">
        <f t="shared" si="52"/>
        <v/>
      </c>
      <c r="G338" s="30" t="str">
        <f t="shared" si="52"/>
        <v/>
      </c>
      <c r="H338" s="30" t="str">
        <f t="shared" si="52"/>
        <v/>
      </c>
      <c r="I338" s="30" t="str">
        <f t="shared" si="49"/>
        <v/>
      </c>
    </row>
    <row r="339" spans="1:9" x14ac:dyDescent="0.25">
      <c r="A339" s="30">
        <f t="shared" si="53"/>
        <v>-3.75</v>
      </c>
      <c r="B339" s="94">
        <f>INT((ROWS(B$11:B339)-1)/20)+40+0.05*MOD(ROWS(B$11:B339)-1,20)</f>
        <v>56.4</v>
      </c>
      <c r="C339" s="58" t="str">
        <f t="shared" si="54"/>
        <v/>
      </c>
      <c r="D339" s="58" t="str">
        <f t="shared" si="48"/>
        <v/>
      </c>
      <c r="E339" s="30">
        <f t="shared" si="51"/>
        <v>1.2761624358604618E-4</v>
      </c>
      <c r="F339" s="30" t="str">
        <f t="shared" si="52"/>
        <v/>
      </c>
      <c r="G339" s="30" t="str">
        <f t="shared" si="52"/>
        <v/>
      </c>
      <c r="H339" s="30" t="str">
        <f t="shared" si="52"/>
        <v/>
      </c>
      <c r="I339" s="30" t="str">
        <f t="shared" si="49"/>
        <v/>
      </c>
    </row>
    <row r="340" spans="1:9" x14ac:dyDescent="0.25">
      <c r="A340" s="30">
        <f t="shared" si="53"/>
        <v>-3.75</v>
      </c>
      <c r="B340" s="94">
        <f>INT((ROWS(B$11:B340)-1)/20)+40+0.05*MOD(ROWS(B$11:B340)-1,20)</f>
        <v>56.45</v>
      </c>
      <c r="C340" s="58" t="str">
        <f t="shared" si="54"/>
        <v/>
      </c>
      <c r="D340" s="58" t="str">
        <f t="shared" si="48"/>
        <v/>
      </c>
      <c r="E340" s="30">
        <f t="shared" si="51"/>
        <v>1.3356316855682706E-4</v>
      </c>
      <c r="F340" s="30" t="str">
        <f t="shared" si="52"/>
        <v/>
      </c>
      <c r="G340" s="30" t="str">
        <f t="shared" si="52"/>
        <v/>
      </c>
      <c r="H340" s="30" t="str">
        <f t="shared" si="52"/>
        <v/>
      </c>
      <c r="I340" s="30" t="str">
        <f t="shared" si="49"/>
        <v/>
      </c>
    </row>
    <row r="341" spans="1:9" x14ac:dyDescent="0.25">
      <c r="A341" s="30">
        <f t="shared" si="53"/>
        <v>-3.75</v>
      </c>
      <c r="B341" s="94">
        <f>INT((ROWS(B$11:B341)-1)/20)+40+0.05*MOD(ROWS(B$11:B341)-1,20)</f>
        <v>56.5</v>
      </c>
      <c r="C341" s="58" t="str">
        <f t="shared" si="54"/>
        <v/>
      </c>
      <c r="D341" s="58" t="str">
        <f t="shared" si="48"/>
        <v/>
      </c>
      <c r="E341" s="30">
        <f t="shared" si="51"/>
        <v>1.3976538055804122E-4</v>
      </c>
      <c r="F341" s="30" t="str">
        <f t="shared" si="52"/>
        <v/>
      </c>
      <c r="G341" s="30" t="str">
        <f t="shared" si="52"/>
        <v/>
      </c>
      <c r="H341" s="30" t="str">
        <f t="shared" si="52"/>
        <v/>
      </c>
      <c r="I341" s="30" t="str">
        <f t="shared" si="49"/>
        <v/>
      </c>
    </row>
    <row r="342" spans="1:9" x14ac:dyDescent="0.25">
      <c r="A342" s="30">
        <f t="shared" si="53"/>
        <v>-3.75</v>
      </c>
      <c r="B342" s="94">
        <f>INT((ROWS(B$11:B342)-1)/20)+40+0.05*MOD(ROWS(B$11:B342)-1,20)</f>
        <v>56.55</v>
      </c>
      <c r="C342" s="58" t="str">
        <f t="shared" si="54"/>
        <v/>
      </c>
      <c r="D342" s="58" t="str">
        <f t="shared" si="48"/>
        <v/>
      </c>
      <c r="E342" s="30">
        <f t="shared" si="51"/>
        <v>1.4623275119942847E-4</v>
      </c>
      <c r="F342" s="30" t="str">
        <f t="shared" si="52"/>
        <v/>
      </c>
      <c r="G342" s="30" t="str">
        <f t="shared" si="52"/>
        <v/>
      </c>
      <c r="H342" s="30" t="str">
        <f t="shared" si="52"/>
        <v/>
      </c>
      <c r="I342" s="30" t="str">
        <f t="shared" si="49"/>
        <v/>
      </c>
    </row>
    <row r="343" spans="1:9" x14ac:dyDescent="0.25">
      <c r="A343" s="30">
        <f t="shared" si="53"/>
        <v>-3.75</v>
      </c>
      <c r="B343" s="94">
        <f>INT((ROWS(B$11:B343)-1)/20)+40+0.05*MOD(ROWS(B$11:B343)-1,20)</f>
        <v>56.6</v>
      </c>
      <c r="C343" s="58" t="str">
        <f t="shared" si="54"/>
        <v/>
      </c>
      <c r="D343" s="58" t="str">
        <f t="shared" si="48"/>
        <v/>
      </c>
      <c r="E343" s="30">
        <f t="shared" si="51"/>
        <v>1.5297548252844325E-4</v>
      </c>
      <c r="F343" s="30" t="str">
        <f t="shared" si="52"/>
        <v/>
      </c>
      <c r="G343" s="30" t="str">
        <f t="shared" si="52"/>
        <v/>
      </c>
      <c r="H343" s="30" t="str">
        <f t="shared" si="52"/>
        <v/>
      </c>
      <c r="I343" s="30" t="str">
        <f t="shared" si="49"/>
        <v/>
      </c>
    </row>
    <row r="344" spans="1:9" x14ac:dyDescent="0.25">
      <c r="A344" s="30">
        <f t="shared" si="53"/>
        <v>-3.75</v>
      </c>
      <c r="B344" s="94">
        <f>INT((ROWS(B$11:B344)-1)/20)+40+0.05*MOD(ROWS(B$11:B344)-1,20)</f>
        <v>56.65</v>
      </c>
      <c r="C344" s="58" t="str">
        <f t="shared" si="54"/>
        <v/>
      </c>
      <c r="D344" s="58" t="str">
        <f t="shared" si="48"/>
        <v/>
      </c>
      <c r="E344" s="30">
        <f t="shared" si="51"/>
        <v>1.6000411579787717E-4</v>
      </c>
      <c r="F344" s="30" t="str">
        <f t="shared" si="52"/>
        <v/>
      </c>
      <c r="G344" s="30" t="str">
        <f t="shared" si="52"/>
        <v/>
      </c>
      <c r="H344" s="30" t="str">
        <f t="shared" si="52"/>
        <v/>
      </c>
      <c r="I344" s="30" t="str">
        <f t="shared" si="49"/>
        <v/>
      </c>
    </row>
    <row r="345" spans="1:9" x14ac:dyDescent="0.25">
      <c r="A345" s="30">
        <f t="shared" si="53"/>
        <v>-3.75</v>
      </c>
      <c r="B345" s="94">
        <f>INT((ROWS(B$11:B345)-1)/20)+40+0.05*MOD(ROWS(B$11:B345)-1,20)</f>
        <v>56.7</v>
      </c>
      <c r="C345" s="58" t="str">
        <f t="shared" si="54"/>
        <v/>
      </c>
      <c r="D345" s="58" t="str">
        <f t="shared" si="48"/>
        <v/>
      </c>
      <c r="E345" s="30">
        <f t="shared" si="51"/>
        <v>1.6732954036741482E-4</v>
      </c>
      <c r="F345" s="30" t="str">
        <f t="shared" si="52"/>
        <v/>
      </c>
      <c r="G345" s="30" t="str">
        <f t="shared" si="52"/>
        <v/>
      </c>
      <c r="H345" s="30" t="str">
        <f t="shared" si="52"/>
        <v/>
      </c>
      <c r="I345" s="30" t="str">
        <f t="shared" si="49"/>
        <v/>
      </c>
    </row>
    <row r="346" spans="1:9" x14ac:dyDescent="0.25">
      <c r="A346" s="30">
        <f t="shared" si="53"/>
        <v>-3.75</v>
      </c>
      <c r="B346" s="94">
        <f>INT((ROWS(B$11:B346)-1)/20)+40+0.05*MOD(ROWS(B$11:B346)-1,20)</f>
        <v>56.75</v>
      </c>
      <c r="C346" s="58" t="str">
        <f t="shared" si="54"/>
        <v/>
      </c>
      <c r="D346" s="58" t="str">
        <f t="shared" si="48"/>
        <v/>
      </c>
      <c r="E346" s="30">
        <f t="shared" si="51"/>
        <v>1.7496300273673568E-4</v>
      </c>
      <c r="F346" s="30" t="str">
        <f t="shared" si="52"/>
        <v/>
      </c>
      <c r="G346" s="30" t="str">
        <f t="shared" si="52"/>
        <v/>
      </c>
      <c r="H346" s="30" t="str">
        <f t="shared" si="52"/>
        <v/>
      </c>
      <c r="I346" s="30" t="str">
        <f t="shared" si="49"/>
        <v/>
      </c>
    </row>
    <row r="347" spans="1:9" x14ac:dyDescent="0.25">
      <c r="A347" s="30">
        <f t="shared" si="53"/>
        <v>-3.75</v>
      </c>
      <c r="B347" s="94">
        <f>INT((ROWS(B$11:B347)-1)/20)+40+0.05*MOD(ROWS(B$11:B347)-1,20)</f>
        <v>56.8</v>
      </c>
      <c r="C347" s="58" t="str">
        <f t="shared" si="54"/>
        <v/>
      </c>
      <c r="D347" s="58" t="str">
        <f t="shared" si="48"/>
        <v/>
      </c>
      <c r="E347" s="30">
        <f t="shared" si="51"/>
        <v>1.8291611570757724E-4</v>
      </c>
      <c r="F347" s="30" t="str">
        <f t="shared" si="52"/>
        <v/>
      </c>
      <c r="G347" s="30" t="str">
        <f t="shared" si="52"/>
        <v/>
      </c>
      <c r="H347" s="30" t="str">
        <f t="shared" si="52"/>
        <v/>
      </c>
      <c r="I347" s="30" t="str">
        <f t="shared" si="49"/>
        <v/>
      </c>
    </row>
    <row r="348" spans="1:9" x14ac:dyDescent="0.25">
      <c r="A348" s="30">
        <f t="shared" si="53"/>
        <v>-3.75</v>
      </c>
      <c r="B348" s="94">
        <f>INT((ROWS(B$11:B348)-1)/20)+40+0.05*MOD(ROWS(B$11:B348)-1,20)</f>
        <v>56.85</v>
      </c>
      <c r="C348" s="58" t="str">
        <f t="shared" si="54"/>
        <v/>
      </c>
      <c r="D348" s="58" t="str">
        <f t="shared" si="48"/>
        <v/>
      </c>
      <c r="E348" s="30">
        <f t="shared" si="51"/>
        <v>1.912008676718537E-4</v>
      </c>
      <c r="F348" s="30" t="str">
        <f t="shared" si="52"/>
        <v/>
      </c>
      <c r="G348" s="30" t="str">
        <f t="shared" si="52"/>
        <v/>
      </c>
      <c r="H348" s="30" t="str">
        <f t="shared" si="52"/>
        <v/>
      </c>
      <c r="I348" s="30" t="str">
        <f t="shared" si="49"/>
        <v/>
      </c>
    </row>
    <row r="349" spans="1:9" x14ac:dyDescent="0.25">
      <c r="A349" s="30">
        <f t="shared" si="53"/>
        <v>-3.75</v>
      </c>
      <c r="B349" s="94">
        <f>INT((ROWS(B$11:B349)-1)/20)+40+0.05*MOD(ROWS(B$11:B349)-1,20)</f>
        <v>56.9</v>
      </c>
      <c r="C349" s="58" t="str">
        <f t="shared" si="54"/>
        <v/>
      </c>
      <c r="D349" s="58" t="str">
        <f t="shared" si="48"/>
        <v/>
      </c>
      <c r="E349" s="30">
        <f t="shared" si="51"/>
        <v>1.9982963202268831E-4</v>
      </c>
      <c r="F349" s="30" t="str">
        <f t="shared" si="52"/>
        <v/>
      </c>
      <c r="G349" s="30" t="str">
        <f t="shared" si="52"/>
        <v/>
      </c>
      <c r="H349" s="30" t="str">
        <f t="shared" si="52"/>
        <v/>
      </c>
      <c r="I349" s="30" t="str">
        <f t="shared" si="49"/>
        <v/>
      </c>
    </row>
    <row r="350" spans="1:9" x14ac:dyDescent="0.25">
      <c r="A350" s="30">
        <f t="shared" si="53"/>
        <v>-3.75</v>
      </c>
      <c r="B350" s="94">
        <f>INT((ROWS(B$11:B350)-1)/20)+40+0.05*MOD(ROWS(B$11:B350)-1,20)</f>
        <v>56.95</v>
      </c>
      <c r="C350" s="58" t="str">
        <f t="shared" si="54"/>
        <v/>
      </c>
      <c r="D350" s="58" t="str">
        <f t="shared" si="48"/>
        <v/>
      </c>
      <c r="E350" s="30">
        <f t="shared" si="51"/>
        <v>2.0881517668493475E-4</v>
      </c>
      <c r="F350" s="30" t="str">
        <f t="shared" si="52"/>
        <v/>
      </c>
      <c r="G350" s="30" t="str">
        <f t="shared" si="52"/>
        <v/>
      </c>
      <c r="H350" s="30" t="str">
        <f t="shared" si="52"/>
        <v/>
      </c>
      <c r="I350" s="30" t="str">
        <f t="shared" si="49"/>
        <v/>
      </c>
    </row>
    <row r="351" spans="1:9" x14ac:dyDescent="0.25">
      <c r="A351" s="30">
        <f t="shared" si="53"/>
        <v>-3.5</v>
      </c>
      <c r="B351" s="94">
        <f>INT((ROWS(B$11:B351)-1)/20)+40+0.05*MOD(ROWS(B$11:B351)-1,20)</f>
        <v>57</v>
      </c>
      <c r="C351" s="58" t="str">
        <f t="shared" si="54"/>
        <v/>
      </c>
      <c r="D351" s="58" t="str">
        <f t="shared" si="48"/>
        <v/>
      </c>
      <c r="E351" s="30">
        <f t="shared" si="51"/>
        <v>2.1817067376144004E-4</v>
      </c>
      <c r="F351" s="30" t="str">
        <f t="shared" ref="F351:H370" si="55">IF(AND($B351&gt;=F$7,$B351&lt;=F$8),E351,"")</f>
        <v/>
      </c>
      <c r="G351" s="30" t="str">
        <f t="shared" si="55"/>
        <v/>
      </c>
      <c r="H351" s="30" t="str">
        <f t="shared" si="55"/>
        <v/>
      </c>
      <c r="I351" s="30" t="str">
        <f t="shared" si="49"/>
        <v/>
      </c>
    </row>
    <row r="352" spans="1:9" x14ac:dyDescent="0.25">
      <c r="A352" s="30">
        <f t="shared" si="53"/>
        <v>-3.5</v>
      </c>
      <c r="B352" s="94">
        <f>INT((ROWS(B$11:B352)-1)/20)+40+0.05*MOD(ROWS(B$11:B352)-1,20)</f>
        <v>57.05</v>
      </c>
      <c r="C352" s="58" t="str">
        <f t="shared" si="54"/>
        <v/>
      </c>
      <c r="D352" s="58" t="str">
        <f t="shared" si="48"/>
        <v/>
      </c>
      <c r="E352" s="30">
        <f t="shared" si="51"/>
        <v>2.2790970929105914E-4</v>
      </c>
      <c r="F352" s="30" t="str">
        <f t="shared" si="55"/>
        <v/>
      </c>
      <c r="G352" s="30" t="str">
        <f t="shared" si="55"/>
        <v/>
      </c>
      <c r="H352" s="30" t="str">
        <f t="shared" si="55"/>
        <v/>
      </c>
      <c r="I352" s="30" t="str">
        <f t="shared" si="49"/>
        <v/>
      </c>
    </row>
    <row r="353" spans="1:9" x14ac:dyDescent="0.25">
      <c r="A353" s="30">
        <f t="shared" si="53"/>
        <v>-3.5</v>
      </c>
      <c r="B353" s="94">
        <f>INT((ROWS(B$11:B353)-1)/20)+40+0.05*MOD(ROWS(B$11:B353)-1,20)</f>
        <v>57.1</v>
      </c>
      <c r="C353" s="58" t="str">
        <f t="shared" si="54"/>
        <v/>
      </c>
      <c r="D353" s="58" t="str">
        <f t="shared" si="48"/>
        <v/>
      </c>
      <c r="E353" s="30">
        <f t="shared" si="51"/>
        <v>2.3804629311406777E-4</v>
      </c>
      <c r="F353" s="30" t="str">
        <f t="shared" si="55"/>
        <v/>
      </c>
      <c r="G353" s="30" t="str">
        <f t="shared" si="55"/>
        <v/>
      </c>
      <c r="H353" s="30" t="str">
        <f t="shared" si="55"/>
        <v/>
      </c>
      <c r="I353" s="30" t="str">
        <f t="shared" si="49"/>
        <v/>
      </c>
    </row>
    <row r="354" spans="1:9" x14ac:dyDescent="0.25">
      <c r="A354" s="30">
        <f t="shared" si="53"/>
        <v>-3.5</v>
      </c>
      <c r="B354" s="94">
        <f>INT((ROWS(B$11:B354)-1)/20)+40+0.05*MOD(ROWS(B$11:B354)-1,20)</f>
        <v>57.15</v>
      </c>
      <c r="C354" s="58" t="str">
        <f t="shared" si="54"/>
        <v/>
      </c>
      <c r="D354" s="58" t="str">
        <f t="shared" si="48"/>
        <v/>
      </c>
      <c r="E354" s="30">
        <f t="shared" si="51"/>
        <v>2.4859486884034118E-4</v>
      </c>
      <c r="F354" s="30" t="str">
        <f t="shared" si="55"/>
        <v/>
      </c>
      <c r="G354" s="30" t="str">
        <f t="shared" si="55"/>
        <v/>
      </c>
      <c r="H354" s="30" t="str">
        <f t="shared" si="55"/>
        <v/>
      </c>
      <c r="I354" s="30" t="str">
        <f t="shared" si="49"/>
        <v/>
      </c>
    </row>
    <row r="355" spans="1:9" x14ac:dyDescent="0.25">
      <c r="A355" s="30">
        <f t="shared" si="53"/>
        <v>-3.5</v>
      </c>
      <c r="B355" s="94">
        <f>INT((ROWS(B$11:B355)-1)/20)+40+0.05*MOD(ROWS(B$11:B355)-1,20)</f>
        <v>57.2</v>
      </c>
      <c r="C355" s="58" t="str">
        <f t="shared" si="54"/>
        <v/>
      </c>
      <c r="D355" s="58" t="str">
        <f t="shared" si="48"/>
        <v/>
      </c>
      <c r="E355" s="30">
        <f t="shared" si="51"/>
        <v>2.5957032391535351E-4</v>
      </c>
      <c r="F355" s="30" t="str">
        <f t="shared" si="55"/>
        <v/>
      </c>
      <c r="G355" s="30" t="str">
        <f t="shared" si="55"/>
        <v/>
      </c>
      <c r="H355" s="30" t="str">
        <f t="shared" si="55"/>
        <v/>
      </c>
      <c r="I355" s="30" t="str">
        <f t="shared" si="49"/>
        <v/>
      </c>
    </row>
    <row r="356" spans="1:9" x14ac:dyDescent="0.25">
      <c r="A356" s="30">
        <f t="shared" si="53"/>
        <v>-3.5</v>
      </c>
      <c r="B356" s="94">
        <f>INT((ROWS(B$11:B356)-1)/20)+40+0.05*MOD(ROWS(B$11:B356)-1,20)</f>
        <v>57.25</v>
      </c>
      <c r="C356" s="58" t="str">
        <f t="shared" si="54"/>
        <v/>
      </c>
      <c r="D356" s="58" t="str">
        <f t="shared" si="48"/>
        <v/>
      </c>
      <c r="E356" s="30">
        <f t="shared" si="51"/>
        <v>2.70987999778663E-4</v>
      </c>
      <c r="F356" s="30" t="str">
        <f t="shared" si="55"/>
        <v/>
      </c>
      <c r="G356" s="30" t="str">
        <f t="shared" si="55"/>
        <v/>
      </c>
      <c r="H356" s="30" t="str">
        <f t="shared" si="55"/>
        <v/>
      </c>
      <c r="I356" s="30" t="str">
        <f t="shared" si="49"/>
        <v/>
      </c>
    </row>
    <row r="357" spans="1:9" x14ac:dyDescent="0.25">
      <c r="A357" s="30">
        <f t="shared" si="53"/>
        <v>-3.5</v>
      </c>
      <c r="B357" s="94">
        <f>INT((ROWS(B$11:B357)-1)/20)+40+0.05*MOD(ROWS(B$11:B357)-1,20)</f>
        <v>57.3</v>
      </c>
      <c r="C357" s="58" t="str">
        <f t="shared" si="54"/>
        <v/>
      </c>
      <c r="D357" s="58" t="str">
        <f t="shared" si="48"/>
        <v/>
      </c>
      <c r="E357" s="30">
        <f t="shared" si="51"/>
        <v>2.8286370210930131E-4</v>
      </c>
      <c r="F357" s="30" t="str">
        <f t="shared" si="55"/>
        <v/>
      </c>
      <c r="G357" s="30" t="str">
        <f t="shared" si="55"/>
        <v/>
      </c>
      <c r="H357" s="30" t="str">
        <f t="shared" si="55"/>
        <v/>
      </c>
      <c r="I357" s="30" t="str">
        <f t="shared" si="49"/>
        <v/>
      </c>
    </row>
    <row r="358" spans="1:9" x14ac:dyDescent="0.25">
      <c r="A358" s="30">
        <f t="shared" si="53"/>
        <v>-3.5</v>
      </c>
      <c r="B358" s="94">
        <f>INT((ROWS(B$11:B358)-1)/20)+40+0.05*MOD(ROWS(B$11:B358)-1,20)</f>
        <v>57.35</v>
      </c>
      <c r="C358" s="58" t="str">
        <f t="shared" si="54"/>
        <v/>
      </c>
      <c r="D358" s="58" t="str">
        <f t="shared" si="48"/>
        <v/>
      </c>
      <c r="E358" s="30">
        <f t="shared" si="51"/>
        <v>2.9521371115204508E-4</v>
      </c>
      <c r="F358" s="30" t="str">
        <f t="shared" si="55"/>
        <v/>
      </c>
      <c r="G358" s="30" t="str">
        <f t="shared" si="55"/>
        <v/>
      </c>
      <c r="H358" s="30" t="str">
        <f t="shared" si="55"/>
        <v/>
      </c>
      <c r="I358" s="30" t="str">
        <f t="shared" si="49"/>
        <v/>
      </c>
    </row>
    <row r="359" spans="1:9" x14ac:dyDescent="0.25">
      <c r="A359" s="30">
        <f t="shared" si="53"/>
        <v>-3.5</v>
      </c>
      <c r="B359" s="94">
        <f>INT((ROWS(B$11:B359)-1)/20)+40+0.05*MOD(ROWS(B$11:B359)-1,20)</f>
        <v>57.4</v>
      </c>
      <c r="C359" s="58" t="str">
        <f t="shared" si="54"/>
        <v/>
      </c>
      <c r="D359" s="58" t="str">
        <f t="shared" si="48"/>
        <v/>
      </c>
      <c r="E359" s="30">
        <f t="shared" si="51"/>
        <v>3.0805479211825439E-4</v>
      </c>
      <c r="F359" s="30" t="str">
        <f t="shared" si="55"/>
        <v/>
      </c>
      <c r="G359" s="30" t="str">
        <f t="shared" si="55"/>
        <v/>
      </c>
      <c r="H359" s="30" t="str">
        <f t="shared" si="55"/>
        <v/>
      </c>
      <c r="I359" s="30" t="str">
        <f t="shared" si="49"/>
        <v/>
      </c>
    </row>
    <row r="360" spans="1:9" x14ac:dyDescent="0.25">
      <c r="A360" s="30">
        <f t="shared" si="53"/>
        <v>-3.5</v>
      </c>
      <c r="B360" s="94">
        <f>INT((ROWS(B$11:B360)-1)/20)+40+0.05*MOD(ROWS(B$11:B360)-1,20)</f>
        <v>57.45</v>
      </c>
      <c r="C360" s="58" t="str">
        <f t="shared" si="54"/>
        <v/>
      </c>
      <c r="D360" s="58" t="str">
        <f t="shared" si="48"/>
        <v/>
      </c>
      <c r="E360" s="30">
        <f t="shared" si="51"/>
        <v>3.2140420565460317E-4</v>
      </c>
      <c r="F360" s="30" t="str">
        <f t="shared" si="55"/>
        <v/>
      </c>
      <c r="G360" s="30" t="str">
        <f t="shared" si="55"/>
        <v/>
      </c>
      <c r="H360" s="30" t="str">
        <f t="shared" si="55"/>
        <v/>
      </c>
      <c r="I360" s="30" t="str">
        <f t="shared" si="49"/>
        <v/>
      </c>
    </row>
    <row r="361" spans="1:9" x14ac:dyDescent="0.25">
      <c r="A361" s="30">
        <f t="shared" si="53"/>
        <v>-3.5</v>
      </c>
      <c r="B361" s="94">
        <f>INT((ROWS(B$11:B361)-1)/20)+40+0.05*MOD(ROWS(B$11:B361)-1,20)</f>
        <v>57.5</v>
      </c>
      <c r="C361" s="58" t="str">
        <f t="shared" si="54"/>
        <v/>
      </c>
      <c r="D361" s="58" t="str">
        <f t="shared" si="48"/>
        <v/>
      </c>
      <c r="E361" s="30">
        <f t="shared" si="51"/>
        <v>3.3527971837259444E-4</v>
      </c>
      <c r="F361" s="30" t="str">
        <f t="shared" si="55"/>
        <v/>
      </c>
      <c r="G361" s="30" t="str">
        <f t="shared" si="55"/>
        <v/>
      </c>
      <c r="H361" s="30" t="str">
        <f t="shared" si="55"/>
        <v/>
      </c>
      <c r="I361" s="30" t="str">
        <f t="shared" si="49"/>
        <v/>
      </c>
    </row>
    <row r="362" spans="1:9" x14ac:dyDescent="0.25">
      <c r="A362" s="30">
        <f t="shared" si="53"/>
        <v>-3.5</v>
      </c>
      <c r="B362" s="94">
        <f>INT((ROWS(B$11:B362)-1)/20)+40+0.05*MOD(ROWS(B$11:B362)-1,20)</f>
        <v>57.55</v>
      </c>
      <c r="C362" s="58" t="str">
        <f t="shared" si="54"/>
        <v/>
      </c>
      <c r="D362" s="58" t="str">
        <f t="shared" si="48"/>
        <v/>
      </c>
      <c r="E362" s="30">
        <f t="shared" si="51"/>
        <v>3.4969961343147481E-4</v>
      </c>
      <c r="F362" s="30" t="str">
        <f t="shared" si="55"/>
        <v/>
      </c>
      <c r="G362" s="30" t="str">
        <f t="shared" si="55"/>
        <v/>
      </c>
      <c r="H362" s="30" t="str">
        <f t="shared" si="55"/>
        <v/>
      </c>
      <c r="I362" s="30" t="str">
        <f t="shared" si="49"/>
        <v/>
      </c>
    </row>
    <row r="363" spans="1:9" x14ac:dyDescent="0.25">
      <c r="A363" s="30">
        <f t="shared" si="53"/>
        <v>-3.5</v>
      </c>
      <c r="B363" s="94">
        <f>INT((ROWS(B$11:B363)-1)/20)+40+0.05*MOD(ROWS(B$11:B363)-1,20)</f>
        <v>57.6</v>
      </c>
      <c r="C363" s="58" t="str">
        <f t="shared" si="54"/>
        <v/>
      </c>
      <c r="D363" s="58" t="str">
        <f t="shared" si="48"/>
        <v/>
      </c>
      <c r="E363" s="30">
        <f t="shared" si="51"/>
        <v>3.6468270116668679E-4</v>
      </c>
      <c r="F363" s="30" t="str">
        <f t="shared" si="55"/>
        <v/>
      </c>
      <c r="G363" s="30" t="str">
        <f t="shared" si="55"/>
        <v/>
      </c>
      <c r="H363" s="30" t="str">
        <f t="shared" si="55"/>
        <v/>
      </c>
      <c r="I363" s="30" t="str">
        <f t="shared" si="49"/>
        <v/>
      </c>
    </row>
    <row r="364" spans="1:9" x14ac:dyDescent="0.25">
      <c r="A364" s="30">
        <f t="shared" si="53"/>
        <v>-3.5</v>
      </c>
      <c r="B364" s="94">
        <f>INT((ROWS(B$11:B364)-1)/20)+40+0.05*MOD(ROWS(B$11:B364)-1,20)</f>
        <v>57.65</v>
      </c>
      <c r="C364" s="58" t="str">
        <f t="shared" si="54"/>
        <v/>
      </c>
      <c r="D364" s="58" t="str">
        <f t="shared" si="48"/>
        <v/>
      </c>
      <c r="E364" s="30">
        <f t="shared" si="51"/>
        <v>3.802483297556603E-4</v>
      </c>
      <c r="F364" s="30" t="str">
        <f t="shared" si="55"/>
        <v/>
      </c>
      <c r="G364" s="30" t="str">
        <f t="shared" si="55"/>
        <v/>
      </c>
      <c r="H364" s="30" t="str">
        <f t="shared" si="55"/>
        <v/>
      </c>
      <c r="I364" s="30" t="str">
        <f t="shared" si="49"/>
        <v/>
      </c>
    </row>
    <row r="365" spans="1:9" x14ac:dyDescent="0.25">
      <c r="A365" s="30">
        <f t="shared" si="53"/>
        <v>-3.5</v>
      </c>
      <c r="B365" s="94">
        <f>INT((ROWS(B$11:B365)-1)/20)+40+0.05*MOD(ROWS(B$11:B365)-1,20)</f>
        <v>57.7</v>
      </c>
      <c r="C365" s="58" t="str">
        <f t="shared" si="54"/>
        <v/>
      </c>
      <c r="D365" s="58" t="str">
        <f t="shared" ref="D365:D428" si="56">IF(ISNUMBER(MATCH(B365,$K$2:$K$8,0)),TEXT(B365,"0\""")&amp;CHAR(10)&amp;TEXT((B365-$F$1)/$F$2," 0 z"),"")</f>
        <v/>
      </c>
      <c r="E365" s="30">
        <f t="shared" si="51"/>
        <v>3.9641639591236492E-4</v>
      </c>
      <c r="F365" s="30" t="str">
        <f t="shared" si="55"/>
        <v/>
      </c>
      <c r="G365" s="30" t="str">
        <f t="shared" si="55"/>
        <v/>
      </c>
      <c r="H365" s="30" t="str">
        <f t="shared" si="55"/>
        <v/>
      </c>
      <c r="I365" s="30" t="str">
        <f t="shared" si="49"/>
        <v/>
      </c>
    </row>
    <row r="366" spans="1:9" x14ac:dyDescent="0.25">
      <c r="A366" s="30">
        <f t="shared" si="53"/>
        <v>-3.5</v>
      </c>
      <c r="B366" s="94">
        <f>INT((ROWS(B$11:B366)-1)/20)+40+0.05*MOD(ROWS(B$11:B366)-1,20)</f>
        <v>57.75</v>
      </c>
      <c r="C366" s="58" t="str">
        <f t="shared" si="54"/>
        <v/>
      </c>
      <c r="D366" s="58" t="str">
        <f t="shared" si="56"/>
        <v/>
      </c>
      <c r="E366" s="30">
        <f t="shared" si="51"/>
        <v>4.1320735560156454E-4</v>
      </c>
      <c r="F366" s="30" t="str">
        <f t="shared" si="55"/>
        <v/>
      </c>
      <c r="G366" s="30" t="str">
        <f t="shared" si="55"/>
        <v/>
      </c>
      <c r="H366" s="30" t="str">
        <f t="shared" si="55"/>
        <v/>
      </c>
      <c r="I366" s="30" t="str">
        <f t="shared" ref="I366:I429" si="57">IF(AND(B366&gt;=$F$1-0.05,B366&lt;=$F$1+0.05),E366,"")</f>
        <v/>
      </c>
    </row>
    <row r="367" spans="1:9" x14ac:dyDescent="0.25">
      <c r="A367" s="30">
        <f t="shared" si="53"/>
        <v>-3.5</v>
      </c>
      <c r="B367" s="94">
        <f>INT((ROWS(B$11:B367)-1)/20)+40+0.05*MOD(ROWS(B$11:B367)-1,20)</f>
        <v>57.8</v>
      </c>
      <c r="C367" s="58" t="str">
        <f t="shared" si="54"/>
        <v/>
      </c>
      <c r="D367" s="58" t="str">
        <f t="shared" si="56"/>
        <v/>
      </c>
      <c r="E367" s="30">
        <f t="shared" si="51"/>
        <v>4.3064223476341917E-4</v>
      </c>
      <c r="F367" s="30" t="str">
        <f t="shared" si="55"/>
        <v/>
      </c>
      <c r="G367" s="30" t="str">
        <f t="shared" si="55"/>
        <v/>
      </c>
      <c r="H367" s="30" t="str">
        <f t="shared" si="55"/>
        <v/>
      </c>
      <c r="I367" s="30" t="str">
        <f t="shared" si="57"/>
        <v/>
      </c>
    </row>
    <row r="368" spans="1:9" x14ac:dyDescent="0.25">
      <c r="A368" s="30">
        <f t="shared" si="53"/>
        <v>-3.5</v>
      </c>
      <c r="B368" s="94">
        <f>INT((ROWS(B$11:B368)-1)/20)+40+0.05*MOD(ROWS(B$11:B368)-1,20)</f>
        <v>57.85</v>
      </c>
      <c r="C368" s="58" t="str">
        <f t="shared" si="54"/>
        <v/>
      </c>
      <c r="D368" s="58" t="str">
        <f t="shared" si="56"/>
        <v/>
      </c>
      <c r="E368" s="30">
        <f t="shared" si="51"/>
        <v>4.4874264003856015E-4</v>
      </c>
      <c r="F368" s="30" t="str">
        <f t="shared" si="55"/>
        <v/>
      </c>
      <c r="G368" s="30" t="str">
        <f t="shared" si="55"/>
        <v/>
      </c>
      <c r="H368" s="30" t="str">
        <f t="shared" si="55"/>
        <v/>
      </c>
      <c r="I368" s="30" t="str">
        <f t="shared" si="57"/>
        <v/>
      </c>
    </row>
    <row r="369" spans="1:9" x14ac:dyDescent="0.25">
      <c r="A369" s="30">
        <f t="shared" si="53"/>
        <v>-3.5</v>
      </c>
      <c r="B369" s="94">
        <f>INT((ROWS(B$11:B369)-1)/20)+40+0.05*MOD(ROWS(B$11:B369)-1,20)</f>
        <v>57.9</v>
      </c>
      <c r="C369" s="58" t="str">
        <f t="shared" si="54"/>
        <v/>
      </c>
      <c r="D369" s="58" t="str">
        <f t="shared" si="56"/>
        <v/>
      </c>
      <c r="E369" s="30">
        <f t="shared" si="51"/>
        <v>4.6753076948341174E-4</v>
      </c>
      <c r="F369" s="30" t="str">
        <f t="shared" si="55"/>
        <v/>
      </c>
      <c r="G369" s="30" t="str">
        <f t="shared" si="55"/>
        <v/>
      </c>
      <c r="H369" s="30" t="str">
        <f t="shared" si="55"/>
        <v/>
      </c>
      <c r="I369" s="30" t="str">
        <f t="shared" si="57"/>
        <v/>
      </c>
    </row>
    <row r="370" spans="1:9" x14ac:dyDescent="0.25">
      <c r="A370" s="30">
        <f t="shared" si="53"/>
        <v>-3.5</v>
      </c>
      <c r="B370" s="94">
        <f>INT((ROWS(B$11:B370)-1)/20)+40+0.05*MOD(ROWS(B$11:B370)-1,20)</f>
        <v>57.95</v>
      </c>
      <c r="C370" s="58" t="str">
        <f t="shared" si="54"/>
        <v/>
      </c>
      <c r="D370" s="58" t="str">
        <f t="shared" si="56"/>
        <v/>
      </c>
      <c r="E370" s="30">
        <f t="shared" si="51"/>
        <v>4.8702942326512156E-4</v>
      </c>
      <c r="F370" s="30" t="str">
        <f t="shared" si="55"/>
        <v/>
      </c>
      <c r="G370" s="30" t="str">
        <f t="shared" si="55"/>
        <v/>
      </c>
      <c r="H370" s="30" t="str">
        <f t="shared" si="55"/>
        <v/>
      </c>
      <c r="I370" s="30" t="str">
        <f t="shared" si="57"/>
        <v/>
      </c>
    </row>
    <row r="371" spans="1:9" x14ac:dyDescent="0.25">
      <c r="A371" s="30">
        <f t="shared" si="53"/>
        <v>-3.25</v>
      </c>
      <c r="B371" s="94">
        <f>INT((ROWS(B$11:B371)-1)/20)+40+0.05*MOD(ROWS(B$11:B371)-1,20)</f>
        <v>58</v>
      </c>
      <c r="C371" s="58" t="str">
        <f t="shared" si="54"/>
        <v/>
      </c>
      <c r="D371" s="58" t="str">
        <f t="shared" si="56"/>
        <v/>
      </c>
      <c r="E371" s="30">
        <f t="shared" si="51"/>
        <v>5.0726201432494203E-4</v>
      </c>
      <c r="F371" s="30" t="str">
        <f t="shared" ref="F371:H390" si="58">IF(AND($B371&gt;=F$7,$B371&lt;=F$8),E371,"")</f>
        <v/>
      </c>
      <c r="G371" s="30" t="str">
        <f t="shared" si="58"/>
        <v/>
      </c>
      <c r="H371" s="30" t="str">
        <f t="shared" si="58"/>
        <v/>
      </c>
      <c r="I371" s="30" t="str">
        <f t="shared" si="57"/>
        <v/>
      </c>
    </row>
    <row r="372" spans="1:9" x14ac:dyDescent="0.25">
      <c r="A372" s="30">
        <f t="shared" si="53"/>
        <v>-3.25</v>
      </c>
      <c r="B372" s="94">
        <f>INT((ROWS(B$11:B372)-1)/20)+40+0.05*MOD(ROWS(B$11:B372)-1,20)</f>
        <v>58.05</v>
      </c>
      <c r="C372" s="58" t="str">
        <f t="shared" si="54"/>
        <v/>
      </c>
      <c r="D372" s="58" t="str">
        <f t="shared" si="56"/>
        <v/>
      </c>
      <c r="E372" s="30">
        <f t="shared" si="51"/>
        <v>5.2825257899862183E-4</v>
      </c>
      <c r="F372" s="30" t="str">
        <f t="shared" si="58"/>
        <v/>
      </c>
      <c r="G372" s="30" t="str">
        <f t="shared" si="58"/>
        <v/>
      </c>
      <c r="H372" s="30" t="str">
        <f t="shared" si="58"/>
        <v/>
      </c>
      <c r="I372" s="30" t="str">
        <f t="shared" si="57"/>
        <v/>
      </c>
    </row>
    <row r="373" spans="1:9" x14ac:dyDescent="0.25">
      <c r="A373" s="30">
        <f t="shared" si="53"/>
        <v>-3.25</v>
      </c>
      <c r="B373" s="94">
        <f>INT((ROWS(B$11:B373)-1)/20)+40+0.05*MOD(ROWS(B$11:B373)-1,20)</f>
        <v>58.1</v>
      </c>
      <c r="C373" s="58" t="str">
        <f t="shared" si="54"/>
        <v/>
      </c>
      <c r="D373" s="58" t="str">
        <f t="shared" si="56"/>
        <v/>
      </c>
      <c r="E373" s="30">
        <f t="shared" si="51"/>
        <v>5.5002578758178331E-4</v>
      </c>
      <c r="F373" s="30" t="str">
        <f t="shared" si="58"/>
        <v/>
      </c>
      <c r="G373" s="30" t="str">
        <f t="shared" si="58"/>
        <v/>
      </c>
      <c r="H373" s="30" t="str">
        <f t="shared" si="58"/>
        <v/>
      </c>
      <c r="I373" s="30" t="str">
        <f t="shared" si="57"/>
        <v/>
      </c>
    </row>
    <row r="374" spans="1:9" x14ac:dyDescent="0.25">
      <c r="A374" s="30">
        <f t="shared" si="53"/>
        <v>-3.25</v>
      </c>
      <c r="B374" s="94">
        <f>INT((ROWS(B$11:B374)-1)/20)+40+0.05*MOD(ROWS(B$11:B374)-1,20)</f>
        <v>58.15</v>
      </c>
      <c r="C374" s="58" t="str">
        <f t="shared" si="54"/>
        <v/>
      </c>
      <c r="D374" s="58" t="str">
        <f t="shared" si="56"/>
        <v/>
      </c>
      <c r="E374" s="30">
        <f t="shared" si="51"/>
        <v>5.7260695482791956E-4</v>
      </c>
      <c r="F374" s="30" t="str">
        <f t="shared" si="58"/>
        <v/>
      </c>
      <c r="G374" s="30" t="str">
        <f t="shared" si="58"/>
        <v/>
      </c>
      <c r="H374" s="30" t="str">
        <f t="shared" si="58"/>
        <v/>
      </c>
      <c r="I374" s="30" t="str">
        <f t="shared" si="57"/>
        <v/>
      </c>
    </row>
    <row r="375" spans="1:9" x14ac:dyDescent="0.25">
      <c r="A375" s="30">
        <f t="shared" si="53"/>
        <v>-3.25</v>
      </c>
      <c r="B375" s="94">
        <f>INT((ROWS(B$11:B375)-1)/20)+40+0.05*MOD(ROWS(B$11:B375)-1,20)</f>
        <v>58.2</v>
      </c>
      <c r="C375" s="58" t="str">
        <f t="shared" si="54"/>
        <v/>
      </c>
      <c r="D375" s="58" t="str">
        <f t="shared" si="56"/>
        <v/>
      </c>
      <c r="E375" s="30">
        <f t="shared" si="51"/>
        <v>5.9602205036621216E-4</v>
      </c>
      <c r="F375" s="30" t="str">
        <f t="shared" si="58"/>
        <v/>
      </c>
      <c r="G375" s="30" t="str">
        <f t="shared" si="58"/>
        <v/>
      </c>
      <c r="H375" s="30" t="str">
        <f t="shared" si="58"/>
        <v/>
      </c>
      <c r="I375" s="30" t="str">
        <f t="shared" si="57"/>
        <v/>
      </c>
    </row>
    <row r="376" spans="1:9" x14ac:dyDescent="0.25">
      <c r="A376" s="30">
        <f t="shared" si="53"/>
        <v>-3.25</v>
      </c>
      <c r="B376" s="94">
        <f>INT((ROWS(B$11:B376)-1)/20)+40+0.05*MOD(ROWS(B$11:B376)-1,20)</f>
        <v>58.25</v>
      </c>
      <c r="C376" s="58" t="str">
        <f t="shared" si="54"/>
        <v/>
      </c>
      <c r="D376" s="58" t="str">
        <f t="shared" si="56"/>
        <v/>
      </c>
      <c r="E376" s="30">
        <f t="shared" si="51"/>
        <v>6.2029770902582505E-4</v>
      </c>
      <c r="F376" s="30" t="str">
        <f t="shared" si="58"/>
        <v/>
      </c>
      <c r="G376" s="30" t="str">
        <f t="shared" si="58"/>
        <v/>
      </c>
      <c r="H376" s="30" t="str">
        <f t="shared" si="58"/>
        <v/>
      </c>
      <c r="I376" s="30" t="str">
        <f t="shared" si="57"/>
        <v/>
      </c>
    </row>
    <row r="377" spans="1:9" x14ac:dyDescent="0.25">
      <c r="A377" s="30">
        <f t="shared" si="53"/>
        <v>-3.25</v>
      </c>
      <c r="B377" s="94">
        <f>INT((ROWS(B$11:B377)-1)/20)+40+0.05*MOD(ROWS(B$11:B377)-1,20)</f>
        <v>58.3</v>
      </c>
      <c r="C377" s="58" t="str">
        <f t="shared" si="54"/>
        <v/>
      </c>
      <c r="D377" s="58" t="str">
        <f t="shared" si="56"/>
        <v/>
      </c>
      <c r="E377" s="30">
        <f t="shared" si="51"/>
        <v>6.454612410530528E-4</v>
      </c>
      <c r="F377" s="30" t="str">
        <f t="shared" si="58"/>
        <v/>
      </c>
      <c r="G377" s="30" t="str">
        <f t="shared" si="58"/>
        <v/>
      </c>
      <c r="H377" s="30" t="str">
        <f t="shared" si="58"/>
        <v/>
      </c>
      <c r="I377" s="30" t="str">
        <f t="shared" si="57"/>
        <v/>
      </c>
    </row>
    <row r="378" spans="1:9" x14ac:dyDescent="0.25">
      <c r="A378" s="30">
        <f t="shared" si="53"/>
        <v>-3.25</v>
      </c>
      <c r="B378" s="94">
        <f>INT((ROWS(B$11:B378)-1)/20)+40+0.05*MOD(ROWS(B$11:B378)-1,20)</f>
        <v>58.35</v>
      </c>
      <c r="C378" s="58" t="str">
        <f t="shared" si="54"/>
        <v/>
      </c>
      <c r="D378" s="58" t="str">
        <f t="shared" si="56"/>
        <v/>
      </c>
      <c r="E378" s="30">
        <f t="shared" si="51"/>
        <v>6.7154064220709131E-4</v>
      </c>
      <c r="F378" s="30" t="str">
        <f t="shared" si="58"/>
        <v/>
      </c>
      <c r="G378" s="30" t="str">
        <f t="shared" si="58"/>
        <v/>
      </c>
      <c r="H378" s="30" t="str">
        <f t="shared" si="58"/>
        <v/>
      </c>
      <c r="I378" s="30" t="str">
        <f t="shared" si="57"/>
        <v/>
      </c>
    </row>
    <row r="379" spans="1:9" x14ac:dyDescent="0.25">
      <c r="A379" s="30">
        <f t="shared" si="53"/>
        <v>-3.25</v>
      </c>
      <c r="B379" s="94">
        <f>INT((ROWS(B$11:B379)-1)/20)+40+0.05*MOD(ROWS(B$11:B379)-1,20)</f>
        <v>58.4</v>
      </c>
      <c r="C379" s="58" t="str">
        <f t="shared" si="54"/>
        <v/>
      </c>
      <c r="D379" s="58" t="str">
        <f t="shared" si="56"/>
        <v/>
      </c>
      <c r="E379" s="30">
        <f t="shared" si="51"/>
        <v>6.985646037198605E-4</v>
      </c>
      <c r="F379" s="30" t="str">
        <f t="shared" si="58"/>
        <v/>
      </c>
      <c r="G379" s="30" t="str">
        <f t="shared" si="58"/>
        <v/>
      </c>
      <c r="H379" s="30" t="str">
        <f t="shared" si="58"/>
        <v/>
      </c>
      <c r="I379" s="30" t="str">
        <f t="shared" si="57"/>
        <v/>
      </c>
    </row>
    <row r="380" spans="1:9" x14ac:dyDescent="0.25">
      <c r="A380" s="30">
        <f t="shared" si="53"/>
        <v>-3.25</v>
      </c>
      <c r="B380" s="94">
        <f>INT((ROWS(B$11:B380)-1)/20)+40+0.05*MOD(ROWS(B$11:B380)-1,20)</f>
        <v>58.45</v>
      </c>
      <c r="C380" s="58" t="str">
        <f t="shared" si="54"/>
        <v/>
      </c>
      <c r="D380" s="58" t="str">
        <f t="shared" si="56"/>
        <v/>
      </c>
      <c r="E380" s="30">
        <f t="shared" si="51"/>
        <v>7.2656252210489191E-4</v>
      </c>
      <c r="F380" s="30" t="str">
        <f t="shared" si="58"/>
        <v/>
      </c>
      <c r="G380" s="30" t="str">
        <f t="shared" si="58"/>
        <v/>
      </c>
      <c r="H380" s="30" t="str">
        <f t="shared" si="58"/>
        <v/>
      </c>
      <c r="I380" s="30" t="str">
        <f t="shared" si="57"/>
        <v/>
      </c>
    </row>
    <row r="381" spans="1:9" x14ac:dyDescent="0.25">
      <c r="A381" s="30">
        <f t="shared" si="53"/>
        <v>-3.25</v>
      </c>
      <c r="B381" s="94">
        <f>INT((ROWS(B$11:B381)-1)/20)+40+0.05*MOD(ROWS(B$11:B381)-1,20)</f>
        <v>58.5</v>
      </c>
      <c r="C381" s="58" t="str">
        <f t="shared" si="54"/>
        <v/>
      </c>
      <c r="D381" s="58" t="str">
        <f t="shared" si="56"/>
        <v/>
      </c>
      <c r="E381" s="30">
        <f t="shared" si="51"/>
        <v>7.5556450879968903E-4</v>
      </c>
      <c r="F381" s="30" t="str">
        <f t="shared" si="58"/>
        <v/>
      </c>
      <c r="G381" s="30" t="str">
        <f t="shared" si="58"/>
        <v/>
      </c>
      <c r="H381" s="30" t="str">
        <f t="shared" si="58"/>
        <v/>
      </c>
      <c r="I381" s="30" t="str">
        <f t="shared" si="57"/>
        <v/>
      </c>
    </row>
    <row r="382" spans="1:9" x14ac:dyDescent="0.25">
      <c r="A382" s="30">
        <f t="shared" si="53"/>
        <v>-3.25</v>
      </c>
      <c r="B382" s="94">
        <f>INT((ROWS(B$11:B382)-1)/20)+40+0.05*MOD(ROWS(B$11:B382)-1,20)</f>
        <v>58.55</v>
      </c>
      <c r="C382" s="58" t="str">
        <f t="shared" si="54"/>
        <v/>
      </c>
      <c r="D382" s="58" t="str">
        <f t="shared" si="56"/>
        <v/>
      </c>
      <c r="E382" s="30">
        <f t="shared" si="51"/>
        <v>7.856013996257764E-4</v>
      </c>
      <c r="F382" s="30" t="str">
        <f t="shared" si="58"/>
        <v/>
      </c>
      <c r="G382" s="30" t="str">
        <f t="shared" si="58"/>
        <v/>
      </c>
      <c r="H382" s="30" t="str">
        <f t="shared" si="58"/>
        <v/>
      </c>
      <c r="I382" s="30" t="str">
        <f t="shared" si="57"/>
        <v/>
      </c>
    </row>
    <row r="383" spans="1:9" x14ac:dyDescent="0.25">
      <c r="A383" s="30">
        <f t="shared" si="53"/>
        <v>-3.25</v>
      </c>
      <c r="B383" s="94">
        <f>INT((ROWS(B$11:B383)-1)/20)+40+0.05*MOD(ROWS(B$11:B383)-1,20)</f>
        <v>58.6</v>
      </c>
      <c r="C383" s="58" t="str">
        <f t="shared" si="54"/>
        <v/>
      </c>
      <c r="D383" s="58" t="str">
        <f t="shared" si="56"/>
        <v/>
      </c>
      <c r="E383" s="30">
        <f t="shared" si="51"/>
        <v>8.1670476404998118E-4</v>
      </c>
      <c r="F383" s="30" t="str">
        <f t="shared" si="58"/>
        <v/>
      </c>
      <c r="G383" s="30" t="str">
        <f t="shared" si="58"/>
        <v/>
      </c>
      <c r="H383" s="30" t="str">
        <f t="shared" si="58"/>
        <v/>
      </c>
      <c r="I383" s="30" t="str">
        <f t="shared" si="57"/>
        <v/>
      </c>
    </row>
    <row r="384" spans="1:9" x14ac:dyDescent="0.25">
      <c r="A384" s="30">
        <f t="shared" si="53"/>
        <v>-3.25</v>
      </c>
      <c r="B384" s="94">
        <f>INT((ROWS(B$11:B384)-1)/20)+40+0.05*MOD(ROWS(B$11:B384)-1,20)</f>
        <v>58.65</v>
      </c>
      <c r="C384" s="58" t="str">
        <f t="shared" si="54"/>
        <v/>
      </c>
      <c r="D384" s="58" t="str">
        <f t="shared" si="56"/>
        <v/>
      </c>
      <c r="E384" s="30">
        <f t="shared" si="51"/>
        <v>8.4890691423019184E-4</v>
      </c>
      <c r="F384" s="30" t="str">
        <f t="shared" si="58"/>
        <v/>
      </c>
      <c r="G384" s="30" t="str">
        <f t="shared" si="58"/>
        <v/>
      </c>
      <c r="H384" s="30" t="str">
        <f t="shared" si="58"/>
        <v/>
      </c>
      <c r="I384" s="30" t="str">
        <f t="shared" si="57"/>
        <v/>
      </c>
    </row>
    <row r="385" spans="1:9" x14ac:dyDescent="0.25">
      <c r="A385" s="30">
        <f t="shared" si="53"/>
        <v>-3.25</v>
      </c>
      <c r="B385" s="94">
        <f>INT((ROWS(B$11:B385)-1)/20)+40+0.05*MOD(ROWS(B$11:B385)-1,20)</f>
        <v>58.7</v>
      </c>
      <c r="C385" s="58" t="str">
        <f t="shared" si="54"/>
        <v/>
      </c>
      <c r="D385" s="58" t="str">
        <f t="shared" si="56"/>
        <v/>
      </c>
      <c r="E385" s="30">
        <f t="shared" si="51"/>
        <v>8.8224091382844202E-4</v>
      </c>
      <c r="F385" s="30" t="str">
        <f t="shared" si="58"/>
        <v/>
      </c>
      <c r="G385" s="30" t="str">
        <f t="shared" si="58"/>
        <v/>
      </c>
      <c r="H385" s="30" t="str">
        <f t="shared" si="58"/>
        <v/>
      </c>
      <c r="I385" s="30" t="str">
        <f t="shared" si="57"/>
        <v/>
      </c>
    </row>
    <row r="386" spans="1:9" x14ac:dyDescent="0.25">
      <c r="A386" s="30">
        <f t="shared" si="53"/>
        <v>-3.25</v>
      </c>
      <c r="B386" s="94">
        <f>INT((ROWS(B$11:B386)-1)/20)+40+0.05*MOD(ROWS(B$11:B386)-1,20)</f>
        <v>58.75</v>
      </c>
      <c r="C386" s="58" t="str">
        <f t="shared" si="54"/>
        <v/>
      </c>
      <c r="D386" s="58" t="str">
        <f t="shared" si="56"/>
        <v/>
      </c>
      <c r="E386" s="30">
        <f t="shared" si="51"/>
        <v>9.1674058657355653E-4</v>
      </c>
      <c r="F386" s="30" t="str">
        <f t="shared" si="58"/>
        <v/>
      </c>
      <c r="G386" s="30" t="str">
        <f t="shared" si="58"/>
        <v/>
      </c>
      <c r="H386" s="30" t="str">
        <f t="shared" si="58"/>
        <v/>
      </c>
      <c r="I386" s="30" t="str">
        <f t="shared" si="57"/>
        <v/>
      </c>
    </row>
    <row r="387" spans="1:9" x14ac:dyDescent="0.25">
      <c r="A387" s="30">
        <f t="shared" si="53"/>
        <v>-3.25</v>
      </c>
      <c r="B387" s="94">
        <f>INT((ROWS(B$11:B387)-1)/20)+40+0.05*MOD(ROWS(B$11:B387)-1,20)</f>
        <v>58.8</v>
      </c>
      <c r="C387" s="58" t="str">
        <f t="shared" si="54"/>
        <v/>
      </c>
      <c r="D387" s="58" t="str">
        <f t="shared" si="56"/>
        <v/>
      </c>
      <c r="E387" s="30">
        <f t="shared" si="51"/>
        <v>9.5244052455545E-4</v>
      </c>
      <c r="F387" s="30" t="str">
        <f t="shared" si="58"/>
        <v/>
      </c>
      <c r="G387" s="30" t="str">
        <f t="shared" si="58"/>
        <v/>
      </c>
      <c r="H387" s="30" t="str">
        <f t="shared" si="58"/>
        <v/>
      </c>
      <c r="I387" s="30" t="str">
        <f t="shared" si="57"/>
        <v/>
      </c>
    </row>
    <row r="388" spans="1:9" x14ac:dyDescent="0.25">
      <c r="A388" s="30">
        <f t="shared" si="53"/>
        <v>-3.25</v>
      </c>
      <c r="B388" s="94">
        <f>INT((ROWS(B$11:B388)-1)/20)+40+0.05*MOD(ROWS(B$11:B388)-1,20)</f>
        <v>58.85</v>
      </c>
      <c r="C388" s="58" t="str">
        <f t="shared" si="54"/>
        <v/>
      </c>
      <c r="D388" s="58" t="str">
        <f t="shared" si="56"/>
        <v/>
      </c>
      <c r="E388" s="30">
        <f t="shared" si="51"/>
        <v>9.8937609623249521E-4</v>
      </c>
      <c r="F388" s="30" t="str">
        <f t="shared" si="58"/>
        <v/>
      </c>
      <c r="G388" s="30" t="str">
        <f t="shared" si="58"/>
        <v/>
      </c>
      <c r="H388" s="30" t="str">
        <f t="shared" si="58"/>
        <v/>
      </c>
      <c r="I388" s="30" t="str">
        <f t="shared" si="57"/>
        <v/>
      </c>
    </row>
    <row r="389" spans="1:9" x14ac:dyDescent="0.25">
      <c r="A389" s="30">
        <f t="shared" si="53"/>
        <v>-3.25</v>
      </c>
      <c r="B389" s="94">
        <f>INT((ROWS(B$11:B389)-1)/20)+40+0.05*MOD(ROWS(B$11:B389)-1,20)</f>
        <v>58.9</v>
      </c>
      <c r="C389" s="58" t="str">
        <f t="shared" si="54"/>
        <v/>
      </c>
      <c r="D389" s="58" t="str">
        <f t="shared" si="56"/>
        <v/>
      </c>
      <c r="E389" s="30">
        <f t="shared" si="51"/>
        <v>1.0275834541331392E-3</v>
      </c>
      <c r="F389" s="30" t="str">
        <f t="shared" si="58"/>
        <v/>
      </c>
      <c r="G389" s="30" t="str">
        <f t="shared" si="58"/>
        <v/>
      </c>
      <c r="H389" s="30" t="str">
        <f t="shared" si="58"/>
        <v/>
      </c>
      <c r="I389" s="30" t="str">
        <f t="shared" si="57"/>
        <v/>
      </c>
    </row>
    <row r="390" spans="1:9" x14ac:dyDescent="0.25">
      <c r="A390" s="30">
        <f t="shared" si="53"/>
        <v>-3.25</v>
      </c>
      <c r="B390" s="94">
        <f>INT((ROWS(B$11:B390)-1)/20)+40+0.05*MOD(ROWS(B$11:B390)-1,20)</f>
        <v>58.95</v>
      </c>
      <c r="C390" s="58" t="str">
        <f t="shared" si="54"/>
        <v/>
      </c>
      <c r="D390" s="58" t="str">
        <f t="shared" si="56"/>
        <v/>
      </c>
      <c r="E390" s="30">
        <f t="shared" si="51"/>
        <v>1.0670995422325457E-3</v>
      </c>
      <c r="F390" s="30" t="str">
        <f t="shared" si="58"/>
        <v/>
      </c>
      <c r="G390" s="30" t="str">
        <f t="shared" si="58"/>
        <v/>
      </c>
      <c r="H390" s="30" t="str">
        <f t="shared" si="58"/>
        <v/>
      </c>
      <c r="I390" s="30" t="str">
        <f t="shared" si="57"/>
        <v/>
      </c>
    </row>
    <row r="391" spans="1:9" x14ac:dyDescent="0.25">
      <c r="A391" s="30">
        <f t="shared" si="53"/>
        <v>-3</v>
      </c>
      <c r="B391" s="94">
        <f>INT((ROWS(B$11:B391)-1)/20)+40+0.05*MOD(ROWS(B$11:B391)-1,20)</f>
        <v>59</v>
      </c>
      <c r="C391" s="58">
        <f t="shared" si="54"/>
        <v>-3</v>
      </c>
      <c r="D391" s="58" t="str">
        <f t="shared" si="56"/>
        <v>59"
- 3 z</v>
      </c>
      <c r="E391" s="30">
        <f t="shared" si="51"/>
        <v>1.1079621029845019E-3</v>
      </c>
      <c r="F391" s="30">
        <f t="shared" ref="F391:H410" si="59">IF(AND($B391&gt;=F$7,$B391&lt;=F$8),E391,"")</f>
        <v>1.1079621029845019E-3</v>
      </c>
      <c r="G391" s="30" t="str">
        <f t="shared" si="59"/>
        <v/>
      </c>
      <c r="H391" s="30" t="str">
        <f t="shared" si="59"/>
        <v/>
      </c>
      <c r="I391" s="30" t="str">
        <f t="shared" si="57"/>
        <v/>
      </c>
    </row>
    <row r="392" spans="1:9" x14ac:dyDescent="0.25">
      <c r="A392" s="30">
        <f t="shared" si="53"/>
        <v>-3</v>
      </c>
      <c r="B392" s="94">
        <f>INT((ROWS(B$11:B392)-1)/20)+40+0.05*MOD(ROWS(B$11:B392)-1,20)</f>
        <v>59.05</v>
      </c>
      <c r="C392" s="58" t="str">
        <f t="shared" si="54"/>
        <v/>
      </c>
      <c r="D392" s="58" t="str">
        <f t="shared" si="56"/>
        <v/>
      </c>
      <c r="E392" s="30">
        <f t="shared" si="51"/>
        <v>1.1502096839887015E-3</v>
      </c>
      <c r="F392" s="30">
        <f t="shared" si="59"/>
        <v>1.1502096839887015E-3</v>
      </c>
      <c r="G392" s="30" t="str">
        <f t="shared" si="59"/>
        <v/>
      </c>
      <c r="H392" s="30" t="str">
        <f t="shared" si="59"/>
        <v/>
      </c>
      <c r="I392" s="30" t="str">
        <f t="shared" si="57"/>
        <v/>
      </c>
    </row>
    <row r="393" spans="1:9" x14ac:dyDescent="0.25">
      <c r="A393" s="30">
        <f t="shared" si="53"/>
        <v>-3</v>
      </c>
      <c r="B393" s="94">
        <f>INT((ROWS(B$11:B393)-1)/20)+40+0.05*MOD(ROWS(B$11:B393)-1,20)</f>
        <v>59.1</v>
      </c>
      <c r="C393" s="58" t="str">
        <f t="shared" si="54"/>
        <v/>
      </c>
      <c r="D393" s="58" t="str">
        <f t="shared" si="56"/>
        <v/>
      </c>
      <c r="E393" s="30">
        <f t="shared" si="51"/>
        <v>1.1938816442728919E-3</v>
      </c>
      <c r="F393" s="30">
        <f t="shared" si="59"/>
        <v>1.1938816442728919E-3</v>
      </c>
      <c r="G393" s="30" t="str">
        <f t="shared" si="59"/>
        <v/>
      </c>
      <c r="H393" s="30" t="str">
        <f t="shared" si="59"/>
        <v/>
      </c>
      <c r="I393" s="30" t="str">
        <f t="shared" si="57"/>
        <v/>
      </c>
    </row>
    <row r="394" spans="1:9" x14ac:dyDescent="0.25">
      <c r="A394" s="30">
        <f t="shared" si="53"/>
        <v>-3</v>
      </c>
      <c r="B394" s="94">
        <f>INT((ROWS(B$11:B394)-1)/20)+40+0.05*MOD(ROWS(B$11:B394)-1,20)</f>
        <v>59.15</v>
      </c>
      <c r="C394" s="58" t="str">
        <f t="shared" si="54"/>
        <v/>
      </c>
      <c r="D394" s="58" t="str">
        <f t="shared" si="56"/>
        <v/>
      </c>
      <c r="E394" s="30">
        <f t="shared" si="51"/>
        <v>1.2390181601691791E-3</v>
      </c>
      <c r="F394" s="30">
        <f t="shared" si="59"/>
        <v>1.2390181601691791E-3</v>
      </c>
      <c r="G394" s="30" t="str">
        <f t="shared" si="59"/>
        <v/>
      </c>
      <c r="H394" s="30" t="str">
        <f t="shared" si="59"/>
        <v/>
      </c>
      <c r="I394" s="30" t="str">
        <f t="shared" si="57"/>
        <v/>
      </c>
    </row>
    <row r="395" spans="1:9" x14ac:dyDescent="0.25">
      <c r="A395" s="30">
        <f t="shared" si="53"/>
        <v>-3</v>
      </c>
      <c r="B395" s="94">
        <f>INT((ROWS(B$11:B395)-1)/20)+40+0.05*MOD(ROWS(B$11:B395)-1,20)</f>
        <v>59.2</v>
      </c>
      <c r="C395" s="58" t="str">
        <f t="shared" si="54"/>
        <v/>
      </c>
      <c r="D395" s="58" t="str">
        <f t="shared" si="56"/>
        <v/>
      </c>
      <c r="E395" s="30">
        <f t="shared" ref="E395:E458" si="60">_xlfn.NORM.DIST(B395,$F$1,$F$2,0)</f>
        <v>1.2856602307634881E-3</v>
      </c>
      <c r="F395" s="30">
        <f t="shared" si="59"/>
        <v>1.2856602307634881E-3</v>
      </c>
      <c r="G395" s="30" t="str">
        <f t="shared" si="59"/>
        <v/>
      </c>
      <c r="H395" s="30" t="str">
        <f t="shared" si="59"/>
        <v/>
      </c>
      <c r="I395" s="30" t="str">
        <f t="shared" si="57"/>
        <v/>
      </c>
    </row>
    <row r="396" spans="1:9" x14ac:dyDescent="0.25">
      <c r="A396" s="30">
        <f t="shared" ref="A396:A459" si="61">(INT(B396)-$F$1)/$F$2</f>
        <v>-3</v>
      </c>
      <c r="B396" s="94">
        <f>INT((ROWS(B$11:B396)-1)/20)+40+0.05*MOD(ROWS(B$11:B396)-1,20)</f>
        <v>59.25</v>
      </c>
      <c r="C396" s="58" t="str">
        <f t="shared" ref="C396:C459" si="62">IF(AND(A396&lt;&gt;A395,INT(A396)=A396),A396,"")</f>
        <v/>
      </c>
      <c r="D396" s="58" t="str">
        <f t="shared" si="56"/>
        <v/>
      </c>
      <c r="E396" s="30">
        <f t="shared" si="60"/>
        <v>1.3338496828965787E-3</v>
      </c>
      <c r="F396" s="30">
        <f t="shared" si="59"/>
        <v>1.3338496828965787E-3</v>
      </c>
      <c r="G396" s="30" t="str">
        <f t="shared" si="59"/>
        <v/>
      </c>
      <c r="H396" s="30" t="str">
        <f t="shared" si="59"/>
        <v/>
      </c>
      <c r="I396" s="30" t="str">
        <f t="shared" si="57"/>
        <v/>
      </c>
    </row>
    <row r="397" spans="1:9" x14ac:dyDescent="0.25">
      <c r="A397" s="30">
        <f t="shared" si="61"/>
        <v>-3</v>
      </c>
      <c r="B397" s="94">
        <f>INT((ROWS(B$11:B397)-1)/20)+40+0.05*MOD(ROWS(B$11:B397)-1,20)</f>
        <v>59.3</v>
      </c>
      <c r="C397" s="58" t="str">
        <f t="shared" si="62"/>
        <v/>
      </c>
      <c r="D397" s="58" t="str">
        <f t="shared" si="56"/>
        <v/>
      </c>
      <c r="E397" s="30">
        <f t="shared" si="60"/>
        <v>1.3836291756951218E-3</v>
      </c>
      <c r="F397" s="30">
        <f t="shared" si="59"/>
        <v>1.3836291756951218E-3</v>
      </c>
      <c r="G397" s="30" t="str">
        <f t="shared" si="59"/>
        <v/>
      </c>
      <c r="H397" s="30" t="str">
        <f t="shared" si="59"/>
        <v/>
      </c>
      <c r="I397" s="30" t="str">
        <f t="shared" si="57"/>
        <v/>
      </c>
    </row>
    <row r="398" spans="1:9" x14ac:dyDescent="0.25">
      <c r="A398" s="30">
        <f t="shared" si="61"/>
        <v>-3</v>
      </c>
      <c r="B398" s="94">
        <f>INT((ROWS(B$11:B398)-1)/20)+40+0.05*MOD(ROWS(B$11:B398)-1,20)</f>
        <v>59.35</v>
      </c>
      <c r="C398" s="58" t="str">
        <f t="shared" si="62"/>
        <v/>
      </c>
      <c r="D398" s="58" t="str">
        <f t="shared" si="56"/>
        <v/>
      </c>
      <c r="E398" s="30">
        <f t="shared" si="60"/>
        <v>1.4350422046106213E-3</v>
      </c>
      <c r="F398" s="30">
        <f t="shared" si="59"/>
        <v>1.4350422046106213E-3</v>
      </c>
      <c r="G398" s="30" t="str">
        <f t="shared" si="59"/>
        <v/>
      </c>
      <c r="H398" s="30" t="str">
        <f t="shared" si="59"/>
        <v/>
      </c>
      <c r="I398" s="30" t="str">
        <f t="shared" si="57"/>
        <v/>
      </c>
    </row>
    <row r="399" spans="1:9" x14ac:dyDescent="0.25">
      <c r="A399" s="30">
        <f t="shared" si="61"/>
        <v>-3</v>
      </c>
      <c r="B399" s="94">
        <f>INT((ROWS(B$11:B399)-1)/20)+40+0.05*MOD(ROWS(B$11:B399)-1,20)</f>
        <v>59.4</v>
      </c>
      <c r="C399" s="58" t="str">
        <f t="shared" si="62"/>
        <v/>
      </c>
      <c r="D399" s="58" t="str">
        <f t="shared" si="56"/>
        <v/>
      </c>
      <c r="E399" s="30">
        <f t="shared" si="60"/>
        <v>1.4881331049439621E-3</v>
      </c>
      <c r="F399" s="30">
        <f t="shared" si="59"/>
        <v>1.4881331049439621E-3</v>
      </c>
      <c r="G399" s="30" t="str">
        <f t="shared" si="59"/>
        <v/>
      </c>
      <c r="H399" s="30" t="str">
        <f t="shared" si="59"/>
        <v/>
      </c>
      <c r="I399" s="30" t="str">
        <f t="shared" si="57"/>
        <v/>
      </c>
    </row>
    <row r="400" spans="1:9" x14ac:dyDescent="0.25">
      <c r="A400" s="30">
        <f t="shared" si="61"/>
        <v>-3</v>
      </c>
      <c r="B400" s="94">
        <f>INT((ROWS(B$11:B400)-1)/20)+40+0.05*MOD(ROWS(B$11:B400)-1,20)</f>
        <v>59.45</v>
      </c>
      <c r="C400" s="58" t="str">
        <f t="shared" si="62"/>
        <v/>
      </c>
      <c r="D400" s="58" t="str">
        <f t="shared" si="56"/>
        <v/>
      </c>
      <c r="E400" s="30">
        <f t="shared" si="60"/>
        <v>1.5429470548330973E-3</v>
      </c>
      <c r="F400" s="30">
        <f t="shared" si="59"/>
        <v>1.5429470548330973E-3</v>
      </c>
      <c r="G400" s="30" t="str">
        <f t="shared" si="59"/>
        <v/>
      </c>
      <c r="H400" s="30" t="str">
        <f t="shared" si="59"/>
        <v/>
      </c>
      <c r="I400" s="30" t="str">
        <f t="shared" si="57"/>
        <v/>
      </c>
    </row>
    <row r="401" spans="1:9" x14ac:dyDescent="0.25">
      <c r="A401" s="30">
        <f t="shared" si="61"/>
        <v>-3</v>
      </c>
      <c r="B401" s="94">
        <f>INT((ROWS(B$11:B401)-1)/20)+40+0.05*MOD(ROWS(B$11:B401)-1,20)</f>
        <v>59.5</v>
      </c>
      <c r="C401" s="58" t="str">
        <f t="shared" si="62"/>
        <v/>
      </c>
      <c r="D401" s="58" t="str">
        <f t="shared" si="56"/>
        <v/>
      </c>
      <c r="E401" s="30">
        <f t="shared" si="60"/>
        <v>1.5995300776808891E-3</v>
      </c>
      <c r="F401" s="30">
        <f t="shared" si="59"/>
        <v>1.5995300776808891E-3</v>
      </c>
      <c r="G401" s="30" t="str">
        <f t="shared" si="59"/>
        <v/>
      </c>
      <c r="H401" s="30" t="str">
        <f t="shared" si="59"/>
        <v/>
      </c>
      <c r="I401" s="30" t="str">
        <f t="shared" si="57"/>
        <v/>
      </c>
    </row>
    <row r="402" spans="1:9" x14ac:dyDescent="0.25">
      <c r="A402" s="30">
        <f t="shared" si="61"/>
        <v>-3</v>
      </c>
      <c r="B402" s="94">
        <f>INT((ROWS(B$11:B402)-1)/20)+40+0.05*MOD(ROWS(B$11:B402)-1,20)</f>
        <v>59.55</v>
      </c>
      <c r="C402" s="58" t="str">
        <f t="shared" si="62"/>
        <v/>
      </c>
      <c r="D402" s="58" t="str">
        <f t="shared" si="56"/>
        <v/>
      </c>
      <c r="E402" s="30">
        <f t="shared" si="60"/>
        <v>1.657929044000293E-3</v>
      </c>
      <c r="F402" s="30">
        <f t="shared" si="59"/>
        <v>1.657929044000293E-3</v>
      </c>
      <c r="G402" s="30" t="str">
        <f t="shared" si="59"/>
        <v/>
      </c>
      <c r="H402" s="30" t="str">
        <f t="shared" si="59"/>
        <v/>
      </c>
      <c r="I402" s="30" t="str">
        <f t="shared" si="57"/>
        <v/>
      </c>
    </row>
    <row r="403" spans="1:9" x14ac:dyDescent="0.25">
      <c r="A403" s="30">
        <f t="shared" si="61"/>
        <v>-3</v>
      </c>
      <c r="B403" s="94">
        <f>INT((ROWS(B$11:B403)-1)/20)+40+0.05*MOD(ROWS(B$11:B403)-1,20)</f>
        <v>59.6</v>
      </c>
      <c r="C403" s="58" t="str">
        <f t="shared" si="62"/>
        <v/>
      </c>
      <c r="D403" s="58" t="str">
        <f t="shared" si="56"/>
        <v/>
      </c>
      <c r="E403" s="30">
        <f t="shared" si="60"/>
        <v>1.7181916726534945E-3</v>
      </c>
      <c r="F403" s="30">
        <f t="shared" si="59"/>
        <v>1.7181916726534945E-3</v>
      </c>
      <c r="G403" s="30" t="str">
        <f t="shared" si="59"/>
        <v/>
      </c>
      <c r="H403" s="30" t="str">
        <f t="shared" si="59"/>
        <v/>
      </c>
      <c r="I403" s="30" t="str">
        <f t="shared" si="57"/>
        <v/>
      </c>
    </row>
    <row r="404" spans="1:9" x14ac:dyDescent="0.25">
      <c r="A404" s="30">
        <f t="shared" si="61"/>
        <v>-3</v>
      </c>
      <c r="B404" s="94">
        <f>INT((ROWS(B$11:B404)-1)/20)+40+0.05*MOD(ROWS(B$11:B404)-1,20)</f>
        <v>59.65</v>
      </c>
      <c r="C404" s="58" t="str">
        <f t="shared" si="62"/>
        <v/>
      </c>
      <c r="D404" s="58" t="str">
        <f t="shared" si="56"/>
        <v/>
      </c>
      <c r="E404" s="30">
        <f t="shared" si="60"/>
        <v>1.7803665314616386E-3</v>
      </c>
      <c r="F404" s="30">
        <f t="shared" si="59"/>
        <v>1.7803665314616386E-3</v>
      </c>
      <c r="G404" s="30" t="str">
        <f t="shared" si="59"/>
        <v/>
      </c>
      <c r="H404" s="30" t="str">
        <f t="shared" si="59"/>
        <v/>
      </c>
      <c r="I404" s="30" t="str">
        <f t="shared" si="57"/>
        <v/>
      </c>
    </row>
    <row r="405" spans="1:9" x14ac:dyDescent="0.25">
      <c r="A405" s="30">
        <f t="shared" si="61"/>
        <v>-3</v>
      </c>
      <c r="B405" s="94">
        <f>INT((ROWS(B$11:B405)-1)/20)+40+0.05*MOD(ROWS(B$11:B405)-1,20)</f>
        <v>59.7</v>
      </c>
      <c r="C405" s="58" t="str">
        <f t="shared" si="62"/>
        <v/>
      </c>
      <c r="D405" s="58" t="str">
        <f t="shared" si="56"/>
        <v/>
      </c>
      <c r="E405" s="30">
        <f t="shared" si="60"/>
        <v>1.8445030371617012E-3</v>
      </c>
      <c r="F405" s="30">
        <f t="shared" si="59"/>
        <v>1.8445030371617012E-3</v>
      </c>
      <c r="G405" s="30" t="str">
        <f t="shared" si="59"/>
        <v/>
      </c>
      <c r="H405" s="30" t="str">
        <f t="shared" si="59"/>
        <v/>
      </c>
      <c r="I405" s="30" t="str">
        <f t="shared" si="57"/>
        <v/>
      </c>
    </row>
    <row r="406" spans="1:9" x14ac:dyDescent="0.25">
      <c r="A406" s="30">
        <f t="shared" si="61"/>
        <v>-3</v>
      </c>
      <c r="B406" s="94">
        <f>INT((ROWS(B$11:B406)-1)/20)+40+0.05*MOD(ROWS(B$11:B406)-1,20)</f>
        <v>59.75</v>
      </c>
      <c r="C406" s="58" t="str">
        <f t="shared" si="62"/>
        <v/>
      </c>
      <c r="D406" s="58" t="str">
        <f t="shared" si="56"/>
        <v/>
      </c>
      <c r="E406" s="30">
        <f t="shared" si="60"/>
        <v>1.9106514546866004E-3</v>
      </c>
      <c r="F406" s="30">
        <f t="shared" si="59"/>
        <v>1.9106514546866004E-3</v>
      </c>
      <c r="G406" s="30" t="str">
        <f t="shared" si="59"/>
        <v/>
      </c>
      <c r="H406" s="30" t="str">
        <f t="shared" si="59"/>
        <v/>
      </c>
      <c r="I406" s="30" t="str">
        <f t="shared" si="57"/>
        <v/>
      </c>
    </row>
    <row r="407" spans="1:9" x14ac:dyDescent="0.25">
      <c r="A407" s="30">
        <f t="shared" si="61"/>
        <v>-3</v>
      </c>
      <c r="B407" s="94">
        <f>INT((ROWS(B$11:B407)-1)/20)+40+0.05*MOD(ROWS(B$11:B407)-1,20)</f>
        <v>59.8</v>
      </c>
      <c r="C407" s="58" t="str">
        <f t="shared" si="62"/>
        <v/>
      </c>
      <c r="D407" s="58" t="str">
        <f t="shared" si="56"/>
        <v/>
      </c>
      <c r="E407" s="30">
        <f t="shared" si="60"/>
        <v>1.9788628957449865E-3</v>
      </c>
      <c r="F407" s="30">
        <f t="shared" si="59"/>
        <v>1.9788628957449865E-3</v>
      </c>
      <c r="G407" s="30" t="str">
        <f t="shared" si="59"/>
        <v/>
      </c>
      <c r="H407" s="30" t="str">
        <f t="shared" si="59"/>
        <v/>
      </c>
      <c r="I407" s="30" t="str">
        <f t="shared" si="57"/>
        <v/>
      </c>
    </row>
    <row r="408" spans="1:9" x14ac:dyDescent="0.25">
      <c r="A408" s="30">
        <f t="shared" si="61"/>
        <v>-3</v>
      </c>
      <c r="B408" s="94">
        <f>INT((ROWS(B$11:B408)-1)/20)+40+0.05*MOD(ROWS(B$11:B408)-1,20)</f>
        <v>59.85</v>
      </c>
      <c r="C408" s="58" t="str">
        <f t="shared" si="62"/>
        <v/>
      </c>
      <c r="D408" s="58" t="str">
        <f t="shared" si="56"/>
        <v/>
      </c>
      <c r="E408" s="30">
        <f t="shared" si="60"/>
        <v>2.0491893166766514E-3</v>
      </c>
      <c r="F408" s="30">
        <f t="shared" si="59"/>
        <v>2.0491893166766514E-3</v>
      </c>
      <c r="G408" s="30" t="str">
        <f t="shared" si="59"/>
        <v/>
      </c>
      <c r="H408" s="30" t="str">
        <f t="shared" si="59"/>
        <v/>
      </c>
      <c r="I408" s="30" t="str">
        <f t="shared" si="57"/>
        <v/>
      </c>
    </row>
    <row r="409" spans="1:9" x14ac:dyDescent="0.25">
      <c r="A409" s="30">
        <f t="shared" si="61"/>
        <v>-3</v>
      </c>
      <c r="B409" s="94">
        <f>INT((ROWS(B$11:B409)-1)/20)+40+0.05*MOD(ROWS(B$11:B409)-1,20)</f>
        <v>59.9</v>
      </c>
      <c r="C409" s="58" t="str">
        <f t="shared" si="62"/>
        <v/>
      </c>
      <c r="D409" s="58" t="str">
        <f t="shared" si="56"/>
        <v/>
      </c>
      <c r="E409" s="30">
        <f t="shared" si="60"/>
        <v>2.1216835155596775E-3</v>
      </c>
      <c r="F409" s="30">
        <f t="shared" si="59"/>
        <v>2.1216835155596775E-3</v>
      </c>
      <c r="G409" s="30" t="str">
        <f t="shared" si="59"/>
        <v/>
      </c>
      <c r="H409" s="30" t="str">
        <f t="shared" si="59"/>
        <v/>
      </c>
      <c r="I409" s="30" t="str">
        <f t="shared" si="57"/>
        <v/>
      </c>
    </row>
    <row r="410" spans="1:9" x14ac:dyDescent="0.25">
      <c r="A410" s="30">
        <f t="shared" si="61"/>
        <v>-3</v>
      </c>
      <c r="B410" s="94">
        <f>INT((ROWS(B$11:B410)-1)/20)+40+0.05*MOD(ROWS(B$11:B410)-1,20)</f>
        <v>59.95</v>
      </c>
      <c r="C410" s="58" t="str">
        <f t="shared" si="62"/>
        <v/>
      </c>
      <c r="D410" s="58" t="str">
        <f t="shared" si="56"/>
        <v/>
      </c>
      <c r="E410" s="30">
        <f t="shared" si="60"/>
        <v>2.1963991285455166E-3</v>
      </c>
      <c r="F410" s="30">
        <f t="shared" si="59"/>
        <v>2.1963991285455166E-3</v>
      </c>
      <c r="G410" s="30" t="str">
        <f t="shared" si="59"/>
        <v/>
      </c>
      <c r="H410" s="30" t="str">
        <f t="shared" si="59"/>
        <v/>
      </c>
      <c r="I410" s="30" t="str">
        <f t="shared" si="57"/>
        <v/>
      </c>
    </row>
    <row r="411" spans="1:9" x14ac:dyDescent="0.25">
      <c r="A411" s="30">
        <f t="shared" si="61"/>
        <v>-2.75</v>
      </c>
      <c r="B411" s="94">
        <f>INT((ROWS(B$11:B411)-1)/20)+40+0.05*MOD(ROWS(B$11:B411)-1,20)</f>
        <v>60</v>
      </c>
      <c r="C411" s="58" t="str">
        <f t="shared" si="62"/>
        <v/>
      </c>
      <c r="D411" s="58" t="str">
        <f t="shared" si="56"/>
        <v/>
      </c>
      <c r="E411" s="30">
        <f t="shared" si="60"/>
        <v>2.2733906253977632E-3</v>
      </c>
      <c r="F411" s="30">
        <f t="shared" ref="F411:H430" si="63">IF(AND($B411&gt;=F$7,$B411&lt;=F$8),E411,"")</f>
        <v>2.2733906253977632E-3</v>
      </c>
      <c r="G411" s="30" t="str">
        <f t="shared" si="63"/>
        <v/>
      </c>
      <c r="H411" s="30" t="str">
        <f t="shared" si="63"/>
        <v/>
      </c>
      <c r="I411" s="30" t="str">
        <f t="shared" si="57"/>
        <v/>
      </c>
    </row>
    <row r="412" spans="1:9" x14ac:dyDescent="0.25">
      <c r="A412" s="30">
        <f t="shared" si="61"/>
        <v>-2.75</v>
      </c>
      <c r="B412" s="94">
        <f>INT((ROWS(B$11:B412)-1)/20)+40+0.05*MOD(ROWS(B$11:B412)-1,20)</f>
        <v>60.05</v>
      </c>
      <c r="C412" s="58" t="str">
        <f t="shared" si="62"/>
        <v/>
      </c>
      <c r="D412" s="58" t="str">
        <f t="shared" si="56"/>
        <v/>
      </c>
      <c r="E412" s="30">
        <f t="shared" si="60"/>
        <v>2.3527133042110593E-3</v>
      </c>
      <c r="F412" s="30">
        <f t="shared" si="63"/>
        <v>2.3527133042110593E-3</v>
      </c>
      <c r="G412" s="30" t="str">
        <f t="shared" si="63"/>
        <v/>
      </c>
      <c r="H412" s="30" t="str">
        <f t="shared" si="63"/>
        <v/>
      </c>
      <c r="I412" s="30" t="str">
        <f t="shared" si="57"/>
        <v/>
      </c>
    </row>
    <row r="413" spans="1:9" x14ac:dyDescent="0.25">
      <c r="A413" s="30">
        <f t="shared" si="61"/>
        <v>-2.75</v>
      </c>
      <c r="B413" s="94">
        <f>INT((ROWS(B$11:B413)-1)/20)+40+0.05*MOD(ROWS(B$11:B413)-1,20)</f>
        <v>60.1</v>
      </c>
      <c r="C413" s="58" t="str">
        <f t="shared" si="62"/>
        <v/>
      </c>
      <c r="D413" s="58" t="str">
        <f t="shared" si="56"/>
        <v/>
      </c>
      <c r="E413" s="30">
        <f t="shared" si="60"/>
        <v>2.4344232852860021E-3</v>
      </c>
      <c r="F413" s="30">
        <f t="shared" si="63"/>
        <v>2.4344232852860021E-3</v>
      </c>
      <c r="G413" s="30" t="str">
        <f t="shared" si="63"/>
        <v/>
      </c>
      <c r="H413" s="30" t="str">
        <f t="shared" si="63"/>
        <v/>
      </c>
      <c r="I413" s="30" t="str">
        <f t="shared" si="57"/>
        <v/>
      </c>
    </row>
    <row r="414" spans="1:9" x14ac:dyDescent="0.25">
      <c r="A414" s="30">
        <f t="shared" si="61"/>
        <v>-2.75</v>
      </c>
      <c r="B414" s="94">
        <f>INT((ROWS(B$11:B414)-1)/20)+40+0.05*MOD(ROWS(B$11:B414)-1,20)</f>
        <v>60.15</v>
      </c>
      <c r="C414" s="58" t="str">
        <f t="shared" si="62"/>
        <v/>
      </c>
      <c r="D414" s="58" t="str">
        <f t="shared" si="56"/>
        <v/>
      </c>
      <c r="E414" s="30">
        <f t="shared" si="60"/>
        <v>2.5185775041364402E-3</v>
      </c>
      <c r="F414" s="30">
        <f t="shared" si="63"/>
        <v>2.5185775041364402E-3</v>
      </c>
      <c r="G414" s="30" t="str">
        <f t="shared" si="63"/>
        <v/>
      </c>
      <c r="H414" s="30" t="str">
        <f t="shared" si="63"/>
        <v/>
      </c>
      <c r="I414" s="30" t="str">
        <f t="shared" si="57"/>
        <v/>
      </c>
    </row>
    <row r="415" spans="1:9" x14ac:dyDescent="0.25">
      <c r="A415" s="30">
        <f t="shared" si="61"/>
        <v>-2.75</v>
      </c>
      <c r="B415" s="94">
        <f>INT((ROWS(B$11:B415)-1)/20)+40+0.05*MOD(ROWS(B$11:B415)-1,20)</f>
        <v>60.2</v>
      </c>
      <c r="C415" s="58" t="str">
        <f t="shared" si="62"/>
        <v/>
      </c>
      <c r="D415" s="58" t="str">
        <f t="shared" si="56"/>
        <v/>
      </c>
      <c r="E415" s="30">
        <f t="shared" si="60"/>
        <v>2.6052337036056535E-3</v>
      </c>
      <c r="F415" s="30">
        <f t="shared" si="63"/>
        <v>2.6052337036056535E-3</v>
      </c>
      <c r="G415" s="30" t="str">
        <f t="shared" si="63"/>
        <v/>
      </c>
      <c r="H415" s="30" t="str">
        <f t="shared" si="63"/>
        <v/>
      </c>
      <c r="I415" s="30" t="str">
        <f t="shared" si="57"/>
        <v/>
      </c>
    </row>
    <row r="416" spans="1:9" x14ac:dyDescent="0.25">
      <c r="A416" s="30">
        <f t="shared" si="61"/>
        <v>-2.75</v>
      </c>
      <c r="B416" s="94">
        <f>INT((ROWS(B$11:B416)-1)/20)+40+0.05*MOD(ROWS(B$11:B416)-1,20)</f>
        <v>60.25</v>
      </c>
      <c r="C416" s="58" t="str">
        <f t="shared" si="62"/>
        <v/>
      </c>
      <c r="D416" s="58" t="str">
        <f t="shared" si="56"/>
        <v/>
      </c>
      <c r="E416" s="30">
        <f t="shared" si="60"/>
        <v>2.694450425067726E-3</v>
      </c>
      <c r="F416" s="30">
        <f t="shared" si="63"/>
        <v>2.694450425067726E-3</v>
      </c>
      <c r="G416" s="30" t="str">
        <f t="shared" si="63"/>
        <v/>
      </c>
      <c r="H416" s="30" t="str">
        <f t="shared" si="63"/>
        <v/>
      </c>
      <c r="I416" s="30" t="str">
        <f t="shared" si="57"/>
        <v/>
      </c>
    </row>
    <row r="417" spans="1:9" x14ac:dyDescent="0.25">
      <c r="A417" s="30">
        <f t="shared" si="61"/>
        <v>-2.75</v>
      </c>
      <c r="B417" s="94">
        <f>INT((ROWS(B$11:B417)-1)/20)+40+0.05*MOD(ROWS(B$11:B417)-1,20)</f>
        <v>60.3</v>
      </c>
      <c r="C417" s="58" t="str">
        <f t="shared" si="62"/>
        <v/>
      </c>
      <c r="D417" s="58" t="str">
        <f t="shared" si="56"/>
        <v/>
      </c>
      <c r="E417" s="30">
        <f t="shared" si="60"/>
        <v>2.7862869986911955E-3</v>
      </c>
      <c r="F417" s="30">
        <f t="shared" si="63"/>
        <v>2.7862869986911955E-3</v>
      </c>
      <c r="G417" s="30" t="str">
        <f t="shared" si="63"/>
        <v/>
      </c>
      <c r="H417" s="30" t="str">
        <f t="shared" si="63"/>
        <v/>
      </c>
      <c r="I417" s="30" t="str">
        <f t="shared" si="57"/>
        <v/>
      </c>
    </row>
    <row r="418" spans="1:9" x14ac:dyDescent="0.25">
      <c r="A418" s="30">
        <f t="shared" si="61"/>
        <v>-2.75</v>
      </c>
      <c r="B418" s="94">
        <f>INT((ROWS(B$11:B418)-1)/20)+40+0.05*MOD(ROWS(B$11:B418)-1,20)</f>
        <v>60.35</v>
      </c>
      <c r="C418" s="58" t="str">
        <f t="shared" si="62"/>
        <v/>
      </c>
      <c r="D418" s="58" t="str">
        <f t="shared" si="56"/>
        <v/>
      </c>
      <c r="E418" s="30">
        <f t="shared" si="60"/>
        <v>2.8808035327417434E-3</v>
      </c>
      <c r="F418" s="30">
        <f t="shared" si="63"/>
        <v>2.8808035327417434E-3</v>
      </c>
      <c r="G418" s="30" t="str">
        <f t="shared" si="63"/>
        <v/>
      </c>
      <c r="H418" s="30" t="str">
        <f t="shared" si="63"/>
        <v/>
      </c>
      <c r="I418" s="30" t="str">
        <f t="shared" si="57"/>
        <v/>
      </c>
    </row>
    <row r="419" spans="1:9" x14ac:dyDescent="0.25">
      <c r="A419" s="30">
        <f t="shared" si="61"/>
        <v>-2.75</v>
      </c>
      <c r="B419" s="94">
        <f>INT((ROWS(B$11:B419)-1)/20)+40+0.05*MOD(ROWS(B$11:B419)-1,20)</f>
        <v>60.4</v>
      </c>
      <c r="C419" s="58" t="str">
        <f t="shared" si="62"/>
        <v/>
      </c>
      <c r="D419" s="58" t="str">
        <f t="shared" si="56"/>
        <v/>
      </c>
      <c r="E419" s="30">
        <f t="shared" si="60"/>
        <v>2.9780609019012922E-3</v>
      </c>
      <c r="F419" s="30">
        <f t="shared" si="63"/>
        <v>2.9780609019012922E-3</v>
      </c>
      <c r="G419" s="30" t="str">
        <f t="shared" si="63"/>
        <v/>
      </c>
      <c r="H419" s="30" t="str">
        <f t="shared" si="63"/>
        <v/>
      </c>
      <c r="I419" s="30" t="str">
        <f t="shared" si="57"/>
        <v/>
      </c>
    </row>
    <row r="420" spans="1:9" x14ac:dyDescent="0.25">
      <c r="A420" s="30">
        <f t="shared" si="61"/>
        <v>-2.75</v>
      </c>
      <c r="B420" s="94">
        <f>INT((ROWS(B$11:B420)-1)/20)+40+0.05*MOD(ROWS(B$11:B420)-1,20)</f>
        <v>60.45</v>
      </c>
      <c r="C420" s="58" t="str">
        <f t="shared" si="62"/>
        <v/>
      </c>
      <c r="D420" s="58" t="str">
        <f t="shared" si="56"/>
        <v/>
      </c>
      <c r="E420" s="30">
        <f t="shared" si="60"/>
        <v>3.0781207345812996E-3</v>
      </c>
      <c r="F420" s="30">
        <f t="shared" si="63"/>
        <v>3.0781207345812996E-3</v>
      </c>
      <c r="G420" s="30" t="str">
        <f t="shared" si="63"/>
        <v/>
      </c>
      <c r="H420" s="30" t="str">
        <f t="shared" si="63"/>
        <v/>
      </c>
      <c r="I420" s="30" t="str">
        <f t="shared" si="57"/>
        <v/>
      </c>
    </row>
    <row r="421" spans="1:9" x14ac:dyDescent="0.25">
      <c r="A421" s="30">
        <f t="shared" si="61"/>
        <v>-2.75</v>
      </c>
      <c r="B421" s="94">
        <f>INT((ROWS(B$11:B421)-1)/20)+40+0.05*MOD(ROWS(B$11:B421)-1,20)</f>
        <v>60.5</v>
      </c>
      <c r="C421" s="58" t="str">
        <f t="shared" si="62"/>
        <v/>
      </c>
      <c r="D421" s="58" t="str">
        <f t="shared" si="56"/>
        <v/>
      </c>
      <c r="E421" s="30">
        <f t="shared" si="60"/>
        <v>3.1810453992078581E-3</v>
      </c>
      <c r="F421" s="30">
        <f t="shared" si="63"/>
        <v>3.1810453992078581E-3</v>
      </c>
      <c r="G421" s="30" t="str">
        <f t="shared" si="63"/>
        <v/>
      </c>
      <c r="H421" s="30" t="str">
        <f t="shared" si="63"/>
        <v/>
      </c>
      <c r="I421" s="30" t="str">
        <f t="shared" si="57"/>
        <v/>
      </c>
    </row>
    <row r="422" spans="1:9" x14ac:dyDescent="0.25">
      <c r="A422" s="30">
        <f t="shared" si="61"/>
        <v>-2.75</v>
      </c>
      <c r="B422" s="94">
        <f>INT((ROWS(B$11:B422)-1)/20)+40+0.05*MOD(ROWS(B$11:B422)-1,20)</f>
        <v>60.55</v>
      </c>
      <c r="C422" s="58" t="str">
        <f t="shared" si="62"/>
        <v/>
      </c>
      <c r="D422" s="58" t="str">
        <f t="shared" si="56"/>
        <v/>
      </c>
      <c r="E422" s="30">
        <f t="shared" si="60"/>
        <v>3.2868979894573919E-3</v>
      </c>
      <c r="F422" s="30">
        <f t="shared" si="63"/>
        <v>3.2868979894573919E-3</v>
      </c>
      <c r="G422" s="30" t="str">
        <f t="shared" si="63"/>
        <v/>
      </c>
      <c r="H422" s="30" t="str">
        <f t="shared" si="63"/>
        <v/>
      </c>
      <c r="I422" s="30" t="str">
        <f t="shared" si="57"/>
        <v/>
      </c>
    </row>
    <row r="423" spans="1:9" x14ac:dyDescent="0.25">
      <c r="A423" s="30">
        <f t="shared" si="61"/>
        <v>-2.75</v>
      </c>
      <c r="B423" s="94">
        <f>INT((ROWS(B$11:B423)-1)/20)+40+0.05*MOD(ROWS(B$11:B423)-1,20)</f>
        <v>60.6</v>
      </c>
      <c r="C423" s="58" t="str">
        <f t="shared" si="62"/>
        <v/>
      </c>
      <c r="D423" s="58" t="str">
        <f t="shared" si="56"/>
        <v/>
      </c>
      <c r="E423" s="30">
        <f t="shared" si="60"/>
        <v>3.3957423084214084E-3</v>
      </c>
      <c r="F423" s="30">
        <f t="shared" si="63"/>
        <v>3.3957423084214084E-3</v>
      </c>
      <c r="G423" s="30" t="str">
        <f t="shared" si="63"/>
        <v/>
      </c>
      <c r="H423" s="30" t="str">
        <f t="shared" si="63"/>
        <v/>
      </c>
      <c r="I423" s="30" t="str">
        <f t="shared" si="57"/>
        <v/>
      </c>
    </row>
    <row r="424" spans="1:9" x14ac:dyDescent="0.25">
      <c r="A424" s="30">
        <f t="shared" si="61"/>
        <v>-2.75</v>
      </c>
      <c r="B424" s="94">
        <f>INT((ROWS(B$11:B424)-1)/20)+40+0.05*MOD(ROWS(B$11:B424)-1,20)</f>
        <v>60.65</v>
      </c>
      <c r="C424" s="58" t="str">
        <f t="shared" si="62"/>
        <v/>
      </c>
      <c r="D424" s="58" t="str">
        <f t="shared" si="56"/>
        <v/>
      </c>
      <c r="E424" s="30">
        <f t="shared" si="60"/>
        <v>3.5076428516797177E-3</v>
      </c>
      <c r="F424" s="30">
        <f t="shared" si="63"/>
        <v>3.5076428516797177E-3</v>
      </c>
      <c r="G424" s="30" t="str">
        <f t="shared" si="63"/>
        <v/>
      </c>
      <c r="H424" s="30" t="str">
        <f t="shared" si="63"/>
        <v/>
      </c>
      <c r="I424" s="30" t="str">
        <f t="shared" si="57"/>
        <v/>
      </c>
    </row>
    <row r="425" spans="1:9" x14ac:dyDescent="0.25">
      <c r="A425" s="30">
        <f t="shared" si="61"/>
        <v>-2.75</v>
      </c>
      <c r="B425" s="94">
        <f>INT((ROWS(B$11:B425)-1)/20)+40+0.05*MOD(ROWS(B$11:B425)-1,20)</f>
        <v>60.7</v>
      </c>
      <c r="C425" s="58" t="str">
        <f t="shared" si="62"/>
        <v/>
      </c>
      <c r="D425" s="58" t="str">
        <f t="shared" si="56"/>
        <v/>
      </c>
      <c r="E425" s="30">
        <f t="shared" si="60"/>
        <v>3.6226647892621177E-3</v>
      </c>
      <c r="F425" s="30">
        <f t="shared" si="63"/>
        <v>3.6226647892621177E-3</v>
      </c>
      <c r="G425" s="30" t="str">
        <f t="shared" si="63"/>
        <v/>
      </c>
      <c r="H425" s="30" t="str">
        <f t="shared" si="63"/>
        <v/>
      </c>
      <c r="I425" s="30" t="str">
        <f t="shared" si="57"/>
        <v/>
      </c>
    </row>
    <row r="426" spans="1:9" x14ac:dyDescent="0.25">
      <c r="A426" s="30">
        <f t="shared" si="61"/>
        <v>-2.75</v>
      </c>
      <c r="B426" s="94">
        <f>INT((ROWS(B$11:B426)-1)/20)+40+0.05*MOD(ROWS(B$11:B426)-1,20)</f>
        <v>60.75</v>
      </c>
      <c r="C426" s="58" t="str">
        <f t="shared" si="62"/>
        <v/>
      </c>
      <c r="D426" s="58" t="str">
        <f t="shared" si="56"/>
        <v/>
      </c>
      <c r="E426" s="30">
        <f t="shared" si="60"/>
        <v>3.7408739464784868E-3</v>
      </c>
      <c r="F426" s="30">
        <f t="shared" si="63"/>
        <v>3.7408739464784868E-3</v>
      </c>
      <c r="G426" s="30" t="str">
        <f t="shared" si="63"/>
        <v/>
      </c>
      <c r="H426" s="30" t="str">
        <f t="shared" si="63"/>
        <v/>
      </c>
      <c r="I426" s="30" t="str">
        <f t="shared" si="57"/>
        <v/>
      </c>
    </row>
    <row r="427" spans="1:9" x14ac:dyDescent="0.25">
      <c r="A427" s="30">
        <f t="shared" si="61"/>
        <v>-2.75</v>
      </c>
      <c r="B427" s="94">
        <f>INT((ROWS(B$11:B427)-1)/20)+40+0.05*MOD(ROWS(B$11:B427)-1,20)</f>
        <v>60.8</v>
      </c>
      <c r="C427" s="58" t="str">
        <f t="shared" si="62"/>
        <v/>
      </c>
      <c r="D427" s="58" t="str">
        <f t="shared" si="56"/>
        <v/>
      </c>
      <c r="E427" s="30">
        <f t="shared" si="60"/>
        <v>3.8623367835987853E-3</v>
      </c>
      <c r="F427" s="30">
        <f t="shared" si="63"/>
        <v>3.8623367835987853E-3</v>
      </c>
      <c r="G427" s="30" t="str">
        <f t="shared" si="63"/>
        <v/>
      </c>
      <c r="H427" s="30" t="str">
        <f t="shared" si="63"/>
        <v/>
      </c>
      <c r="I427" s="30" t="str">
        <f t="shared" si="57"/>
        <v/>
      </c>
    </row>
    <row r="428" spans="1:9" x14ac:dyDescent="0.25">
      <c r="A428" s="30">
        <f t="shared" si="61"/>
        <v>-2.75</v>
      </c>
      <c r="B428" s="94">
        <f>INT((ROWS(B$11:B428)-1)/20)+40+0.05*MOD(ROWS(B$11:B428)-1,20)</f>
        <v>60.85</v>
      </c>
      <c r="C428" s="58" t="str">
        <f t="shared" si="62"/>
        <v/>
      </c>
      <c r="D428" s="58" t="str">
        <f t="shared" si="56"/>
        <v/>
      </c>
      <c r="E428" s="30">
        <f t="shared" si="60"/>
        <v>3.9871203743641866E-3</v>
      </c>
      <c r="F428" s="30">
        <f t="shared" si="63"/>
        <v>3.9871203743641866E-3</v>
      </c>
      <c r="G428" s="30" t="str">
        <f t="shared" si="63"/>
        <v/>
      </c>
      <c r="H428" s="30" t="str">
        <f t="shared" si="63"/>
        <v/>
      </c>
      <c r="I428" s="30" t="str">
        <f t="shared" si="57"/>
        <v/>
      </c>
    </row>
    <row r="429" spans="1:9" x14ac:dyDescent="0.25">
      <c r="A429" s="30">
        <f t="shared" si="61"/>
        <v>-2.75</v>
      </c>
      <c r="B429" s="94">
        <f>INT((ROWS(B$11:B429)-1)/20)+40+0.05*MOD(ROWS(B$11:B429)-1,20)</f>
        <v>60.9</v>
      </c>
      <c r="C429" s="58" t="str">
        <f t="shared" si="62"/>
        <v/>
      </c>
      <c r="D429" s="58" t="str">
        <f t="shared" ref="D429:D492" si="64">IF(ISNUMBER(MATCH(B429,$K$2:$K$8,0)),TEXT(B429,"0\""")&amp;CHAR(10)&amp;TEXT((B429-$F$1)/$F$2," 0 z"),"")</f>
        <v/>
      </c>
      <c r="E429" s="30">
        <f t="shared" si="60"/>
        <v>4.1152923833118115E-3</v>
      </c>
      <c r="F429" s="30">
        <f t="shared" si="63"/>
        <v>4.1152923833118115E-3</v>
      </c>
      <c r="G429" s="30" t="str">
        <f t="shared" si="63"/>
        <v/>
      </c>
      <c r="H429" s="30" t="str">
        <f t="shared" si="63"/>
        <v/>
      </c>
      <c r="I429" s="30" t="str">
        <f t="shared" si="57"/>
        <v/>
      </c>
    </row>
    <row r="430" spans="1:9" x14ac:dyDescent="0.25">
      <c r="A430" s="30">
        <f t="shared" si="61"/>
        <v>-2.75</v>
      </c>
      <c r="B430" s="94">
        <f>INT((ROWS(B$11:B430)-1)/20)+40+0.05*MOD(ROWS(B$11:B430)-1,20)</f>
        <v>60.95</v>
      </c>
      <c r="C430" s="58" t="str">
        <f t="shared" si="62"/>
        <v/>
      </c>
      <c r="D430" s="58" t="str">
        <f t="shared" si="64"/>
        <v/>
      </c>
      <c r="E430" s="30">
        <f t="shared" si="60"/>
        <v>4.2469210418963803E-3</v>
      </c>
      <c r="F430" s="30">
        <f t="shared" si="63"/>
        <v>4.2469210418963803E-3</v>
      </c>
      <c r="G430" s="30" t="str">
        <f t="shared" si="63"/>
        <v/>
      </c>
      <c r="H430" s="30" t="str">
        <f t="shared" si="63"/>
        <v/>
      </c>
      <c r="I430" s="30" t="str">
        <f t="shared" ref="I430:I493" si="65">IF(AND(B430&gt;=$F$1-0.05,B430&lt;=$F$1+0.05),E430,"")</f>
        <v/>
      </c>
    </row>
    <row r="431" spans="1:9" x14ac:dyDescent="0.25">
      <c r="A431" s="30">
        <f t="shared" si="61"/>
        <v>-2.5</v>
      </c>
      <c r="B431" s="94">
        <f>INT((ROWS(B$11:B431)-1)/20)+40+0.05*MOD(ROWS(B$11:B431)-1,20)</f>
        <v>61</v>
      </c>
      <c r="C431" s="58" t="str">
        <f t="shared" si="62"/>
        <v/>
      </c>
      <c r="D431" s="58" t="str">
        <f t="shared" si="64"/>
        <v/>
      </c>
      <c r="E431" s="30">
        <f t="shared" si="60"/>
        <v>4.3820751233921351E-3</v>
      </c>
      <c r="F431" s="30">
        <f t="shared" ref="F431:H450" si="66">IF(AND($B431&gt;=F$7,$B431&lt;=F$8),E431,"")</f>
        <v>4.3820751233921351E-3</v>
      </c>
      <c r="G431" s="30" t="str">
        <f t="shared" si="66"/>
        <v/>
      </c>
      <c r="H431" s="30" t="str">
        <f t="shared" si="66"/>
        <v/>
      </c>
      <c r="I431" s="30" t="str">
        <f t="shared" si="65"/>
        <v/>
      </c>
    </row>
    <row r="432" spans="1:9" x14ac:dyDescent="0.25">
      <c r="A432" s="30">
        <f t="shared" si="61"/>
        <v>-2.5</v>
      </c>
      <c r="B432" s="94">
        <f>INT((ROWS(B$11:B432)-1)/20)+40+0.05*MOD(ROWS(B$11:B432)-1,20)</f>
        <v>61.05</v>
      </c>
      <c r="C432" s="58" t="str">
        <f t="shared" si="62"/>
        <v/>
      </c>
      <c r="D432" s="58" t="str">
        <f t="shared" si="64"/>
        <v/>
      </c>
      <c r="E432" s="30">
        <f t="shared" si="60"/>
        <v>4.5208239165603435E-3</v>
      </c>
      <c r="F432" s="30">
        <f t="shared" si="66"/>
        <v>4.5208239165603435E-3</v>
      </c>
      <c r="G432" s="30" t="str">
        <f t="shared" si="66"/>
        <v/>
      </c>
      <c r="H432" s="30" t="str">
        <f t="shared" si="66"/>
        <v/>
      </c>
      <c r="I432" s="30" t="str">
        <f t="shared" si="65"/>
        <v/>
      </c>
    </row>
    <row r="433" spans="1:9" x14ac:dyDescent="0.25">
      <c r="A433" s="30">
        <f t="shared" si="61"/>
        <v>-2.5</v>
      </c>
      <c r="B433" s="94">
        <f>INT((ROWS(B$11:B433)-1)/20)+40+0.05*MOD(ROWS(B$11:B433)-1,20)</f>
        <v>61.1</v>
      </c>
      <c r="C433" s="58" t="str">
        <f t="shared" si="62"/>
        <v/>
      </c>
      <c r="D433" s="58" t="str">
        <f t="shared" si="64"/>
        <v/>
      </c>
      <c r="E433" s="30">
        <f t="shared" si="60"/>
        <v>4.6632371980674806E-3</v>
      </c>
      <c r="F433" s="30">
        <f t="shared" si="66"/>
        <v>4.6632371980674806E-3</v>
      </c>
      <c r="G433" s="30" t="str">
        <f t="shared" si="66"/>
        <v/>
      </c>
      <c r="H433" s="30" t="str">
        <f t="shared" si="66"/>
        <v/>
      </c>
      <c r="I433" s="30" t="str">
        <f t="shared" si="65"/>
        <v/>
      </c>
    </row>
    <row r="434" spans="1:9" x14ac:dyDescent="0.25">
      <c r="A434" s="30">
        <f t="shared" si="61"/>
        <v>-2.5</v>
      </c>
      <c r="B434" s="94">
        <f>INT((ROWS(B$11:B434)-1)/20)+40+0.05*MOD(ROWS(B$11:B434)-1,20)</f>
        <v>61.15</v>
      </c>
      <c r="C434" s="58" t="str">
        <f t="shared" si="62"/>
        <v/>
      </c>
      <c r="D434" s="58" t="str">
        <f t="shared" si="64"/>
        <v/>
      </c>
      <c r="E434" s="30">
        <f t="shared" si="60"/>
        <v>4.8093852036407781E-3</v>
      </c>
      <c r="F434" s="30">
        <f t="shared" si="66"/>
        <v>4.8093852036407781E-3</v>
      </c>
      <c r="G434" s="30" t="str">
        <f t="shared" si="66"/>
        <v/>
      </c>
      <c r="H434" s="30" t="str">
        <f t="shared" si="66"/>
        <v/>
      </c>
      <c r="I434" s="30" t="str">
        <f t="shared" si="65"/>
        <v/>
      </c>
    </row>
    <row r="435" spans="1:9" x14ac:dyDescent="0.25">
      <c r="A435" s="30">
        <f t="shared" si="61"/>
        <v>-2.5</v>
      </c>
      <c r="B435" s="94">
        <f>INT((ROWS(B$11:B435)-1)/20)+40+0.05*MOD(ROWS(B$11:B435)-1,20)</f>
        <v>61.2</v>
      </c>
      <c r="C435" s="58" t="str">
        <f t="shared" si="62"/>
        <v/>
      </c>
      <c r="D435" s="58" t="str">
        <f t="shared" si="64"/>
        <v/>
      </c>
      <c r="E435" s="30">
        <f t="shared" si="60"/>
        <v>4.9593385979488395E-3</v>
      </c>
      <c r="F435" s="30">
        <f t="shared" si="66"/>
        <v>4.9593385979488395E-3</v>
      </c>
      <c r="G435" s="30" t="str">
        <f t="shared" si="66"/>
        <v/>
      </c>
      <c r="H435" s="30" t="str">
        <f t="shared" si="66"/>
        <v/>
      </c>
      <c r="I435" s="30" t="str">
        <f t="shared" si="65"/>
        <v/>
      </c>
    </row>
    <row r="436" spans="1:9" x14ac:dyDescent="0.25">
      <c r="A436" s="30">
        <f t="shared" si="61"/>
        <v>-2.5</v>
      </c>
      <c r="B436" s="94">
        <f>INT((ROWS(B$11:B436)-1)/20)+40+0.05*MOD(ROWS(B$11:B436)-1,20)</f>
        <v>61.25</v>
      </c>
      <c r="C436" s="58" t="str">
        <f t="shared" si="62"/>
        <v/>
      </c>
      <c r="D436" s="58" t="str">
        <f t="shared" si="64"/>
        <v/>
      </c>
      <c r="E436" s="30">
        <f t="shared" si="60"/>
        <v>5.1131684431953497E-3</v>
      </c>
      <c r="F436" s="30">
        <f t="shared" si="66"/>
        <v>5.1131684431953497E-3</v>
      </c>
      <c r="G436" s="30" t="str">
        <f t="shared" si="66"/>
        <v/>
      </c>
      <c r="H436" s="30" t="str">
        <f t="shared" si="66"/>
        <v/>
      </c>
      <c r="I436" s="30" t="str">
        <f t="shared" si="65"/>
        <v/>
      </c>
    </row>
    <row r="437" spans="1:9" x14ac:dyDescent="0.25">
      <c r="A437" s="30">
        <f t="shared" si="61"/>
        <v>-2.5</v>
      </c>
      <c r="B437" s="94">
        <f>INT((ROWS(B$11:B437)-1)/20)+40+0.05*MOD(ROWS(B$11:B437)-1,20)</f>
        <v>61.3</v>
      </c>
      <c r="C437" s="58" t="str">
        <f t="shared" si="62"/>
        <v/>
      </c>
      <c r="D437" s="58" t="str">
        <f t="shared" si="64"/>
        <v/>
      </c>
      <c r="E437" s="30">
        <f t="shared" si="60"/>
        <v>5.2709461664160176E-3</v>
      </c>
      <c r="F437" s="30">
        <f t="shared" si="66"/>
        <v>5.2709461664160176E-3</v>
      </c>
      <c r="G437" s="30" t="str">
        <f t="shared" si="66"/>
        <v/>
      </c>
      <c r="H437" s="30" t="str">
        <f t="shared" si="66"/>
        <v/>
      </c>
      <c r="I437" s="30" t="str">
        <f t="shared" si="65"/>
        <v/>
      </c>
    </row>
    <row r="438" spans="1:9" x14ac:dyDescent="0.25">
      <c r="A438" s="30">
        <f t="shared" si="61"/>
        <v>-2.5</v>
      </c>
      <c r="B438" s="94">
        <f>INT((ROWS(B$11:B438)-1)/20)+40+0.05*MOD(ROWS(B$11:B438)-1,20)</f>
        <v>61.35</v>
      </c>
      <c r="C438" s="58" t="str">
        <f t="shared" si="62"/>
        <v/>
      </c>
      <c r="D438" s="58" t="str">
        <f t="shared" si="64"/>
        <v/>
      </c>
      <c r="E438" s="30">
        <f t="shared" si="60"/>
        <v>5.4327435254689898E-3</v>
      </c>
      <c r="F438" s="30">
        <f t="shared" si="66"/>
        <v>5.4327435254689898E-3</v>
      </c>
      <c r="G438" s="30" t="str">
        <f t="shared" si="66"/>
        <v/>
      </c>
      <c r="H438" s="30" t="str">
        <f t="shared" si="66"/>
        <v/>
      </c>
      <c r="I438" s="30" t="str">
        <f t="shared" si="65"/>
        <v/>
      </c>
    </row>
    <row r="439" spans="1:9" x14ac:dyDescent="0.25">
      <c r="A439" s="30">
        <f t="shared" si="61"/>
        <v>-2.5</v>
      </c>
      <c r="B439" s="94">
        <f>INT((ROWS(B$11:B439)-1)/20)+40+0.05*MOD(ROWS(B$11:B439)-1,20)</f>
        <v>61.4</v>
      </c>
      <c r="C439" s="58" t="str">
        <f t="shared" si="62"/>
        <v/>
      </c>
      <c r="D439" s="58" t="str">
        <f t="shared" si="64"/>
        <v/>
      </c>
      <c r="E439" s="30">
        <f t="shared" si="60"/>
        <v>5.5986325737107205E-3</v>
      </c>
      <c r="F439" s="30">
        <f t="shared" si="66"/>
        <v>5.5986325737107205E-3</v>
      </c>
      <c r="G439" s="30" t="str">
        <f t="shared" si="66"/>
        <v/>
      </c>
      <c r="H439" s="30" t="str">
        <f t="shared" si="66"/>
        <v/>
      </c>
      <c r="I439" s="30" t="str">
        <f t="shared" si="65"/>
        <v/>
      </c>
    </row>
    <row r="440" spans="1:9" x14ac:dyDescent="0.25">
      <c r="A440" s="30">
        <f t="shared" si="61"/>
        <v>-2.5</v>
      </c>
      <c r="B440" s="94">
        <f>INT((ROWS(B$11:B440)-1)/20)+40+0.05*MOD(ROWS(B$11:B440)-1,20)</f>
        <v>61.45</v>
      </c>
      <c r="C440" s="58" t="str">
        <f t="shared" si="62"/>
        <v/>
      </c>
      <c r="D440" s="58" t="str">
        <f t="shared" si="64"/>
        <v/>
      </c>
      <c r="E440" s="30">
        <f t="shared" si="60"/>
        <v>5.7686856233506592E-3</v>
      </c>
      <c r="F440" s="30">
        <f t="shared" si="66"/>
        <v>5.7686856233506592E-3</v>
      </c>
      <c r="G440" s="30" t="str">
        <f t="shared" si="66"/>
        <v/>
      </c>
      <c r="H440" s="30" t="str">
        <f t="shared" si="66"/>
        <v/>
      </c>
      <c r="I440" s="30" t="str">
        <f t="shared" si="65"/>
        <v/>
      </c>
    </row>
    <row r="441" spans="1:9" x14ac:dyDescent="0.25">
      <c r="A441" s="30">
        <f t="shared" si="61"/>
        <v>-2.5</v>
      </c>
      <c r="B441" s="94">
        <f>INT((ROWS(B$11:B441)-1)/20)+40+0.05*MOD(ROWS(B$11:B441)-1,20)</f>
        <v>61.5</v>
      </c>
      <c r="C441" s="58" t="str">
        <f t="shared" si="62"/>
        <v/>
      </c>
      <c r="D441" s="58" t="str">
        <f t="shared" si="64"/>
        <v/>
      </c>
      <c r="E441" s="30">
        <f t="shared" si="60"/>
        <v>5.9429752074784516E-3</v>
      </c>
      <c r="F441" s="30">
        <f t="shared" si="66"/>
        <v>5.9429752074784516E-3</v>
      </c>
      <c r="G441" s="30" t="str">
        <f t="shared" si="66"/>
        <v/>
      </c>
      <c r="H441" s="30" t="str">
        <f t="shared" si="66"/>
        <v/>
      </c>
      <c r="I441" s="30" t="str">
        <f t="shared" si="65"/>
        <v/>
      </c>
    </row>
    <row r="442" spans="1:9" x14ac:dyDescent="0.25">
      <c r="A442" s="30">
        <f t="shared" si="61"/>
        <v>-2.5</v>
      </c>
      <c r="B442" s="94">
        <f>INT((ROWS(B$11:B442)-1)/20)+40+0.05*MOD(ROWS(B$11:B442)-1,20)</f>
        <v>61.55</v>
      </c>
      <c r="C442" s="58" t="str">
        <f t="shared" si="62"/>
        <v/>
      </c>
      <c r="D442" s="58" t="str">
        <f t="shared" si="64"/>
        <v/>
      </c>
      <c r="E442" s="30">
        <f t="shared" si="60"/>
        <v>6.1215740407599773E-3</v>
      </c>
      <c r="F442" s="30">
        <f t="shared" si="66"/>
        <v>6.1215740407599773E-3</v>
      </c>
      <c r="G442" s="30" t="str">
        <f t="shared" si="66"/>
        <v/>
      </c>
      <c r="H442" s="30" t="str">
        <f t="shared" si="66"/>
        <v/>
      </c>
      <c r="I442" s="30" t="str">
        <f t="shared" si="65"/>
        <v/>
      </c>
    </row>
    <row r="443" spans="1:9" x14ac:dyDescent="0.25">
      <c r="A443" s="30">
        <f t="shared" si="61"/>
        <v>-2.5</v>
      </c>
      <c r="B443" s="94">
        <f>INT((ROWS(B$11:B443)-1)/20)+40+0.05*MOD(ROWS(B$11:B443)-1,20)</f>
        <v>61.6</v>
      </c>
      <c r="C443" s="58" t="str">
        <f t="shared" si="62"/>
        <v/>
      </c>
      <c r="D443" s="58" t="str">
        <f t="shared" si="64"/>
        <v/>
      </c>
      <c r="E443" s="30">
        <f t="shared" si="60"/>
        <v>6.3045549787986042E-3</v>
      </c>
      <c r="F443" s="30">
        <f t="shared" si="66"/>
        <v>6.3045549787986042E-3</v>
      </c>
      <c r="G443" s="30" t="str">
        <f t="shared" si="66"/>
        <v/>
      </c>
      <c r="H443" s="30" t="str">
        <f t="shared" si="66"/>
        <v/>
      </c>
      <c r="I443" s="30" t="str">
        <f t="shared" si="65"/>
        <v/>
      </c>
    </row>
    <row r="444" spans="1:9" x14ac:dyDescent="0.25">
      <c r="A444" s="30">
        <f t="shared" si="61"/>
        <v>-2.5</v>
      </c>
      <c r="B444" s="94">
        <f>INT((ROWS(B$11:B444)-1)/20)+40+0.05*MOD(ROWS(B$11:B444)-1,20)</f>
        <v>61.65</v>
      </c>
      <c r="C444" s="58" t="str">
        <f t="shared" si="62"/>
        <v/>
      </c>
      <c r="D444" s="58" t="str">
        <f t="shared" si="64"/>
        <v/>
      </c>
      <c r="E444" s="30">
        <f t="shared" si="60"/>
        <v>6.4919909761602121E-3</v>
      </c>
      <c r="F444" s="30">
        <f t="shared" si="66"/>
        <v>6.4919909761602121E-3</v>
      </c>
      <c r="G444" s="30" t="str">
        <f t="shared" si="66"/>
        <v/>
      </c>
      <c r="H444" s="30" t="str">
        <f t="shared" si="66"/>
        <v/>
      </c>
      <c r="I444" s="30" t="str">
        <f t="shared" si="65"/>
        <v/>
      </c>
    </row>
    <row r="445" spans="1:9" x14ac:dyDescent="0.25">
      <c r="A445" s="30">
        <f t="shared" si="61"/>
        <v>-2.5</v>
      </c>
      <c r="B445" s="94">
        <f>INT((ROWS(B$11:B445)-1)/20)+40+0.05*MOD(ROWS(B$11:B445)-1,20)</f>
        <v>61.7</v>
      </c>
      <c r="C445" s="58" t="str">
        <f t="shared" si="62"/>
        <v/>
      </c>
      <c r="D445" s="58" t="str">
        <f t="shared" si="64"/>
        <v/>
      </c>
      <c r="E445" s="30">
        <f t="shared" si="60"/>
        <v>6.6839550430620688E-3</v>
      </c>
      <c r="F445" s="30">
        <f t="shared" si="66"/>
        <v>6.6839550430620688E-3</v>
      </c>
      <c r="G445" s="30" t="str">
        <f t="shared" si="66"/>
        <v/>
      </c>
      <c r="H445" s="30" t="str">
        <f t="shared" si="66"/>
        <v/>
      </c>
      <c r="I445" s="30" t="str">
        <f t="shared" si="65"/>
        <v/>
      </c>
    </row>
    <row r="446" spans="1:9" x14ac:dyDescent="0.25">
      <c r="A446" s="30">
        <f t="shared" si="61"/>
        <v>-2.5</v>
      </c>
      <c r="B446" s="94">
        <f>INT((ROWS(B$11:B446)-1)/20)+40+0.05*MOD(ROWS(B$11:B446)-1,20)</f>
        <v>61.75</v>
      </c>
      <c r="C446" s="58" t="str">
        <f t="shared" si="62"/>
        <v/>
      </c>
      <c r="D446" s="58" t="str">
        <f t="shared" si="64"/>
        <v/>
      </c>
      <c r="E446" s="30">
        <f t="shared" si="60"/>
        <v>6.8805202007261174E-3</v>
      </c>
      <c r="F446" s="30">
        <f t="shared" si="66"/>
        <v>6.8805202007261174E-3</v>
      </c>
      <c r="G446" s="30" t="str">
        <f t="shared" si="66"/>
        <v/>
      </c>
      <c r="H446" s="30" t="str">
        <f t="shared" si="66"/>
        <v/>
      </c>
      <c r="I446" s="30" t="str">
        <f t="shared" si="65"/>
        <v/>
      </c>
    </row>
    <row r="447" spans="1:9" x14ac:dyDescent="0.25">
      <c r="A447" s="30">
        <f t="shared" si="61"/>
        <v>-2.5</v>
      </c>
      <c r="B447" s="94">
        <f>INT((ROWS(B$11:B447)-1)/20)+40+0.05*MOD(ROWS(B$11:B447)-1,20)</f>
        <v>61.8</v>
      </c>
      <c r="C447" s="58" t="str">
        <f t="shared" si="62"/>
        <v/>
      </c>
      <c r="D447" s="58" t="str">
        <f t="shared" si="64"/>
        <v/>
      </c>
      <c r="E447" s="30">
        <f t="shared" si="60"/>
        <v>7.08175943540028E-3</v>
      </c>
      <c r="F447" s="30">
        <f t="shared" si="66"/>
        <v>7.08175943540028E-3</v>
      </c>
      <c r="G447" s="30" t="str">
        <f t="shared" si="66"/>
        <v/>
      </c>
      <c r="H447" s="30" t="str">
        <f t="shared" si="66"/>
        <v/>
      </c>
      <c r="I447" s="30" t="str">
        <f t="shared" si="65"/>
        <v/>
      </c>
    </row>
    <row r="448" spans="1:9" x14ac:dyDescent="0.25">
      <c r="A448" s="30">
        <f t="shared" si="61"/>
        <v>-2.5</v>
      </c>
      <c r="B448" s="94">
        <f>INT((ROWS(B$11:B448)-1)/20)+40+0.05*MOD(ROWS(B$11:B448)-1,20)</f>
        <v>61.85</v>
      </c>
      <c r="C448" s="58" t="str">
        <f t="shared" si="62"/>
        <v/>
      </c>
      <c r="D448" s="58" t="str">
        <f t="shared" si="64"/>
        <v/>
      </c>
      <c r="E448" s="30">
        <f t="shared" si="60"/>
        <v>7.2877456510514523E-3</v>
      </c>
      <c r="F448" s="30">
        <f t="shared" si="66"/>
        <v>7.2877456510514523E-3</v>
      </c>
      <c r="G448" s="30" t="str">
        <f t="shared" si="66"/>
        <v/>
      </c>
      <c r="H448" s="30" t="str">
        <f t="shared" si="66"/>
        <v/>
      </c>
      <c r="I448" s="30" t="str">
        <f t="shared" si="65"/>
        <v/>
      </c>
    </row>
    <row r="449" spans="1:9" x14ac:dyDescent="0.25">
      <c r="A449" s="30">
        <f t="shared" si="61"/>
        <v>-2.5</v>
      </c>
      <c r="B449" s="94">
        <f>INT((ROWS(B$11:B449)-1)/20)+40+0.05*MOD(ROWS(B$11:B449)-1,20)</f>
        <v>61.9</v>
      </c>
      <c r="C449" s="58" t="str">
        <f t="shared" si="62"/>
        <v/>
      </c>
      <c r="D449" s="58" t="str">
        <f t="shared" si="64"/>
        <v/>
      </c>
      <c r="E449" s="30">
        <f t="shared" si="60"/>
        <v>7.4985516207363183E-3</v>
      </c>
      <c r="F449" s="30">
        <f t="shared" si="66"/>
        <v>7.4985516207363183E-3</v>
      </c>
      <c r="G449" s="30" t="str">
        <f t="shared" si="66"/>
        <v/>
      </c>
      <c r="H449" s="30" t="str">
        <f t="shared" si="66"/>
        <v/>
      </c>
      <c r="I449" s="30" t="str">
        <f t="shared" si="65"/>
        <v/>
      </c>
    </row>
    <row r="450" spans="1:9" x14ac:dyDescent="0.25">
      <c r="A450" s="30">
        <f t="shared" si="61"/>
        <v>-2.5</v>
      </c>
      <c r="B450" s="94">
        <f>INT((ROWS(B$11:B450)-1)/20)+40+0.05*MOD(ROWS(B$11:B450)-1,20)</f>
        <v>61.95</v>
      </c>
      <c r="C450" s="58" t="str">
        <f t="shared" si="62"/>
        <v/>
      </c>
      <c r="D450" s="58" t="str">
        <f t="shared" si="64"/>
        <v/>
      </c>
      <c r="E450" s="30">
        <f t="shared" si="60"/>
        <v>7.714249936657991E-3</v>
      </c>
      <c r="F450" s="30">
        <f t="shared" si="66"/>
        <v>7.714249936657991E-3</v>
      </c>
      <c r="G450" s="30" t="str">
        <f t="shared" si="66"/>
        <v/>
      </c>
      <c r="H450" s="30" t="str">
        <f t="shared" si="66"/>
        <v/>
      </c>
      <c r="I450" s="30" t="str">
        <f t="shared" si="65"/>
        <v/>
      </c>
    </row>
    <row r="451" spans="1:9" x14ac:dyDescent="0.25">
      <c r="A451" s="30">
        <f t="shared" si="61"/>
        <v>-2.25</v>
      </c>
      <c r="B451" s="94">
        <f>INT((ROWS(B$11:B451)-1)/20)+40+0.05*MOD(ROWS(B$11:B451)-1,20)</f>
        <v>62</v>
      </c>
      <c r="C451" s="58" t="str">
        <f t="shared" si="62"/>
        <v/>
      </c>
      <c r="D451" s="58" t="str">
        <f t="shared" si="64"/>
        <v/>
      </c>
      <c r="E451" s="30">
        <f t="shared" si="60"/>
        <v>7.9349129589168545E-3</v>
      </c>
      <c r="F451" s="30">
        <f t="shared" ref="F451:H470" si="67">IF(AND($B451&gt;=F$7,$B451&lt;=F$8),E451,"")</f>
        <v>7.9349129589168545E-3</v>
      </c>
      <c r="G451" s="30" t="str">
        <f t="shared" si="67"/>
        <v/>
      </c>
      <c r="H451" s="30" t="str">
        <f t="shared" si="67"/>
        <v/>
      </c>
      <c r="I451" s="30" t="str">
        <f t="shared" si="65"/>
        <v/>
      </c>
    </row>
    <row r="452" spans="1:9" x14ac:dyDescent="0.25">
      <c r="A452" s="30">
        <f t="shared" si="61"/>
        <v>-2.25</v>
      </c>
      <c r="B452" s="94">
        <f>INT((ROWS(B$11:B452)-1)/20)+40+0.05*MOD(ROWS(B$11:B452)-1,20)</f>
        <v>62.05</v>
      </c>
      <c r="C452" s="58" t="str">
        <f t="shared" si="62"/>
        <v/>
      </c>
      <c r="D452" s="58" t="str">
        <f t="shared" si="64"/>
        <v/>
      </c>
      <c r="E452" s="30">
        <f t="shared" si="60"/>
        <v>8.1606127629676086E-3</v>
      </c>
      <c r="F452" s="30">
        <f t="shared" si="67"/>
        <v>8.1606127629676086E-3</v>
      </c>
      <c r="G452" s="30" t="str">
        <f t="shared" si="67"/>
        <v/>
      </c>
      <c r="H452" s="30" t="str">
        <f t="shared" si="67"/>
        <v/>
      </c>
      <c r="I452" s="30" t="str">
        <f t="shared" si="65"/>
        <v/>
      </c>
    </row>
    <row r="453" spans="1:9" x14ac:dyDescent="0.25">
      <c r="A453" s="30">
        <f t="shared" si="61"/>
        <v>-2.25</v>
      </c>
      <c r="B453" s="94">
        <f>INT((ROWS(B$11:B453)-1)/20)+40+0.05*MOD(ROWS(B$11:B453)-1,20)</f>
        <v>62.1</v>
      </c>
      <c r="C453" s="58" t="str">
        <f t="shared" si="62"/>
        <v/>
      </c>
      <c r="D453" s="58" t="str">
        <f t="shared" si="64"/>
        <v/>
      </c>
      <c r="E453" s="30">
        <f t="shared" si="60"/>
        <v>8.391421085794392E-3</v>
      </c>
      <c r="F453" s="30">
        <f t="shared" si="67"/>
        <v>8.391421085794392E-3</v>
      </c>
      <c r="G453" s="30" t="str">
        <f t="shared" si="67"/>
        <v/>
      </c>
      <c r="H453" s="30" t="str">
        <f t="shared" si="67"/>
        <v/>
      </c>
      <c r="I453" s="30" t="str">
        <f t="shared" si="65"/>
        <v/>
      </c>
    </row>
    <row r="454" spans="1:9" x14ac:dyDescent="0.25">
      <c r="A454" s="30">
        <f t="shared" si="61"/>
        <v>-2.25</v>
      </c>
      <c r="B454" s="94">
        <f>INT((ROWS(B$11:B454)-1)/20)+40+0.05*MOD(ROWS(B$11:B454)-1,20)</f>
        <v>62.15</v>
      </c>
      <c r="C454" s="58" t="str">
        <f t="shared" si="62"/>
        <v/>
      </c>
      <c r="D454" s="58" t="str">
        <f t="shared" si="64"/>
        <v/>
      </c>
      <c r="E454" s="30">
        <f t="shared" si="60"/>
        <v>8.6274092708188716E-3</v>
      </c>
      <c r="F454" s="30">
        <f t="shared" si="67"/>
        <v>8.6274092708188716E-3</v>
      </c>
      <c r="G454" s="30" t="str">
        <f t="shared" si="67"/>
        <v/>
      </c>
      <c r="H454" s="30" t="str">
        <f t="shared" si="67"/>
        <v/>
      </c>
      <c r="I454" s="30" t="str">
        <f t="shared" si="65"/>
        <v/>
      </c>
    </row>
    <row r="455" spans="1:9" x14ac:dyDescent="0.25">
      <c r="A455" s="30">
        <f t="shared" si="61"/>
        <v>-2.25</v>
      </c>
      <c r="B455" s="94">
        <f>INT((ROWS(B$11:B455)-1)/20)+40+0.05*MOD(ROWS(B$11:B455)-1,20)</f>
        <v>62.2</v>
      </c>
      <c r="C455" s="58" t="str">
        <f t="shared" si="62"/>
        <v/>
      </c>
      <c r="D455" s="58" t="str">
        <f t="shared" si="64"/>
        <v/>
      </c>
      <c r="E455" s="30">
        <f t="shared" si="60"/>
        <v>8.8686482115578717E-3</v>
      </c>
      <c r="F455" s="30">
        <f t="shared" si="67"/>
        <v>8.8686482115578717E-3</v>
      </c>
      <c r="G455" s="30" t="str">
        <f t="shared" si="67"/>
        <v/>
      </c>
      <c r="H455" s="30" t="str">
        <f t="shared" si="67"/>
        <v/>
      </c>
      <c r="I455" s="30" t="str">
        <f t="shared" si="65"/>
        <v/>
      </c>
    </row>
    <row r="456" spans="1:9" x14ac:dyDescent="0.25">
      <c r="A456" s="30">
        <f t="shared" si="61"/>
        <v>-2.25</v>
      </c>
      <c r="B456" s="94">
        <f>INT((ROWS(B$11:B456)-1)/20)+40+0.05*MOD(ROWS(B$11:B456)-1,20)</f>
        <v>62.25</v>
      </c>
      <c r="C456" s="58" t="str">
        <f t="shared" si="62"/>
        <v/>
      </c>
      <c r="D456" s="58" t="str">
        <f t="shared" si="64"/>
        <v/>
      </c>
      <c r="E456" s="30">
        <f t="shared" si="60"/>
        <v>9.1152082940480356E-3</v>
      </c>
      <c r="F456" s="30">
        <f t="shared" si="67"/>
        <v>9.1152082940480356E-3</v>
      </c>
      <c r="G456" s="30" t="str">
        <f t="shared" si="67"/>
        <v/>
      </c>
      <c r="H456" s="30" t="str">
        <f t="shared" si="67"/>
        <v/>
      </c>
      <c r="I456" s="30" t="str">
        <f t="shared" si="65"/>
        <v/>
      </c>
    </row>
    <row r="457" spans="1:9" x14ac:dyDescent="0.25">
      <c r="A457" s="30">
        <f t="shared" si="61"/>
        <v>-2.25</v>
      </c>
      <c r="B457" s="94">
        <f>INT((ROWS(B$11:B457)-1)/20)+40+0.05*MOD(ROWS(B$11:B457)-1,20)</f>
        <v>62.3</v>
      </c>
      <c r="C457" s="58" t="str">
        <f t="shared" si="62"/>
        <v/>
      </c>
      <c r="D457" s="58" t="str">
        <f t="shared" si="64"/>
        <v/>
      </c>
      <c r="E457" s="30">
        <f t="shared" si="60"/>
        <v>9.3671593380584301E-3</v>
      </c>
      <c r="F457" s="30">
        <f t="shared" si="67"/>
        <v>9.3671593380584301E-3</v>
      </c>
      <c r="G457" s="30" t="str">
        <f t="shared" si="67"/>
        <v/>
      </c>
      <c r="H457" s="30" t="str">
        <f t="shared" si="67"/>
        <v/>
      </c>
      <c r="I457" s="30" t="str">
        <f t="shared" si="65"/>
        <v/>
      </c>
    </row>
    <row r="458" spans="1:9" x14ac:dyDescent="0.25">
      <c r="A458" s="30">
        <f t="shared" si="61"/>
        <v>-2.25</v>
      </c>
      <c r="B458" s="94">
        <f>INT((ROWS(B$11:B458)-1)/20)+40+0.05*MOD(ROWS(B$11:B458)-1,20)</f>
        <v>62.35</v>
      </c>
      <c r="C458" s="58" t="str">
        <f t="shared" si="62"/>
        <v/>
      </c>
      <c r="D458" s="58" t="str">
        <f t="shared" si="64"/>
        <v/>
      </c>
      <c r="E458" s="30">
        <f t="shared" si="60"/>
        <v>9.6245705371123674E-3</v>
      </c>
      <c r="F458" s="30">
        <f t="shared" si="67"/>
        <v>9.6245705371123674E-3</v>
      </c>
      <c r="G458" s="30" t="str">
        <f t="shared" si="67"/>
        <v/>
      </c>
      <c r="H458" s="30" t="str">
        <f t="shared" si="67"/>
        <v/>
      </c>
      <c r="I458" s="30" t="str">
        <f t="shared" si="65"/>
        <v/>
      </c>
    </row>
    <row r="459" spans="1:9" x14ac:dyDescent="0.25">
      <c r="A459" s="30">
        <f t="shared" si="61"/>
        <v>-2.25</v>
      </c>
      <c r="B459" s="94">
        <f>INT((ROWS(B$11:B459)-1)/20)+40+0.05*MOD(ROWS(B$11:B459)-1,20)</f>
        <v>62.4</v>
      </c>
      <c r="C459" s="58" t="str">
        <f t="shared" si="62"/>
        <v/>
      </c>
      <c r="D459" s="58" t="str">
        <f t="shared" si="64"/>
        <v/>
      </c>
      <c r="E459" s="30">
        <f t="shared" ref="E459:E522" si="68">_xlfn.NORM.DIST(B459,$F$1,$F$2,0)</f>
        <v>9.8875103973425464E-3</v>
      </c>
      <c r="F459" s="30">
        <f t="shared" si="67"/>
        <v>9.8875103973425464E-3</v>
      </c>
      <c r="G459" s="30" t="str">
        <f t="shared" si="67"/>
        <v/>
      </c>
      <c r="H459" s="30" t="str">
        <f t="shared" si="67"/>
        <v/>
      </c>
      <c r="I459" s="30" t="str">
        <f t="shared" si="65"/>
        <v/>
      </c>
    </row>
    <row r="460" spans="1:9" x14ac:dyDescent="0.25">
      <c r="A460" s="30">
        <f t="shared" ref="A460:A523" si="69">(INT(B460)-$F$1)/$F$2</f>
        <v>-2.25</v>
      </c>
      <c r="B460" s="94">
        <f>INT((ROWS(B$11:B460)-1)/20)+40+0.05*MOD(ROWS(B$11:B460)-1,20)</f>
        <v>62.45</v>
      </c>
      <c r="C460" s="58" t="str">
        <f t="shared" ref="C460:C523" si="70">IF(AND(A460&lt;&gt;A459,INT(A460)=A460),A460,"")</f>
        <v/>
      </c>
      <c r="D460" s="58" t="str">
        <f t="shared" si="64"/>
        <v/>
      </c>
      <c r="E460" s="30">
        <f t="shared" si="68"/>
        <v>1.015604667520585E-2</v>
      </c>
      <c r="F460" s="30">
        <f t="shared" si="67"/>
        <v>1.015604667520585E-2</v>
      </c>
      <c r="G460" s="30" t="str">
        <f t="shared" si="67"/>
        <v/>
      </c>
      <c r="H460" s="30" t="str">
        <f t="shared" si="67"/>
        <v/>
      </c>
      <c r="I460" s="30" t="str">
        <f t="shared" si="65"/>
        <v/>
      </c>
    </row>
    <row r="461" spans="1:9" x14ac:dyDescent="0.25">
      <c r="A461" s="30">
        <f t="shared" si="69"/>
        <v>-2.25</v>
      </c>
      <c r="B461" s="94">
        <f>INT((ROWS(B$11:B461)-1)/20)+40+0.05*MOD(ROWS(B$11:B461)-1,20)</f>
        <v>62.5</v>
      </c>
      <c r="C461" s="58" t="str">
        <f t="shared" si="70"/>
        <v/>
      </c>
      <c r="D461" s="58" t="str">
        <f t="shared" si="64"/>
        <v/>
      </c>
      <c r="E461" s="30">
        <f t="shared" si="68"/>
        <v>1.0430246314084653E-2</v>
      </c>
      <c r="F461" s="30">
        <f t="shared" si="67"/>
        <v>1.0430246314084653E-2</v>
      </c>
      <c r="G461" s="30" t="str">
        <f t="shared" si="67"/>
        <v/>
      </c>
      <c r="H461" s="30" t="str">
        <f t="shared" si="67"/>
        <v/>
      </c>
      <c r="I461" s="30" t="str">
        <f t="shared" si="65"/>
        <v/>
      </c>
    </row>
    <row r="462" spans="1:9" x14ac:dyDescent="0.25">
      <c r="A462" s="30">
        <f t="shared" si="69"/>
        <v>-2.25</v>
      </c>
      <c r="B462" s="94">
        <f>INT((ROWS(B$11:B462)-1)/20)+40+0.05*MOD(ROWS(B$11:B462)-1,20)</f>
        <v>62.55</v>
      </c>
      <c r="C462" s="58" t="str">
        <f t="shared" si="70"/>
        <v/>
      </c>
      <c r="D462" s="58" t="str">
        <f t="shared" si="64"/>
        <v/>
      </c>
      <c r="E462" s="30">
        <f t="shared" si="68"/>
        <v>1.0710175379805604E-2</v>
      </c>
      <c r="F462" s="30">
        <f t="shared" si="67"/>
        <v>1.0710175379805604E-2</v>
      </c>
      <c r="G462" s="30" t="str">
        <f t="shared" si="67"/>
        <v/>
      </c>
      <c r="H462" s="30" t="str">
        <f t="shared" si="67"/>
        <v/>
      </c>
      <c r="I462" s="30" t="str">
        <f t="shared" si="65"/>
        <v/>
      </c>
    </row>
    <row r="463" spans="1:9" x14ac:dyDescent="0.25">
      <c r="A463" s="30">
        <f t="shared" si="69"/>
        <v>-2.25</v>
      </c>
      <c r="B463" s="94">
        <f>INT((ROWS(B$11:B463)-1)/20)+40+0.05*MOD(ROWS(B$11:B463)-1,20)</f>
        <v>62.6</v>
      </c>
      <c r="C463" s="58" t="str">
        <f t="shared" si="70"/>
        <v/>
      </c>
      <c r="D463" s="58" t="str">
        <f t="shared" si="64"/>
        <v/>
      </c>
      <c r="E463" s="30">
        <f t="shared" si="68"/>
        <v>1.0995898995106808E-2</v>
      </c>
      <c r="F463" s="30">
        <f t="shared" si="67"/>
        <v>1.0995898995106808E-2</v>
      </c>
      <c r="G463" s="30" t="str">
        <f t="shared" si="67"/>
        <v/>
      </c>
      <c r="H463" s="30" t="str">
        <f t="shared" si="67"/>
        <v/>
      </c>
      <c r="I463" s="30" t="str">
        <f t="shared" si="65"/>
        <v/>
      </c>
    </row>
    <row r="464" spans="1:9" x14ac:dyDescent="0.25">
      <c r="A464" s="30">
        <f t="shared" si="69"/>
        <v>-2.25</v>
      </c>
      <c r="B464" s="94">
        <f>INT((ROWS(B$11:B464)-1)/20)+40+0.05*MOD(ROWS(B$11:B464)-1,20)</f>
        <v>62.65</v>
      </c>
      <c r="C464" s="58" t="str">
        <f t="shared" si="70"/>
        <v/>
      </c>
      <c r="D464" s="58" t="str">
        <f t="shared" si="64"/>
        <v/>
      </c>
      <c r="E464" s="30">
        <f t="shared" si="68"/>
        <v>1.1287481273087605E-2</v>
      </c>
      <c r="F464" s="30">
        <f t="shared" si="67"/>
        <v>1.1287481273087605E-2</v>
      </c>
      <c r="G464" s="30" t="str">
        <f t="shared" si="67"/>
        <v/>
      </c>
      <c r="H464" s="30" t="str">
        <f t="shared" si="67"/>
        <v/>
      </c>
      <c r="I464" s="30" t="str">
        <f t="shared" si="65"/>
        <v/>
      </c>
    </row>
    <row r="465" spans="1:9" x14ac:dyDescent="0.25">
      <c r="A465" s="30">
        <f t="shared" si="69"/>
        <v>-2.25</v>
      </c>
      <c r="B465" s="94">
        <f>INT((ROWS(B$11:B465)-1)/20)+40+0.05*MOD(ROWS(B$11:B465)-1,20)</f>
        <v>62.7</v>
      </c>
      <c r="C465" s="58" t="str">
        <f t="shared" si="70"/>
        <v/>
      </c>
      <c r="D465" s="58" t="str">
        <f t="shared" si="64"/>
        <v/>
      </c>
      <c r="E465" s="30">
        <f t="shared" si="68"/>
        <v>1.1584985249677325E-2</v>
      </c>
      <c r="F465" s="30">
        <f t="shared" si="67"/>
        <v>1.1584985249677325E-2</v>
      </c>
      <c r="G465" s="30" t="str">
        <f t="shared" si="67"/>
        <v/>
      </c>
      <c r="H465" s="30" t="str">
        <f t="shared" si="67"/>
        <v/>
      </c>
      <c r="I465" s="30" t="str">
        <f t="shared" si="65"/>
        <v/>
      </c>
    </row>
    <row r="466" spans="1:9" x14ac:dyDescent="0.25">
      <c r="A466" s="30">
        <f t="shared" si="69"/>
        <v>-2.25</v>
      </c>
      <c r="B466" s="94">
        <f>INT((ROWS(B$11:B466)-1)/20)+40+0.05*MOD(ROWS(B$11:B466)-1,20)</f>
        <v>62.75</v>
      </c>
      <c r="C466" s="58" t="str">
        <f t="shared" si="70"/>
        <v/>
      </c>
      <c r="D466" s="58" t="str">
        <f t="shared" si="64"/>
        <v/>
      </c>
      <c r="E466" s="30">
        <f t="shared" si="68"/>
        <v>1.1888472815159907E-2</v>
      </c>
      <c r="F466" s="30">
        <f t="shared" si="67"/>
        <v>1.1888472815159907E-2</v>
      </c>
      <c r="G466" s="30" t="str">
        <f t="shared" si="67"/>
        <v/>
      </c>
      <c r="H466" s="30" t="str">
        <f t="shared" si="67"/>
        <v/>
      </c>
      <c r="I466" s="30" t="str">
        <f t="shared" si="65"/>
        <v/>
      </c>
    </row>
    <row r="467" spans="1:9" x14ac:dyDescent="0.25">
      <c r="A467" s="30">
        <f t="shared" si="69"/>
        <v>-2.25</v>
      </c>
      <c r="B467" s="94">
        <f>INT((ROWS(B$11:B467)-1)/20)+40+0.05*MOD(ROWS(B$11:B467)-1,20)</f>
        <v>62.8</v>
      </c>
      <c r="C467" s="58" t="str">
        <f t="shared" si="70"/>
        <v/>
      </c>
      <c r="D467" s="58" t="str">
        <f t="shared" si="64"/>
        <v/>
      </c>
      <c r="E467" s="30">
        <f t="shared" si="68"/>
        <v>1.219800464479567E-2</v>
      </c>
      <c r="F467" s="30">
        <f t="shared" si="67"/>
        <v>1.219800464479567E-2</v>
      </c>
      <c r="G467" s="30" t="str">
        <f t="shared" si="67"/>
        <v/>
      </c>
      <c r="H467" s="30" t="str">
        <f t="shared" si="67"/>
        <v/>
      </c>
      <c r="I467" s="30" t="str">
        <f t="shared" si="65"/>
        <v/>
      </c>
    </row>
    <row r="468" spans="1:9" x14ac:dyDescent="0.25">
      <c r="A468" s="30">
        <f t="shared" si="69"/>
        <v>-2.25</v>
      </c>
      <c r="B468" s="94">
        <f>INT((ROWS(B$11:B468)-1)/20)+40+0.05*MOD(ROWS(B$11:B468)-1,20)</f>
        <v>62.85</v>
      </c>
      <c r="C468" s="58" t="str">
        <f t="shared" si="70"/>
        <v/>
      </c>
      <c r="D468" s="58" t="str">
        <f t="shared" si="64"/>
        <v/>
      </c>
      <c r="E468" s="30">
        <f t="shared" si="68"/>
        <v>1.2513640128581277E-2</v>
      </c>
      <c r="F468" s="30">
        <f t="shared" si="67"/>
        <v>1.2513640128581277E-2</v>
      </c>
      <c r="G468" s="30" t="str">
        <f t="shared" si="67"/>
        <v/>
      </c>
      <c r="H468" s="30" t="str">
        <f t="shared" si="67"/>
        <v/>
      </c>
      <c r="I468" s="30" t="str">
        <f t="shared" si="65"/>
        <v/>
      </c>
    </row>
    <row r="469" spans="1:9" x14ac:dyDescent="0.25">
      <c r="A469" s="30">
        <f t="shared" si="69"/>
        <v>-2.25</v>
      </c>
      <c r="B469" s="94">
        <f>INT((ROWS(B$11:B469)-1)/20)+40+0.05*MOD(ROWS(B$11:B469)-1,20)</f>
        <v>62.9</v>
      </c>
      <c r="C469" s="58" t="str">
        <f t="shared" si="70"/>
        <v/>
      </c>
      <c r="D469" s="58" t="str">
        <f t="shared" si="64"/>
        <v/>
      </c>
      <c r="E469" s="30">
        <f t="shared" si="68"/>
        <v>1.2835437300192352E-2</v>
      </c>
      <c r="F469" s="30">
        <f t="shared" si="67"/>
        <v>1.2835437300192352E-2</v>
      </c>
      <c r="G469" s="30" t="str">
        <f t="shared" si="67"/>
        <v/>
      </c>
      <c r="H469" s="30" t="str">
        <f t="shared" si="67"/>
        <v/>
      </c>
      <c r="I469" s="30" t="str">
        <f t="shared" si="65"/>
        <v/>
      </c>
    </row>
    <row r="470" spans="1:9" x14ac:dyDescent="0.25">
      <c r="A470" s="30">
        <f t="shared" si="69"/>
        <v>-2.25</v>
      </c>
      <c r="B470" s="94">
        <f>INT((ROWS(B$11:B470)-1)/20)+40+0.05*MOD(ROWS(B$11:B470)-1,20)</f>
        <v>62.95</v>
      </c>
      <c r="C470" s="58" t="str">
        <f t="shared" si="70"/>
        <v/>
      </c>
      <c r="D470" s="58" t="str">
        <f t="shared" si="64"/>
        <v/>
      </c>
      <c r="E470" s="30">
        <f t="shared" si="68"/>
        <v>1.3163452765155551E-2</v>
      </c>
      <c r="F470" s="30">
        <f t="shared" si="67"/>
        <v>1.3163452765155551E-2</v>
      </c>
      <c r="G470" s="30" t="str">
        <f t="shared" si="67"/>
        <v/>
      </c>
      <c r="H470" s="30" t="str">
        <f t="shared" si="67"/>
        <v/>
      </c>
      <c r="I470" s="30" t="str">
        <f t="shared" si="65"/>
        <v/>
      </c>
    </row>
    <row r="471" spans="1:9" x14ac:dyDescent="0.25">
      <c r="A471" s="30">
        <f t="shared" si="69"/>
        <v>-2</v>
      </c>
      <c r="B471" s="94">
        <f>INT((ROWS(B$11:B471)-1)/20)+40+0.05*MOD(ROWS(B$11:B471)-1,20)</f>
        <v>63</v>
      </c>
      <c r="C471" s="58">
        <f t="shared" si="70"/>
        <v>-2</v>
      </c>
      <c r="D471" s="58" t="str">
        <f t="shared" si="64"/>
        <v>63"
- 2 z</v>
      </c>
      <c r="E471" s="30">
        <f t="shared" si="68"/>
        <v>1.3497741628297016E-2</v>
      </c>
      <c r="F471" s="30">
        <f t="shared" ref="F471:H490" si="71">IF(AND($B471&gt;=F$7,$B471&lt;=F$8),E471,"")</f>
        <v>1.3497741628297016E-2</v>
      </c>
      <c r="G471" s="30">
        <f t="shared" si="71"/>
        <v>1.3497741628297016E-2</v>
      </c>
      <c r="H471" s="30" t="str">
        <f t="shared" si="71"/>
        <v/>
      </c>
      <c r="I471" s="30" t="str">
        <f t="shared" si="65"/>
        <v/>
      </c>
    </row>
    <row r="472" spans="1:9" x14ac:dyDescent="0.25">
      <c r="A472" s="30">
        <f t="shared" si="69"/>
        <v>-2</v>
      </c>
      <c r="B472" s="94">
        <f>INT((ROWS(B$11:B472)-1)/20)+40+0.05*MOD(ROWS(B$11:B472)-1,20)</f>
        <v>63.05</v>
      </c>
      <c r="C472" s="58" t="str">
        <f t="shared" si="70"/>
        <v/>
      </c>
      <c r="D472" s="58" t="str">
        <f t="shared" si="64"/>
        <v/>
      </c>
      <c r="E472" s="30">
        <f t="shared" si="68"/>
        <v>1.3838357420519041E-2</v>
      </c>
      <c r="F472" s="30">
        <f t="shared" si="71"/>
        <v>1.3838357420519041E-2</v>
      </c>
      <c r="G472" s="30">
        <f t="shared" si="71"/>
        <v>1.3838357420519041E-2</v>
      </c>
      <c r="H472" s="30" t="str">
        <f t="shared" si="71"/>
        <v/>
      </c>
      <c r="I472" s="30" t="str">
        <f t="shared" si="65"/>
        <v/>
      </c>
    </row>
    <row r="473" spans="1:9" x14ac:dyDescent="0.25">
      <c r="A473" s="30">
        <f t="shared" si="69"/>
        <v>-2</v>
      </c>
      <c r="B473" s="94">
        <f>INT((ROWS(B$11:B473)-1)/20)+40+0.05*MOD(ROWS(B$11:B473)-1,20)</f>
        <v>63.1</v>
      </c>
      <c r="C473" s="58" t="str">
        <f t="shared" si="70"/>
        <v/>
      </c>
      <c r="D473" s="58" t="str">
        <f t="shared" si="64"/>
        <v/>
      </c>
      <c r="E473" s="30">
        <f t="shared" si="68"/>
        <v>1.4185352024956015E-2</v>
      </c>
      <c r="F473" s="30">
        <f t="shared" si="71"/>
        <v>1.4185352024956015E-2</v>
      </c>
      <c r="G473" s="30">
        <f t="shared" si="71"/>
        <v>1.4185352024956015E-2</v>
      </c>
      <c r="H473" s="30" t="str">
        <f t="shared" si="71"/>
        <v/>
      </c>
      <c r="I473" s="30" t="str">
        <f t="shared" si="65"/>
        <v/>
      </c>
    </row>
    <row r="474" spans="1:9" x14ac:dyDescent="0.25">
      <c r="A474" s="30">
        <f t="shared" si="69"/>
        <v>-2</v>
      </c>
      <c r="B474" s="94">
        <f>INT((ROWS(B$11:B474)-1)/20)+40+0.05*MOD(ROWS(B$11:B474)-1,20)</f>
        <v>63.15</v>
      </c>
      <c r="C474" s="58" t="str">
        <f t="shared" si="70"/>
        <v/>
      </c>
      <c r="D474" s="58" t="str">
        <f t="shared" si="64"/>
        <v/>
      </c>
      <c r="E474" s="30">
        <f t="shared" si="68"/>
        <v>1.453877560256446E-2</v>
      </c>
      <c r="F474" s="30">
        <f t="shared" si="71"/>
        <v>1.453877560256446E-2</v>
      </c>
      <c r="G474" s="30">
        <f t="shared" si="71"/>
        <v>1.453877560256446E-2</v>
      </c>
      <c r="H474" s="30" t="str">
        <f t="shared" si="71"/>
        <v/>
      </c>
      <c r="I474" s="30" t="str">
        <f t="shared" si="65"/>
        <v/>
      </c>
    </row>
    <row r="475" spans="1:9" x14ac:dyDescent="0.25">
      <c r="A475" s="30">
        <f t="shared" si="69"/>
        <v>-2</v>
      </c>
      <c r="B475" s="94">
        <f>INT((ROWS(B$11:B475)-1)/20)+40+0.05*MOD(ROWS(B$11:B475)-1,20)</f>
        <v>63.2</v>
      </c>
      <c r="C475" s="58" t="str">
        <f t="shared" si="70"/>
        <v/>
      </c>
      <c r="D475" s="58" t="str">
        <f t="shared" si="64"/>
        <v/>
      </c>
      <c r="E475" s="30">
        <f t="shared" si="68"/>
        <v>1.4898676517204041E-2</v>
      </c>
      <c r="F475" s="30">
        <f t="shared" si="71"/>
        <v>1.4898676517204041E-2</v>
      </c>
      <c r="G475" s="30">
        <f t="shared" si="71"/>
        <v>1.4898676517204041E-2</v>
      </c>
      <c r="H475" s="30" t="str">
        <f t="shared" si="71"/>
        <v/>
      </c>
      <c r="I475" s="30" t="str">
        <f t="shared" si="65"/>
        <v/>
      </c>
    </row>
    <row r="476" spans="1:9" x14ac:dyDescent="0.25">
      <c r="A476" s="30">
        <f t="shared" si="69"/>
        <v>-2</v>
      </c>
      <c r="B476" s="94">
        <f>INT((ROWS(B$11:B476)-1)/20)+40+0.05*MOD(ROWS(B$11:B476)-1,20)</f>
        <v>63.25</v>
      </c>
      <c r="C476" s="58" t="str">
        <f t="shared" si="70"/>
        <v/>
      </c>
      <c r="D476" s="58" t="str">
        <f t="shared" si="64"/>
        <v/>
      </c>
      <c r="E476" s="30">
        <f t="shared" si="68"/>
        <v>1.5265101260266586E-2</v>
      </c>
      <c r="F476" s="30">
        <f t="shared" si="71"/>
        <v>1.5265101260266586E-2</v>
      </c>
      <c r="G476" s="30">
        <f t="shared" si="71"/>
        <v>1.5265101260266586E-2</v>
      </c>
      <c r="H476" s="30" t="str">
        <f t="shared" si="71"/>
        <v/>
      </c>
      <c r="I476" s="30" t="str">
        <f t="shared" si="65"/>
        <v/>
      </c>
    </row>
    <row r="477" spans="1:9" x14ac:dyDescent="0.25">
      <c r="A477" s="30">
        <f t="shared" si="69"/>
        <v>-2</v>
      </c>
      <c r="B477" s="94">
        <f>INT((ROWS(B$11:B477)-1)/20)+40+0.05*MOD(ROWS(B$11:B477)-1,20)</f>
        <v>63.3</v>
      </c>
      <c r="C477" s="58" t="str">
        <f t="shared" si="70"/>
        <v/>
      </c>
      <c r="D477" s="58" t="str">
        <f t="shared" si="64"/>
        <v/>
      </c>
      <c r="E477" s="30">
        <f t="shared" si="68"/>
        <v>1.5638094374914976E-2</v>
      </c>
      <c r="F477" s="30">
        <f t="shared" si="71"/>
        <v>1.5638094374914976E-2</v>
      </c>
      <c r="G477" s="30">
        <f t="shared" si="71"/>
        <v>1.5638094374914976E-2</v>
      </c>
      <c r="H477" s="30" t="str">
        <f t="shared" si="71"/>
        <v/>
      </c>
      <c r="I477" s="30" t="str">
        <f t="shared" si="65"/>
        <v/>
      </c>
    </row>
    <row r="478" spans="1:9" x14ac:dyDescent="0.25">
      <c r="A478" s="30">
        <f t="shared" si="69"/>
        <v>-2</v>
      </c>
      <c r="B478" s="94">
        <f>INT((ROWS(B$11:B478)-1)/20)+40+0.05*MOD(ROWS(B$11:B478)-1,20)</f>
        <v>63.35</v>
      </c>
      <c r="C478" s="58" t="str">
        <f t="shared" si="70"/>
        <v/>
      </c>
      <c r="D478" s="58" t="str">
        <f t="shared" si="64"/>
        <v/>
      </c>
      <c r="E478" s="30">
        <f t="shared" si="68"/>
        <v>1.6017698379992749E-2</v>
      </c>
      <c r="F478" s="30">
        <f t="shared" si="71"/>
        <v>1.6017698379992749E-2</v>
      </c>
      <c r="G478" s="30">
        <f t="shared" si="71"/>
        <v>1.6017698379992749E-2</v>
      </c>
      <c r="H478" s="30" t="str">
        <f t="shared" si="71"/>
        <v/>
      </c>
      <c r="I478" s="30" t="str">
        <f t="shared" si="65"/>
        <v/>
      </c>
    </row>
    <row r="479" spans="1:9" x14ac:dyDescent="0.25">
      <c r="A479" s="30">
        <f t="shared" si="69"/>
        <v>-2</v>
      </c>
      <c r="B479" s="94">
        <f>INT((ROWS(B$11:B479)-1)/20)+40+0.05*MOD(ROWS(B$11:B479)-1,20)</f>
        <v>63.4</v>
      </c>
      <c r="C479" s="58" t="str">
        <f t="shared" si="70"/>
        <v/>
      </c>
      <c r="D479" s="58" t="str">
        <f t="shared" si="64"/>
        <v/>
      </c>
      <c r="E479" s="30">
        <f t="shared" si="68"/>
        <v>1.6403953693669138E-2</v>
      </c>
      <c r="F479" s="30">
        <f t="shared" si="71"/>
        <v>1.6403953693669138E-2</v>
      </c>
      <c r="G479" s="30">
        <f t="shared" si="71"/>
        <v>1.6403953693669138E-2</v>
      </c>
      <c r="H479" s="30" t="str">
        <f t="shared" si="71"/>
        <v/>
      </c>
      <c r="I479" s="30" t="str">
        <f t="shared" si="65"/>
        <v/>
      </c>
    </row>
    <row r="480" spans="1:9" x14ac:dyDescent="0.25">
      <c r="A480" s="30">
        <f t="shared" si="69"/>
        <v>-2</v>
      </c>
      <c r="B480" s="94">
        <f>INT((ROWS(B$11:B480)-1)/20)+40+0.05*MOD(ROWS(B$11:B480)-1,20)</f>
        <v>63.45</v>
      </c>
      <c r="C480" s="58" t="str">
        <f t="shared" si="70"/>
        <v/>
      </c>
      <c r="D480" s="58" t="str">
        <f t="shared" si="64"/>
        <v/>
      </c>
      <c r="E480" s="30">
        <f t="shared" si="68"/>
        <v>1.6796898556885972E-2</v>
      </c>
      <c r="F480" s="30">
        <f t="shared" si="71"/>
        <v>1.6796898556885972E-2</v>
      </c>
      <c r="G480" s="30">
        <f t="shared" si="71"/>
        <v>1.6796898556885972E-2</v>
      </c>
      <c r="H480" s="30" t="str">
        <f t="shared" si="71"/>
        <v/>
      </c>
      <c r="I480" s="30" t="str">
        <f t="shared" si="65"/>
        <v/>
      </c>
    </row>
    <row r="481" spans="1:9" x14ac:dyDescent="0.25">
      <c r="A481" s="30">
        <f t="shared" si="69"/>
        <v>-2</v>
      </c>
      <c r="B481" s="94">
        <f>INT((ROWS(B$11:B481)-1)/20)+40+0.05*MOD(ROWS(B$11:B481)-1,20)</f>
        <v>63.5</v>
      </c>
      <c r="C481" s="58" t="str">
        <f t="shared" si="70"/>
        <v/>
      </c>
      <c r="D481" s="58" t="str">
        <f t="shared" si="64"/>
        <v/>
      </c>
      <c r="E481" s="30">
        <f t="shared" si="68"/>
        <v>1.7196568956672976E-2</v>
      </c>
      <c r="F481" s="30">
        <f t="shared" si="71"/>
        <v>1.7196568956672976E-2</v>
      </c>
      <c r="G481" s="30">
        <f t="shared" si="71"/>
        <v>1.7196568956672976E-2</v>
      </c>
      <c r="H481" s="30" t="str">
        <f t="shared" si="71"/>
        <v/>
      </c>
      <c r="I481" s="30" t="str">
        <f t="shared" si="65"/>
        <v/>
      </c>
    </row>
    <row r="482" spans="1:9" x14ac:dyDescent="0.25">
      <c r="A482" s="30">
        <f t="shared" si="69"/>
        <v>-2</v>
      </c>
      <c r="B482" s="94">
        <f>INT((ROWS(B$11:B482)-1)/20)+40+0.05*MOD(ROWS(B$11:B482)-1,20)</f>
        <v>63.55</v>
      </c>
      <c r="C482" s="58" t="str">
        <f t="shared" si="70"/>
        <v/>
      </c>
      <c r="D482" s="58" t="str">
        <f t="shared" si="64"/>
        <v/>
      </c>
      <c r="E482" s="30">
        <f t="shared" si="68"/>
        <v>1.7602998549402615E-2</v>
      </c>
      <c r="F482" s="30">
        <f t="shared" si="71"/>
        <v>1.7602998549402615E-2</v>
      </c>
      <c r="G482" s="30">
        <f t="shared" si="71"/>
        <v>1.7602998549402615E-2</v>
      </c>
      <c r="H482" s="30" t="str">
        <f t="shared" si="71"/>
        <v/>
      </c>
      <c r="I482" s="30" t="str">
        <f t="shared" si="65"/>
        <v/>
      </c>
    </row>
    <row r="483" spans="1:9" x14ac:dyDescent="0.25">
      <c r="A483" s="30">
        <f t="shared" si="69"/>
        <v>-2</v>
      </c>
      <c r="B483" s="94">
        <f>INT((ROWS(B$11:B483)-1)/20)+40+0.05*MOD(ROWS(B$11:B483)-1,20)</f>
        <v>63.6</v>
      </c>
      <c r="C483" s="58" t="str">
        <f t="shared" si="70"/>
        <v/>
      </c>
      <c r="D483" s="58" t="str">
        <f t="shared" si="64"/>
        <v/>
      </c>
      <c r="E483" s="30">
        <f t="shared" si="68"/>
        <v>1.801621858405451E-2</v>
      </c>
      <c r="F483" s="30">
        <f t="shared" si="71"/>
        <v>1.801621858405451E-2</v>
      </c>
      <c r="G483" s="30">
        <f t="shared" si="71"/>
        <v>1.801621858405451E-2</v>
      </c>
      <c r="H483" s="30" t="str">
        <f t="shared" si="71"/>
        <v/>
      </c>
      <c r="I483" s="30" t="str">
        <f t="shared" si="65"/>
        <v/>
      </c>
    </row>
    <row r="484" spans="1:9" x14ac:dyDescent="0.25">
      <c r="A484" s="30">
        <f t="shared" si="69"/>
        <v>-2</v>
      </c>
      <c r="B484" s="94">
        <f>INT((ROWS(B$11:B484)-1)/20)+40+0.05*MOD(ROWS(B$11:B484)-1,20)</f>
        <v>63.65</v>
      </c>
      <c r="C484" s="58" t="str">
        <f t="shared" si="70"/>
        <v/>
      </c>
      <c r="D484" s="58" t="str">
        <f t="shared" si="64"/>
        <v/>
      </c>
      <c r="E484" s="30">
        <f t="shared" si="68"/>
        <v>1.8436257825562918E-2</v>
      </c>
      <c r="F484" s="30">
        <f t="shared" si="71"/>
        <v>1.8436257825562918E-2</v>
      </c>
      <c r="G484" s="30">
        <f t="shared" si="71"/>
        <v>1.8436257825562918E-2</v>
      </c>
      <c r="H484" s="30" t="str">
        <f t="shared" si="71"/>
        <v/>
      </c>
      <c r="I484" s="30" t="str">
        <f t="shared" si="65"/>
        <v/>
      </c>
    </row>
    <row r="485" spans="1:9" x14ac:dyDescent="0.25">
      <c r="A485" s="30">
        <f t="shared" si="69"/>
        <v>-2</v>
      </c>
      <c r="B485" s="94">
        <f>INT((ROWS(B$11:B485)-1)/20)+40+0.05*MOD(ROWS(B$11:B485)-1,20)</f>
        <v>63.7</v>
      </c>
      <c r="C485" s="58" t="str">
        <f t="shared" si="70"/>
        <v/>
      </c>
      <c r="D485" s="58" t="str">
        <f t="shared" si="64"/>
        <v/>
      </c>
      <c r="E485" s="30">
        <f t="shared" si="68"/>
        <v>1.8863142478322575E-2</v>
      </c>
      <c r="F485" s="30">
        <f t="shared" si="71"/>
        <v>1.8863142478322575E-2</v>
      </c>
      <c r="G485" s="30">
        <f t="shared" si="71"/>
        <v>1.8863142478322575E-2</v>
      </c>
      <c r="H485" s="30" t="str">
        <f t="shared" si="71"/>
        <v/>
      </c>
      <c r="I485" s="30" t="str">
        <f t="shared" si="65"/>
        <v/>
      </c>
    </row>
    <row r="486" spans="1:9" x14ac:dyDescent="0.25">
      <c r="A486" s="30">
        <f t="shared" si="69"/>
        <v>-2</v>
      </c>
      <c r="B486" s="94">
        <f>INT((ROWS(B$11:B486)-1)/20)+40+0.05*MOD(ROWS(B$11:B486)-1,20)</f>
        <v>63.75</v>
      </c>
      <c r="C486" s="58" t="str">
        <f t="shared" si="70"/>
        <v/>
      </c>
      <c r="D486" s="58" t="str">
        <f t="shared" si="64"/>
        <v/>
      </c>
      <c r="E486" s="30">
        <f t="shared" si="68"/>
        <v>1.9296896109927679E-2</v>
      </c>
      <c r="F486" s="30">
        <f t="shared" si="71"/>
        <v>1.9296896109927679E-2</v>
      </c>
      <c r="G486" s="30">
        <f t="shared" si="71"/>
        <v>1.9296896109927679E-2</v>
      </c>
      <c r="H486" s="30" t="str">
        <f t="shared" si="71"/>
        <v/>
      </c>
      <c r="I486" s="30" t="str">
        <f t="shared" si="65"/>
        <v/>
      </c>
    </row>
    <row r="487" spans="1:9" x14ac:dyDescent="0.25">
      <c r="A487" s="30">
        <f t="shared" si="69"/>
        <v>-2</v>
      </c>
      <c r="B487" s="94">
        <f>INT((ROWS(B$11:B487)-1)/20)+40+0.05*MOD(ROWS(B$11:B487)-1,20)</f>
        <v>63.8</v>
      </c>
      <c r="C487" s="58" t="str">
        <f t="shared" si="70"/>
        <v/>
      </c>
      <c r="D487" s="58" t="str">
        <f t="shared" si="64"/>
        <v/>
      </c>
      <c r="E487" s="30">
        <f t="shared" si="68"/>
        <v>1.9737539575223517E-2</v>
      </c>
      <c r="F487" s="30">
        <f t="shared" si="71"/>
        <v>1.9737539575223517E-2</v>
      </c>
      <c r="G487" s="30">
        <f t="shared" si="71"/>
        <v>1.9737539575223517E-2</v>
      </c>
      <c r="H487" s="30" t="str">
        <f t="shared" si="71"/>
        <v/>
      </c>
      <c r="I487" s="30" t="str">
        <f t="shared" si="65"/>
        <v/>
      </c>
    </row>
    <row r="488" spans="1:9" x14ac:dyDescent="0.25">
      <c r="A488" s="30">
        <f t="shared" si="69"/>
        <v>-2</v>
      </c>
      <c r="B488" s="94">
        <f>INT((ROWS(B$11:B488)-1)/20)+40+0.05*MOD(ROWS(B$11:B488)-1,20)</f>
        <v>63.85</v>
      </c>
      <c r="C488" s="58" t="str">
        <f t="shared" si="70"/>
        <v/>
      </c>
      <c r="D488" s="58" t="str">
        <f t="shared" si="64"/>
        <v/>
      </c>
      <c r="E488" s="30">
        <f t="shared" si="68"/>
        <v>2.0185090940748506E-2</v>
      </c>
      <c r="F488" s="30">
        <f t="shared" si="71"/>
        <v>2.0185090940748506E-2</v>
      </c>
      <c r="G488" s="30">
        <f t="shared" si="71"/>
        <v>2.0185090940748506E-2</v>
      </c>
      <c r="H488" s="30" t="str">
        <f t="shared" si="71"/>
        <v/>
      </c>
      <c r="I488" s="30" t="str">
        <f t="shared" si="65"/>
        <v/>
      </c>
    </row>
    <row r="489" spans="1:9" x14ac:dyDescent="0.25">
      <c r="A489" s="30">
        <f t="shared" si="69"/>
        <v>-2</v>
      </c>
      <c r="B489" s="94">
        <f>INT((ROWS(B$11:B489)-1)/20)+40+0.05*MOD(ROWS(B$11:B489)-1,20)</f>
        <v>63.9</v>
      </c>
      <c r="C489" s="58" t="str">
        <f t="shared" si="70"/>
        <v/>
      </c>
      <c r="D489" s="58" t="str">
        <f t="shared" si="64"/>
        <v/>
      </c>
      <c r="E489" s="30">
        <f t="shared" si="68"/>
        <v>2.0639565409647894E-2</v>
      </c>
      <c r="F489" s="30">
        <f t="shared" si="71"/>
        <v>2.0639565409647894E-2</v>
      </c>
      <c r="G489" s="30">
        <f t="shared" si="71"/>
        <v>2.0639565409647894E-2</v>
      </c>
      <c r="H489" s="30" t="str">
        <f t="shared" si="71"/>
        <v/>
      </c>
      <c r="I489" s="30" t="str">
        <f t="shared" si="65"/>
        <v/>
      </c>
    </row>
    <row r="490" spans="1:9" x14ac:dyDescent="0.25">
      <c r="A490" s="30">
        <f t="shared" si="69"/>
        <v>-2</v>
      </c>
      <c r="B490" s="94">
        <f>INT((ROWS(B$11:B490)-1)/20)+40+0.05*MOD(ROWS(B$11:B490)-1,20)</f>
        <v>63.95</v>
      </c>
      <c r="C490" s="58" t="str">
        <f t="shared" si="70"/>
        <v/>
      </c>
      <c r="D490" s="58" t="str">
        <f t="shared" si="64"/>
        <v/>
      </c>
      <c r="E490" s="30">
        <f t="shared" si="68"/>
        <v>2.1100975247141579E-2</v>
      </c>
      <c r="F490" s="30">
        <f t="shared" si="71"/>
        <v>2.1100975247141579E-2</v>
      </c>
      <c r="G490" s="30">
        <f t="shared" si="71"/>
        <v>2.1100975247141579E-2</v>
      </c>
      <c r="H490" s="30" t="str">
        <f t="shared" si="71"/>
        <v/>
      </c>
      <c r="I490" s="30" t="str">
        <f t="shared" si="65"/>
        <v/>
      </c>
    </row>
    <row r="491" spans="1:9" x14ac:dyDescent="0.25">
      <c r="A491" s="30">
        <f t="shared" si="69"/>
        <v>-1.75</v>
      </c>
      <c r="B491" s="94">
        <f>INT((ROWS(B$11:B491)-1)/20)+40+0.05*MOD(ROWS(B$11:B491)-1,20)</f>
        <v>64</v>
      </c>
      <c r="C491" s="58" t="str">
        <f t="shared" si="70"/>
        <v/>
      </c>
      <c r="D491" s="58" t="str">
        <f t="shared" si="64"/>
        <v/>
      </c>
      <c r="E491" s="30">
        <f t="shared" si="68"/>
        <v>2.1569329706627883E-2</v>
      </c>
      <c r="F491" s="30">
        <f t="shared" ref="F491:H510" si="72">IF(AND($B491&gt;=F$7,$B491&lt;=F$8),E491,"")</f>
        <v>2.1569329706627883E-2</v>
      </c>
      <c r="G491" s="30">
        <f t="shared" si="72"/>
        <v>2.1569329706627883E-2</v>
      </c>
      <c r="H491" s="30" t="str">
        <f t="shared" si="72"/>
        <v/>
      </c>
      <c r="I491" s="30" t="str">
        <f t="shared" si="65"/>
        <v/>
      </c>
    </row>
    <row r="492" spans="1:9" x14ac:dyDescent="0.25">
      <c r="A492" s="30">
        <f t="shared" si="69"/>
        <v>-1.75</v>
      </c>
      <c r="B492" s="94">
        <f>INT((ROWS(B$11:B492)-1)/20)+40+0.05*MOD(ROWS(B$11:B492)-1,20)</f>
        <v>64.05</v>
      </c>
      <c r="C492" s="58" t="str">
        <f t="shared" si="70"/>
        <v/>
      </c>
      <c r="D492" s="58" t="str">
        <f t="shared" si="64"/>
        <v/>
      </c>
      <c r="E492" s="30">
        <f t="shared" si="68"/>
        <v>2.2044634956509337E-2</v>
      </c>
      <c r="F492" s="30">
        <f t="shared" si="72"/>
        <v>2.2044634956509337E-2</v>
      </c>
      <c r="G492" s="30">
        <f t="shared" si="72"/>
        <v>2.2044634956509337E-2</v>
      </c>
      <c r="H492" s="30" t="str">
        <f t="shared" si="72"/>
        <v/>
      </c>
      <c r="I492" s="30" t="str">
        <f t="shared" si="65"/>
        <v/>
      </c>
    </row>
    <row r="493" spans="1:9" x14ac:dyDescent="0.25">
      <c r="A493" s="30">
        <f t="shared" si="69"/>
        <v>-1.75</v>
      </c>
      <c r="B493" s="94">
        <f>INT((ROWS(B$11:B493)-1)/20)+40+0.05*MOD(ROWS(B$11:B493)-1,20)</f>
        <v>64.099999999999994</v>
      </c>
      <c r="C493" s="58" t="str">
        <f t="shared" si="70"/>
        <v/>
      </c>
      <c r="D493" s="58" t="str">
        <f t="shared" ref="D493:D556" si="73">IF(ISNUMBER(MATCH(B493,$K$2:$K$8,0)),TEXT(B493,"0\""")&amp;CHAR(10)&amp;TEXT((B493-$F$1)/$F$2," 0 z"),"")</f>
        <v/>
      </c>
      <c r="E493" s="30">
        <f t="shared" si="68"/>
        <v>2.2526894007824472E-2</v>
      </c>
      <c r="F493" s="30">
        <f t="shared" si="72"/>
        <v>2.2526894007824472E-2</v>
      </c>
      <c r="G493" s="30">
        <f t="shared" si="72"/>
        <v>2.2526894007824472E-2</v>
      </c>
      <c r="H493" s="30" t="str">
        <f t="shared" si="72"/>
        <v/>
      </c>
      <c r="I493" s="30" t="str">
        <f t="shared" si="65"/>
        <v/>
      </c>
    </row>
    <row r="494" spans="1:9" x14ac:dyDescent="0.25">
      <c r="A494" s="30">
        <f t="shared" si="69"/>
        <v>-1.75</v>
      </c>
      <c r="B494" s="94">
        <f>INT((ROWS(B$11:B494)-1)/20)+40+0.05*MOD(ROWS(B$11:B494)-1,20)</f>
        <v>64.150000000000006</v>
      </c>
      <c r="C494" s="58" t="str">
        <f t="shared" si="70"/>
        <v/>
      </c>
      <c r="D494" s="58" t="str">
        <f t="shared" si="73"/>
        <v/>
      </c>
      <c r="E494" s="30">
        <f t="shared" si="68"/>
        <v>2.3016106642773169E-2</v>
      </c>
      <c r="F494" s="30">
        <f t="shared" si="72"/>
        <v>2.3016106642773169E-2</v>
      </c>
      <c r="G494" s="30">
        <f t="shared" si="72"/>
        <v>2.3016106642773169E-2</v>
      </c>
      <c r="H494" s="30" t="str">
        <f t="shared" si="72"/>
        <v/>
      </c>
      <c r="I494" s="30" t="str">
        <f t="shared" ref="I494:I557" si="74">IF(AND(B494&gt;=$F$1-0.05,B494&lt;=$F$1+0.05),E494,"")</f>
        <v/>
      </c>
    </row>
    <row r="495" spans="1:9" x14ac:dyDescent="0.25">
      <c r="A495" s="30">
        <f t="shared" si="69"/>
        <v>-1.75</v>
      </c>
      <c r="B495" s="94">
        <f>INT((ROWS(B$11:B495)-1)/20)+40+0.05*MOD(ROWS(B$11:B495)-1,20)</f>
        <v>64.2</v>
      </c>
      <c r="C495" s="58" t="str">
        <f t="shared" si="70"/>
        <v/>
      </c>
      <c r="D495" s="58" t="str">
        <f t="shared" si="73"/>
        <v/>
      </c>
      <c r="E495" s="30">
        <f t="shared" si="68"/>
        <v>2.3512269344221761E-2</v>
      </c>
      <c r="F495" s="30">
        <f t="shared" si="72"/>
        <v>2.3512269344221761E-2</v>
      </c>
      <c r="G495" s="30">
        <f t="shared" si="72"/>
        <v>2.3512269344221761E-2</v>
      </c>
      <c r="H495" s="30" t="str">
        <f t="shared" si="72"/>
        <v/>
      </c>
      <c r="I495" s="30" t="str">
        <f t="shared" si="74"/>
        <v/>
      </c>
    </row>
    <row r="496" spans="1:9" x14ac:dyDescent="0.25">
      <c r="A496" s="30">
        <f t="shared" si="69"/>
        <v>-1.75</v>
      </c>
      <c r="B496" s="94">
        <f>INT((ROWS(B$11:B496)-1)/20)+40+0.05*MOD(ROWS(B$11:B496)-1,20)</f>
        <v>64.25</v>
      </c>
      <c r="C496" s="58" t="str">
        <f t="shared" si="70"/>
        <v/>
      </c>
      <c r="D496" s="58" t="str">
        <f t="shared" si="73"/>
        <v/>
      </c>
      <c r="E496" s="30">
        <f t="shared" si="68"/>
        <v>2.4015375226278338E-2</v>
      </c>
      <c r="F496" s="30">
        <f t="shared" si="72"/>
        <v>2.4015375226278338E-2</v>
      </c>
      <c r="G496" s="30">
        <f t="shared" si="72"/>
        <v>2.4015375226278338E-2</v>
      </c>
      <c r="H496" s="30" t="str">
        <f t="shared" si="72"/>
        <v/>
      </c>
      <c r="I496" s="30" t="str">
        <f t="shared" si="74"/>
        <v/>
      </c>
    </row>
    <row r="497" spans="1:9" x14ac:dyDescent="0.25">
      <c r="A497" s="30">
        <f t="shared" si="69"/>
        <v>-1.75</v>
      </c>
      <c r="B497" s="94">
        <f>INT((ROWS(B$11:B497)-1)/20)+40+0.05*MOD(ROWS(B$11:B497)-1,20)</f>
        <v>64.3</v>
      </c>
      <c r="C497" s="58" t="str">
        <f t="shared" si="70"/>
        <v/>
      </c>
      <c r="D497" s="58" t="str">
        <f t="shared" si="73"/>
        <v/>
      </c>
      <c r="E497" s="30">
        <f t="shared" si="68"/>
        <v>2.4525413966024426E-2</v>
      </c>
      <c r="F497" s="30">
        <f t="shared" si="72"/>
        <v>2.4525413966024426E-2</v>
      </c>
      <c r="G497" s="30">
        <f t="shared" si="72"/>
        <v>2.4525413966024426E-2</v>
      </c>
      <c r="H497" s="30" t="str">
        <f t="shared" si="72"/>
        <v/>
      </c>
      <c r="I497" s="30" t="str">
        <f t="shared" si="74"/>
        <v/>
      </c>
    </row>
    <row r="498" spans="1:9" x14ac:dyDescent="0.25">
      <c r="A498" s="30">
        <f t="shared" si="69"/>
        <v>-1.75</v>
      </c>
      <c r="B498" s="94">
        <f>INT((ROWS(B$11:B498)-1)/20)+40+0.05*MOD(ROWS(B$11:B498)-1,20)</f>
        <v>64.349999999999994</v>
      </c>
      <c r="C498" s="58" t="str">
        <f t="shared" si="70"/>
        <v/>
      </c>
      <c r="D498" s="58" t="str">
        <f t="shared" si="73"/>
        <v/>
      </c>
      <c r="E498" s="30">
        <f t="shared" si="68"/>
        <v>2.5042371736494741E-2</v>
      </c>
      <c r="F498" s="30">
        <f t="shared" si="72"/>
        <v>2.5042371736494741E-2</v>
      </c>
      <c r="G498" s="30">
        <f t="shared" si="72"/>
        <v>2.5042371736494741E-2</v>
      </c>
      <c r="H498" s="30" t="str">
        <f t="shared" si="72"/>
        <v/>
      </c>
      <c r="I498" s="30" t="str">
        <f t="shared" si="74"/>
        <v/>
      </c>
    </row>
    <row r="499" spans="1:9" x14ac:dyDescent="0.25">
      <c r="A499" s="30">
        <f t="shared" si="69"/>
        <v>-1.75</v>
      </c>
      <c r="B499" s="94">
        <f>INT((ROWS(B$11:B499)-1)/20)+40+0.05*MOD(ROWS(B$11:B499)-1,20)</f>
        <v>64.400000000000006</v>
      </c>
      <c r="C499" s="58" t="str">
        <f t="shared" si="70"/>
        <v/>
      </c>
      <c r="D499" s="58" t="str">
        <f t="shared" si="73"/>
        <v/>
      </c>
      <c r="E499" s="30">
        <f t="shared" si="68"/>
        <v>2.5566231140994562E-2</v>
      </c>
      <c r="F499" s="30">
        <f t="shared" si="72"/>
        <v>2.5566231140994562E-2</v>
      </c>
      <c r="G499" s="30">
        <f t="shared" si="72"/>
        <v>2.5566231140994562E-2</v>
      </c>
      <c r="H499" s="30" t="str">
        <f t="shared" si="72"/>
        <v/>
      </c>
      <c r="I499" s="30" t="str">
        <f t="shared" si="74"/>
        <v/>
      </c>
    </row>
    <row r="500" spans="1:9" x14ac:dyDescent="0.25">
      <c r="A500" s="30">
        <f t="shared" si="69"/>
        <v>-1.75</v>
      </c>
      <c r="B500" s="94">
        <f>INT((ROWS(B$11:B500)-1)/20)+40+0.05*MOD(ROWS(B$11:B500)-1,20)</f>
        <v>64.45</v>
      </c>
      <c r="C500" s="58" t="str">
        <f t="shared" si="70"/>
        <v/>
      </c>
      <c r="D500" s="58" t="str">
        <f t="shared" si="73"/>
        <v/>
      </c>
      <c r="E500" s="30">
        <f t="shared" si="68"/>
        <v>2.6096971148844562E-2</v>
      </c>
      <c r="F500" s="30">
        <f t="shared" si="72"/>
        <v>2.6096971148844562E-2</v>
      </c>
      <c r="G500" s="30">
        <f t="shared" si="72"/>
        <v>2.6096971148844562E-2</v>
      </c>
      <c r="H500" s="30" t="str">
        <f t="shared" si="72"/>
        <v/>
      </c>
      <c r="I500" s="30" t="str">
        <f t="shared" si="74"/>
        <v/>
      </c>
    </row>
    <row r="501" spans="1:9" x14ac:dyDescent="0.25">
      <c r="A501" s="30">
        <f t="shared" si="69"/>
        <v>-1.75</v>
      </c>
      <c r="B501" s="94">
        <f>INT((ROWS(B$11:B501)-1)/20)+40+0.05*MOD(ROWS(B$11:B501)-1,20)</f>
        <v>64.5</v>
      </c>
      <c r="C501" s="58" t="str">
        <f t="shared" si="70"/>
        <v/>
      </c>
      <c r="D501" s="58" t="str">
        <f t="shared" si="73"/>
        <v/>
      </c>
      <c r="E501" s="30">
        <f t="shared" si="68"/>
        <v>2.6634567032646269E-2</v>
      </c>
      <c r="F501" s="30">
        <f t="shared" si="72"/>
        <v>2.6634567032646269E-2</v>
      </c>
      <c r="G501" s="30">
        <f t="shared" si="72"/>
        <v>2.6634567032646269E-2</v>
      </c>
      <c r="H501" s="30" t="str">
        <f t="shared" si="72"/>
        <v/>
      </c>
      <c r="I501" s="30" t="str">
        <f t="shared" si="74"/>
        <v/>
      </c>
    </row>
    <row r="502" spans="1:9" x14ac:dyDescent="0.25">
      <c r="A502" s="30">
        <f t="shared" si="69"/>
        <v>-1.75</v>
      </c>
      <c r="B502" s="94">
        <f>INT((ROWS(B$11:B502)-1)/20)+40+0.05*MOD(ROWS(B$11:B502)-1,20)</f>
        <v>64.55</v>
      </c>
      <c r="C502" s="58" t="str">
        <f t="shared" si="70"/>
        <v/>
      </c>
      <c r="D502" s="58" t="str">
        <f t="shared" si="73"/>
        <v/>
      </c>
      <c r="E502" s="30">
        <f t="shared" si="68"/>
        <v>2.7178990307156439E-2</v>
      </c>
      <c r="F502" s="30">
        <f t="shared" si="72"/>
        <v>2.7178990307156439E-2</v>
      </c>
      <c r="G502" s="30">
        <f t="shared" si="72"/>
        <v>2.7178990307156439E-2</v>
      </c>
      <c r="H502" s="30" t="str">
        <f t="shared" si="72"/>
        <v/>
      </c>
      <c r="I502" s="30" t="str">
        <f t="shared" si="74"/>
        <v/>
      </c>
    </row>
    <row r="503" spans="1:9" x14ac:dyDescent="0.25">
      <c r="A503" s="30">
        <f t="shared" si="69"/>
        <v>-1.75</v>
      </c>
      <c r="B503" s="94">
        <f>INT((ROWS(B$11:B503)-1)/20)+40+0.05*MOD(ROWS(B$11:B503)-1,20)</f>
        <v>64.599999999999994</v>
      </c>
      <c r="C503" s="58" t="str">
        <f t="shared" si="70"/>
        <v/>
      </c>
      <c r="D503" s="58" t="str">
        <f t="shared" si="73"/>
        <v/>
      </c>
      <c r="E503" s="30">
        <f t="shared" si="68"/>
        <v>2.773020866986383E-2</v>
      </c>
      <c r="F503" s="30">
        <f t="shared" si="72"/>
        <v>2.773020866986383E-2</v>
      </c>
      <c r="G503" s="30">
        <f t="shared" si="72"/>
        <v>2.773020866986383E-2</v>
      </c>
      <c r="H503" s="30" t="str">
        <f t="shared" si="72"/>
        <v/>
      </c>
      <c r="I503" s="30" t="str">
        <f t="shared" si="74"/>
        <v/>
      </c>
    </row>
    <row r="504" spans="1:9" x14ac:dyDescent="0.25">
      <c r="A504" s="30">
        <f t="shared" si="69"/>
        <v>-1.75</v>
      </c>
      <c r="B504" s="94">
        <f>INT((ROWS(B$11:B504)-1)/20)+40+0.05*MOD(ROWS(B$11:B504)-1,20)</f>
        <v>64.650000000000006</v>
      </c>
      <c r="C504" s="58" t="str">
        <f t="shared" si="70"/>
        <v/>
      </c>
      <c r="D504" s="58" t="str">
        <f t="shared" si="73"/>
        <v/>
      </c>
      <c r="E504" s="30">
        <f t="shared" si="68"/>
        <v>2.8288185943359006E-2</v>
      </c>
      <c r="F504" s="30">
        <f t="shared" si="72"/>
        <v>2.8288185943359006E-2</v>
      </c>
      <c r="G504" s="30">
        <f t="shared" si="72"/>
        <v>2.8288185943359006E-2</v>
      </c>
      <c r="H504" s="30" t="str">
        <f t="shared" si="72"/>
        <v/>
      </c>
      <c r="I504" s="30" t="str">
        <f t="shared" si="74"/>
        <v/>
      </c>
    </row>
    <row r="505" spans="1:9" x14ac:dyDescent="0.25">
      <c r="A505" s="30">
        <f t="shared" si="69"/>
        <v>-1.75</v>
      </c>
      <c r="B505" s="94">
        <f>INT((ROWS(B$11:B505)-1)/20)+40+0.05*MOD(ROWS(B$11:B505)-1,20)</f>
        <v>64.7</v>
      </c>
      <c r="C505" s="58" t="str">
        <f t="shared" si="70"/>
        <v/>
      </c>
      <c r="D505" s="58" t="str">
        <f t="shared" si="73"/>
        <v/>
      </c>
      <c r="E505" s="30">
        <f t="shared" si="68"/>
        <v>2.8852882019587529E-2</v>
      </c>
      <c r="F505" s="30">
        <f t="shared" si="72"/>
        <v>2.8852882019587529E-2</v>
      </c>
      <c r="G505" s="30">
        <f t="shared" si="72"/>
        <v>2.8852882019587529E-2</v>
      </c>
      <c r="H505" s="30" t="str">
        <f t="shared" si="72"/>
        <v/>
      </c>
      <c r="I505" s="30" t="str">
        <f t="shared" si="74"/>
        <v/>
      </c>
    </row>
    <row r="506" spans="1:9" x14ac:dyDescent="0.25">
      <c r="A506" s="30">
        <f t="shared" si="69"/>
        <v>-1.75</v>
      </c>
      <c r="B506" s="94">
        <f>INT((ROWS(B$11:B506)-1)/20)+40+0.05*MOD(ROWS(B$11:B506)-1,20)</f>
        <v>64.75</v>
      </c>
      <c r="C506" s="58" t="str">
        <f t="shared" si="70"/>
        <v/>
      </c>
      <c r="D506" s="58" t="str">
        <f t="shared" si="73"/>
        <v/>
      </c>
      <c r="E506" s="30">
        <f t="shared" si="68"/>
        <v>2.9424252806080013E-2</v>
      </c>
      <c r="F506" s="30">
        <f t="shared" si="72"/>
        <v>2.9424252806080013E-2</v>
      </c>
      <c r="G506" s="30">
        <f t="shared" si="72"/>
        <v>2.9424252806080013E-2</v>
      </c>
      <c r="H506" s="30" t="str">
        <f t="shared" si="72"/>
        <v/>
      </c>
      <c r="I506" s="30" t="str">
        <f t="shared" si="74"/>
        <v/>
      </c>
    </row>
    <row r="507" spans="1:9" x14ac:dyDescent="0.25">
      <c r="A507" s="30">
        <f t="shared" si="69"/>
        <v>-1.75</v>
      </c>
      <c r="B507" s="94">
        <f>INT((ROWS(B$11:B507)-1)/20)+40+0.05*MOD(ROWS(B$11:B507)-1,20)</f>
        <v>64.8</v>
      </c>
      <c r="C507" s="58" t="str">
        <f t="shared" si="70"/>
        <v/>
      </c>
      <c r="D507" s="58" t="str">
        <f t="shared" si="73"/>
        <v/>
      </c>
      <c r="E507" s="30">
        <f t="shared" si="68"/>
        <v>3.0002250174246368E-2</v>
      </c>
      <c r="F507" s="30">
        <f t="shared" si="72"/>
        <v>3.0002250174246368E-2</v>
      </c>
      <c r="G507" s="30">
        <f t="shared" si="72"/>
        <v>3.0002250174246368E-2</v>
      </c>
      <c r="H507" s="30" t="str">
        <f t="shared" si="72"/>
        <v/>
      </c>
      <c r="I507" s="30" t="str">
        <f t="shared" si="74"/>
        <v/>
      </c>
    </row>
    <row r="508" spans="1:9" x14ac:dyDescent="0.25">
      <c r="A508" s="30">
        <f t="shared" si="69"/>
        <v>-1.75</v>
      </c>
      <c r="B508" s="94">
        <f>INT((ROWS(B$11:B508)-1)/20)+40+0.05*MOD(ROWS(B$11:B508)-1,20)</f>
        <v>64.849999999999994</v>
      </c>
      <c r="C508" s="58" t="str">
        <f t="shared" si="70"/>
        <v/>
      </c>
      <c r="D508" s="58" t="str">
        <f t="shared" si="73"/>
        <v/>
      </c>
      <c r="E508" s="30">
        <f t="shared" si="68"/>
        <v>3.058682190982696E-2</v>
      </c>
      <c r="F508" s="30">
        <f t="shared" si="72"/>
        <v>3.058682190982696E-2</v>
      </c>
      <c r="G508" s="30">
        <f t="shared" si="72"/>
        <v>3.058682190982696E-2</v>
      </c>
      <c r="H508" s="30" t="str">
        <f t="shared" si="72"/>
        <v/>
      </c>
      <c r="I508" s="30" t="str">
        <f t="shared" si="74"/>
        <v/>
      </c>
    </row>
    <row r="509" spans="1:9" x14ac:dyDescent="0.25">
      <c r="A509" s="30">
        <f t="shared" si="69"/>
        <v>-1.75</v>
      </c>
      <c r="B509" s="94">
        <f>INT((ROWS(B$11:B509)-1)/20)+40+0.05*MOD(ROWS(B$11:B509)-1,20)</f>
        <v>64.900000000000006</v>
      </c>
      <c r="C509" s="58" t="str">
        <f t="shared" si="70"/>
        <v/>
      </c>
      <c r="D509" s="58" t="str">
        <f t="shared" si="73"/>
        <v/>
      </c>
      <c r="E509" s="30">
        <f t="shared" si="68"/>
        <v>3.1177911665589367E-2</v>
      </c>
      <c r="F509" s="30">
        <f t="shared" si="72"/>
        <v>3.1177911665589367E-2</v>
      </c>
      <c r="G509" s="30">
        <f t="shared" si="72"/>
        <v>3.1177911665589367E-2</v>
      </c>
      <c r="H509" s="30" t="str">
        <f t="shared" si="72"/>
        <v/>
      </c>
      <c r="I509" s="30" t="str">
        <f t="shared" si="74"/>
        <v/>
      </c>
    </row>
    <row r="510" spans="1:9" x14ac:dyDescent="0.25">
      <c r="A510" s="30">
        <f t="shared" si="69"/>
        <v>-1.75</v>
      </c>
      <c r="B510" s="94">
        <f>INT((ROWS(B$11:B510)-1)/20)+40+0.05*MOD(ROWS(B$11:B510)-1,20)</f>
        <v>64.95</v>
      </c>
      <c r="C510" s="58" t="str">
        <f t="shared" si="70"/>
        <v/>
      </c>
      <c r="D510" s="58" t="str">
        <f t="shared" si="73"/>
        <v/>
      </c>
      <c r="E510" s="30">
        <f t="shared" si="68"/>
        <v>3.1775458916358829E-2</v>
      </c>
      <c r="F510" s="30">
        <f t="shared" si="72"/>
        <v>3.1775458916358829E-2</v>
      </c>
      <c r="G510" s="30">
        <f t="shared" si="72"/>
        <v>3.1775458916358829E-2</v>
      </c>
      <c r="H510" s="30" t="str">
        <f t="shared" si="72"/>
        <v/>
      </c>
      <c r="I510" s="30" t="str">
        <f t="shared" si="74"/>
        <v/>
      </c>
    </row>
    <row r="511" spans="1:9" x14ac:dyDescent="0.25">
      <c r="A511" s="30">
        <f t="shared" si="69"/>
        <v>-1.5</v>
      </c>
      <c r="B511" s="94">
        <f>INT((ROWS(B$11:B511)-1)/20)+40+0.05*MOD(ROWS(B$11:B511)-1,20)</f>
        <v>65</v>
      </c>
      <c r="C511" s="58" t="str">
        <f t="shared" si="70"/>
        <v/>
      </c>
      <c r="D511" s="58" t="str">
        <f t="shared" si="73"/>
        <v/>
      </c>
      <c r="E511" s="30">
        <f t="shared" si="68"/>
        <v>3.2379398916472936E-2</v>
      </c>
      <c r="F511" s="30">
        <f t="shared" ref="F511:H530" si="75">IF(AND($B511&gt;=F$7,$B511&lt;=F$8),E511,"")</f>
        <v>3.2379398916472936E-2</v>
      </c>
      <c r="G511" s="30">
        <f t="shared" si="75"/>
        <v>3.2379398916472936E-2</v>
      </c>
      <c r="H511" s="30" t="str">
        <f t="shared" si="75"/>
        <v/>
      </c>
      <c r="I511" s="30" t="str">
        <f t="shared" si="74"/>
        <v/>
      </c>
    </row>
    <row r="512" spans="1:9" x14ac:dyDescent="0.25">
      <c r="A512" s="30">
        <f t="shared" si="69"/>
        <v>-1.5</v>
      </c>
      <c r="B512" s="94">
        <f>INT((ROWS(B$11:B512)-1)/20)+40+0.05*MOD(ROWS(B$11:B512)-1,20)</f>
        <v>65.05</v>
      </c>
      <c r="C512" s="58" t="str">
        <f t="shared" si="70"/>
        <v/>
      </c>
      <c r="D512" s="58" t="str">
        <f t="shared" si="73"/>
        <v/>
      </c>
      <c r="E512" s="30">
        <f t="shared" si="68"/>
        <v>3.2989662659744311E-2</v>
      </c>
      <c r="F512" s="30">
        <f t="shared" si="75"/>
        <v>3.2989662659744311E-2</v>
      </c>
      <c r="G512" s="30">
        <f t="shared" si="75"/>
        <v>3.2989662659744311E-2</v>
      </c>
      <c r="H512" s="30" t="str">
        <f t="shared" si="75"/>
        <v/>
      </c>
      <c r="I512" s="30" t="str">
        <f t="shared" si="74"/>
        <v/>
      </c>
    </row>
    <row r="513" spans="1:9" x14ac:dyDescent="0.25">
      <c r="A513" s="30">
        <f t="shared" si="69"/>
        <v>-1.5</v>
      </c>
      <c r="B513" s="94">
        <f>INT((ROWS(B$11:B513)-1)/20)+40+0.05*MOD(ROWS(B$11:B513)-1,20)</f>
        <v>65.099999999999994</v>
      </c>
      <c r="C513" s="58" t="str">
        <f t="shared" si="70"/>
        <v/>
      </c>
      <c r="D513" s="58" t="str">
        <f t="shared" si="73"/>
        <v/>
      </c>
      <c r="E513" s="30">
        <f t="shared" si="68"/>
        <v>3.3606176842019699E-2</v>
      </c>
      <c r="F513" s="30">
        <f t="shared" si="75"/>
        <v>3.3606176842019699E-2</v>
      </c>
      <c r="G513" s="30">
        <f t="shared" si="75"/>
        <v>3.3606176842019699E-2</v>
      </c>
      <c r="H513" s="30" t="str">
        <f t="shared" si="75"/>
        <v/>
      </c>
      <c r="I513" s="30" t="str">
        <f t="shared" si="74"/>
        <v/>
      </c>
    </row>
    <row r="514" spans="1:9" x14ac:dyDescent="0.25">
      <c r="A514" s="30">
        <f t="shared" si="69"/>
        <v>-1.5</v>
      </c>
      <c r="B514" s="94">
        <f>INT((ROWS(B$11:B514)-1)/20)+40+0.05*MOD(ROWS(B$11:B514)-1,20)</f>
        <v>65.150000000000006</v>
      </c>
      <c r="C514" s="58" t="str">
        <f t="shared" si="70"/>
        <v/>
      </c>
      <c r="D514" s="58" t="str">
        <f t="shared" si="73"/>
        <v/>
      </c>
      <c r="E514" s="30">
        <f t="shared" si="68"/>
        <v>3.4228863826419487E-2</v>
      </c>
      <c r="F514" s="30">
        <f t="shared" si="75"/>
        <v>3.4228863826419487E-2</v>
      </c>
      <c r="G514" s="30">
        <f t="shared" si="75"/>
        <v>3.4228863826419487E-2</v>
      </c>
      <c r="H514" s="30" t="str">
        <f t="shared" si="75"/>
        <v/>
      </c>
      <c r="I514" s="30" t="str">
        <f t="shared" si="74"/>
        <v/>
      </c>
    </row>
    <row r="515" spans="1:9" x14ac:dyDescent="0.25">
      <c r="A515" s="30">
        <f t="shared" si="69"/>
        <v>-1.5</v>
      </c>
      <c r="B515" s="94">
        <f>INT((ROWS(B$11:B515)-1)/20)+40+0.05*MOD(ROWS(B$11:B515)-1,20)</f>
        <v>65.2</v>
      </c>
      <c r="C515" s="58" t="str">
        <f t="shared" si="70"/>
        <v/>
      </c>
      <c r="D515" s="58" t="str">
        <f t="shared" si="73"/>
        <v/>
      </c>
      <c r="E515" s="30">
        <f t="shared" si="68"/>
        <v>3.4857641611340105E-2</v>
      </c>
      <c r="F515" s="30">
        <f t="shared" si="75"/>
        <v>3.4857641611340105E-2</v>
      </c>
      <c r="G515" s="30">
        <f t="shared" si="75"/>
        <v>3.4857641611340105E-2</v>
      </c>
      <c r="H515" s="30" t="str">
        <f t="shared" si="75"/>
        <v/>
      </c>
      <c r="I515" s="30" t="str">
        <f t="shared" si="74"/>
        <v/>
      </c>
    </row>
    <row r="516" spans="1:9" x14ac:dyDescent="0.25">
      <c r="A516" s="30">
        <f t="shared" si="69"/>
        <v>-1.5</v>
      </c>
      <c r="B516" s="94">
        <f>INT((ROWS(B$11:B516)-1)/20)+40+0.05*MOD(ROWS(B$11:B516)-1,20)</f>
        <v>65.25</v>
      </c>
      <c r="C516" s="58" t="str">
        <f t="shared" si="70"/>
        <v/>
      </c>
      <c r="D516" s="58" t="str">
        <f t="shared" si="73"/>
        <v/>
      </c>
      <c r="E516" s="30">
        <f t="shared" si="68"/>
        <v>3.5492423801303886E-2</v>
      </c>
      <c r="F516" s="30">
        <f t="shared" si="75"/>
        <v>3.5492423801303886E-2</v>
      </c>
      <c r="G516" s="30">
        <f t="shared" si="75"/>
        <v>3.5492423801303886E-2</v>
      </c>
      <c r="H516" s="30" t="str">
        <f t="shared" si="75"/>
        <v/>
      </c>
      <c r="I516" s="30" t="str">
        <f t="shared" si="74"/>
        <v/>
      </c>
    </row>
    <row r="517" spans="1:9" x14ac:dyDescent="0.25">
      <c r="A517" s="30">
        <f t="shared" si="69"/>
        <v>-1.5</v>
      </c>
      <c r="B517" s="94">
        <f>INT((ROWS(B$11:B517)-1)/20)+40+0.05*MOD(ROWS(B$11:B517)-1,20)</f>
        <v>65.3</v>
      </c>
      <c r="C517" s="58" t="str">
        <f t="shared" si="70"/>
        <v/>
      </c>
      <c r="D517" s="58" t="str">
        <f t="shared" si="73"/>
        <v/>
      </c>
      <c r="E517" s="30">
        <f t="shared" si="68"/>
        <v>3.6133119580733189E-2</v>
      </c>
      <c r="F517" s="30">
        <f t="shared" si="75"/>
        <v>3.6133119580733189E-2</v>
      </c>
      <c r="G517" s="30">
        <f t="shared" si="75"/>
        <v>3.6133119580733189E-2</v>
      </c>
      <c r="H517" s="30" t="str">
        <f t="shared" si="75"/>
        <v/>
      </c>
      <c r="I517" s="30" t="str">
        <f t="shared" si="74"/>
        <v/>
      </c>
    </row>
    <row r="518" spans="1:9" x14ac:dyDescent="0.25">
      <c r="A518" s="30">
        <f t="shared" si="69"/>
        <v>-1.5</v>
      </c>
      <c r="B518" s="94">
        <f>INT((ROWS(B$11:B518)-1)/20)+40+0.05*MOD(ROWS(B$11:B518)-1,20)</f>
        <v>65.349999999999994</v>
      </c>
      <c r="C518" s="58" t="str">
        <f t="shared" si="70"/>
        <v/>
      </c>
      <c r="D518" s="58" t="str">
        <f t="shared" si="73"/>
        <v/>
      </c>
      <c r="E518" s="30">
        <f t="shared" si="68"/>
        <v>3.677963369072991E-2</v>
      </c>
      <c r="F518" s="30">
        <f t="shared" si="75"/>
        <v>3.677963369072991E-2</v>
      </c>
      <c r="G518" s="30">
        <f t="shared" si="75"/>
        <v>3.677963369072991E-2</v>
      </c>
      <c r="H518" s="30" t="str">
        <f t="shared" si="75"/>
        <v/>
      </c>
      <c r="I518" s="30" t="str">
        <f t="shared" si="74"/>
        <v/>
      </c>
    </row>
    <row r="519" spans="1:9" x14ac:dyDescent="0.25">
      <c r="A519" s="30">
        <f t="shared" si="69"/>
        <v>-1.5</v>
      </c>
      <c r="B519" s="94">
        <f>INT((ROWS(B$11:B519)-1)/20)+40+0.05*MOD(ROWS(B$11:B519)-1,20)</f>
        <v>65.400000000000006</v>
      </c>
      <c r="C519" s="58" t="str">
        <f t="shared" si="70"/>
        <v/>
      </c>
      <c r="D519" s="58" t="str">
        <f t="shared" si="73"/>
        <v/>
      </c>
      <c r="E519" s="30">
        <f t="shared" si="68"/>
        <v>3.7431866408936289E-2</v>
      </c>
      <c r="F519" s="30">
        <f t="shared" si="75"/>
        <v>3.7431866408936289E-2</v>
      </c>
      <c r="G519" s="30">
        <f t="shared" si="75"/>
        <v>3.7431866408936289E-2</v>
      </c>
      <c r="H519" s="30" t="str">
        <f t="shared" si="75"/>
        <v/>
      </c>
      <c r="I519" s="30" t="str">
        <f t="shared" si="74"/>
        <v/>
      </c>
    </row>
    <row r="520" spans="1:9" x14ac:dyDescent="0.25">
      <c r="A520" s="30">
        <f t="shared" si="69"/>
        <v>-1.5</v>
      </c>
      <c r="B520" s="94">
        <f>INT((ROWS(B$11:B520)-1)/20)+40+0.05*MOD(ROWS(B$11:B520)-1,20)</f>
        <v>65.45</v>
      </c>
      <c r="C520" s="58" t="str">
        <f t="shared" si="70"/>
        <v/>
      </c>
      <c r="D520" s="58" t="str">
        <f t="shared" si="73"/>
        <v/>
      </c>
      <c r="E520" s="30">
        <f t="shared" si="68"/>
        <v>3.8089713532550633E-2</v>
      </c>
      <c r="F520" s="30">
        <f t="shared" si="75"/>
        <v>3.8089713532550633E-2</v>
      </c>
      <c r="G520" s="30">
        <f t="shared" si="75"/>
        <v>3.8089713532550633E-2</v>
      </c>
      <c r="H520" s="30" t="str">
        <f t="shared" si="75"/>
        <v/>
      </c>
      <c r="I520" s="30" t="str">
        <f t="shared" si="74"/>
        <v/>
      </c>
    </row>
    <row r="521" spans="1:9" x14ac:dyDescent="0.25">
      <c r="A521" s="30">
        <f t="shared" si="69"/>
        <v>-1.5</v>
      </c>
      <c r="B521" s="94">
        <f>INT((ROWS(B$11:B521)-1)/20)+40+0.05*MOD(ROWS(B$11:B521)-1,20)</f>
        <v>65.5</v>
      </c>
      <c r="C521" s="58" t="str">
        <f t="shared" si="70"/>
        <v/>
      </c>
      <c r="D521" s="58" t="str">
        <f t="shared" si="73"/>
        <v/>
      </c>
      <c r="E521" s="30">
        <f t="shared" si="68"/>
        <v>3.8753066364573305E-2</v>
      </c>
      <c r="F521" s="30">
        <f t="shared" si="75"/>
        <v>3.8753066364573305E-2</v>
      </c>
      <c r="G521" s="30">
        <f t="shared" si="75"/>
        <v>3.8753066364573305E-2</v>
      </c>
      <c r="H521" s="30" t="str">
        <f t="shared" si="75"/>
        <v/>
      </c>
      <c r="I521" s="30" t="str">
        <f t="shared" si="74"/>
        <v/>
      </c>
    </row>
    <row r="522" spans="1:9" x14ac:dyDescent="0.25">
      <c r="A522" s="30">
        <f t="shared" si="69"/>
        <v>-1.5</v>
      </c>
      <c r="B522" s="94">
        <f>INT((ROWS(B$11:B522)-1)/20)+40+0.05*MOD(ROWS(B$11:B522)-1,20)</f>
        <v>65.55</v>
      </c>
      <c r="C522" s="58" t="str">
        <f t="shared" si="70"/>
        <v/>
      </c>
      <c r="D522" s="58" t="str">
        <f t="shared" si="73"/>
        <v/>
      </c>
      <c r="E522" s="30">
        <f t="shared" si="68"/>
        <v>3.9421811703349553E-2</v>
      </c>
      <c r="F522" s="30">
        <f t="shared" si="75"/>
        <v>3.9421811703349553E-2</v>
      </c>
      <c r="G522" s="30">
        <f t="shared" si="75"/>
        <v>3.9421811703349553E-2</v>
      </c>
      <c r="H522" s="30" t="str">
        <f t="shared" si="75"/>
        <v/>
      </c>
      <c r="I522" s="30" t="str">
        <f t="shared" si="74"/>
        <v/>
      </c>
    </row>
    <row r="523" spans="1:9" x14ac:dyDescent="0.25">
      <c r="A523" s="30">
        <f t="shared" si="69"/>
        <v>-1.5</v>
      </c>
      <c r="B523" s="94">
        <f>INT((ROWS(B$11:B523)-1)/20)+40+0.05*MOD(ROWS(B$11:B523)-1,20)</f>
        <v>65.599999999999994</v>
      </c>
      <c r="C523" s="58" t="str">
        <f t="shared" si="70"/>
        <v/>
      </c>
      <c r="D523" s="58" t="str">
        <f t="shared" si="73"/>
        <v/>
      </c>
      <c r="E523" s="30">
        <f t="shared" ref="E523:E586" si="76">_xlfn.NORM.DIST(B523,$F$1,$F$2,0)</f>
        <v>4.0095831835479823E-2</v>
      </c>
      <c r="F523" s="30">
        <f t="shared" si="75"/>
        <v>4.0095831835479823E-2</v>
      </c>
      <c r="G523" s="30">
        <f t="shared" si="75"/>
        <v>4.0095831835479823E-2</v>
      </c>
      <c r="H523" s="30" t="str">
        <f t="shared" si="75"/>
        <v/>
      </c>
      <c r="I523" s="30" t="str">
        <f t="shared" si="74"/>
        <v/>
      </c>
    </row>
    <row r="524" spans="1:9" x14ac:dyDescent="0.25">
      <c r="A524" s="30">
        <f t="shared" ref="A524:A587" si="77">(INT(B524)-$F$1)/$F$2</f>
        <v>-1.5</v>
      </c>
      <c r="B524" s="94">
        <f>INT((ROWS(B$11:B524)-1)/20)+40+0.05*MOD(ROWS(B$11:B524)-1,20)</f>
        <v>65.650000000000006</v>
      </c>
      <c r="C524" s="58" t="str">
        <f t="shared" ref="C524:C587" si="78">IF(AND(A524&lt;&gt;A523,INT(A524)=A524),A524,"")</f>
        <v/>
      </c>
      <c r="D524" s="58" t="str">
        <f t="shared" si="73"/>
        <v/>
      </c>
      <c r="E524" s="30">
        <f t="shared" si="76"/>
        <v>4.0775004532161811E-2</v>
      </c>
      <c r="F524" s="30">
        <f t="shared" si="75"/>
        <v>4.0775004532161811E-2</v>
      </c>
      <c r="G524" s="30">
        <f t="shared" si="75"/>
        <v>4.0775004532161811E-2</v>
      </c>
      <c r="H524" s="30" t="str">
        <f t="shared" si="75"/>
        <v/>
      </c>
      <c r="I524" s="30" t="str">
        <f t="shared" si="74"/>
        <v/>
      </c>
    </row>
    <row r="525" spans="1:9" x14ac:dyDescent="0.25">
      <c r="A525" s="30">
        <f t="shared" si="77"/>
        <v>-1.5</v>
      </c>
      <c r="B525" s="94">
        <f>INT((ROWS(B$11:B525)-1)/20)+40+0.05*MOD(ROWS(B$11:B525)-1,20)</f>
        <v>65.7</v>
      </c>
      <c r="C525" s="58" t="str">
        <f t="shared" si="78"/>
        <v/>
      </c>
      <c r="D525" s="58" t="str">
        <f t="shared" si="73"/>
        <v/>
      </c>
      <c r="E525" s="30">
        <f t="shared" si="76"/>
        <v>4.1459203049026221E-2</v>
      </c>
      <c r="F525" s="30">
        <f t="shared" si="75"/>
        <v>4.1459203049026221E-2</v>
      </c>
      <c r="G525" s="30">
        <f t="shared" si="75"/>
        <v>4.1459203049026221E-2</v>
      </c>
      <c r="H525" s="30" t="str">
        <f t="shared" si="75"/>
        <v/>
      </c>
      <c r="I525" s="30" t="str">
        <f t="shared" si="74"/>
        <v/>
      </c>
    </row>
    <row r="526" spans="1:9" x14ac:dyDescent="0.25">
      <c r="A526" s="30">
        <f t="shared" si="77"/>
        <v>-1.5</v>
      </c>
      <c r="B526" s="94">
        <f>INT((ROWS(B$11:B526)-1)/20)+40+0.05*MOD(ROWS(B$11:B526)-1,20)</f>
        <v>65.75</v>
      </c>
      <c r="C526" s="58" t="str">
        <f t="shared" si="78"/>
        <v/>
      </c>
      <c r="D526" s="58" t="str">
        <f t="shared" si="73"/>
        <v/>
      </c>
      <c r="E526" s="30">
        <f t="shared" si="76"/>
        <v>4.2148296129528778E-2</v>
      </c>
      <c r="F526" s="30">
        <f t="shared" si="75"/>
        <v>4.2148296129528778E-2</v>
      </c>
      <c r="G526" s="30">
        <f t="shared" si="75"/>
        <v>4.2148296129528778E-2</v>
      </c>
      <c r="H526" s="30" t="str">
        <f t="shared" si="75"/>
        <v/>
      </c>
      <c r="I526" s="30" t="str">
        <f t="shared" si="74"/>
        <v/>
      </c>
    </row>
    <row r="527" spans="1:9" x14ac:dyDescent="0.25">
      <c r="A527" s="30">
        <f t="shared" si="77"/>
        <v>-1.5</v>
      </c>
      <c r="B527" s="94">
        <f>INT((ROWS(B$11:B527)-1)/20)+40+0.05*MOD(ROWS(B$11:B527)-1,20)</f>
        <v>65.8</v>
      </c>
      <c r="C527" s="58" t="str">
        <f t="shared" si="78"/>
        <v/>
      </c>
      <c r="D527" s="58" t="str">
        <f t="shared" si="73"/>
        <v/>
      </c>
      <c r="E527" s="30">
        <f t="shared" si="76"/>
        <v>4.2842148011951797E-2</v>
      </c>
      <c r="F527" s="30">
        <f t="shared" si="75"/>
        <v>4.2842148011951797E-2</v>
      </c>
      <c r="G527" s="30">
        <f t="shared" si="75"/>
        <v>4.2842148011951797E-2</v>
      </c>
      <c r="H527" s="30" t="str">
        <f t="shared" si="75"/>
        <v/>
      </c>
      <c r="I527" s="30" t="str">
        <f t="shared" si="74"/>
        <v/>
      </c>
    </row>
    <row r="528" spans="1:9" x14ac:dyDescent="0.25">
      <c r="A528" s="30">
        <f t="shared" si="77"/>
        <v>-1.5</v>
      </c>
      <c r="B528" s="94">
        <f>INT((ROWS(B$11:B528)-1)/20)+40+0.05*MOD(ROWS(B$11:B528)-1,20)</f>
        <v>65.849999999999994</v>
      </c>
      <c r="C528" s="58" t="str">
        <f t="shared" si="78"/>
        <v/>
      </c>
      <c r="D528" s="58" t="str">
        <f t="shared" si="73"/>
        <v/>
      </c>
      <c r="E528" s="30">
        <f t="shared" si="76"/>
        <v>4.3540618440072072E-2</v>
      </c>
      <c r="F528" s="30">
        <f t="shared" si="75"/>
        <v>4.3540618440072072E-2</v>
      </c>
      <c r="G528" s="30">
        <f t="shared" si="75"/>
        <v>4.3540618440072072E-2</v>
      </c>
      <c r="H528" s="30" t="str">
        <f t="shared" si="75"/>
        <v/>
      </c>
      <c r="I528" s="30" t="str">
        <f t="shared" si="74"/>
        <v/>
      </c>
    </row>
    <row r="529" spans="1:9" x14ac:dyDescent="0.25">
      <c r="A529" s="30">
        <f t="shared" si="77"/>
        <v>-1.5</v>
      </c>
      <c r="B529" s="94">
        <f>INT((ROWS(B$11:B529)-1)/20)+40+0.05*MOD(ROWS(B$11:B529)-1,20)</f>
        <v>65.900000000000006</v>
      </c>
      <c r="C529" s="58" t="str">
        <f t="shared" si="78"/>
        <v/>
      </c>
      <c r="D529" s="58" t="str">
        <f t="shared" si="73"/>
        <v/>
      </c>
      <c r="E529" s="30">
        <f t="shared" si="76"/>
        <v>4.4243562677545006E-2</v>
      </c>
      <c r="F529" s="30">
        <f t="shared" si="75"/>
        <v>4.4243562677545006E-2</v>
      </c>
      <c r="G529" s="30">
        <f t="shared" si="75"/>
        <v>4.4243562677545006E-2</v>
      </c>
      <c r="H529" s="30" t="str">
        <f t="shared" si="75"/>
        <v/>
      </c>
      <c r="I529" s="30" t="str">
        <f t="shared" si="74"/>
        <v/>
      </c>
    </row>
    <row r="530" spans="1:9" x14ac:dyDescent="0.25">
      <c r="A530" s="30">
        <f t="shared" si="77"/>
        <v>-1.5</v>
      </c>
      <c r="B530" s="94">
        <f>INT((ROWS(B$11:B530)-1)/20)+40+0.05*MOD(ROWS(B$11:B530)-1,20)</f>
        <v>65.95</v>
      </c>
      <c r="C530" s="58" t="str">
        <f t="shared" si="78"/>
        <v/>
      </c>
      <c r="D530" s="58" t="str">
        <f t="shared" si="73"/>
        <v/>
      </c>
      <c r="E530" s="30">
        <f t="shared" si="76"/>
        <v>4.4950831526051616E-2</v>
      </c>
      <c r="F530" s="30">
        <f t="shared" si="75"/>
        <v>4.4950831526051616E-2</v>
      </c>
      <c r="G530" s="30">
        <f t="shared" si="75"/>
        <v>4.4950831526051616E-2</v>
      </c>
      <c r="H530" s="30" t="str">
        <f t="shared" si="75"/>
        <v/>
      </c>
      <c r="I530" s="30" t="str">
        <f t="shared" si="74"/>
        <v/>
      </c>
    </row>
    <row r="531" spans="1:9" x14ac:dyDescent="0.25">
      <c r="A531" s="30">
        <f t="shared" si="77"/>
        <v>-1.25</v>
      </c>
      <c r="B531" s="94">
        <f>INT((ROWS(B$11:B531)-1)/20)+40+0.05*MOD(ROWS(B$11:B531)-1,20)</f>
        <v>66</v>
      </c>
      <c r="C531" s="58" t="str">
        <f t="shared" si="78"/>
        <v/>
      </c>
      <c r="D531" s="58" t="str">
        <f t="shared" si="73"/>
        <v/>
      </c>
      <c r="E531" s="30">
        <f t="shared" si="76"/>
        <v>4.5662271347255479E-2</v>
      </c>
      <c r="F531" s="30">
        <f t="shared" ref="F531:H550" si="79">IF(AND($B531&gt;=F$7,$B531&lt;=F$8),E531,"")</f>
        <v>4.5662271347255479E-2</v>
      </c>
      <c r="G531" s="30">
        <f t="shared" si="79"/>
        <v>4.5662271347255479E-2</v>
      </c>
      <c r="H531" s="30" t="str">
        <f t="shared" si="79"/>
        <v/>
      </c>
      <c r="I531" s="30" t="str">
        <f t="shared" si="74"/>
        <v/>
      </c>
    </row>
    <row r="532" spans="1:9" x14ac:dyDescent="0.25">
      <c r="A532" s="30">
        <f t="shared" si="77"/>
        <v>-1.25</v>
      </c>
      <c r="B532" s="94">
        <f>INT((ROWS(B$11:B532)-1)/20)+40+0.05*MOD(ROWS(B$11:B532)-1,20)</f>
        <v>66.05</v>
      </c>
      <c r="C532" s="58" t="str">
        <f t="shared" si="78"/>
        <v/>
      </c>
      <c r="D532" s="58" t="str">
        <f t="shared" si="73"/>
        <v/>
      </c>
      <c r="E532" s="30">
        <f t="shared" si="76"/>
        <v>4.6377724088606499E-2</v>
      </c>
      <c r="F532" s="30">
        <f t="shared" si="79"/>
        <v>4.6377724088606499E-2</v>
      </c>
      <c r="G532" s="30">
        <f t="shared" si="79"/>
        <v>4.6377724088606499E-2</v>
      </c>
      <c r="H532" s="30" t="str">
        <f t="shared" si="79"/>
        <v/>
      </c>
      <c r="I532" s="30" t="str">
        <f t="shared" si="74"/>
        <v/>
      </c>
    </row>
    <row r="533" spans="1:9" x14ac:dyDescent="0.25">
      <c r="A533" s="30">
        <f t="shared" si="77"/>
        <v>-1.25</v>
      </c>
      <c r="B533" s="94">
        <f>INT((ROWS(B$11:B533)-1)/20)+40+0.05*MOD(ROWS(B$11:B533)-1,20)</f>
        <v>66.099999999999994</v>
      </c>
      <c r="C533" s="58" t="str">
        <f t="shared" si="78"/>
        <v/>
      </c>
      <c r="D533" s="58" t="str">
        <f t="shared" si="73"/>
        <v/>
      </c>
      <c r="E533" s="30">
        <f t="shared" si="76"/>
        <v>4.7097027313031503E-2</v>
      </c>
      <c r="F533" s="30">
        <f t="shared" si="79"/>
        <v>4.7097027313031503E-2</v>
      </c>
      <c r="G533" s="30">
        <f t="shared" si="79"/>
        <v>4.7097027313031503E-2</v>
      </c>
      <c r="H533" s="30" t="str">
        <f t="shared" si="79"/>
        <v/>
      </c>
      <c r="I533" s="30" t="str">
        <f t="shared" si="74"/>
        <v/>
      </c>
    </row>
    <row r="534" spans="1:9" x14ac:dyDescent="0.25">
      <c r="A534" s="30">
        <f t="shared" si="77"/>
        <v>-1.25</v>
      </c>
      <c r="B534" s="94">
        <f>INT((ROWS(B$11:B534)-1)/20)+40+0.05*MOD(ROWS(B$11:B534)-1,20)</f>
        <v>66.150000000000006</v>
      </c>
      <c r="C534" s="58" t="str">
        <f t="shared" si="78"/>
        <v/>
      </c>
      <c r="D534" s="58" t="str">
        <f t="shared" si="73"/>
        <v/>
      </c>
      <c r="E534" s="30">
        <f t="shared" si="76"/>
        <v>4.7820014232544235E-2</v>
      </c>
      <c r="F534" s="30">
        <f t="shared" si="79"/>
        <v>4.7820014232544235E-2</v>
      </c>
      <c r="G534" s="30">
        <f t="shared" si="79"/>
        <v>4.7820014232544235E-2</v>
      </c>
      <c r="H534" s="30" t="str">
        <f t="shared" si="79"/>
        <v/>
      </c>
      <c r="I534" s="30" t="str">
        <f t="shared" si="74"/>
        <v/>
      </c>
    </row>
    <row r="535" spans="1:9" x14ac:dyDescent="0.25">
      <c r="A535" s="30">
        <f t="shared" si="77"/>
        <v>-1.25</v>
      </c>
      <c r="B535" s="94">
        <f>INT((ROWS(B$11:B535)-1)/20)+40+0.05*MOD(ROWS(B$11:B535)-1,20)</f>
        <v>66.2</v>
      </c>
      <c r="C535" s="58" t="str">
        <f t="shared" si="78"/>
        <v/>
      </c>
      <c r="D535" s="58" t="str">
        <f t="shared" si="73"/>
        <v/>
      </c>
      <c r="E535" s="30">
        <f t="shared" si="76"/>
        <v>4.854651374580328E-2</v>
      </c>
      <c r="F535" s="30">
        <f t="shared" si="79"/>
        <v>4.854651374580328E-2</v>
      </c>
      <c r="G535" s="30">
        <f t="shared" si="79"/>
        <v>4.854651374580328E-2</v>
      </c>
      <c r="H535" s="30" t="str">
        <f t="shared" si="79"/>
        <v/>
      </c>
      <c r="I535" s="30" t="str">
        <f t="shared" si="74"/>
        <v/>
      </c>
    </row>
    <row r="536" spans="1:9" x14ac:dyDescent="0.25">
      <c r="A536" s="30">
        <f t="shared" si="77"/>
        <v>-1.25</v>
      </c>
      <c r="B536" s="94">
        <f>INT((ROWS(B$11:B536)-1)/20)+40+0.05*MOD(ROWS(B$11:B536)-1,20)</f>
        <v>66.25</v>
      </c>
      <c r="C536" s="58" t="str">
        <f t="shared" si="78"/>
        <v/>
      </c>
      <c r="D536" s="58" t="str">
        <f t="shared" si="73"/>
        <v/>
      </c>
      <c r="E536" s="30">
        <f t="shared" si="76"/>
        <v>4.9276350479646826E-2</v>
      </c>
      <c r="F536" s="30">
        <f t="shared" si="79"/>
        <v>4.9276350479646826E-2</v>
      </c>
      <c r="G536" s="30">
        <f t="shared" si="79"/>
        <v>4.9276350479646826E-2</v>
      </c>
      <c r="H536" s="30" t="str">
        <f t="shared" si="79"/>
        <v/>
      </c>
      <c r="I536" s="30" t="str">
        <f t="shared" si="74"/>
        <v/>
      </c>
    </row>
    <row r="537" spans="1:9" x14ac:dyDescent="0.25">
      <c r="A537" s="30">
        <f t="shared" si="77"/>
        <v>-1.25</v>
      </c>
      <c r="B537" s="94">
        <f>INT((ROWS(B$11:B537)-1)/20)+40+0.05*MOD(ROWS(B$11:B537)-1,20)</f>
        <v>66.3</v>
      </c>
      <c r="C537" s="58" t="str">
        <f t="shared" si="78"/>
        <v/>
      </c>
      <c r="D537" s="58" t="str">
        <f t="shared" si="73"/>
        <v/>
      </c>
      <c r="E537" s="30">
        <f t="shared" si="76"/>
        <v>5.000934483462189E-2</v>
      </c>
      <c r="F537" s="30">
        <f t="shared" si="79"/>
        <v>5.000934483462189E-2</v>
      </c>
      <c r="G537" s="30">
        <f t="shared" si="79"/>
        <v>5.000934483462189E-2</v>
      </c>
      <c r="H537" s="30" t="str">
        <f t="shared" si="79"/>
        <v/>
      </c>
      <c r="I537" s="30" t="str">
        <f t="shared" si="74"/>
        <v/>
      </c>
    </row>
    <row r="538" spans="1:9" x14ac:dyDescent="0.25">
      <c r="A538" s="30">
        <f t="shared" si="77"/>
        <v>-1.25</v>
      </c>
      <c r="B538" s="94">
        <f>INT((ROWS(B$11:B538)-1)/20)+40+0.05*MOD(ROWS(B$11:B538)-1,20)</f>
        <v>66.349999999999994</v>
      </c>
      <c r="C538" s="58" t="str">
        <f t="shared" si="78"/>
        <v/>
      </c>
      <c r="D538" s="58" t="str">
        <f t="shared" si="73"/>
        <v/>
      </c>
      <c r="E538" s="30">
        <f t="shared" si="76"/>
        <v>5.0745313034528859E-2</v>
      </c>
      <c r="F538" s="30">
        <f t="shared" si="79"/>
        <v>5.0745313034528859E-2</v>
      </c>
      <c r="G538" s="30">
        <f t="shared" si="79"/>
        <v>5.0745313034528859E-2</v>
      </c>
      <c r="H538" s="30" t="str">
        <f t="shared" si="79"/>
        <v/>
      </c>
      <c r="I538" s="30" t="str">
        <f t="shared" si="74"/>
        <v/>
      </c>
    </row>
    <row r="539" spans="1:9" x14ac:dyDescent="0.25">
      <c r="A539" s="30">
        <f t="shared" si="77"/>
        <v>-1.25</v>
      </c>
      <c r="B539" s="94">
        <f>INT((ROWS(B$11:B539)-1)/20)+40+0.05*MOD(ROWS(B$11:B539)-1,20)</f>
        <v>66.400000000000006</v>
      </c>
      <c r="C539" s="58" t="str">
        <f t="shared" si="78"/>
        <v/>
      </c>
      <c r="D539" s="58" t="str">
        <f t="shared" si="73"/>
        <v/>
      </c>
      <c r="E539" s="30">
        <f t="shared" si="76"/>
        <v>5.1484067179993771E-2</v>
      </c>
      <c r="F539" s="30">
        <f t="shared" si="79"/>
        <v>5.1484067179993771E-2</v>
      </c>
      <c r="G539" s="30">
        <f t="shared" si="79"/>
        <v>5.1484067179993771E-2</v>
      </c>
      <c r="H539" s="30" t="str">
        <f t="shared" si="79"/>
        <v/>
      </c>
      <c r="I539" s="30" t="str">
        <f t="shared" si="74"/>
        <v/>
      </c>
    </row>
    <row r="540" spans="1:9" x14ac:dyDescent="0.25">
      <c r="A540" s="30">
        <f t="shared" si="77"/>
        <v>-1.25</v>
      </c>
      <c r="B540" s="94">
        <f>INT((ROWS(B$11:B540)-1)/20)+40+0.05*MOD(ROWS(B$11:B540)-1,20)</f>
        <v>66.45</v>
      </c>
      <c r="C540" s="58" t="str">
        <f t="shared" si="78"/>
        <v/>
      </c>
      <c r="D540" s="58" t="str">
        <f t="shared" si="73"/>
        <v/>
      </c>
      <c r="E540" s="30">
        <f t="shared" si="76"/>
        <v>5.2225415306076807E-2</v>
      </c>
      <c r="F540" s="30">
        <f t="shared" si="79"/>
        <v>5.2225415306076807E-2</v>
      </c>
      <c r="G540" s="30">
        <f t="shared" si="79"/>
        <v>5.2225415306076807E-2</v>
      </c>
      <c r="H540" s="30" t="str">
        <f t="shared" si="79"/>
        <v/>
      </c>
      <c r="I540" s="30" t="str">
        <f t="shared" si="74"/>
        <v/>
      </c>
    </row>
    <row r="541" spans="1:9" x14ac:dyDescent="0.25">
      <c r="A541" s="30">
        <f t="shared" si="77"/>
        <v>-1.25</v>
      </c>
      <c r="B541" s="94">
        <f>INT((ROWS(B$11:B541)-1)/20)+40+0.05*MOD(ROWS(B$11:B541)-1,20)</f>
        <v>66.5</v>
      </c>
      <c r="C541" s="58" t="str">
        <f t="shared" si="78"/>
        <v/>
      </c>
      <c r="D541" s="58" t="str">
        <f t="shared" si="73"/>
        <v/>
      </c>
      <c r="E541" s="30">
        <f t="shared" si="76"/>
        <v>5.296916144392487E-2</v>
      </c>
      <c r="F541" s="30">
        <f t="shared" si="79"/>
        <v>5.296916144392487E-2</v>
      </c>
      <c r="G541" s="30">
        <f t="shared" si="79"/>
        <v>5.296916144392487E-2</v>
      </c>
      <c r="H541" s="30" t="str">
        <f t="shared" si="79"/>
        <v/>
      </c>
      <c r="I541" s="30" t="str">
        <f t="shared" si="74"/>
        <v/>
      </c>
    </row>
    <row r="542" spans="1:9" x14ac:dyDescent="0.25">
      <c r="A542" s="30">
        <f t="shared" si="77"/>
        <v>-1.25</v>
      </c>
      <c r="B542" s="94">
        <f>INT((ROWS(B$11:B542)-1)/20)+40+0.05*MOD(ROWS(B$11:B542)-1,20)</f>
        <v>66.55</v>
      </c>
      <c r="C542" s="58" t="str">
        <f t="shared" si="78"/>
        <v/>
      </c>
      <c r="D542" s="58" t="str">
        <f t="shared" si="73"/>
        <v/>
      </c>
      <c r="E542" s="30">
        <f t="shared" si="76"/>
        <v>5.3715105686464974E-2</v>
      </c>
      <c r="F542" s="30">
        <f t="shared" si="79"/>
        <v>5.3715105686464974E-2</v>
      </c>
      <c r="G542" s="30">
        <f t="shared" si="79"/>
        <v>5.3715105686464974E-2</v>
      </c>
      <c r="H542" s="30" t="str">
        <f t="shared" si="79"/>
        <v/>
      </c>
      <c r="I542" s="30" t="str">
        <f t="shared" si="74"/>
        <v/>
      </c>
    </row>
    <row r="543" spans="1:9" x14ac:dyDescent="0.25">
      <c r="A543" s="30">
        <f t="shared" si="77"/>
        <v>-1.25</v>
      </c>
      <c r="B543" s="94">
        <f>INT((ROWS(B$11:B543)-1)/20)+40+0.05*MOD(ROWS(B$11:B543)-1,20)</f>
        <v>66.599999999999994</v>
      </c>
      <c r="C543" s="58" t="str">
        <f t="shared" si="78"/>
        <v/>
      </c>
      <c r="D543" s="58" t="str">
        <f t="shared" si="73"/>
        <v/>
      </c>
      <c r="E543" s="30">
        <f t="shared" si="76"/>
        <v>5.4463044258137555E-2</v>
      </c>
      <c r="F543" s="30">
        <f t="shared" si="79"/>
        <v>5.4463044258137555E-2</v>
      </c>
      <c r="G543" s="30">
        <f t="shared" si="79"/>
        <v>5.4463044258137555E-2</v>
      </c>
      <c r="H543" s="30" t="str">
        <f t="shared" si="79"/>
        <v/>
      </c>
      <c r="I543" s="30" t="str">
        <f t="shared" si="74"/>
        <v/>
      </c>
    </row>
    <row r="544" spans="1:9" x14ac:dyDescent="0.25">
      <c r="A544" s="30">
        <f t="shared" si="77"/>
        <v>-1.25</v>
      </c>
      <c r="B544" s="94">
        <f>INT((ROWS(B$11:B544)-1)/20)+40+0.05*MOD(ROWS(B$11:B544)-1,20)</f>
        <v>66.650000000000006</v>
      </c>
      <c r="C544" s="58" t="str">
        <f t="shared" si="78"/>
        <v/>
      </c>
      <c r="D544" s="58" t="str">
        <f t="shared" si="73"/>
        <v/>
      </c>
      <c r="E544" s="30">
        <f t="shared" si="76"/>
        <v>5.5212769588660511E-2</v>
      </c>
      <c r="F544" s="30">
        <f t="shared" si="79"/>
        <v>5.5212769588660511E-2</v>
      </c>
      <c r="G544" s="30">
        <f t="shared" si="79"/>
        <v>5.5212769588660511E-2</v>
      </c>
      <c r="H544" s="30" t="str">
        <f t="shared" si="79"/>
        <v/>
      </c>
      <c r="I544" s="30" t="str">
        <f t="shared" si="74"/>
        <v/>
      </c>
    </row>
    <row r="545" spans="1:9" x14ac:dyDescent="0.25">
      <c r="A545" s="30">
        <f t="shared" si="77"/>
        <v>-1.25</v>
      </c>
      <c r="B545" s="94">
        <f>INT((ROWS(B$11:B545)-1)/20)+40+0.05*MOD(ROWS(B$11:B545)-1,20)</f>
        <v>66.7</v>
      </c>
      <c r="C545" s="58" t="str">
        <f t="shared" si="78"/>
        <v/>
      </c>
      <c r="D545" s="58" t="str">
        <f t="shared" si="73"/>
        <v/>
      </c>
      <c r="E545" s="30">
        <f t="shared" si="76"/>
        <v>5.5964070390809917E-2</v>
      </c>
      <c r="F545" s="30">
        <f t="shared" si="79"/>
        <v>5.5964070390809917E-2</v>
      </c>
      <c r="G545" s="30">
        <f t="shared" si="79"/>
        <v>5.5964070390809917E-2</v>
      </c>
      <c r="H545" s="30" t="str">
        <f t="shared" si="79"/>
        <v/>
      </c>
      <c r="I545" s="30" t="str">
        <f t="shared" si="74"/>
        <v/>
      </c>
    </row>
    <row r="546" spans="1:9" x14ac:dyDescent="0.25">
      <c r="A546" s="30">
        <f t="shared" si="77"/>
        <v>-1.25</v>
      </c>
      <c r="B546" s="94">
        <f>INT((ROWS(B$11:B546)-1)/20)+40+0.05*MOD(ROWS(B$11:B546)-1,20)</f>
        <v>66.75</v>
      </c>
      <c r="C546" s="58" t="str">
        <f t="shared" si="78"/>
        <v/>
      </c>
      <c r="D546" s="58" t="str">
        <f t="shared" si="73"/>
        <v/>
      </c>
      <c r="E546" s="30">
        <f t="shared" si="76"/>
        <v>5.6716731742203159E-2</v>
      </c>
      <c r="F546" s="30">
        <f t="shared" si="79"/>
        <v>5.6716731742203159E-2</v>
      </c>
      <c r="G546" s="30">
        <f t="shared" si="79"/>
        <v>5.6716731742203159E-2</v>
      </c>
      <c r="H546" s="30" t="str">
        <f t="shared" si="79"/>
        <v/>
      </c>
      <c r="I546" s="30" t="str">
        <f t="shared" si="74"/>
        <v/>
      </c>
    </row>
    <row r="547" spans="1:9" x14ac:dyDescent="0.25">
      <c r="A547" s="30">
        <f t="shared" si="77"/>
        <v>-1.25</v>
      </c>
      <c r="B547" s="94">
        <f>INT((ROWS(B$11:B547)-1)/20)+40+0.05*MOD(ROWS(B$11:B547)-1,20)</f>
        <v>66.8</v>
      </c>
      <c r="C547" s="58" t="str">
        <f t="shared" si="78"/>
        <v/>
      </c>
      <c r="D547" s="58" t="str">
        <f t="shared" si="73"/>
        <v/>
      </c>
      <c r="E547" s="30">
        <f t="shared" si="76"/>
        <v>5.7470535171058205E-2</v>
      </c>
      <c r="F547" s="30">
        <f t="shared" si="79"/>
        <v>5.7470535171058205E-2</v>
      </c>
      <c r="G547" s="30">
        <f t="shared" si="79"/>
        <v>5.7470535171058205E-2</v>
      </c>
      <c r="H547" s="30" t="str">
        <f t="shared" si="79"/>
        <v/>
      </c>
      <c r="I547" s="30" t="str">
        <f t="shared" si="74"/>
        <v/>
      </c>
    </row>
    <row r="548" spans="1:9" x14ac:dyDescent="0.25">
      <c r="A548" s="30">
        <f t="shared" si="77"/>
        <v>-1.25</v>
      </c>
      <c r="B548" s="94">
        <f>INT((ROWS(B$11:B548)-1)/20)+40+0.05*MOD(ROWS(B$11:B548)-1,20)</f>
        <v>66.849999999999994</v>
      </c>
      <c r="C548" s="58" t="str">
        <f t="shared" si="78"/>
        <v/>
      </c>
      <c r="D548" s="58" t="str">
        <f t="shared" si="73"/>
        <v/>
      </c>
      <c r="E548" s="30">
        <f t="shared" si="76"/>
        <v>5.8225258745905249E-2</v>
      </c>
      <c r="F548" s="30">
        <f t="shared" si="79"/>
        <v>5.8225258745905249E-2</v>
      </c>
      <c r="G548" s="30">
        <f t="shared" si="79"/>
        <v>5.8225258745905249E-2</v>
      </c>
      <c r="H548" s="30" t="str">
        <f t="shared" si="79"/>
        <v/>
      </c>
      <c r="I548" s="30" t="str">
        <f t="shared" si="74"/>
        <v/>
      </c>
    </row>
    <row r="549" spans="1:9" x14ac:dyDescent="0.25">
      <c r="A549" s="30">
        <f t="shared" si="77"/>
        <v>-1.25</v>
      </c>
      <c r="B549" s="94">
        <f>INT((ROWS(B$11:B549)-1)/20)+40+0.05*MOD(ROWS(B$11:B549)-1,20)</f>
        <v>66.900000000000006</v>
      </c>
      <c r="C549" s="58" t="str">
        <f t="shared" si="78"/>
        <v/>
      </c>
      <c r="D549" s="58" t="str">
        <f t="shared" si="73"/>
        <v/>
      </c>
      <c r="E549" s="30">
        <f t="shared" si="76"/>
        <v>5.8980677169218218E-2</v>
      </c>
      <c r="F549" s="30">
        <f t="shared" si="79"/>
        <v>5.8980677169218218E-2</v>
      </c>
      <c r="G549" s="30">
        <f t="shared" si="79"/>
        <v>5.8980677169218218E-2</v>
      </c>
      <c r="H549" s="30" t="str">
        <f t="shared" si="79"/>
        <v/>
      </c>
      <c r="I549" s="30" t="str">
        <f t="shared" si="74"/>
        <v/>
      </c>
    </row>
    <row r="550" spans="1:9" x14ac:dyDescent="0.25">
      <c r="A550" s="30">
        <f t="shared" si="77"/>
        <v>-1.25</v>
      </c>
      <c r="B550" s="94">
        <f>INT((ROWS(B$11:B550)-1)/20)+40+0.05*MOD(ROWS(B$11:B550)-1,20)</f>
        <v>66.95</v>
      </c>
      <c r="C550" s="58" t="str">
        <f t="shared" si="78"/>
        <v/>
      </c>
      <c r="D550" s="58" t="str">
        <f t="shared" si="73"/>
        <v/>
      </c>
      <c r="E550" s="30">
        <f t="shared" si="76"/>
        <v>5.9736561874928915E-2</v>
      </c>
      <c r="F550" s="30">
        <f t="shared" si="79"/>
        <v>5.9736561874928915E-2</v>
      </c>
      <c r="G550" s="30">
        <f t="shared" si="79"/>
        <v>5.9736561874928915E-2</v>
      </c>
      <c r="H550" s="30" t="str">
        <f t="shared" si="79"/>
        <v/>
      </c>
      <c r="I550" s="30" t="str">
        <f t="shared" si="74"/>
        <v/>
      </c>
    </row>
    <row r="551" spans="1:9" x14ac:dyDescent="0.25">
      <c r="A551" s="30">
        <f t="shared" si="77"/>
        <v>-1</v>
      </c>
      <c r="B551" s="94">
        <f>INT((ROWS(B$11:B551)-1)/20)+40+0.05*MOD(ROWS(B$11:B551)-1,20)</f>
        <v>67</v>
      </c>
      <c r="C551" s="58">
        <f t="shared" si="78"/>
        <v>-1</v>
      </c>
      <c r="D551" s="58" t="str">
        <f t="shared" si="73"/>
        <v>67"
- 1 z</v>
      </c>
      <c r="E551" s="30">
        <f t="shared" si="76"/>
        <v>6.0492681129785841E-2</v>
      </c>
      <c r="F551" s="30">
        <f t="shared" ref="F551:H570" si="80">IF(AND($B551&gt;=F$7,$B551&lt;=F$8),E551,"")</f>
        <v>6.0492681129785841E-2</v>
      </c>
      <c r="G551" s="30">
        <f t="shared" si="80"/>
        <v>6.0492681129785841E-2</v>
      </c>
      <c r="H551" s="30">
        <f t="shared" si="80"/>
        <v>6.0492681129785841E-2</v>
      </c>
      <c r="I551" s="30" t="str">
        <f t="shared" si="74"/>
        <v/>
      </c>
    </row>
    <row r="552" spans="1:9" x14ac:dyDescent="0.25">
      <c r="A552" s="30">
        <f t="shared" si="77"/>
        <v>-1</v>
      </c>
      <c r="B552" s="94">
        <f>INT((ROWS(B$11:B552)-1)/20)+40+0.05*MOD(ROWS(B$11:B552)-1,20)</f>
        <v>67.05</v>
      </c>
      <c r="C552" s="58" t="str">
        <f t="shared" si="78"/>
        <v/>
      </c>
      <c r="D552" s="58" t="str">
        <f t="shared" si="73"/>
        <v/>
      </c>
      <c r="E552" s="30">
        <f t="shared" si="76"/>
        <v>6.124880013850767E-2</v>
      </c>
      <c r="F552" s="30">
        <f t="shared" si="80"/>
        <v>6.124880013850767E-2</v>
      </c>
      <c r="G552" s="30">
        <f t="shared" si="80"/>
        <v>6.124880013850767E-2</v>
      </c>
      <c r="H552" s="30">
        <f t="shared" si="80"/>
        <v>6.124880013850767E-2</v>
      </c>
      <c r="I552" s="30" t="str">
        <f t="shared" si="74"/>
        <v/>
      </c>
    </row>
    <row r="553" spans="1:9" x14ac:dyDescent="0.25">
      <c r="A553" s="30">
        <f t="shared" si="77"/>
        <v>-1</v>
      </c>
      <c r="B553" s="94">
        <f>INT((ROWS(B$11:B553)-1)/20)+40+0.05*MOD(ROWS(B$11:B553)-1,20)</f>
        <v>67.099999999999994</v>
      </c>
      <c r="C553" s="58" t="str">
        <f t="shared" si="78"/>
        <v/>
      </c>
      <c r="D553" s="58" t="str">
        <f t="shared" si="73"/>
        <v/>
      </c>
      <c r="E553" s="30">
        <f t="shared" si="76"/>
        <v>6.2004681152684198E-2</v>
      </c>
      <c r="F553" s="30">
        <f t="shared" si="80"/>
        <v>6.2004681152684198E-2</v>
      </c>
      <c r="G553" s="30">
        <f t="shared" si="80"/>
        <v>6.2004681152684198E-2</v>
      </c>
      <c r="H553" s="30">
        <f t="shared" si="80"/>
        <v>6.2004681152684198E-2</v>
      </c>
      <c r="I553" s="30" t="str">
        <f t="shared" si="74"/>
        <v/>
      </c>
    </row>
    <row r="554" spans="1:9" x14ac:dyDescent="0.25">
      <c r="A554" s="30">
        <f t="shared" si="77"/>
        <v>-1</v>
      </c>
      <c r="B554" s="94">
        <f>INT((ROWS(B$11:B554)-1)/20)+40+0.05*MOD(ROWS(B$11:B554)-1,20)</f>
        <v>67.150000000000006</v>
      </c>
      <c r="C554" s="58" t="str">
        <f t="shared" si="78"/>
        <v/>
      </c>
      <c r="D554" s="58" t="str">
        <f t="shared" si="73"/>
        <v/>
      </c>
      <c r="E554" s="30">
        <f t="shared" si="76"/>
        <v>6.2760083583368237E-2</v>
      </c>
      <c r="F554" s="30">
        <f t="shared" si="80"/>
        <v>6.2760083583368237E-2</v>
      </c>
      <c r="G554" s="30">
        <f t="shared" si="80"/>
        <v>6.2760083583368237E-2</v>
      </c>
      <c r="H554" s="30">
        <f t="shared" si="80"/>
        <v>6.2760083583368237E-2</v>
      </c>
      <c r="I554" s="30" t="str">
        <f t="shared" si="74"/>
        <v/>
      </c>
    </row>
    <row r="555" spans="1:9" x14ac:dyDescent="0.25">
      <c r="A555" s="30">
        <f t="shared" si="77"/>
        <v>-1</v>
      </c>
      <c r="B555" s="94">
        <f>INT((ROWS(B$11:B555)-1)/20)+40+0.05*MOD(ROWS(B$11:B555)-1,20)</f>
        <v>67.2</v>
      </c>
      <c r="C555" s="58" t="str">
        <f t="shared" si="78"/>
        <v/>
      </c>
      <c r="D555" s="58" t="str">
        <f t="shared" si="73"/>
        <v/>
      </c>
      <c r="E555" s="30">
        <f t="shared" si="76"/>
        <v>6.3514764117297284E-2</v>
      </c>
      <c r="F555" s="30">
        <f t="shared" si="80"/>
        <v>6.3514764117297284E-2</v>
      </c>
      <c r="G555" s="30">
        <f t="shared" si="80"/>
        <v>6.3514764117297284E-2</v>
      </c>
      <c r="H555" s="30">
        <f t="shared" si="80"/>
        <v>6.3514764117297284E-2</v>
      </c>
      <c r="I555" s="30" t="str">
        <f t="shared" si="74"/>
        <v/>
      </c>
    </row>
    <row r="556" spans="1:9" x14ac:dyDescent="0.25">
      <c r="A556" s="30">
        <f t="shared" si="77"/>
        <v>-1</v>
      </c>
      <c r="B556" s="94">
        <f>INT((ROWS(B$11:B556)-1)/20)+40+0.05*MOD(ROWS(B$11:B556)-1,20)</f>
        <v>67.25</v>
      </c>
      <c r="C556" s="58" t="str">
        <f t="shared" si="78"/>
        <v/>
      </c>
      <c r="D556" s="58" t="str">
        <f t="shared" si="73"/>
        <v/>
      </c>
      <c r="E556" s="30">
        <f t="shared" si="76"/>
        <v>6.4268476836683672E-2</v>
      </c>
      <c r="F556" s="30">
        <f t="shared" si="80"/>
        <v>6.4268476836683672E-2</v>
      </c>
      <c r="G556" s="30">
        <f t="shared" si="80"/>
        <v>6.4268476836683672E-2</v>
      </c>
      <c r="H556" s="30">
        <f t="shared" si="80"/>
        <v>6.4268476836683672E-2</v>
      </c>
      <c r="I556" s="30" t="str">
        <f t="shared" si="74"/>
        <v/>
      </c>
    </row>
    <row r="557" spans="1:9" x14ac:dyDescent="0.25">
      <c r="A557" s="30">
        <f t="shared" si="77"/>
        <v>-1</v>
      </c>
      <c r="B557" s="94">
        <f>INT((ROWS(B$11:B557)-1)/20)+40+0.05*MOD(ROWS(B$11:B557)-1,20)</f>
        <v>67.3</v>
      </c>
      <c r="C557" s="58" t="str">
        <f t="shared" si="78"/>
        <v/>
      </c>
      <c r="D557" s="58" t="str">
        <f t="shared" ref="D557:D620" si="81">IF(ISNUMBER(MATCH(B557,$K$2:$K$8,0)),TEXT(B557,"0\""")&amp;CHAR(10)&amp;TEXT((B557-$F$1)/$F$2," 0 z"),"")</f>
        <v/>
      </c>
      <c r="E557" s="30">
        <f t="shared" si="76"/>
        <v>6.5020973342498886E-2</v>
      </c>
      <c r="F557" s="30">
        <f t="shared" si="80"/>
        <v>6.5020973342498886E-2</v>
      </c>
      <c r="G557" s="30">
        <f t="shared" si="80"/>
        <v>6.5020973342498886E-2</v>
      </c>
      <c r="H557" s="30">
        <f t="shared" si="80"/>
        <v>6.5020973342498886E-2</v>
      </c>
      <c r="I557" s="30" t="str">
        <f t="shared" si="74"/>
        <v/>
      </c>
    </row>
    <row r="558" spans="1:9" x14ac:dyDescent="0.25">
      <c r="A558" s="30">
        <f t="shared" si="77"/>
        <v>-1</v>
      </c>
      <c r="B558" s="94">
        <f>INT((ROWS(B$11:B558)-1)/20)+40+0.05*MOD(ROWS(B$11:B558)-1,20)</f>
        <v>67.349999999999994</v>
      </c>
      <c r="C558" s="58" t="str">
        <f t="shared" si="78"/>
        <v/>
      </c>
      <c r="D558" s="58" t="str">
        <f t="shared" si="81"/>
        <v/>
      </c>
      <c r="E558" s="30">
        <f t="shared" si="76"/>
        <v>6.5772002881181513E-2</v>
      </c>
      <c r="F558" s="30">
        <f t="shared" si="80"/>
        <v>6.5772002881181513E-2</v>
      </c>
      <c r="G558" s="30">
        <f t="shared" si="80"/>
        <v>6.5772002881181513E-2</v>
      </c>
      <c r="H558" s="30">
        <f t="shared" si="80"/>
        <v>6.5772002881181513E-2</v>
      </c>
      <c r="I558" s="30" t="str">
        <f t="shared" ref="I558:I621" si="82">IF(AND(B558&gt;=$F$1-0.05,B558&lt;=$F$1+0.05),E558,"")</f>
        <v/>
      </c>
    </row>
    <row r="559" spans="1:9" x14ac:dyDescent="0.25">
      <c r="A559" s="30">
        <f t="shared" si="77"/>
        <v>-1</v>
      </c>
      <c r="B559" s="94">
        <f>INT((ROWS(B$11:B559)-1)/20)+40+0.05*MOD(ROWS(B$11:B559)-1,20)</f>
        <v>67.400000000000006</v>
      </c>
      <c r="C559" s="58" t="str">
        <f t="shared" si="78"/>
        <v/>
      </c>
      <c r="D559" s="58" t="str">
        <f t="shared" si="81"/>
        <v/>
      </c>
      <c r="E559" s="30">
        <f t="shared" si="76"/>
        <v>6.6521312474688801E-2</v>
      </c>
      <c r="F559" s="30">
        <f t="shared" si="80"/>
        <v>6.6521312474688801E-2</v>
      </c>
      <c r="G559" s="30">
        <f t="shared" si="80"/>
        <v>6.6521312474688801E-2</v>
      </c>
      <c r="H559" s="30">
        <f t="shared" si="80"/>
        <v>6.6521312474688801E-2</v>
      </c>
      <c r="I559" s="30" t="str">
        <f t="shared" si="82"/>
        <v/>
      </c>
    </row>
    <row r="560" spans="1:9" x14ac:dyDescent="0.25">
      <c r="A560" s="30">
        <f t="shared" si="77"/>
        <v>-1</v>
      </c>
      <c r="B560" s="94">
        <f>INT((ROWS(B$11:B560)-1)/20)+40+0.05*MOD(ROWS(B$11:B560)-1,20)</f>
        <v>67.45</v>
      </c>
      <c r="C560" s="58" t="str">
        <f t="shared" si="78"/>
        <v/>
      </c>
      <c r="D560" s="58" t="str">
        <f t="shared" si="81"/>
        <v/>
      </c>
      <c r="E560" s="30">
        <f t="shared" si="76"/>
        <v>6.726864705380696E-2</v>
      </c>
      <c r="F560" s="30">
        <f t="shared" si="80"/>
        <v>6.726864705380696E-2</v>
      </c>
      <c r="G560" s="30">
        <f t="shared" si="80"/>
        <v>6.726864705380696E-2</v>
      </c>
      <c r="H560" s="30">
        <f t="shared" si="80"/>
        <v>6.726864705380696E-2</v>
      </c>
      <c r="I560" s="30" t="str">
        <f t="shared" si="82"/>
        <v/>
      </c>
    </row>
    <row r="561" spans="1:9" x14ac:dyDescent="0.25">
      <c r="A561" s="30">
        <f t="shared" si="77"/>
        <v>-1</v>
      </c>
      <c r="B561" s="94">
        <f>INT((ROWS(B$11:B561)-1)/20)+40+0.05*MOD(ROWS(B$11:B561)-1,20)</f>
        <v>67.5</v>
      </c>
      <c r="C561" s="58" t="str">
        <f t="shared" si="78"/>
        <v/>
      </c>
      <c r="D561" s="58" t="str">
        <f t="shared" si="81"/>
        <v/>
      </c>
      <c r="E561" s="30">
        <f t="shared" si="76"/>
        <v>6.8013749594635881E-2</v>
      </c>
      <c r="F561" s="30">
        <f t="shared" si="80"/>
        <v>6.8013749594635881E-2</v>
      </c>
      <c r="G561" s="30">
        <f t="shared" si="80"/>
        <v>6.8013749594635881E-2</v>
      </c>
      <c r="H561" s="30">
        <f t="shared" si="80"/>
        <v>6.8013749594635881E-2</v>
      </c>
      <c r="I561" s="30" t="str">
        <f t="shared" si="82"/>
        <v/>
      </c>
    </row>
    <row r="562" spans="1:9" x14ac:dyDescent="0.25">
      <c r="A562" s="30">
        <f t="shared" si="77"/>
        <v>-1</v>
      </c>
      <c r="B562" s="94">
        <f>INT((ROWS(B$11:B562)-1)/20)+40+0.05*MOD(ROWS(B$11:B562)-1,20)</f>
        <v>67.55</v>
      </c>
      <c r="C562" s="58" t="str">
        <f t="shared" si="78"/>
        <v/>
      </c>
      <c r="D562" s="58" t="str">
        <f t="shared" si="81"/>
        <v/>
      </c>
      <c r="E562" s="30">
        <f t="shared" si="76"/>
        <v>6.8756361258151016E-2</v>
      </c>
      <c r="F562" s="30">
        <f t="shared" si="80"/>
        <v>6.8756361258151016E-2</v>
      </c>
      <c r="G562" s="30">
        <f t="shared" si="80"/>
        <v>6.8756361258151016E-2</v>
      </c>
      <c r="H562" s="30">
        <f t="shared" si="80"/>
        <v>6.8756361258151016E-2</v>
      </c>
      <c r="I562" s="30" t="str">
        <f t="shared" si="82"/>
        <v/>
      </c>
    </row>
    <row r="563" spans="1:9" x14ac:dyDescent="0.25">
      <c r="A563" s="30">
        <f t="shared" si="77"/>
        <v>-1</v>
      </c>
      <c r="B563" s="94">
        <f>INT((ROWS(B$11:B563)-1)/20)+40+0.05*MOD(ROWS(B$11:B563)-1,20)</f>
        <v>67.599999999999994</v>
      </c>
      <c r="C563" s="58" t="str">
        <f t="shared" si="78"/>
        <v/>
      </c>
      <c r="D563" s="58" t="str">
        <f t="shared" si="81"/>
        <v/>
      </c>
      <c r="E563" s="30">
        <f t="shared" si="76"/>
        <v>6.9496221532749036E-2</v>
      </c>
      <c r="F563" s="30">
        <f t="shared" si="80"/>
        <v>6.9496221532749036E-2</v>
      </c>
      <c r="G563" s="30">
        <f t="shared" si="80"/>
        <v>6.9496221532749036E-2</v>
      </c>
      <c r="H563" s="30">
        <f t="shared" si="80"/>
        <v>6.9496221532749036E-2</v>
      </c>
      <c r="I563" s="30" t="str">
        <f t="shared" si="82"/>
        <v/>
      </c>
    </row>
    <row r="564" spans="1:9" x14ac:dyDescent="0.25">
      <c r="A564" s="30">
        <f t="shared" si="77"/>
        <v>-1</v>
      </c>
      <c r="B564" s="94">
        <f>INT((ROWS(B$11:B564)-1)/20)+40+0.05*MOD(ROWS(B$11:B564)-1,20)</f>
        <v>67.650000000000006</v>
      </c>
      <c r="C564" s="58" t="str">
        <f t="shared" si="78"/>
        <v/>
      </c>
      <c r="D564" s="58" t="str">
        <f t="shared" si="81"/>
        <v/>
      </c>
      <c r="E564" s="30">
        <f t="shared" si="76"/>
        <v>7.0233068379674621E-2</v>
      </c>
      <c r="F564" s="30">
        <f t="shared" si="80"/>
        <v>7.0233068379674621E-2</v>
      </c>
      <c r="G564" s="30">
        <f t="shared" si="80"/>
        <v>7.0233068379674621E-2</v>
      </c>
      <c r="H564" s="30">
        <f t="shared" si="80"/>
        <v>7.0233068379674621E-2</v>
      </c>
      <c r="I564" s="30" t="str">
        <f t="shared" si="82"/>
        <v/>
      </c>
    </row>
    <row r="565" spans="1:9" x14ac:dyDescent="0.25">
      <c r="A565" s="30">
        <f t="shared" si="77"/>
        <v>-1</v>
      </c>
      <c r="B565" s="94">
        <f>INT((ROWS(B$11:B565)-1)/20)+40+0.05*MOD(ROWS(B$11:B565)-1,20)</f>
        <v>67.7</v>
      </c>
      <c r="C565" s="58" t="str">
        <f t="shared" si="78"/>
        <v/>
      </c>
      <c r="D565" s="58" t="str">
        <f t="shared" si="81"/>
        <v/>
      </c>
      <c r="E565" s="30">
        <f t="shared" si="76"/>
        <v>7.0966638381221872E-2</v>
      </c>
      <c r="F565" s="30">
        <f t="shared" si="80"/>
        <v>7.0966638381221872E-2</v>
      </c>
      <c r="G565" s="30">
        <f t="shared" si="80"/>
        <v>7.0966638381221872E-2</v>
      </c>
      <c r="H565" s="30">
        <f t="shared" si="80"/>
        <v>7.0966638381221872E-2</v>
      </c>
      <c r="I565" s="30" t="str">
        <f t="shared" si="82"/>
        <v/>
      </c>
    </row>
    <row r="566" spans="1:9" x14ac:dyDescent="0.25">
      <c r="A566" s="30">
        <f t="shared" si="77"/>
        <v>-1</v>
      </c>
      <c r="B566" s="94">
        <f>INT((ROWS(B$11:B566)-1)/20)+40+0.05*MOD(ROWS(B$11:B566)-1,20)</f>
        <v>67.75</v>
      </c>
      <c r="C566" s="58" t="str">
        <f t="shared" si="78"/>
        <v/>
      </c>
      <c r="D566" s="58" t="str">
        <f t="shared" si="81"/>
        <v/>
      </c>
      <c r="E566" s="30">
        <f t="shared" si="76"/>
        <v>7.1696666891603617E-2</v>
      </c>
      <c r="F566" s="30">
        <f t="shared" si="80"/>
        <v>7.1696666891603617E-2</v>
      </c>
      <c r="G566" s="30">
        <f t="shared" si="80"/>
        <v>7.1696666891603617E-2</v>
      </c>
      <c r="H566" s="30">
        <f t="shared" si="80"/>
        <v>7.1696666891603617E-2</v>
      </c>
      <c r="I566" s="30" t="str">
        <f t="shared" si="82"/>
        <v/>
      </c>
    </row>
    <row r="567" spans="1:9" x14ac:dyDescent="0.25">
      <c r="A567" s="30">
        <f t="shared" si="77"/>
        <v>-1</v>
      </c>
      <c r="B567" s="94">
        <f>INT((ROWS(B$11:B567)-1)/20)+40+0.05*MOD(ROWS(B$11:B567)-1,20)</f>
        <v>67.8</v>
      </c>
      <c r="C567" s="58" t="str">
        <f t="shared" si="78"/>
        <v/>
      </c>
      <c r="D567" s="58" t="str">
        <f t="shared" si="81"/>
        <v/>
      </c>
      <c r="E567" s="30">
        <f t="shared" si="76"/>
        <v>7.2422888190370641E-2</v>
      </c>
      <c r="F567" s="30">
        <f t="shared" si="80"/>
        <v>7.2422888190370641E-2</v>
      </c>
      <c r="G567" s="30">
        <f t="shared" si="80"/>
        <v>7.2422888190370641E-2</v>
      </c>
      <c r="H567" s="30">
        <f t="shared" si="80"/>
        <v>7.2422888190370641E-2</v>
      </c>
      <c r="I567" s="30" t="str">
        <f t="shared" si="82"/>
        <v/>
      </c>
    </row>
    <row r="568" spans="1:9" x14ac:dyDescent="0.25">
      <c r="A568" s="30">
        <f t="shared" si="77"/>
        <v>-1</v>
      </c>
      <c r="B568" s="94">
        <f>INT((ROWS(B$11:B568)-1)/20)+40+0.05*MOD(ROWS(B$11:B568)-1,20)</f>
        <v>67.849999999999994</v>
      </c>
      <c r="C568" s="58" t="str">
        <f t="shared" si="78"/>
        <v/>
      </c>
      <c r="D568" s="58" t="str">
        <f t="shared" si="81"/>
        <v/>
      </c>
      <c r="E568" s="30">
        <f t="shared" si="76"/>
        <v>7.3145035638265868E-2</v>
      </c>
      <c r="F568" s="30">
        <f t="shared" si="80"/>
        <v>7.3145035638265868E-2</v>
      </c>
      <c r="G568" s="30">
        <f t="shared" si="80"/>
        <v>7.3145035638265868E-2</v>
      </c>
      <c r="H568" s="30">
        <f t="shared" si="80"/>
        <v>7.3145035638265868E-2</v>
      </c>
      <c r="I568" s="30" t="str">
        <f t="shared" si="82"/>
        <v/>
      </c>
    </row>
    <row r="569" spans="1:9" x14ac:dyDescent="0.25">
      <c r="A569" s="30">
        <f t="shared" si="77"/>
        <v>-1</v>
      </c>
      <c r="B569" s="94">
        <f>INT((ROWS(B$11:B569)-1)/20)+40+0.05*MOD(ROWS(B$11:B569)-1,20)</f>
        <v>67.900000000000006</v>
      </c>
      <c r="C569" s="58" t="str">
        <f t="shared" si="78"/>
        <v/>
      </c>
      <c r="D569" s="58" t="str">
        <f t="shared" si="81"/>
        <v/>
      </c>
      <c r="E569" s="30">
        <f t="shared" si="76"/>
        <v>7.3862841835390824E-2</v>
      </c>
      <c r="F569" s="30">
        <f t="shared" si="80"/>
        <v>7.3862841835390824E-2</v>
      </c>
      <c r="G569" s="30">
        <f t="shared" si="80"/>
        <v>7.3862841835390824E-2</v>
      </c>
      <c r="H569" s="30">
        <f t="shared" si="80"/>
        <v>7.3862841835390824E-2</v>
      </c>
      <c r="I569" s="30" t="str">
        <f t="shared" si="82"/>
        <v/>
      </c>
    </row>
    <row r="570" spans="1:9" x14ac:dyDescent="0.25">
      <c r="A570" s="30">
        <f t="shared" si="77"/>
        <v>-1</v>
      </c>
      <c r="B570" s="94">
        <f>INT((ROWS(B$11:B570)-1)/20)+40+0.05*MOD(ROWS(B$11:B570)-1,20)</f>
        <v>67.95</v>
      </c>
      <c r="C570" s="58" t="str">
        <f t="shared" si="78"/>
        <v/>
      </c>
      <c r="D570" s="58" t="str">
        <f t="shared" si="81"/>
        <v/>
      </c>
      <c r="E570" s="30">
        <f t="shared" si="76"/>
        <v>7.4576038781557746E-2</v>
      </c>
      <c r="F570" s="30">
        <f t="shared" si="80"/>
        <v>7.4576038781557746E-2</v>
      </c>
      <c r="G570" s="30">
        <f t="shared" si="80"/>
        <v>7.4576038781557746E-2</v>
      </c>
      <c r="H570" s="30">
        <f t="shared" si="80"/>
        <v>7.4576038781557746E-2</v>
      </c>
      <c r="I570" s="30" t="str">
        <f t="shared" si="82"/>
        <v/>
      </c>
    </row>
    <row r="571" spans="1:9" x14ac:dyDescent="0.25">
      <c r="A571" s="30">
        <f t="shared" si="77"/>
        <v>-0.75</v>
      </c>
      <c r="B571" s="94">
        <f>INT((ROWS(B$11:B571)-1)/20)+40+0.05*MOD(ROWS(B$11:B571)-1,20)</f>
        <v>68</v>
      </c>
      <c r="C571" s="58" t="str">
        <f t="shared" si="78"/>
        <v/>
      </c>
      <c r="D571" s="58" t="str">
        <f t="shared" si="81"/>
        <v/>
      </c>
      <c r="E571" s="30">
        <f t="shared" si="76"/>
        <v>7.5284358038701107E-2</v>
      </c>
      <c r="F571" s="30">
        <f t="shared" ref="F571:H590" si="83">IF(AND($B571&gt;=F$7,$B571&lt;=F$8),E571,"")</f>
        <v>7.5284358038701107E-2</v>
      </c>
      <c r="G571" s="30">
        <f t="shared" si="83"/>
        <v>7.5284358038701107E-2</v>
      </c>
      <c r="H571" s="30">
        <f t="shared" si="83"/>
        <v>7.5284358038701107E-2</v>
      </c>
      <c r="I571" s="30" t="str">
        <f t="shared" si="82"/>
        <v/>
      </c>
    </row>
    <row r="572" spans="1:9" x14ac:dyDescent="0.25">
      <c r="A572" s="30">
        <f t="shared" si="77"/>
        <v>-0.75</v>
      </c>
      <c r="B572" s="94">
        <f>INT((ROWS(B$11:B572)-1)/20)+40+0.05*MOD(ROWS(B$11:B572)-1,20)</f>
        <v>68.05</v>
      </c>
      <c r="C572" s="58" t="str">
        <f t="shared" si="78"/>
        <v/>
      </c>
      <c r="D572" s="58" t="str">
        <f t="shared" si="81"/>
        <v/>
      </c>
      <c r="E572" s="30">
        <f t="shared" si="76"/>
        <v>7.5987530895211652E-2</v>
      </c>
      <c r="F572" s="30">
        <f t="shared" si="83"/>
        <v>7.5987530895211652E-2</v>
      </c>
      <c r="G572" s="30">
        <f t="shared" si="83"/>
        <v>7.5987530895211652E-2</v>
      </c>
      <c r="H572" s="30">
        <f t="shared" si="83"/>
        <v>7.5987530895211652E-2</v>
      </c>
      <c r="I572" s="30" t="str">
        <f t="shared" si="82"/>
        <v/>
      </c>
    </row>
    <row r="573" spans="1:9" x14ac:dyDescent="0.25">
      <c r="A573" s="30">
        <f t="shared" si="77"/>
        <v>-0.75</v>
      </c>
      <c r="B573" s="94">
        <f>INT((ROWS(B$11:B573)-1)/20)+40+0.05*MOD(ROWS(B$11:B573)-1,20)</f>
        <v>68.099999999999994</v>
      </c>
      <c r="C573" s="58" t="str">
        <f t="shared" si="78"/>
        <v/>
      </c>
      <c r="D573" s="58" t="str">
        <f t="shared" si="81"/>
        <v/>
      </c>
      <c r="E573" s="30">
        <f t="shared" si="76"/>
        <v>7.6685288532059914E-2</v>
      </c>
      <c r="F573" s="30">
        <f t="shared" si="83"/>
        <v>7.6685288532059914E-2</v>
      </c>
      <c r="G573" s="30">
        <f t="shared" si="83"/>
        <v>7.6685288532059914E-2</v>
      </c>
      <c r="H573" s="30">
        <f t="shared" si="83"/>
        <v>7.6685288532059914E-2</v>
      </c>
      <c r="I573" s="30" t="str">
        <f t="shared" si="82"/>
        <v/>
      </c>
    </row>
    <row r="574" spans="1:9" x14ac:dyDescent="0.25">
      <c r="A574" s="30">
        <f t="shared" si="77"/>
        <v>-0.75</v>
      </c>
      <c r="B574" s="94">
        <f>INT((ROWS(B$11:B574)-1)/20)+40+0.05*MOD(ROWS(B$11:B574)-1,20)</f>
        <v>68.150000000000006</v>
      </c>
      <c r="C574" s="58" t="str">
        <f t="shared" si="78"/>
        <v/>
      </c>
      <c r="D574" s="58" t="str">
        <f t="shared" si="81"/>
        <v/>
      </c>
      <c r="E574" s="30">
        <f t="shared" si="76"/>
        <v>7.7377362190568594E-2</v>
      </c>
      <c r="F574" s="30">
        <f t="shared" si="83"/>
        <v>7.7377362190568594E-2</v>
      </c>
      <c r="G574" s="30">
        <f t="shared" si="83"/>
        <v>7.7377362190568594E-2</v>
      </c>
      <c r="H574" s="30">
        <f t="shared" si="83"/>
        <v>7.7377362190568594E-2</v>
      </c>
      <c r="I574" s="30" t="str">
        <f t="shared" si="82"/>
        <v/>
      </c>
    </row>
    <row r="575" spans="1:9" x14ac:dyDescent="0.25">
      <c r="A575" s="30">
        <f t="shared" si="77"/>
        <v>-0.75</v>
      </c>
      <c r="B575" s="94">
        <f>INT((ROWS(B$11:B575)-1)/20)+40+0.05*MOD(ROWS(B$11:B575)-1,20)</f>
        <v>68.2</v>
      </c>
      <c r="C575" s="58" t="str">
        <f t="shared" si="78"/>
        <v/>
      </c>
      <c r="D575" s="58" t="str">
        <f t="shared" si="81"/>
        <v/>
      </c>
      <c r="E575" s="30">
        <f t="shared" si="76"/>
        <v>7.806348334169036E-2</v>
      </c>
      <c r="F575" s="30">
        <f t="shared" si="83"/>
        <v>7.806348334169036E-2</v>
      </c>
      <c r="G575" s="30">
        <f t="shared" si="83"/>
        <v>7.806348334169036E-2</v>
      </c>
      <c r="H575" s="30">
        <f t="shared" si="83"/>
        <v>7.806348334169036E-2</v>
      </c>
      <c r="I575" s="30" t="str">
        <f t="shared" si="82"/>
        <v/>
      </c>
    </row>
    <row r="576" spans="1:9" x14ac:dyDescent="0.25">
      <c r="A576" s="30">
        <f t="shared" si="77"/>
        <v>-0.75</v>
      </c>
      <c r="B576" s="94">
        <f>INT((ROWS(B$11:B576)-1)/20)+40+0.05*MOD(ROWS(B$11:B576)-1,20)</f>
        <v>68.25</v>
      </c>
      <c r="C576" s="58" t="str">
        <f t="shared" si="78"/>
        <v/>
      </c>
      <c r="D576" s="58" t="str">
        <f t="shared" si="81"/>
        <v/>
      </c>
      <c r="E576" s="30">
        <f t="shared" si="76"/>
        <v>7.8743383856648336E-2</v>
      </c>
      <c r="F576" s="30">
        <f t="shared" si="83"/>
        <v>7.8743383856648336E-2</v>
      </c>
      <c r="G576" s="30">
        <f t="shared" si="83"/>
        <v>7.8743383856648336E-2</v>
      </c>
      <c r="H576" s="30">
        <f t="shared" si="83"/>
        <v>7.8743383856648336E-2</v>
      </c>
      <c r="I576" s="30" t="str">
        <f t="shared" si="82"/>
        <v/>
      </c>
    </row>
    <row r="577" spans="1:9" x14ac:dyDescent="0.25">
      <c r="A577" s="30">
        <f t="shared" si="77"/>
        <v>-0.75</v>
      </c>
      <c r="B577" s="94">
        <f>INT((ROWS(B$11:B577)-1)/20)+40+0.05*MOD(ROWS(B$11:B577)-1,20)</f>
        <v>68.3</v>
      </c>
      <c r="C577" s="58" t="str">
        <f t="shared" si="78"/>
        <v/>
      </c>
      <c r="D577" s="58" t="str">
        <f t="shared" si="81"/>
        <v/>
      </c>
      <c r="E577" s="30">
        <f t="shared" si="76"/>
        <v>7.9416796178787011E-2</v>
      </c>
      <c r="F577" s="30">
        <f t="shared" si="83"/>
        <v>7.9416796178787011E-2</v>
      </c>
      <c r="G577" s="30">
        <f t="shared" si="83"/>
        <v>7.9416796178787011E-2</v>
      </c>
      <c r="H577" s="30">
        <f t="shared" si="83"/>
        <v>7.9416796178787011E-2</v>
      </c>
      <c r="I577" s="30" t="str">
        <f t="shared" si="82"/>
        <v/>
      </c>
    </row>
    <row r="578" spans="1:9" x14ac:dyDescent="0.25">
      <c r="A578" s="30">
        <f t="shared" si="77"/>
        <v>-0.75</v>
      </c>
      <c r="B578" s="94">
        <f>INT((ROWS(B$11:B578)-1)/20)+40+0.05*MOD(ROWS(B$11:B578)-1,20)</f>
        <v>68.349999999999994</v>
      </c>
      <c r="C578" s="58" t="str">
        <f t="shared" si="78"/>
        <v/>
      </c>
      <c r="D578" s="58" t="str">
        <f t="shared" si="81"/>
        <v/>
      </c>
      <c r="E578" s="30">
        <f t="shared" si="76"/>
        <v>8.0083453496485532E-2</v>
      </c>
      <c r="F578" s="30">
        <f t="shared" si="83"/>
        <v>8.0083453496485532E-2</v>
      </c>
      <c r="G578" s="30">
        <f t="shared" si="83"/>
        <v>8.0083453496485532E-2</v>
      </c>
      <c r="H578" s="30">
        <f t="shared" si="83"/>
        <v>8.0083453496485532E-2</v>
      </c>
      <c r="I578" s="30" t="str">
        <f t="shared" si="82"/>
        <v/>
      </c>
    </row>
    <row r="579" spans="1:9" x14ac:dyDescent="0.25">
      <c r="A579" s="30">
        <f t="shared" si="77"/>
        <v>-0.75</v>
      </c>
      <c r="B579" s="94">
        <f>INT((ROWS(B$11:B579)-1)/20)+40+0.05*MOD(ROWS(B$11:B579)-1,20)</f>
        <v>68.400000000000006</v>
      </c>
      <c r="C579" s="58" t="str">
        <f t="shared" si="78"/>
        <v/>
      </c>
      <c r="D579" s="58" t="str">
        <f t="shared" si="81"/>
        <v/>
      </c>
      <c r="E579" s="30">
        <f t="shared" si="76"/>
        <v>8.074308991697865E-2</v>
      </c>
      <c r="F579" s="30">
        <f t="shared" si="83"/>
        <v>8.074308991697865E-2</v>
      </c>
      <c r="G579" s="30">
        <f t="shared" si="83"/>
        <v>8.074308991697865E-2</v>
      </c>
      <c r="H579" s="30">
        <f t="shared" si="83"/>
        <v>8.074308991697865E-2</v>
      </c>
      <c r="I579" s="30" t="str">
        <f t="shared" si="82"/>
        <v/>
      </c>
    </row>
    <row r="580" spans="1:9" x14ac:dyDescent="0.25">
      <c r="A580" s="30">
        <f t="shared" si="77"/>
        <v>-0.75</v>
      </c>
      <c r="B580" s="94">
        <f>INT((ROWS(B$11:B580)-1)/20)+40+0.05*MOD(ROWS(B$11:B580)-1,20)</f>
        <v>68.45</v>
      </c>
      <c r="C580" s="58" t="str">
        <f t="shared" si="78"/>
        <v/>
      </c>
      <c r="D580" s="58" t="str">
        <f t="shared" si="81"/>
        <v/>
      </c>
      <c r="E580" s="30">
        <f t="shared" si="76"/>
        <v>8.1395440640928754E-2</v>
      </c>
      <c r="F580" s="30">
        <f t="shared" si="83"/>
        <v>8.1395440640928754E-2</v>
      </c>
      <c r="G580" s="30">
        <f t="shared" si="83"/>
        <v>8.1395440640928754E-2</v>
      </c>
      <c r="H580" s="30">
        <f t="shared" si="83"/>
        <v>8.1395440640928754E-2</v>
      </c>
      <c r="I580" s="30" t="str">
        <f t="shared" si="82"/>
        <v/>
      </c>
    </row>
    <row r="581" spans="1:9" x14ac:dyDescent="0.25">
      <c r="A581" s="30">
        <f t="shared" si="77"/>
        <v>-0.75</v>
      </c>
      <c r="B581" s="94">
        <f>INT((ROWS(B$11:B581)-1)/20)+40+0.05*MOD(ROWS(B$11:B581)-1,20)</f>
        <v>68.5</v>
      </c>
      <c r="C581" s="58" t="str">
        <f t="shared" si="78"/>
        <v/>
      </c>
      <c r="D581" s="58" t="str">
        <f t="shared" si="81"/>
        <v/>
      </c>
      <c r="E581" s="30">
        <f t="shared" si="76"/>
        <v>8.2040242137593769E-2</v>
      </c>
      <c r="F581" s="30">
        <f t="shared" si="83"/>
        <v>8.2040242137593769E-2</v>
      </c>
      <c r="G581" s="30">
        <f t="shared" si="83"/>
        <v>8.2040242137593769E-2</v>
      </c>
      <c r="H581" s="30">
        <f t="shared" si="83"/>
        <v>8.2040242137593769E-2</v>
      </c>
      <c r="I581" s="30" t="str">
        <f t="shared" si="82"/>
        <v/>
      </c>
    </row>
    <row r="582" spans="1:9" x14ac:dyDescent="0.25">
      <c r="A582" s="30">
        <f t="shared" si="77"/>
        <v>-0.75</v>
      </c>
      <c r="B582" s="94">
        <f>INT((ROWS(B$11:B582)-1)/20)+40+0.05*MOD(ROWS(B$11:B582)-1,20)</f>
        <v>68.55</v>
      </c>
      <c r="C582" s="58" t="str">
        <f t="shared" si="78"/>
        <v/>
      </c>
      <c r="D582" s="58" t="str">
        <f t="shared" si="81"/>
        <v/>
      </c>
      <c r="E582" s="30">
        <f t="shared" si="76"/>
        <v>8.2677232320426911E-2</v>
      </c>
      <c r="F582" s="30">
        <f t="shared" si="83"/>
        <v>8.2677232320426911E-2</v>
      </c>
      <c r="G582" s="30">
        <f t="shared" si="83"/>
        <v>8.2677232320426911E-2</v>
      </c>
      <c r="H582" s="30">
        <f t="shared" si="83"/>
        <v>8.2677232320426911E-2</v>
      </c>
      <c r="I582" s="30" t="str">
        <f t="shared" si="82"/>
        <v/>
      </c>
    </row>
    <row r="583" spans="1:9" x14ac:dyDescent="0.25">
      <c r="A583" s="30">
        <f t="shared" si="77"/>
        <v>-0.75</v>
      </c>
      <c r="B583" s="94">
        <f>INT((ROWS(B$11:B583)-1)/20)+40+0.05*MOD(ROWS(B$11:B583)-1,20)</f>
        <v>68.599999999999994</v>
      </c>
      <c r="C583" s="58" t="str">
        <f t="shared" si="78"/>
        <v/>
      </c>
      <c r="D583" s="58" t="str">
        <f t="shared" si="81"/>
        <v/>
      </c>
      <c r="E583" s="30">
        <f t="shared" si="76"/>
        <v>8.3306150722949848E-2</v>
      </c>
      <c r="F583" s="30">
        <f t="shared" si="83"/>
        <v>8.3306150722949848E-2</v>
      </c>
      <c r="G583" s="30">
        <f t="shared" si="83"/>
        <v>8.3306150722949848E-2</v>
      </c>
      <c r="H583" s="30">
        <f t="shared" si="83"/>
        <v>8.3306150722949848E-2</v>
      </c>
      <c r="I583" s="30" t="str">
        <f t="shared" si="82"/>
        <v/>
      </c>
    </row>
    <row r="584" spans="1:9" x14ac:dyDescent="0.25">
      <c r="A584" s="30">
        <f t="shared" si="77"/>
        <v>-0.75</v>
      </c>
      <c r="B584" s="94">
        <f>INT((ROWS(B$11:B584)-1)/20)+40+0.05*MOD(ROWS(B$11:B584)-1,20)</f>
        <v>68.650000000000006</v>
      </c>
      <c r="C584" s="58" t="str">
        <f t="shared" si="78"/>
        <v/>
      </c>
      <c r="D584" s="58" t="str">
        <f t="shared" si="81"/>
        <v/>
      </c>
      <c r="E584" s="30">
        <f t="shared" si="76"/>
        <v>8.3926738674734436E-2</v>
      </c>
      <c r="F584" s="30">
        <f t="shared" si="83"/>
        <v>8.3926738674734436E-2</v>
      </c>
      <c r="G584" s="30">
        <f t="shared" si="83"/>
        <v>8.3926738674734436E-2</v>
      </c>
      <c r="H584" s="30">
        <f t="shared" si="83"/>
        <v>8.3926738674734436E-2</v>
      </c>
      <c r="I584" s="30" t="str">
        <f t="shared" si="82"/>
        <v/>
      </c>
    </row>
    <row r="585" spans="1:9" x14ac:dyDescent="0.25">
      <c r="A585" s="30">
        <f t="shared" si="77"/>
        <v>-0.75</v>
      </c>
      <c r="B585" s="94">
        <f>INT((ROWS(B$11:B585)-1)/20)+40+0.05*MOD(ROWS(B$11:B585)-1,20)</f>
        <v>68.7</v>
      </c>
      <c r="C585" s="58" t="str">
        <f t="shared" si="78"/>
        <v/>
      </c>
      <c r="D585" s="58" t="str">
        <f t="shared" si="81"/>
        <v/>
      </c>
      <c r="E585" s="30">
        <f t="shared" si="76"/>
        <v>8.4538739477327887E-2</v>
      </c>
      <c r="F585" s="30">
        <f t="shared" si="83"/>
        <v>8.4538739477327887E-2</v>
      </c>
      <c r="G585" s="30">
        <f t="shared" si="83"/>
        <v>8.4538739477327887E-2</v>
      </c>
      <c r="H585" s="30">
        <f t="shared" si="83"/>
        <v>8.4538739477327887E-2</v>
      </c>
      <c r="I585" s="30" t="str">
        <f t="shared" si="82"/>
        <v/>
      </c>
    </row>
    <row r="586" spans="1:9" x14ac:dyDescent="0.25">
      <c r="A586" s="30">
        <f t="shared" si="77"/>
        <v>-0.75</v>
      </c>
      <c r="B586" s="94">
        <f>INT((ROWS(B$11:B586)-1)/20)+40+0.05*MOD(ROWS(B$11:B586)-1,20)</f>
        <v>68.75</v>
      </c>
      <c r="C586" s="58" t="str">
        <f t="shared" si="78"/>
        <v/>
      </c>
      <c r="D586" s="58" t="str">
        <f t="shared" si="81"/>
        <v/>
      </c>
      <c r="E586" s="30">
        <f t="shared" si="76"/>
        <v>8.5141898579957673E-2</v>
      </c>
      <c r="F586" s="30">
        <f t="shared" si="83"/>
        <v>8.5141898579957673E-2</v>
      </c>
      <c r="G586" s="30">
        <f t="shared" si="83"/>
        <v>8.5141898579957673E-2</v>
      </c>
      <c r="H586" s="30">
        <f t="shared" si="83"/>
        <v>8.5141898579957673E-2</v>
      </c>
      <c r="I586" s="30" t="str">
        <f t="shared" si="82"/>
        <v/>
      </c>
    </row>
    <row r="587" spans="1:9" x14ac:dyDescent="0.25">
      <c r="A587" s="30">
        <f t="shared" si="77"/>
        <v>-0.75</v>
      </c>
      <c r="B587" s="94">
        <f>INT((ROWS(B$11:B587)-1)/20)+40+0.05*MOD(ROWS(B$11:B587)-1,20)</f>
        <v>68.8</v>
      </c>
      <c r="C587" s="58" t="str">
        <f t="shared" si="78"/>
        <v/>
      </c>
      <c r="D587" s="58" t="str">
        <f t="shared" si="81"/>
        <v/>
      </c>
      <c r="E587" s="30">
        <f t="shared" ref="E587:E650" si="84">_xlfn.NORM.DIST(B587,$F$1,$F$2,0)</f>
        <v>8.5735963754845948E-2</v>
      </c>
      <c r="F587" s="30">
        <f t="shared" si="83"/>
        <v>8.5735963754845948E-2</v>
      </c>
      <c r="G587" s="30">
        <f t="shared" si="83"/>
        <v>8.5735963754845948E-2</v>
      </c>
      <c r="H587" s="30">
        <f t="shared" si="83"/>
        <v>8.5735963754845948E-2</v>
      </c>
      <c r="I587" s="30" t="str">
        <f t="shared" si="82"/>
        <v/>
      </c>
    </row>
    <row r="588" spans="1:9" x14ac:dyDescent="0.25">
      <c r="A588" s="30">
        <f t="shared" ref="A588:A651" si="85">(INT(B588)-$F$1)/$F$2</f>
        <v>-0.75</v>
      </c>
      <c r="B588" s="94">
        <f>INT((ROWS(B$11:B588)-1)/20)+40+0.05*MOD(ROWS(B$11:B588)-1,20)</f>
        <v>68.849999999999994</v>
      </c>
      <c r="C588" s="58" t="str">
        <f t="shared" ref="C588:C651" si="86">IF(AND(A588&lt;&gt;A587,INT(A588)=A588),A588,"")</f>
        <v/>
      </c>
      <c r="D588" s="58" t="str">
        <f t="shared" si="81"/>
        <v/>
      </c>
      <c r="E588" s="30">
        <f t="shared" si="84"/>
        <v>8.6320685271968206E-2</v>
      </c>
      <c r="F588" s="30">
        <f t="shared" si="83"/>
        <v>8.6320685271968206E-2</v>
      </c>
      <c r="G588" s="30">
        <f t="shared" si="83"/>
        <v>8.6320685271968206E-2</v>
      </c>
      <c r="H588" s="30">
        <f t="shared" si="83"/>
        <v>8.6320685271968206E-2</v>
      </c>
      <c r="I588" s="30" t="str">
        <f t="shared" si="82"/>
        <v/>
      </c>
    </row>
    <row r="589" spans="1:9" x14ac:dyDescent="0.25">
      <c r="A589" s="30">
        <f t="shared" si="85"/>
        <v>-0.75</v>
      </c>
      <c r="B589" s="94">
        <f>INT((ROWS(B$11:B589)-1)/20)+40+0.05*MOD(ROWS(B$11:B589)-1,20)</f>
        <v>68.900000000000006</v>
      </c>
      <c r="C589" s="58" t="str">
        <f t="shared" si="86"/>
        <v/>
      </c>
      <c r="D589" s="58" t="str">
        <f t="shared" si="81"/>
        <v/>
      </c>
      <c r="E589" s="30">
        <f t="shared" si="84"/>
        <v>8.6895816073087093E-2</v>
      </c>
      <c r="F589" s="30">
        <f t="shared" si="83"/>
        <v>8.6895816073087093E-2</v>
      </c>
      <c r="G589" s="30">
        <f t="shared" si="83"/>
        <v>8.6895816073087093E-2</v>
      </c>
      <c r="H589" s="30">
        <f t="shared" si="83"/>
        <v>8.6895816073087093E-2</v>
      </c>
      <c r="I589" s="30" t="str">
        <f t="shared" si="82"/>
        <v/>
      </c>
    </row>
    <row r="590" spans="1:9" x14ac:dyDescent="0.25">
      <c r="A590" s="30">
        <f t="shared" si="85"/>
        <v>-0.75</v>
      </c>
      <c r="B590" s="94">
        <f>INT((ROWS(B$11:B590)-1)/20)+40+0.05*MOD(ROWS(B$11:B590)-1,20)</f>
        <v>68.95</v>
      </c>
      <c r="C590" s="58" t="str">
        <f t="shared" si="86"/>
        <v/>
      </c>
      <c r="D590" s="58" t="str">
        <f t="shared" si="81"/>
        <v/>
      </c>
      <c r="E590" s="30">
        <f t="shared" si="84"/>
        <v>8.7461111944891493E-2</v>
      </c>
      <c r="F590" s="30">
        <f t="shared" si="83"/>
        <v>8.7461111944891493E-2</v>
      </c>
      <c r="G590" s="30">
        <f t="shared" si="83"/>
        <v>8.7461111944891493E-2</v>
      </c>
      <c r="H590" s="30">
        <f t="shared" si="83"/>
        <v>8.7461111944891493E-2</v>
      </c>
      <c r="I590" s="30" t="str">
        <f t="shared" si="82"/>
        <v/>
      </c>
    </row>
    <row r="591" spans="1:9" x14ac:dyDescent="0.25">
      <c r="A591" s="30">
        <f t="shared" si="85"/>
        <v>-0.5</v>
      </c>
      <c r="B591" s="94">
        <f>INT((ROWS(B$11:B591)-1)/20)+40+0.05*MOD(ROWS(B$11:B591)-1,20)</f>
        <v>69</v>
      </c>
      <c r="C591" s="58" t="str">
        <f t="shared" si="86"/>
        <v/>
      </c>
      <c r="D591" s="58" t="str">
        <f t="shared" si="81"/>
        <v/>
      </c>
      <c r="E591" s="30">
        <f t="shared" si="84"/>
        <v>8.8016331691074881E-2</v>
      </c>
      <c r="F591" s="30">
        <f t="shared" ref="F591:H610" si="87">IF(AND($B591&gt;=F$7,$B591&lt;=F$8),E591,"")</f>
        <v>8.8016331691074881E-2</v>
      </c>
      <c r="G591" s="30">
        <f t="shared" si="87"/>
        <v>8.8016331691074881E-2</v>
      </c>
      <c r="H591" s="30">
        <f t="shared" si="87"/>
        <v>8.8016331691074881E-2</v>
      </c>
      <c r="I591" s="30" t="str">
        <f t="shared" si="82"/>
        <v/>
      </c>
    </row>
    <row r="592" spans="1:9" x14ac:dyDescent="0.25">
      <c r="A592" s="30">
        <f t="shared" si="85"/>
        <v>-0.5</v>
      </c>
      <c r="B592" s="94">
        <f>INT((ROWS(B$11:B592)-1)/20)+40+0.05*MOD(ROWS(B$11:B592)-1,20)</f>
        <v>69.05</v>
      </c>
      <c r="C592" s="58" t="str">
        <f t="shared" si="86"/>
        <v/>
      </c>
      <c r="D592" s="58" t="str">
        <f t="shared" si="81"/>
        <v/>
      </c>
      <c r="E592" s="30">
        <f t="shared" si="84"/>
        <v>8.8561237303180246E-2</v>
      </c>
      <c r="F592" s="30">
        <f t="shared" si="87"/>
        <v>8.8561237303180246E-2</v>
      </c>
      <c r="G592" s="30">
        <f t="shared" si="87"/>
        <v>8.8561237303180246E-2</v>
      </c>
      <c r="H592" s="30">
        <f t="shared" si="87"/>
        <v>8.8561237303180246E-2</v>
      </c>
      <c r="I592" s="30" t="str">
        <f t="shared" si="82"/>
        <v/>
      </c>
    </row>
    <row r="593" spans="1:9" x14ac:dyDescent="0.25">
      <c r="A593" s="30">
        <f t="shared" si="85"/>
        <v>-0.5</v>
      </c>
      <c r="B593" s="94">
        <f>INT((ROWS(B$11:B593)-1)/20)+40+0.05*MOD(ROWS(B$11:B593)-1,20)</f>
        <v>69.099999999999994</v>
      </c>
      <c r="C593" s="58" t="str">
        <f t="shared" si="86"/>
        <v/>
      </c>
      <c r="D593" s="58" t="str">
        <f t="shared" si="81"/>
        <v/>
      </c>
      <c r="E593" s="30">
        <f t="shared" si="84"/>
        <v>8.9095594130045752E-2</v>
      </c>
      <c r="F593" s="30">
        <f t="shared" si="87"/>
        <v>8.9095594130045752E-2</v>
      </c>
      <c r="G593" s="30">
        <f t="shared" si="87"/>
        <v>8.9095594130045752E-2</v>
      </c>
      <c r="H593" s="30">
        <f t="shared" si="87"/>
        <v>8.9095594130045752E-2</v>
      </c>
      <c r="I593" s="30" t="str">
        <f t="shared" si="82"/>
        <v/>
      </c>
    </row>
    <row r="594" spans="1:9" x14ac:dyDescent="0.25">
      <c r="A594" s="30">
        <f t="shared" si="85"/>
        <v>-0.5</v>
      </c>
      <c r="B594" s="94">
        <f>INT((ROWS(B$11:B594)-1)/20)+40+0.05*MOD(ROWS(B$11:B594)-1,20)</f>
        <v>69.150000000000006</v>
      </c>
      <c r="C594" s="58" t="str">
        <f t="shared" si="86"/>
        <v/>
      </c>
      <c r="D594" s="58" t="str">
        <f t="shared" si="81"/>
        <v/>
      </c>
      <c r="E594" s="30">
        <f t="shared" si="84"/>
        <v>8.9619171045681928E-2</v>
      </c>
      <c r="F594" s="30">
        <f t="shared" si="87"/>
        <v>8.9619171045681928E-2</v>
      </c>
      <c r="G594" s="30">
        <f t="shared" si="87"/>
        <v>8.9619171045681928E-2</v>
      </c>
      <c r="H594" s="30">
        <f t="shared" si="87"/>
        <v>8.9619171045681928E-2</v>
      </c>
      <c r="I594" s="30" t="str">
        <f t="shared" si="82"/>
        <v/>
      </c>
    </row>
    <row r="595" spans="1:9" x14ac:dyDescent="0.25">
      <c r="A595" s="30">
        <f t="shared" si="85"/>
        <v>-0.5</v>
      </c>
      <c r="B595" s="94">
        <f>INT((ROWS(B$11:B595)-1)/20)+40+0.05*MOD(ROWS(B$11:B595)-1,20)</f>
        <v>69.2</v>
      </c>
      <c r="C595" s="58" t="str">
        <f t="shared" si="86"/>
        <v/>
      </c>
      <c r="D595" s="58" t="str">
        <f t="shared" si="81"/>
        <v/>
      </c>
      <c r="E595" s="30">
        <f t="shared" si="84"/>
        <v>9.0131740615412015E-2</v>
      </c>
      <c r="F595" s="30">
        <f t="shared" si="87"/>
        <v>9.0131740615412015E-2</v>
      </c>
      <c r="G595" s="30">
        <f t="shared" si="87"/>
        <v>9.0131740615412015E-2</v>
      </c>
      <c r="H595" s="30">
        <f t="shared" si="87"/>
        <v>9.0131740615412015E-2</v>
      </c>
      <c r="I595" s="30" t="str">
        <f t="shared" si="82"/>
        <v/>
      </c>
    </row>
    <row r="596" spans="1:9" x14ac:dyDescent="0.25">
      <c r="A596" s="30">
        <f t="shared" si="85"/>
        <v>-0.5</v>
      </c>
      <c r="B596" s="94">
        <f>INT((ROWS(B$11:B596)-1)/20)+40+0.05*MOD(ROWS(B$11:B596)-1,20)</f>
        <v>69.25</v>
      </c>
      <c r="C596" s="58" t="str">
        <f t="shared" si="86"/>
        <v/>
      </c>
      <c r="D596" s="58" t="str">
        <f t="shared" si="81"/>
        <v/>
      </c>
      <c r="E596" s="30">
        <f t="shared" si="84"/>
        <v>9.0633079260111313E-2</v>
      </c>
      <c r="F596" s="30">
        <f t="shared" si="87"/>
        <v>9.0633079260111313E-2</v>
      </c>
      <c r="G596" s="30">
        <f t="shared" si="87"/>
        <v>9.0633079260111313E-2</v>
      </c>
      <c r="H596" s="30">
        <f t="shared" si="87"/>
        <v>9.0633079260111313E-2</v>
      </c>
      <c r="I596" s="30" t="str">
        <f t="shared" si="82"/>
        <v/>
      </c>
    </row>
    <row r="597" spans="1:9" x14ac:dyDescent="0.25">
      <c r="A597" s="30">
        <f t="shared" si="85"/>
        <v>-0.5</v>
      </c>
      <c r="B597" s="94">
        <f>INT((ROWS(B$11:B597)-1)/20)+40+0.05*MOD(ROWS(B$11:B597)-1,20)</f>
        <v>69.3</v>
      </c>
      <c r="C597" s="58" t="str">
        <f t="shared" si="86"/>
        <v/>
      </c>
      <c r="D597" s="58" t="str">
        <f t="shared" si="81"/>
        <v/>
      </c>
      <c r="E597" s="30">
        <f t="shared" si="84"/>
        <v>9.1122967418376583E-2</v>
      </c>
      <c r="F597" s="30">
        <f t="shared" si="87"/>
        <v>9.1122967418376583E-2</v>
      </c>
      <c r="G597" s="30">
        <f t="shared" si="87"/>
        <v>9.1122967418376583E-2</v>
      </c>
      <c r="H597" s="30">
        <f t="shared" si="87"/>
        <v>9.1122967418376583E-2</v>
      </c>
      <c r="I597" s="30" t="str">
        <f t="shared" si="82"/>
        <v/>
      </c>
    </row>
    <row r="598" spans="1:9" x14ac:dyDescent="0.25">
      <c r="A598" s="30">
        <f t="shared" si="85"/>
        <v>-0.5</v>
      </c>
      <c r="B598" s="94">
        <f>INT((ROWS(B$11:B598)-1)/20)+40+0.05*MOD(ROWS(B$11:B598)-1,20)</f>
        <v>69.349999999999994</v>
      </c>
      <c r="C598" s="58" t="str">
        <f t="shared" si="86"/>
        <v/>
      </c>
      <c r="D598" s="58" t="str">
        <f t="shared" si="81"/>
        <v/>
      </c>
      <c r="E598" s="30">
        <f t="shared" si="84"/>
        <v>9.1601189706463873E-2</v>
      </c>
      <c r="F598" s="30">
        <f t="shared" si="87"/>
        <v>9.1601189706463873E-2</v>
      </c>
      <c r="G598" s="30">
        <f t="shared" si="87"/>
        <v>9.1601189706463873E-2</v>
      </c>
      <c r="H598" s="30">
        <f t="shared" si="87"/>
        <v>9.1601189706463873E-2</v>
      </c>
      <c r="I598" s="30" t="str">
        <f t="shared" si="82"/>
        <v/>
      </c>
    </row>
    <row r="599" spans="1:9" x14ac:dyDescent="0.25">
      <c r="A599" s="30">
        <f t="shared" si="85"/>
        <v>-0.5</v>
      </c>
      <c r="B599" s="94">
        <f>INT((ROWS(B$11:B599)-1)/20)+40+0.05*MOD(ROWS(B$11:B599)-1,20)</f>
        <v>69.400000000000006</v>
      </c>
      <c r="C599" s="58" t="str">
        <f t="shared" si="86"/>
        <v/>
      </c>
      <c r="D599" s="58" t="str">
        <f t="shared" si="81"/>
        <v/>
      </c>
      <c r="E599" s="30">
        <f t="shared" si="84"/>
        <v>9.2067535075830889E-2</v>
      </c>
      <c r="F599" s="30">
        <f t="shared" si="87"/>
        <v>9.2067535075830889E-2</v>
      </c>
      <c r="G599" s="30">
        <f t="shared" si="87"/>
        <v>9.2067535075830889E-2</v>
      </c>
      <c r="H599" s="30">
        <f t="shared" si="87"/>
        <v>9.2067535075830889E-2</v>
      </c>
      <c r="I599" s="30" t="str">
        <f t="shared" si="82"/>
        <v/>
      </c>
    </row>
    <row r="600" spans="1:9" x14ac:dyDescent="0.25">
      <c r="A600" s="30">
        <f t="shared" si="85"/>
        <v>-0.5</v>
      </c>
      <c r="B600" s="94">
        <f>INT((ROWS(B$11:B600)-1)/20)+40+0.05*MOD(ROWS(B$11:B600)-1,20)</f>
        <v>69.45</v>
      </c>
      <c r="C600" s="58" t="str">
        <f t="shared" si="86"/>
        <v/>
      </c>
      <c r="D600" s="58" t="str">
        <f t="shared" si="81"/>
        <v/>
      </c>
      <c r="E600" s="30">
        <f t="shared" si="84"/>
        <v>9.2521796968122502E-2</v>
      </c>
      <c r="F600" s="30">
        <f t="shared" si="87"/>
        <v>9.2521796968122502E-2</v>
      </c>
      <c r="G600" s="30">
        <f t="shared" si="87"/>
        <v>9.2521796968122502E-2</v>
      </c>
      <c r="H600" s="30">
        <f t="shared" si="87"/>
        <v>9.2521796968122502E-2</v>
      </c>
      <c r="I600" s="30" t="str">
        <f t="shared" si="82"/>
        <v/>
      </c>
    </row>
    <row r="601" spans="1:9" x14ac:dyDescent="0.25">
      <c r="A601" s="30">
        <f t="shared" si="85"/>
        <v>-0.5</v>
      </c>
      <c r="B601" s="94">
        <f>INT((ROWS(B$11:B601)-1)/20)+40+0.05*MOD(ROWS(B$11:B601)-1,20)</f>
        <v>69.5</v>
      </c>
      <c r="C601" s="58" t="str">
        <f t="shared" si="86"/>
        <v/>
      </c>
      <c r="D601" s="58" t="str">
        <f t="shared" si="81"/>
        <v/>
      </c>
      <c r="E601" s="30">
        <f t="shared" si="84"/>
        <v>9.2963773467442237E-2</v>
      </c>
      <c r="F601" s="30">
        <f t="shared" si="87"/>
        <v>9.2963773467442237E-2</v>
      </c>
      <c r="G601" s="30">
        <f t="shared" si="87"/>
        <v>9.2963773467442237E-2</v>
      </c>
      <c r="H601" s="30">
        <f t="shared" si="87"/>
        <v>9.2963773467442237E-2</v>
      </c>
      <c r="I601" s="30" t="str">
        <f t="shared" si="82"/>
        <v/>
      </c>
    </row>
    <row r="602" spans="1:9" x14ac:dyDescent="0.25">
      <c r="A602" s="30">
        <f t="shared" si="85"/>
        <v>-0.5</v>
      </c>
      <c r="B602" s="94">
        <f>INT((ROWS(B$11:B602)-1)/20)+40+0.05*MOD(ROWS(B$11:B602)-1,20)</f>
        <v>69.55</v>
      </c>
      <c r="C602" s="58" t="str">
        <f t="shared" si="86"/>
        <v/>
      </c>
      <c r="D602" s="58" t="str">
        <f t="shared" si="81"/>
        <v/>
      </c>
      <c r="E602" s="30">
        <f t="shared" si="84"/>
        <v>9.3393267449750142E-2</v>
      </c>
      <c r="F602" s="30">
        <f t="shared" si="87"/>
        <v>9.3393267449750142E-2</v>
      </c>
      <c r="G602" s="30">
        <f t="shared" si="87"/>
        <v>9.3393267449750142E-2</v>
      </c>
      <c r="H602" s="30">
        <f t="shared" si="87"/>
        <v>9.3393267449750142E-2</v>
      </c>
      <c r="I602" s="30" t="str">
        <f t="shared" si="82"/>
        <v/>
      </c>
    </row>
    <row r="603" spans="1:9" x14ac:dyDescent="0.25">
      <c r="A603" s="30">
        <f t="shared" si="85"/>
        <v>-0.5</v>
      </c>
      <c r="B603" s="94">
        <f>INT((ROWS(B$11:B603)-1)/20)+40+0.05*MOD(ROWS(B$11:B603)-1,20)</f>
        <v>69.599999999999994</v>
      </c>
      <c r="C603" s="58" t="str">
        <f t="shared" si="86"/>
        <v/>
      </c>
      <c r="D603" s="58" t="str">
        <f t="shared" si="81"/>
        <v/>
      </c>
      <c r="E603" s="30">
        <f t="shared" si="84"/>
        <v>9.3810086729234438E-2</v>
      </c>
      <c r="F603" s="30">
        <f t="shared" si="87"/>
        <v>9.3810086729234438E-2</v>
      </c>
      <c r="G603" s="30">
        <f t="shared" si="87"/>
        <v>9.3810086729234438E-2</v>
      </c>
      <c r="H603" s="30">
        <f t="shared" si="87"/>
        <v>9.3810086729234438E-2</v>
      </c>
      <c r="I603" s="30" t="str">
        <f t="shared" si="82"/>
        <v/>
      </c>
    </row>
    <row r="604" spans="1:9" x14ac:dyDescent="0.25">
      <c r="A604" s="30">
        <f t="shared" si="85"/>
        <v>-0.5</v>
      </c>
      <c r="B604" s="94">
        <f>INT((ROWS(B$11:B604)-1)/20)+40+0.05*MOD(ROWS(B$11:B604)-1,20)</f>
        <v>69.650000000000006</v>
      </c>
      <c r="C604" s="58" t="str">
        <f t="shared" si="86"/>
        <v/>
      </c>
      <c r="D604" s="58" t="str">
        <f t="shared" si="81"/>
        <v/>
      </c>
      <c r="E604" s="30">
        <f t="shared" si="84"/>
        <v>9.4214044201504449E-2</v>
      </c>
      <c r="F604" s="30">
        <f t="shared" si="87"/>
        <v>9.4214044201504449E-2</v>
      </c>
      <c r="G604" s="30">
        <f t="shared" si="87"/>
        <v>9.4214044201504449E-2</v>
      </c>
      <c r="H604" s="30">
        <f t="shared" si="87"/>
        <v>9.4214044201504449E-2</v>
      </c>
      <c r="I604" s="30" t="str">
        <f t="shared" si="82"/>
        <v/>
      </c>
    </row>
    <row r="605" spans="1:9" x14ac:dyDescent="0.25">
      <c r="A605" s="30">
        <f t="shared" si="85"/>
        <v>-0.5</v>
      </c>
      <c r="B605" s="94">
        <f>INT((ROWS(B$11:B605)-1)/20)+40+0.05*MOD(ROWS(B$11:B605)-1,20)</f>
        <v>69.7</v>
      </c>
      <c r="C605" s="58" t="str">
        <f t="shared" si="86"/>
        <v/>
      </c>
      <c r="D605" s="58" t="str">
        <f t="shared" si="81"/>
        <v/>
      </c>
      <c r="E605" s="30">
        <f t="shared" si="84"/>
        <v>9.460495798345489E-2</v>
      </c>
      <c r="F605" s="30">
        <f t="shared" si="87"/>
        <v>9.460495798345489E-2</v>
      </c>
      <c r="G605" s="30">
        <f t="shared" si="87"/>
        <v>9.460495798345489E-2</v>
      </c>
      <c r="H605" s="30">
        <f t="shared" si="87"/>
        <v>9.460495798345489E-2</v>
      </c>
      <c r="I605" s="30" t="str">
        <f t="shared" si="82"/>
        <v/>
      </c>
    </row>
    <row r="606" spans="1:9" x14ac:dyDescent="0.25">
      <c r="A606" s="30">
        <f t="shared" si="85"/>
        <v>-0.5</v>
      </c>
      <c r="B606" s="94">
        <f>INT((ROWS(B$11:B606)-1)/20)+40+0.05*MOD(ROWS(B$11:B606)-1,20)</f>
        <v>69.75</v>
      </c>
      <c r="C606" s="58" t="str">
        <f t="shared" si="86"/>
        <v/>
      </c>
      <c r="D606" s="58" t="str">
        <f t="shared" si="81"/>
        <v/>
      </c>
      <c r="E606" s="30">
        <f t="shared" si="84"/>
        <v>9.4982651549656946E-2</v>
      </c>
      <c r="F606" s="30">
        <f t="shared" si="87"/>
        <v>9.4982651549656946E-2</v>
      </c>
      <c r="G606" s="30">
        <f t="shared" si="87"/>
        <v>9.4982651549656946E-2</v>
      </c>
      <c r="H606" s="30">
        <f t="shared" si="87"/>
        <v>9.4982651549656946E-2</v>
      </c>
      <c r="I606" s="30" t="str">
        <f t="shared" si="82"/>
        <v/>
      </c>
    </row>
    <row r="607" spans="1:9" x14ac:dyDescent="0.25">
      <c r="A607" s="30">
        <f t="shared" si="85"/>
        <v>-0.5</v>
      </c>
      <c r="B607" s="94">
        <f>INT((ROWS(B$11:B607)-1)/20)+40+0.05*MOD(ROWS(B$11:B607)-1,20)</f>
        <v>69.8</v>
      </c>
      <c r="C607" s="58" t="str">
        <f t="shared" si="86"/>
        <v/>
      </c>
      <c r="D607" s="58" t="str">
        <f t="shared" si="81"/>
        <v/>
      </c>
      <c r="E607" s="30">
        <f t="shared" si="84"/>
        <v>9.5346953865131007E-2</v>
      </c>
      <c r="F607" s="30">
        <f t="shared" si="87"/>
        <v>9.5346953865131007E-2</v>
      </c>
      <c r="G607" s="30">
        <f t="shared" si="87"/>
        <v>9.5346953865131007E-2</v>
      </c>
      <c r="H607" s="30">
        <f t="shared" si="87"/>
        <v>9.5346953865131007E-2</v>
      </c>
      <c r="I607" s="30" t="str">
        <f t="shared" si="82"/>
        <v/>
      </c>
    </row>
    <row r="608" spans="1:9" x14ac:dyDescent="0.25">
      <c r="A608" s="30">
        <f t="shared" si="85"/>
        <v>-0.5</v>
      </c>
      <c r="B608" s="94">
        <f>INT((ROWS(B$11:B608)-1)/20)+40+0.05*MOD(ROWS(B$11:B608)-1,20)</f>
        <v>69.849999999999994</v>
      </c>
      <c r="C608" s="58" t="str">
        <f t="shared" si="86"/>
        <v/>
      </c>
      <c r="D608" s="58" t="str">
        <f t="shared" si="81"/>
        <v/>
      </c>
      <c r="E608" s="30">
        <f t="shared" si="84"/>
        <v>9.5697699514362786E-2</v>
      </c>
      <c r="F608" s="30">
        <f t="shared" si="87"/>
        <v>9.5697699514362786E-2</v>
      </c>
      <c r="G608" s="30">
        <f t="shared" si="87"/>
        <v>9.5697699514362786E-2</v>
      </c>
      <c r="H608" s="30">
        <f t="shared" si="87"/>
        <v>9.5697699514362786E-2</v>
      </c>
      <c r="I608" s="30" t="str">
        <f t="shared" si="82"/>
        <v/>
      </c>
    </row>
    <row r="609" spans="1:9" x14ac:dyDescent="0.25">
      <c r="A609" s="30">
        <f t="shared" si="85"/>
        <v>-0.5</v>
      </c>
      <c r="B609" s="94">
        <f>INT((ROWS(B$11:B609)-1)/20)+40+0.05*MOD(ROWS(B$11:B609)-1,20)</f>
        <v>69.900000000000006</v>
      </c>
      <c r="C609" s="58" t="str">
        <f t="shared" si="86"/>
        <v/>
      </c>
      <c r="D609" s="58" t="str">
        <f t="shared" si="81"/>
        <v/>
      </c>
      <c r="E609" s="30">
        <f t="shared" si="84"/>
        <v>9.6034728826426233E-2</v>
      </c>
      <c r="F609" s="30">
        <f t="shared" si="87"/>
        <v>9.6034728826426233E-2</v>
      </c>
      <c r="G609" s="30">
        <f t="shared" si="87"/>
        <v>9.6034728826426233E-2</v>
      </c>
      <c r="H609" s="30">
        <f t="shared" si="87"/>
        <v>9.6034728826426233E-2</v>
      </c>
      <c r="I609" s="30" t="str">
        <f t="shared" si="82"/>
        <v/>
      </c>
    </row>
    <row r="610" spans="1:9" x14ac:dyDescent="0.25">
      <c r="A610" s="30">
        <f t="shared" si="85"/>
        <v>-0.5</v>
      </c>
      <c r="B610" s="94">
        <f>INT((ROWS(B$11:B610)-1)/20)+40+0.05*MOD(ROWS(B$11:B610)-1,20)</f>
        <v>69.95</v>
      </c>
      <c r="C610" s="58" t="str">
        <f t="shared" si="86"/>
        <v/>
      </c>
      <c r="D610" s="58" t="str">
        <f t="shared" si="81"/>
        <v/>
      </c>
      <c r="E610" s="30">
        <f t="shared" si="84"/>
        <v>9.6357887996080277E-2</v>
      </c>
      <c r="F610" s="30">
        <f t="shared" si="87"/>
        <v>9.6357887996080277E-2</v>
      </c>
      <c r="G610" s="30">
        <f t="shared" si="87"/>
        <v>9.6357887996080277E-2</v>
      </c>
      <c r="H610" s="30">
        <f t="shared" si="87"/>
        <v>9.6357887996080277E-2</v>
      </c>
      <c r="I610" s="30" t="str">
        <f t="shared" si="82"/>
        <v/>
      </c>
    </row>
    <row r="611" spans="1:9" x14ac:dyDescent="0.25">
      <c r="A611" s="30">
        <f t="shared" si="85"/>
        <v>-0.25</v>
      </c>
      <c r="B611" s="94">
        <f>INT((ROWS(B$11:B611)-1)/20)+40+0.05*MOD(ROWS(B$11:B611)-1,20)</f>
        <v>70</v>
      </c>
      <c r="C611" s="58" t="str">
        <f t="shared" si="86"/>
        <v/>
      </c>
      <c r="D611" s="58" t="str">
        <f t="shared" si="81"/>
        <v/>
      </c>
      <c r="E611" s="30">
        <f t="shared" si="84"/>
        <v>9.6667029200712309E-2</v>
      </c>
      <c r="F611" s="30">
        <f t="shared" ref="F611:H630" si="88">IF(AND($B611&gt;=F$7,$B611&lt;=F$8),E611,"")</f>
        <v>9.6667029200712309E-2</v>
      </c>
      <c r="G611" s="30">
        <f t="shared" si="88"/>
        <v>9.6667029200712309E-2</v>
      </c>
      <c r="H611" s="30">
        <f t="shared" si="88"/>
        <v>9.6667029200712309E-2</v>
      </c>
      <c r="I611" s="30" t="str">
        <f t="shared" si="82"/>
        <v/>
      </c>
    </row>
    <row r="612" spans="1:9" x14ac:dyDescent="0.25">
      <c r="A612" s="30">
        <f t="shared" si="85"/>
        <v>-0.25</v>
      </c>
      <c r="B612" s="94">
        <f>INT((ROWS(B$11:B612)-1)/20)+40+0.05*MOD(ROWS(B$11:B612)-1,20)</f>
        <v>70.05</v>
      </c>
      <c r="C612" s="58" t="str">
        <f t="shared" si="86"/>
        <v/>
      </c>
      <c r="D612" s="58" t="str">
        <f t="shared" si="81"/>
        <v/>
      </c>
      <c r="E612" s="30">
        <f t="shared" si="84"/>
        <v>9.6962010713002103E-2</v>
      </c>
      <c r="F612" s="30">
        <f t="shared" si="88"/>
        <v>9.6962010713002103E-2</v>
      </c>
      <c r="G612" s="30">
        <f t="shared" si="88"/>
        <v>9.6962010713002103E-2</v>
      </c>
      <c r="H612" s="30">
        <f t="shared" si="88"/>
        <v>9.6962010713002103E-2</v>
      </c>
      <c r="I612" s="30" t="str">
        <f t="shared" si="82"/>
        <v/>
      </c>
    </row>
    <row r="613" spans="1:9" x14ac:dyDescent="0.25">
      <c r="A613" s="30">
        <f t="shared" si="85"/>
        <v>-0.25</v>
      </c>
      <c r="B613" s="94">
        <f>INT((ROWS(B$11:B613)-1)/20)+40+0.05*MOD(ROWS(B$11:B613)-1,20)</f>
        <v>70.099999999999994</v>
      </c>
      <c r="C613" s="58" t="str">
        <f t="shared" si="86"/>
        <v/>
      </c>
      <c r="D613" s="58" t="str">
        <f t="shared" si="81"/>
        <v/>
      </c>
      <c r="E613" s="30">
        <f t="shared" si="84"/>
        <v>9.7242697009187321E-2</v>
      </c>
      <c r="F613" s="30">
        <f t="shared" si="88"/>
        <v>9.7242697009187321E-2</v>
      </c>
      <c r="G613" s="30">
        <f t="shared" si="88"/>
        <v>9.7242697009187321E-2</v>
      </c>
      <c r="H613" s="30">
        <f t="shared" si="88"/>
        <v>9.7242697009187321E-2</v>
      </c>
      <c r="I613" s="30" t="str">
        <f t="shared" si="82"/>
        <v/>
      </c>
    </row>
    <row r="614" spans="1:9" x14ac:dyDescent="0.25">
      <c r="A614" s="30">
        <f t="shared" si="85"/>
        <v>-0.25</v>
      </c>
      <c r="B614" s="94">
        <f>INT((ROWS(B$11:B614)-1)/20)+40+0.05*MOD(ROWS(B$11:B614)-1,20)</f>
        <v>70.150000000000006</v>
      </c>
      <c r="C614" s="58" t="str">
        <f t="shared" si="86"/>
        <v/>
      </c>
      <c r="D614" s="58" t="str">
        <f t="shared" si="81"/>
        <v/>
      </c>
      <c r="E614" s="30">
        <f t="shared" si="84"/>
        <v>9.750895887281455E-2</v>
      </c>
      <c r="F614" s="30">
        <f t="shared" si="88"/>
        <v>9.750895887281455E-2</v>
      </c>
      <c r="G614" s="30">
        <f t="shared" si="88"/>
        <v>9.750895887281455E-2</v>
      </c>
      <c r="H614" s="30">
        <f t="shared" si="88"/>
        <v>9.750895887281455E-2</v>
      </c>
      <c r="I614" s="30" t="str">
        <f t="shared" si="82"/>
        <v/>
      </c>
    </row>
    <row r="615" spans="1:9" x14ac:dyDescent="0.25">
      <c r="A615" s="30">
        <f t="shared" si="85"/>
        <v>-0.25</v>
      </c>
      <c r="B615" s="94">
        <f>INT((ROWS(B$11:B615)-1)/20)+40+0.05*MOD(ROWS(B$11:B615)-1,20)</f>
        <v>70.2</v>
      </c>
      <c r="C615" s="58" t="str">
        <f t="shared" si="86"/>
        <v/>
      </c>
      <c r="D615" s="58" t="str">
        <f t="shared" si="81"/>
        <v/>
      </c>
      <c r="E615" s="30">
        <f t="shared" si="84"/>
        <v>9.7760673493863998E-2</v>
      </c>
      <c r="F615" s="30">
        <f t="shared" si="88"/>
        <v>9.7760673493863998E-2</v>
      </c>
      <c r="G615" s="30">
        <f t="shared" si="88"/>
        <v>9.7760673493863998E-2</v>
      </c>
      <c r="H615" s="30">
        <f t="shared" si="88"/>
        <v>9.7760673493863998E-2</v>
      </c>
      <c r="I615" s="30" t="str">
        <f t="shared" si="82"/>
        <v/>
      </c>
    </row>
    <row r="616" spans="1:9" x14ac:dyDescent="0.25">
      <c r="A616" s="30">
        <f t="shared" si="85"/>
        <v>-0.25</v>
      </c>
      <c r="B616" s="94">
        <f>INT((ROWS(B$11:B616)-1)/20)+40+0.05*MOD(ROWS(B$11:B616)-1,20)</f>
        <v>70.25</v>
      </c>
      <c r="C616" s="58" t="str">
        <f t="shared" si="86"/>
        <v/>
      </c>
      <c r="D616" s="58" t="str">
        <f t="shared" si="81"/>
        <v/>
      </c>
      <c r="E616" s="30">
        <f t="shared" si="84"/>
        <v>9.7997724563142985E-2</v>
      </c>
      <c r="F616" s="30">
        <f t="shared" si="88"/>
        <v>9.7997724563142985E-2</v>
      </c>
      <c r="G616" s="30">
        <f t="shared" si="88"/>
        <v>9.7997724563142985E-2</v>
      </c>
      <c r="H616" s="30">
        <f t="shared" si="88"/>
        <v>9.7997724563142985E-2</v>
      </c>
      <c r="I616" s="30" t="str">
        <f t="shared" si="82"/>
        <v/>
      </c>
    </row>
    <row r="617" spans="1:9" x14ac:dyDescent="0.25">
      <c r="A617" s="30">
        <f t="shared" si="85"/>
        <v>-0.25</v>
      </c>
      <c r="B617" s="94">
        <f>INT((ROWS(B$11:B617)-1)/20)+40+0.05*MOD(ROWS(B$11:B617)-1,20)</f>
        <v>70.3</v>
      </c>
      <c r="C617" s="58" t="str">
        <f t="shared" si="86"/>
        <v/>
      </c>
      <c r="D617" s="58" t="str">
        <f t="shared" si="81"/>
        <v/>
      </c>
      <c r="E617" s="30">
        <f t="shared" si="84"/>
        <v>9.8220002361844819E-2</v>
      </c>
      <c r="F617" s="30">
        <f t="shared" si="88"/>
        <v>9.8220002361844819E-2</v>
      </c>
      <c r="G617" s="30">
        <f t="shared" si="88"/>
        <v>9.8220002361844819E-2</v>
      </c>
      <c r="H617" s="30">
        <f t="shared" si="88"/>
        <v>9.8220002361844819E-2</v>
      </c>
      <c r="I617" s="30" t="str">
        <f t="shared" si="82"/>
        <v/>
      </c>
    </row>
    <row r="618" spans="1:9" x14ac:dyDescent="0.25">
      <c r="A618" s="30">
        <f t="shared" si="85"/>
        <v>-0.25</v>
      </c>
      <c r="B618" s="94">
        <f>INT((ROWS(B$11:B618)-1)/20)+40+0.05*MOD(ROWS(B$11:B618)-1,20)</f>
        <v>70.349999999999994</v>
      </c>
      <c r="C618" s="58" t="str">
        <f t="shared" si="86"/>
        <v/>
      </c>
      <c r="D618" s="58" t="str">
        <f t="shared" si="81"/>
        <v/>
      </c>
      <c r="E618" s="30">
        <f t="shared" si="84"/>
        <v>9.8427403846177736E-2</v>
      </c>
      <c r="F618" s="30">
        <f t="shared" si="88"/>
        <v>9.8427403846177736E-2</v>
      </c>
      <c r="G618" s="30">
        <f t="shared" si="88"/>
        <v>9.8427403846177736E-2</v>
      </c>
      <c r="H618" s="30">
        <f t="shared" si="88"/>
        <v>9.8427403846177736E-2</v>
      </c>
      <c r="I618" s="30" t="str">
        <f t="shared" si="82"/>
        <v/>
      </c>
    </row>
    <row r="619" spans="1:9" x14ac:dyDescent="0.25">
      <c r="A619" s="30">
        <f t="shared" si="85"/>
        <v>-0.25</v>
      </c>
      <c r="B619" s="94">
        <f>INT((ROWS(B$11:B619)-1)/20)+40+0.05*MOD(ROWS(B$11:B619)-1,20)</f>
        <v>70.400000000000006</v>
      </c>
      <c r="C619" s="58" t="str">
        <f t="shared" si="86"/>
        <v/>
      </c>
      <c r="D619" s="58" t="str">
        <f t="shared" si="81"/>
        <v/>
      </c>
      <c r="E619" s="30">
        <f t="shared" si="84"/>
        <v>9.8619832726972251E-2</v>
      </c>
      <c r="F619" s="30">
        <f t="shared" si="88"/>
        <v>9.8619832726972251E-2</v>
      </c>
      <c r="G619" s="30">
        <f t="shared" si="88"/>
        <v>9.8619832726972251E-2</v>
      </c>
      <c r="H619" s="30">
        <f t="shared" si="88"/>
        <v>9.8619832726972251E-2</v>
      </c>
      <c r="I619" s="30" t="str">
        <f t="shared" si="82"/>
        <v/>
      </c>
    </row>
    <row r="620" spans="1:9" x14ac:dyDescent="0.25">
      <c r="A620" s="30">
        <f t="shared" si="85"/>
        <v>-0.25</v>
      </c>
      <c r="B620" s="94">
        <f>INT((ROWS(B$11:B620)-1)/20)+40+0.05*MOD(ROWS(B$11:B620)-1,20)</f>
        <v>70.45</v>
      </c>
      <c r="C620" s="58" t="str">
        <f t="shared" si="86"/>
        <v/>
      </c>
      <c r="D620" s="58" t="str">
        <f t="shared" si="81"/>
        <v/>
      </c>
      <c r="E620" s="30">
        <f t="shared" si="84"/>
        <v>9.8797199544180453E-2</v>
      </c>
      <c r="F620" s="30">
        <f t="shared" si="88"/>
        <v>9.8797199544180453E-2</v>
      </c>
      <c r="G620" s="30">
        <f t="shared" si="88"/>
        <v>9.8797199544180453E-2</v>
      </c>
      <c r="H620" s="30">
        <f t="shared" si="88"/>
        <v>9.8797199544180453E-2</v>
      </c>
      <c r="I620" s="30" t="str">
        <f t="shared" si="82"/>
        <v/>
      </c>
    </row>
    <row r="621" spans="1:9" x14ac:dyDescent="0.25">
      <c r="A621" s="30">
        <f t="shared" si="85"/>
        <v>-0.25</v>
      </c>
      <c r="B621" s="94">
        <f>INT((ROWS(B$11:B621)-1)/20)+40+0.05*MOD(ROWS(B$11:B621)-1,20)</f>
        <v>70.5</v>
      </c>
      <c r="C621" s="58" t="str">
        <f t="shared" si="86"/>
        <v/>
      </c>
      <c r="D621" s="58" t="str">
        <f t="shared" ref="D621:D684" si="89">IF(ISNUMBER(MATCH(B621,$K$2:$K$8,0)),TEXT(B621,"0\""")&amp;CHAR(10)&amp;TEXT((B621-$F$1)/$F$2," 0 z"),"")</f>
        <v/>
      </c>
      <c r="E621" s="30">
        <f t="shared" si="84"/>
        <v>9.8959421736187381E-2</v>
      </c>
      <c r="F621" s="30">
        <f t="shared" si="88"/>
        <v>9.8959421736187381E-2</v>
      </c>
      <c r="G621" s="30">
        <f t="shared" si="88"/>
        <v>9.8959421736187381E-2</v>
      </c>
      <c r="H621" s="30">
        <f t="shared" si="88"/>
        <v>9.8959421736187381E-2</v>
      </c>
      <c r="I621" s="30" t="str">
        <f t="shared" si="82"/>
        <v/>
      </c>
    </row>
    <row r="622" spans="1:9" x14ac:dyDescent="0.25">
      <c r="A622" s="30">
        <f t="shared" si="85"/>
        <v>-0.25</v>
      </c>
      <c r="B622" s="94">
        <f>INT((ROWS(B$11:B622)-1)/20)+40+0.05*MOD(ROWS(B$11:B622)-1,20)</f>
        <v>70.55</v>
      </c>
      <c r="C622" s="58" t="str">
        <f t="shared" si="86"/>
        <v/>
      </c>
      <c r="D622" s="58" t="str">
        <f t="shared" si="89"/>
        <v/>
      </c>
      <c r="E622" s="30">
        <f t="shared" si="84"/>
        <v>9.9106423703858262E-2</v>
      </c>
      <c r="F622" s="30">
        <f t="shared" si="88"/>
        <v>9.9106423703858262E-2</v>
      </c>
      <c r="G622" s="30">
        <f t="shared" si="88"/>
        <v>9.9106423703858262E-2</v>
      </c>
      <c r="H622" s="30">
        <f t="shared" si="88"/>
        <v>9.9106423703858262E-2</v>
      </c>
      <c r="I622" s="30" t="str">
        <f t="shared" ref="I622:I685" si="90">IF(AND(B622&gt;=$F$1-0.05,B622&lt;=$F$1+0.05),E622,"")</f>
        <v/>
      </c>
    </row>
    <row r="623" spans="1:9" x14ac:dyDescent="0.25">
      <c r="A623" s="30">
        <f t="shared" si="85"/>
        <v>-0.25</v>
      </c>
      <c r="B623" s="94">
        <f>INT((ROWS(B$11:B623)-1)/20)+40+0.05*MOD(ROWS(B$11:B623)-1,20)</f>
        <v>70.599999999999994</v>
      </c>
      <c r="C623" s="58" t="str">
        <f t="shared" si="86"/>
        <v/>
      </c>
      <c r="D623" s="58" t="str">
        <f t="shared" si="89"/>
        <v/>
      </c>
      <c r="E623" s="30">
        <f t="shared" si="84"/>
        <v>9.9238136869252938E-2</v>
      </c>
      <c r="F623" s="30">
        <f t="shared" si="88"/>
        <v>9.9238136869252938E-2</v>
      </c>
      <c r="G623" s="30">
        <f t="shared" si="88"/>
        <v>9.9238136869252938E-2</v>
      </c>
      <c r="H623" s="30">
        <f t="shared" si="88"/>
        <v>9.9238136869252938E-2</v>
      </c>
      <c r="I623" s="30" t="str">
        <f t="shared" si="90"/>
        <v/>
      </c>
    </row>
    <row r="624" spans="1:9" x14ac:dyDescent="0.25">
      <c r="A624" s="30">
        <f t="shared" si="85"/>
        <v>-0.25</v>
      </c>
      <c r="B624" s="94">
        <f>INT((ROWS(B$11:B624)-1)/20)+40+0.05*MOD(ROWS(B$11:B624)-1,20)</f>
        <v>70.650000000000006</v>
      </c>
      <c r="C624" s="58" t="str">
        <f t="shared" si="86"/>
        <v/>
      </c>
      <c r="D624" s="58" t="str">
        <f t="shared" si="89"/>
        <v/>
      </c>
      <c r="E624" s="30">
        <f t="shared" si="84"/>
        <v>9.9354499728943044E-2</v>
      </c>
      <c r="F624" s="30">
        <f t="shared" si="88"/>
        <v>9.9354499728943044E-2</v>
      </c>
      <c r="G624" s="30">
        <f t="shared" si="88"/>
        <v>9.9354499728943044E-2</v>
      </c>
      <c r="H624" s="30">
        <f t="shared" si="88"/>
        <v>9.9354499728943044E-2</v>
      </c>
      <c r="I624" s="30" t="str">
        <f t="shared" si="90"/>
        <v/>
      </c>
    </row>
    <row r="625" spans="1:9" x14ac:dyDescent="0.25">
      <c r="A625" s="30">
        <f t="shared" si="85"/>
        <v>-0.25</v>
      </c>
      <c r="B625" s="94">
        <f>INT((ROWS(B$11:B625)-1)/20)+40+0.05*MOD(ROWS(B$11:B625)-1,20)</f>
        <v>70.7</v>
      </c>
      <c r="C625" s="58" t="str">
        <f t="shared" si="86"/>
        <v/>
      </c>
      <c r="D625" s="58" t="str">
        <f t="shared" si="89"/>
        <v/>
      </c>
      <c r="E625" s="30">
        <f t="shared" si="84"/>
        <v>9.9455457901874281E-2</v>
      </c>
      <c r="F625" s="30">
        <f t="shared" si="88"/>
        <v>9.9455457901874281E-2</v>
      </c>
      <c r="G625" s="30">
        <f t="shared" si="88"/>
        <v>9.9455457901874281E-2</v>
      </c>
      <c r="H625" s="30">
        <f t="shared" si="88"/>
        <v>9.9455457901874281E-2</v>
      </c>
      <c r="I625" s="30" t="str">
        <f t="shared" si="90"/>
        <v/>
      </c>
    </row>
    <row r="626" spans="1:9" x14ac:dyDescent="0.25">
      <c r="A626" s="30">
        <f t="shared" si="85"/>
        <v>-0.25</v>
      </c>
      <c r="B626" s="94">
        <f>INT((ROWS(B$11:B626)-1)/20)+40+0.05*MOD(ROWS(B$11:B626)-1,20)</f>
        <v>70.75</v>
      </c>
      <c r="C626" s="58" t="str">
        <f t="shared" si="86"/>
        <v/>
      </c>
      <c r="D626" s="58" t="str">
        <f t="shared" si="89"/>
        <v/>
      </c>
      <c r="E626" s="30">
        <f t="shared" si="84"/>
        <v>9.954096417172166E-2</v>
      </c>
      <c r="F626" s="30">
        <f t="shared" si="88"/>
        <v>9.954096417172166E-2</v>
      </c>
      <c r="G626" s="30">
        <f t="shared" si="88"/>
        <v>9.954096417172166E-2</v>
      </c>
      <c r="H626" s="30">
        <f t="shared" si="88"/>
        <v>9.954096417172166E-2</v>
      </c>
      <c r="I626" s="30" t="str">
        <f t="shared" si="90"/>
        <v/>
      </c>
    </row>
    <row r="627" spans="1:9" x14ac:dyDescent="0.25">
      <c r="A627" s="30">
        <f t="shared" si="85"/>
        <v>-0.25</v>
      </c>
      <c r="B627" s="94">
        <f>INT((ROWS(B$11:B627)-1)/20)+40+0.05*MOD(ROWS(B$11:B627)-1,20)</f>
        <v>70.8</v>
      </c>
      <c r="C627" s="58" t="str">
        <f t="shared" si="86"/>
        <v/>
      </c>
      <c r="D627" s="58" t="str">
        <f t="shared" si="89"/>
        <v/>
      </c>
      <c r="E627" s="30">
        <f t="shared" si="84"/>
        <v>9.9610978523690996E-2</v>
      </c>
      <c r="F627" s="30">
        <f t="shared" si="88"/>
        <v>9.9610978523690996E-2</v>
      </c>
      <c r="G627" s="30">
        <f t="shared" si="88"/>
        <v>9.9610978523690996E-2</v>
      </c>
      <c r="H627" s="30">
        <f t="shared" si="88"/>
        <v>9.9610978523690996E-2</v>
      </c>
      <c r="I627" s="30" t="str">
        <f t="shared" si="90"/>
        <v/>
      </c>
    </row>
    <row r="628" spans="1:9" x14ac:dyDescent="0.25">
      <c r="A628" s="30">
        <f t="shared" si="85"/>
        <v>-0.25</v>
      </c>
      <c r="B628" s="94">
        <f>INT((ROWS(B$11:B628)-1)/20)+40+0.05*MOD(ROWS(B$11:B628)-1,20)</f>
        <v>70.849999999999994</v>
      </c>
      <c r="C628" s="58" t="str">
        <f t="shared" si="86"/>
        <v/>
      </c>
      <c r="D628" s="58" t="str">
        <f t="shared" si="89"/>
        <v/>
      </c>
      <c r="E628" s="30">
        <f t="shared" si="84"/>
        <v>9.9665468175727343E-2</v>
      </c>
      <c r="F628" s="30">
        <f t="shared" si="88"/>
        <v>9.9665468175727343E-2</v>
      </c>
      <c r="G628" s="30">
        <f t="shared" si="88"/>
        <v>9.9665468175727343E-2</v>
      </c>
      <c r="H628" s="30">
        <f t="shared" si="88"/>
        <v>9.9665468175727343E-2</v>
      </c>
      <c r="I628" s="30" t="str">
        <f t="shared" si="90"/>
        <v/>
      </c>
    </row>
    <row r="629" spans="1:9" x14ac:dyDescent="0.25">
      <c r="A629" s="30">
        <f t="shared" si="85"/>
        <v>-0.25</v>
      </c>
      <c r="B629" s="94">
        <f>INT((ROWS(B$11:B629)-1)/20)+40+0.05*MOD(ROWS(B$11:B629)-1,20)</f>
        <v>70.900000000000006</v>
      </c>
      <c r="C629" s="58" t="str">
        <f t="shared" si="86"/>
        <v/>
      </c>
      <c r="D629" s="58" t="str">
        <f t="shared" si="89"/>
        <v/>
      </c>
      <c r="E629" s="30">
        <f t="shared" si="84"/>
        <v>9.9704407604095449E-2</v>
      </c>
      <c r="F629" s="30">
        <f t="shared" si="88"/>
        <v>9.9704407604095449E-2</v>
      </c>
      <c r="G629" s="30">
        <f t="shared" si="88"/>
        <v>9.9704407604095449E-2</v>
      </c>
      <c r="H629" s="30">
        <f t="shared" si="88"/>
        <v>9.9704407604095449E-2</v>
      </c>
      <c r="I629" s="30" t="str">
        <f t="shared" si="90"/>
        <v/>
      </c>
    </row>
    <row r="630" spans="1:9" x14ac:dyDescent="0.25">
      <c r="A630" s="30">
        <f t="shared" si="85"/>
        <v>-0.25</v>
      </c>
      <c r="B630" s="94">
        <f>INT((ROWS(B$11:B630)-1)/20)+40+0.05*MOD(ROWS(B$11:B630)-1,20)</f>
        <v>70.95</v>
      </c>
      <c r="C630" s="58" t="str">
        <f t="shared" si="86"/>
        <v/>
      </c>
      <c r="D630" s="58" t="str">
        <f t="shared" si="89"/>
        <v/>
      </c>
      <c r="E630" s="30">
        <f t="shared" si="84"/>
        <v>9.9727778563304961E-2</v>
      </c>
      <c r="F630" s="30">
        <f t="shared" si="88"/>
        <v>9.9727778563304961E-2</v>
      </c>
      <c r="G630" s="30">
        <f t="shared" si="88"/>
        <v>9.9727778563304961E-2</v>
      </c>
      <c r="H630" s="30">
        <f t="shared" si="88"/>
        <v>9.9727778563304961E-2</v>
      </c>
      <c r="I630" s="30">
        <f t="shared" si="90"/>
        <v>9.9727778563304961E-2</v>
      </c>
    </row>
    <row r="631" spans="1:9" x14ac:dyDescent="0.25">
      <c r="A631" s="30">
        <f t="shared" si="85"/>
        <v>0</v>
      </c>
      <c r="B631" s="94">
        <f>INT((ROWS(B$11:B631)-1)/20)+40+0.05*MOD(ROWS(B$11:B631)-1,20)</f>
        <v>71</v>
      </c>
      <c r="C631" s="58">
        <f t="shared" si="86"/>
        <v>0</v>
      </c>
      <c r="D631" s="58" t="str">
        <f t="shared" si="89"/>
        <v>71"
 0 z</v>
      </c>
      <c r="E631" s="30">
        <f t="shared" si="84"/>
        <v>9.9735570100358176E-2</v>
      </c>
      <c r="F631" s="30">
        <f t="shared" ref="F631:H650" si="91">IF(AND($B631&gt;=F$7,$B631&lt;=F$8),E631,"")</f>
        <v>9.9735570100358176E-2</v>
      </c>
      <c r="G631" s="30">
        <f t="shared" si="91"/>
        <v>9.9735570100358176E-2</v>
      </c>
      <c r="H631" s="30">
        <f t="shared" si="91"/>
        <v>9.9735570100358176E-2</v>
      </c>
      <c r="I631" s="30">
        <f t="shared" si="90"/>
        <v>9.9735570100358176E-2</v>
      </c>
    </row>
    <row r="632" spans="1:9" x14ac:dyDescent="0.25">
      <c r="A632" s="30">
        <f t="shared" si="85"/>
        <v>0</v>
      </c>
      <c r="B632" s="94">
        <f>INT((ROWS(B$11:B632)-1)/20)+40+0.05*MOD(ROWS(B$11:B632)-1,20)</f>
        <v>71.05</v>
      </c>
      <c r="C632" s="58" t="str">
        <f t="shared" si="86"/>
        <v/>
      </c>
      <c r="D632" s="58" t="str">
        <f t="shared" si="89"/>
        <v/>
      </c>
      <c r="E632" s="30">
        <f t="shared" si="84"/>
        <v>9.9727778563304961E-2</v>
      </c>
      <c r="F632" s="30">
        <f t="shared" si="91"/>
        <v>9.9727778563304961E-2</v>
      </c>
      <c r="G632" s="30">
        <f t="shared" si="91"/>
        <v>9.9727778563304961E-2</v>
      </c>
      <c r="H632" s="30">
        <f t="shared" si="91"/>
        <v>9.9727778563304961E-2</v>
      </c>
      <c r="I632" s="30">
        <f t="shared" si="90"/>
        <v>9.9727778563304961E-2</v>
      </c>
    </row>
    <row r="633" spans="1:9" x14ac:dyDescent="0.25">
      <c r="A633" s="30">
        <f t="shared" si="85"/>
        <v>0</v>
      </c>
      <c r="B633" s="94">
        <f>INT((ROWS(B$11:B633)-1)/20)+40+0.05*MOD(ROWS(B$11:B633)-1,20)</f>
        <v>71.099999999999994</v>
      </c>
      <c r="C633" s="58" t="str">
        <f t="shared" si="86"/>
        <v/>
      </c>
      <c r="D633" s="58" t="str">
        <f t="shared" si="89"/>
        <v/>
      </c>
      <c r="E633" s="30">
        <f t="shared" si="84"/>
        <v>9.9704407604095449E-2</v>
      </c>
      <c r="F633" s="30">
        <f t="shared" si="91"/>
        <v>9.9704407604095449E-2</v>
      </c>
      <c r="G633" s="30">
        <f t="shared" si="91"/>
        <v>9.9704407604095449E-2</v>
      </c>
      <c r="H633" s="30">
        <f t="shared" si="91"/>
        <v>9.9704407604095449E-2</v>
      </c>
      <c r="I633" s="30" t="str">
        <f t="shared" si="90"/>
        <v/>
      </c>
    </row>
    <row r="634" spans="1:9" x14ac:dyDescent="0.25">
      <c r="A634" s="30">
        <f t="shared" si="85"/>
        <v>0</v>
      </c>
      <c r="B634" s="94">
        <f>INT((ROWS(B$11:B634)-1)/20)+40+0.05*MOD(ROWS(B$11:B634)-1,20)</f>
        <v>71.150000000000006</v>
      </c>
      <c r="C634" s="58" t="str">
        <f t="shared" si="86"/>
        <v/>
      </c>
      <c r="D634" s="58" t="str">
        <f t="shared" si="89"/>
        <v/>
      </c>
      <c r="E634" s="30">
        <f t="shared" si="84"/>
        <v>9.9665468175727343E-2</v>
      </c>
      <c r="F634" s="30">
        <f t="shared" si="91"/>
        <v>9.9665468175727343E-2</v>
      </c>
      <c r="G634" s="30">
        <f t="shared" si="91"/>
        <v>9.9665468175727343E-2</v>
      </c>
      <c r="H634" s="30">
        <f t="shared" si="91"/>
        <v>9.9665468175727343E-2</v>
      </c>
      <c r="I634" s="30" t="str">
        <f t="shared" si="90"/>
        <v/>
      </c>
    </row>
    <row r="635" spans="1:9" x14ac:dyDescent="0.25">
      <c r="A635" s="30">
        <f t="shared" si="85"/>
        <v>0</v>
      </c>
      <c r="B635" s="94">
        <f>INT((ROWS(B$11:B635)-1)/20)+40+0.05*MOD(ROWS(B$11:B635)-1,20)</f>
        <v>71.2</v>
      </c>
      <c r="C635" s="58" t="str">
        <f t="shared" si="86"/>
        <v/>
      </c>
      <c r="D635" s="58" t="str">
        <f t="shared" si="89"/>
        <v/>
      </c>
      <c r="E635" s="30">
        <f t="shared" si="84"/>
        <v>9.9610978523690996E-2</v>
      </c>
      <c r="F635" s="30">
        <f t="shared" si="91"/>
        <v>9.9610978523690996E-2</v>
      </c>
      <c r="G635" s="30">
        <f t="shared" si="91"/>
        <v>9.9610978523690996E-2</v>
      </c>
      <c r="H635" s="30">
        <f t="shared" si="91"/>
        <v>9.9610978523690996E-2</v>
      </c>
      <c r="I635" s="30" t="str">
        <f t="shared" si="90"/>
        <v/>
      </c>
    </row>
    <row r="636" spans="1:9" x14ac:dyDescent="0.25">
      <c r="A636" s="30">
        <f t="shared" si="85"/>
        <v>0</v>
      </c>
      <c r="B636" s="94">
        <f>INT((ROWS(B$11:B636)-1)/20)+40+0.05*MOD(ROWS(B$11:B636)-1,20)</f>
        <v>71.25</v>
      </c>
      <c r="C636" s="58" t="str">
        <f t="shared" si="86"/>
        <v/>
      </c>
      <c r="D636" s="58" t="str">
        <f t="shared" si="89"/>
        <v/>
      </c>
      <c r="E636" s="30">
        <f t="shared" si="84"/>
        <v>9.954096417172166E-2</v>
      </c>
      <c r="F636" s="30">
        <f t="shared" si="91"/>
        <v>9.954096417172166E-2</v>
      </c>
      <c r="G636" s="30">
        <f t="shared" si="91"/>
        <v>9.954096417172166E-2</v>
      </c>
      <c r="H636" s="30">
        <f t="shared" si="91"/>
        <v>9.954096417172166E-2</v>
      </c>
      <c r="I636" s="30" t="str">
        <f t="shared" si="90"/>
        <v/>
      </c>
    </row>
    <row r="637" spans="1:9" x14ac:dyDescent="0.25">
      <c r="A637" s="30">
        <f t="shared" si="85"/>
        <v>0</v>
      </c>
      <c r="B637" s="94">
        <f>INT((ROWS(B$11:B637)-1)/20)+40+0.05*MOD(ROWS(B$11:B637)-1,20)</f>
        <v>71.3</v>
      </c>
      <c r="C637" s="58" t="str">
        <f t="shared" si="86"/>
        <v/>
      </c>
      <c r="D637" s="58" t="str">
        <f t="shared" si="89"/>
        <v/>
      </c>
      <c r="E637" s="30">
        <f t="shared" si="84"/>
        <v>9.9455457901874281E-2</v>
      </c>
      <c r="F637" s="30">
        <f t="shared" si="91"/>
        <v>9.9455457901874281E-2</v>
      </c>
      <c r="G637" s="30">
        <f t="shared" si="91"/>
        <v>9.9455457901874281E-2</v>
      </c>
      <c r="H637" s="30">
        <f t="shared" si="91"/>
        <v>9.9455457901874281E-2</v>
      </c>
      <c r="I637" s="30" t="str">
        <f t="shared" si="90"/>
        <v/>
      </c>
    </row>
    <row r="638" spans="1:9" x14ac:dyDescent="0.25">
      <c r="A638" s="30">
        <f t="shared" si="85"/>
        <v>0</v>
      </c>
      <c r="B638" s="94">
        <f>INT((ROWS(B$11:B638)-1)/20)+40+0.05*MOD(ROWS(B$11:B638)-1,20)</f>
        <v>71.349999999999994</v>
      </c>
      <c r="C638" s="58" t="str">
        <f t="shared" si="86"/>
        <v/>
      </c>
      <c r="D638" s="58" t="str">
        <f t="shared" si="89"/>
        <v/>
      </c>
      <c r="E638" s="30">
        <f t="shared" si="84"/>
        <v>9.9354499728943044E-2</v>
      </c>
      <c r="F638" s="30">
        <f t="shared" si="91"/>
        <v>9.9354499728943044E-2</v>
      </c>
      <c r="G638" s="30">
        <f t="shared" si="91"/>
        <v>9.9354499728943044E-2</v>
      </c>
      <c r="H638" s="30">
        <f t="shared" si="91"/>
        <v>9.9354499728943044E-2</v>
      </c>
      <c r="I638" s="30" t="str">
        <f t="shared" si="90"/>
        <v/>
      </c>
    </row>
    <row r="639" spans="1:9" x14ac:dyDescent="0.25">
      <c r="A639" s="30">
        <f t="shared" si="85"/>
        <v>0</v>
      </c>
      <c r="B639" s="94">
        <f>INT((ROWS(B$11:B639)-1)/20)+40+0.05*MOD(ROWS(B$11:B639)-1,20)</f>
        <v>71.400000000000006</v>
      </c>
      <c r="C639" s="58" t="str">
        <f t="shared" si="86"/>
        <v/>
      </c>
      <c r="D639" s="58" t="str">
        <f t="shared" si="89"/>
        <v/>
      </c>
      <c r="E639" s="30">
        <f t="shared" si="84"/>
        <v>9.9238136869252938E-2</v>
      </c>
      <c r="F639" s="30">
        <f t="shared" si="91"/>
        <v>9.9238136869252938E-2</v>
      </c>
      <c r="G639" s="30">
        <f t="shared" si="91"/>
        <v>9.9238136869252938E-2</v>
      </c>
      <c r="H639" s="30">
        <f t="shared" si="91"/>
        <v>9.9238136869252938E-2</v>
      </c>
      <c r="I639" s="30" t="str">
        <f t="shared" si="90"/>
        <v/>
      </c>
    </row>
    <row r="640" spans="1:9" x14ac:dyDescent="0.25">
      <c r="A640" s="30">
        <f t="shared" si="85"/>
        <v>0</v>
      </c>
      <c r="B640" s="94">
        <f>INT((ROWS(B$11:B640)-1)/20)+40+0.05*MOD(ROWS(B$11:B640)-1,20)</f>
        <v>71.45</v>
      </c>
      <c r="C640" s="58" t="str">
        <f t="shared" si="86"/>
        <v/>
      </c>
      <c r="D640" s="58" t="str">
        <f t="shared" si="89"/>
        <v/>
      </c>
      <c r="E640" s="30">
        <f t="shared" si="84"/>
        <v>9.9106423703858262E-2</v>
      </c>
      <c r="F640" s="30">
        <f t="shared" si="91"/>
        <v>9.9106423703858262E-2</v>
      </c>
      <c r="G640" s="30">
        <f t="shared" si="91"/>
        <v>9.9106423703858262E-2</v>
      </c>
      <c r="H640" s="30">
        <f t="shared" si="91"/>
        <v>9.9106423703858262E-2</v>
      </c>
      <c r="I640" s="30" t="str">
        <f t="shared" si="90"/>
        <v/>
      </c>
    </row>
    <row r="641" spans="1:9" x14ac:dyDescent="0.25">
      <c r="A641" s="30">
        <f t="shared" si="85"/>
        <v>0</v>
      </c>
      <c r="B641" s="94">
        <f>INT((ROWS(B$11:B641)-1)/20)+40+0.05*MOD(ROWS(B$11:B641)-1,20)</f>
        <v>71.5</v>
      </c>
      <c r="C641" s="58" t="str">
        <f t="shared" si="86"/>
        <v/>
      </c>
      <c r="D641" s="58" t="str">
        <f t="shared" si="89"/>
        <v/>
      </c>
      <c r="E641" s="30">
        <f t="shared" si="84"/>
        <v>9.8959421736187381E-2</v>
      </c>
      <c r="F641" s="30">
        <f t="shared" si="91"/>
        <v>9.8959421736187381E-2</v>
      </c>
      <c r="G641" s="30">
        <f t="shared" si="91"/>
        <v>9.8959421736187381E-2</v>
      </c>
      <c r="H641" s="30">
        <f t="shared" si="91"/>
        <v>9.8959421736187381E-2</v>
      </c>
      <c r="I641" s="30" t="str">
        <f t="shared" si="90"/>
        <v/>
      </c>
    </row>
    <row r="642" spans="1:9" x14ac:dyDescent="0.25">
      <c r="A642" s="30">
        <f t="shared" si="85"/>
        <v>0</v>
      </c>
      <c r="B642" s="94">
        <f>INT((ROWS(B$11:B642)-1)/20)+40+0.05*MOD(ROWS(B$11:B642)-1,20)</f>
        <v>71.55</v>
      </c>
      <c r="C642" s="58" t="str">
        <f t="shared" si="86"/>
        <v/>
      </c>
      <c r="D642" s="58" t="str">
        <f t="shared" si="89"/>
        <v/>
      </c>
      <c r="E642" s="30">
        <f t="shared" si="84"/>
        <v>9.8797199544180453E-2</v>
      </c>
      <c r="F642" s="30">
        <f t="shared" si="91"/>
        <v>9.8797199544180453E-2</v>
      </c>
      <c r="G642" s="30">
        <f t="shared" si="91"/>
        <v>9.8797199544180453E-2</v>
      </c>
      <c r="H642" s="30">
        <f t="shared" si="91"/>
        <v>9.8797199544180453E-2</v>
      </c>
      <c r="I642" s="30" t="str">
        <f t="shared" si="90"/>
        <v/>
      </c>
    </row>
    <row r="643" spans="1:9" x14ac:dyDescent="0.25">
      <c r="A643" s="30">
        <f t="shared" si="85"/>
        <v>0</v>
      </c>
      <c r="B643" s="94">
        <f>INT((ROWS(B$11:B643)-1)/20)+40+0.05*MOD(ROWS(B$11:B643)-1,20)</f>
        <v>71.599999999999994</v>
      </c>
      <c r="C643" s="58" t="str">
        <f t="shared" si="86"/>
        <v/>
      </c>
      <c r="D643" s="58" t="str">
        <f t="shared" si="89"/>
        <v/>
      </c>
      <c r="E643" s="30">
        <f t="shared" si="84"/>
        <v>9.8619832726972251E-2</v>
      </c>
      <c r="F643" s="30">
        <f t="shared" si="91"/>
        <v>9.8619832726972251E-2</v>
      </c>
      <c r="G643" s="30">
        <f t="shared" si="91"/>
        <v>9.8619832726972251E-2</v>
      </c>
      <c r="H643" s="30">
        <f t="shared" si="91"/>
        <v>9.8619832726972251E-2</v>
      </c>
      <c r="I643" s="30" t="str">
        <f t="shared" si="90"/>
        <v/>
      </c>
    </row>
    <row r="644" spans="1:9" x14ac:dyDescent="0.25">
      <c r="A644" s="30">
        <f t="shared" si="85"/>
        <v>0</v>
      </c>
      <c r="B644" s="94">
        <f>INT((ROWS(B$11:B644)-1)/20)+40+0.05*MOD(ROWS(B$11:B644)-1,20)</f>
        <v>71.650000000000006</v>
      </c>
      <c r="C644" s="58" t="str">
        <f t="shared" si="86"/>
        <v/>
      </c>
      <c r="D644" s="58" t="str">
        <f t="shared" si="89"/>
        <v/>
      </c>
      <c r="E644" s="30">
        <f t="shared" si="84"/>
        <v>9.8427403846177736E-2</v>
      </c>
      <c r="F644" s="30">
        <f t="shared" si="91"/>
        <v>9.8427403846177736E-2</v>
      </c>
      <c r="G644" s="30">
        <f t="shared" si="91"/>
        <v>9.8427403846177736E-2</v>
      </c>
      <c r="H644" s="30">
        <f t="shared" si="91"/>
        <v>9.8427403846177736E-2</v>
      </c>
      <c r="I644" s="30" t="str">
        <f t="shared" si="90"/>
        <v/>
      </c>
    </row>
    <row r="645" spans="1:9" x14ac:dyDescent="0.25">
      <c r="A645" s="30">
        <f t="shared" si="85"/>
        <v>0</v>
      </c>
      <c r="B645" s="94">
        <f>INT((ROWS(B$11:B645)-1)/20)+40+0.05*MOD(ROWS(B$11:B645)-1,20)</f>
        <v>71.7</v>
      </c>
      <c r="C645" s="58" t="str">
        <f t="shared" si="86"/>
        <v/>
      </c>
      <c r="D645" s="58" t="str">
        <f t="shared" si="89"/>
        <v/>
      </c>
      <c r="E645" s="30">
        <f t="shared" si="84"/>
        <v>9.8220002361844819E-2</v>
      </c>
      <c r="F645" s="30">
        <f t="shared" si="91"/>
        <v>9.8220002361844819E-2</v>
      </c>
      <c r="G645" s="30">
        <f t="shared" si="91"/>
        <v>9.8220002361844819E-2</v>
      </c>
      <c r="H645" s="30">
        <f t="shared" si="91"/>
        <v>9.8220002361844819E-2</v>
      </c>
      <c r="I645" s="30" t="str">
        <f t="shared" si="90"/>
        <v/>
      </c>
    </row>
    <row r="646" spans="1:9" x14ac:dyDescent="0.25">
      <c r="A646" s="30">
        <f t="shared" si="85"/>
        <v>0</v>
      </c>
      <c r="B646" s="94">
        <f>INT((ROWS(B$11:B646)-1)/20)+40+0.05*MOD(ROWS(B$11:B646)-1,20)</f>
        <v>71.75</v>
      </c>
      <c r="C646" s="58" t="str">
        <f t="shared" si="86"/>
        <v/>
      </c>
      <c r="D646" s="58" t="str">
        <f t="shared" si="89"/>
        <v/>
      </c>
      <c r="E646" s="30">
        <f t="shared" si="84"/>
        <v>9.7997724563142985E-2</v>
      </c>
      <c r="F646" s="30">
        <f t="shared" si="91"/>
        <v>9.7997724563142985E-2</v>
      </c>
      <c r="G646" s="30">
        <f t="shared" si="91"/>
        <v>9.7997724563142985E-2</v>
      </c>
      <c r="H646" s="30">
        <f t="shared" si="91"/>
        <v>9.7997724563142985E-2</v>
      </c>
      <c r="I646" s="30" t="str">
        <f t="shared" si="90"/>
        <v/>
      </c>
    </row>
    <row r="647" spans="1:9" x14ac:dyDescent="0.25">
      <c r="A647" s="30">
        <f t="shared" si="85"/>
        <v>0</v>
      </c>
      <c r="B647" s="94">
        <f>INT((ROWS(B$11:B647)-1)/20)+40+0.05*MOD(ROWS(B$11:B647)-1,20)</f>
        <v>71.8</v>
      </c>
      <c r="C647" s="58" t="str">
        <f t="shared" si="86"/>
        <v/>
      </c>
      <c r="D647" s="58" t="str">
        <f t="shared" si="89"/>
        <v/>
      </c>
      <c r="E647" s="30">
        <f t="shared" si="84"/>
        <v>9.7760673493863998E-2</v>
      </c>
      <c r="F647" s="30">
        <f t="shared" si="91"/>
        <v>9.7760673493863998E-2</v>
      </c>
      <c r="G647" s="30">
        <f t="shared" si="91"/>
        <v>9.7760673493863998E-2</v>
      </c>
      <c r="H647" s="30">
        <f t="shared" si="91"/>
        <v>9.7760673493863998E-2</v>
      </c>
      <c r="I647" s="30" t="str">
        <f t="shared" si="90"/>
        <v/>
      </c>
    </row>
    <row r="648" spans="1:9" x14ac:dyDescent="0.25">
      <c r="A648" s="30">
        <f t="shared" si="85"/>
        <v>0</v>
      </c>
      <c r="B648" s="94">
        <f>INT((ROWS(B$11:B648)-1)/20)+40+0.05*MOD(ROWS(B$11:B648)-1,20)</f>
        <v>71.849999999999994</v>
      </c>
      <c r="C648" s="58" t="str">
        <f t="shared" si="86"/>
        <v/>
      </c>
      <c r="D648" s="58" t="str">
        <f t="shared" si="89"/>
        <v/>
      </c>
      <c r="E648" s="30">
        <f t="shared" si="84"/>
        <v>9.750895887281455E-2</v>
      </c>
      <c r="F648" s="30">
        <f t="shared" si="91"/>
        <v>9.750895887281455E-2</v>
      </c>
      <c r="G648" s="30">
        <f t="shared" si="91"/>
        <v>9.750895887281455E-2</v>
      </c>
      <c r="H648" s="30">
        <f t="shared" si="91"/>
        <v>9.750895887281455E-2</v>
      </c>
      <c r="I648" s="30" t="str">
        <f t="shared" si="90"/>
        <v/>
      </c>
    </row>
    <row r="649" spans="1:9" x14ac:dyDescent="0.25">
      <c r="A649" s="30">
        <f t="shared" si="85"/>
        <v>0</v>
      </c>
      <c r="B649" s="94">
        <f>INT((ROWS(B$11:B649)-1)/20)+40+0.05*MOD(ROWS(B$11:B649)-1,20)</f>
        <v>71.900000000000006</v>
      </c>
      <c r="C649" s="58" t="str">
        <f t="shared" si="86"/>
        <v/>
      </c>
      <c r="D649" s="58" t="str">
        <f t="shared" si="89"/>
        <v/>
      </c>
      <c r="E649" s="30">
        <f t="shared" si="84"/>
        <v>9.7242697009187321E-2</v>
      </c>
      <c r="F649" s="30">
        <f t="shared" si="91"/>
        <v>9.7242697009187321E-2</v>
      </c>
      <c r="G649" s="30">
        <f t="shared" si="91"/>
        <v>9.7242697009187321E-2</v>
      </c>
      <c r="H649" s="30">
        <f t="shared" si="91"/>
        <v>9.7242697009187321E-2</v>
      </c>
      <c r="I649" s="30" t="str">
        <f t="shared" si="90"/>
        <v/>
      </c>
    </row>
    <row r="650" spans="1:9" x14ac:dyDescent="0.25">
      <c r="A650" s="30">
        <f t="shared" si="85"/>
        <v>0</v>
      </c>
      <c r="B650" s="94">
        <f>INT((ROWS(B$11:B650)-1)/20)+40+0.05*MOD(ROWS(B$11:B650)-1,20)</f>
        <v>71.95</v>
      </c>
      <c r="C650" s="58" t="str">
        <f t="shared" si="86"/>
        <v/>
      </c>
      <c r="D650" s="58" t="str">
        <f t="shared" si="89"/>
        <v/>
      </c>
      <c r="E650" s="30">
        <f t="shared" si="84"/>
        <v>9.6962010713002103E-2</v>
      </c>
      <c r="F650" s="30">
        <f t="shared" si="91"/>
        <v>9.6962010713002103E-2</v>
      </c>
      <c r="G650" s="30">
        <f t="shared" si="91"/>
        <v>9.6962010713002103E-2</v>
      </c>
      <c r="H650" s="30">
        <f t="shared" si="91"/>
        <v>9.6962010713002103E-2</v>
      </c>
      <c r="I650" s="30" t="str">
        <f t="shared" si="90"/>
        <v/>
      </c>
    </row>
    <row r="651" spans="1:9" x14ac:dyDescent="0.25">
      <c r="A651" s="30">
        <f t="shared" si="85"/>
        <v>0.25</v>
      </c>
      <c r="B651" s="94">
        <f>INT((ROWS(B$11:B651)-1)/20)+40+0.05*MOD(ROWS(B$11:B651)-1,20)</f>
        <v>72</v>
      </c>
      <c r="C651" s="58" t="str">
        <f t="shared" si="86"/>
        <v/>
      </c>
      <c r="D651" s="58" t="str">
        <f t="shared" si="89"/>
        <v/>
      </c>
      <c r="E651" s="30">
        <f t="shared" ref="E651:E714" si="92">_xlfn.NORM.DIST(B651,$F$1,$F$2,0)</f>
        <v>9.6667029200712309E-2</v>
      </c>
      <c r="F651" s="30">
        <f t="shared" ref="F651:H670" si="93">IF(AND($B651&gt;=F$7,$B651&lt;=F$8),E651,"")</f>
        <v>9.6667029200712309E-2</v>
      </c>
      <c r="G651" s="30">
        <f t="shared" si="93"/>
        <v>9.6667029200712309E-2</v>
      </c>
      <c r="H651" s="30">
        <f t="shared" si="93"/>
        <v>9.6667029200712309E-2</v>
      </c>
      <c r="I651" s="30" t="str">
        <f t="shared" si="90"/>
        <v/>
      </c>
    </row>
    <row r="652" spans="1:9" x14ac:dyDescent="0.25">
      <c r="A652" s="30">
        <f t="shared" ref="A652:A715" si="94">(INT(B652)-$F$1)/$F$2</f>
        <v>0.25</v>
      </c>
      <c r="B652" s="94">
        <f>INT((ROWS(B$11:B652)-1)/20)+40+0.05*MOD(ROWS(B$11:B652)-1,20)</f>
        <v>72.05</v>
      </c>
      <c r="C652" s="58" t="str">
        <f t="shared" ref="C652:C715" si="95">IF(AND(A652&lt;&gt;A651,INT(A652)=A652),A652,"")</f>
        <v/>
      </c>
      <c r="D652" s="58" t="str">
        <f t="shared" si="89"/>
        <v/>
      </c>
      <c r="E652" s="30">
        <f t="shared" si="92"/>
        <v>9.6357887996080277E-2</v>
      </c>
      <c r="F652" s="30">
        <f t="shared" si="93"/>
        <v>9.6357887996080277E-2</v>
      </c>
      <c r="G652" s="30">
        <f t="shared" si="93"/>
        <v>9.6357887996080277E-2</v>
      </c>
      <c r="H652" s="30">
        <f t="shared" si="93"/>
        <v>9.6357887996080277E-2</v>
      </c>
      <c r="I652" s="30" t="str">
        <f t="shared" si="90"/>
        <v/>
      </c>
    </row>
    <row r="653" spans="1:9" x14ac:dyDescent="0.25">
      <c r="A653" s="30">
        <f t="shared" si="94"/>
        <v>0.25</v>
      </c>
      <c r="B653" s="94">
        <f>INT((ROWS(B$11:B653)-1)/20)+40+0.05*MOD(ROWS(B$11:B653)-1,20)</f>
        <v>72.099999999999994</v>
      </c>
      <c r="C653" s="58" t="str">
        <f t="shared" si="95"/>
        <v/>
      </c>
      <c r="D653" s="58" t="str">
        <f t="shared" si="89"/>
        <v/>
      </c>
      <c r="E653" s="30">
        <f t="shared" si="92"/>
        <v>9.6034728826426233E-2</v>
      </c>
      <c r="F653" s="30">
        <f t="shared" si="93"/>
        <v>9.6034728826426233E-2</v>
      </c>
      <c r="G653" s="30">
        <f t="shared" si="93"/>
        <v>9.6034728826426233E-2</v>
      </c>
      <c r="H653" s="30">
        <f t="shared" si="93"/>
        <v>9.6034728826426233E-2</v>
      </c>
      <c r="I653" s="30" t="str">
        <f t="shared" si="90"/>
        <v/>
      </c>
    </row>
    <row r="654" spans="1:9" x14ac:dyDescent="0.25">
      <c r="A654" s="30">
        <f t="shared" si="94"/>
        <v>0.25</v>
      </c>
      <c r="B654" s="94">
        <f>INT((ROWS(B$11:B654)-1)/20)+40+0.05*MOD(ROWS(B$11:B654)-1,20)</f>
        <v>72.150000000000006</v>
      </c>
      <c r="C654" s="58" t="str">
        <f t="shared" si="95"/>
        <v/>
      </c>
      <c r="D654" s="58" t="str">
        <f t="shared" si="89"/>
        <v/>
      </c>
      <c r="E654" s="30">
        <f t="shared" si="92"/>
        <v>9.5697699514362786E-2</v>
      </c>
      <c r="F654" s="30">
        <f t="shared" si="93"/>
        <v>9.5697699514362786E-2</v>
      </c>
      <c r="G654" s="30">
        <f t="shared" si="93"/>
        <v>9.5697699514362786E-2</v>
      </c>
      <c r="H654" s="30">
        <f t="shared" si="93"/>
        <v>9.5697699514362786E-2</v>
      </c>
      <c r="I654" s="30" t="str">
        <f t="shared" si="90"/>
        <v/>
      </c>
    </row>
    <row r="655" spans="1:9" x14ac:dyDescent="0.25">
      <c r="A655" s="30">
        <f t="shared" si="94"/>
        <v>0.25</v>
      </c>
      <c r="B655" s="94">
        <f>INT((ROWS(B$11:B655)-1)/20)+40+0.05*MOD(ROWS(B$11:B655)-1,20)</f>
        <v>72.2</v>
      </c>
      <c r="C655" s="58" t="str">
        <f t="shared" si="95"/>
        <v/>
      </c>
      <c r="D655" s="58" t="str">
        <f t="shared" si="89"/>
        <v/>
      </c>
      <c r="E655" s="30">
        <f t="shared" si="92"/>
        <v>9.5346953865131007E-2</v>
      </c>
      <c r="F655" s="30">
        <f t="shared" si="93"/>
        <v>9.5346953865131007E-2</v>
      </c>
      <c r="G655" s="30">
        <f t="shared" si="93"/>
        <v>9.5346953865131007E-2</v>
      </c>
      <c r="H655" s="30">
        <f t="shared" si="93"/>
        <v>9.5346953865131007E-2</v>
      </c>
      <c r="I655" s="30" t="str">
        <f t="shared" si="90"/>
        <v/>
      </c>
    </row>
    <row r="656" spans="1:9" x14ac:dyDescent="0.25">
      <c r="A656" s="30">
        <f t="shared" si="94"/>
        <v>0.25</v>
      </c>
      <c r="B656" s="94">
        <f>INT((ROWS(B$11:B656)-1)/20)+40+0.05*MOD(ROWS(B$11:B656)-1,20)</f>
        <v>72.25</v>
      </c>
      <c r="C656" s="58" t="str">
        <f t="shared" si="95"/>
        <v/>
      </c>
      <c r="D656" s="58" t="str">
        <f t="shared" si="89"/>
        <v/>
      </c>
      <c r="E656" s="30">
        <f t="shared" si="92"/>
        <v>9.4982651549656946E-2</v>
      </c>
      <c r="F656" s="30">
        <f t="shared" si="93"/>
        <v>9.4982651549656946E-2</v>
      </c>
      <c r="G656" s="30">
        <f t="shared" si="93"/>
        <v>9.4982651549656946E-2</v>
      </c>
      <c r="H656" s="30">
        <f t="shared" si="93"/>
        <v>9.4982651549656946E-2</v>
      </c>
      <c r="I656" s="30" t="str">
        <f t="shared" si="90"/>
        <v/>
      </c>
    </row>
    <row r="657" spans="1:9" x14ac:dyDescent="0.25">
      <c r="A657" s="30">
        <f t="shared" si="94"/>
        <v>0.25</v>
      </c>
      <c r="B657" s="94">
        <f>INT((ROWS(B$11:B657)-1)/20)+40+0.05*MOD(ROWS(B$11:B657)-1,20)</f>
        <v>72.3</v>
      </c>
      <c r="C657" s="58" t="str">
        <f t="shared" si="95"/>
        <v/>
      </c>
      <c r="D657" s="58" t="str">
        <f t="shared" si="89"/>
        <v/>
      </c>
      <c r="E657" s="30">
        <f t="shared" si="92"/>
        <v>9.460495798345489E-2</v>
      </c>
      <c r="F657" s="30">
        <f t="shared" si="93"/>
        <v>9.460495798345489E-2</v>
      </c>
      <c r="G657" s="30">
        <f t="shared" si="93"/>
        <v>9.460495798345489E-2</v>
      </c>
      <c r="H657" s="30">
        <f t="shared" si="93"/>
        <v>9.460495798345489E-2</v>
      </c>
      <c r="I657" s="30" t="str">
        <f t="shared" si="90"/>
        <v/>
      </c>
    </row>
    <row r="658" spans="1:9" x14ac:dyDescent="0.25">
      <c r="A658" s="30">
        <f t="shared" si="94"/>
        <v>0.25</v>
      </c>
      <c r="B658" s="94">
        <f>INT((ROWS(B$11:B658)-1)/20)+40+0.05*MOD(ROWS(B$11:B658)-1,20)</f>
        <v>72.349999999999994</v>
      </c>
      <c r="C658" s="58" t="str">
        <f t="shared" si="95"/>
        <v/>
      </c>
      <c r="D658" s="58" t="str">
        <f t="shared" si="89"/>
        <v/>
      </c>
      <c r="E658" s="30">
        <f t="shared" si="92"/>
        <v>9.4214044201504449E-2</v>
      </c>
      <c r="F658" s="30">
        <f t="shared" si="93"/>
        <v>9.4214044201504449E-2</v>
      </c>
      <c r="G658" s="30">
        <f t="shared" si="93"/>
        <v>9.4214044201504449E-2</v>
      </c>
      <c r="H658" s="30">
        <f t="shared" si="93"/>
        <v>9.4214044201504449E-2</v>
      </c>
      <c r="I658" s="30" t="str">
        <f t="shared" si="90"/>
        <v/>
      </c>
    </row>
    <row r="659" spans="1:9" x14ac:dyDescent="0.25">
      <c r="A659" s="30">
        <f t="shared" si="94"/>
        <v>0.25</v>
      </c>
      <c r="B659" s="94">
        <f>INT((ROWS(B$11:B659)-1)/20)+40+0.05*MOD(ROWS(B$11:B659)-1,20)</f>
        <v>72.400000000000006</v>
      </c>
      <c r="C659" s="58" t="str">
        <f t="shared" si="95"/>
        <v/>
      </c>
      <c r="D659" s="58" t="str">
        <f t="shared" si="89"/>
        <v/>
      </c>
      <c r="E659" s="30">
        <f t="shared" si="92"/>
        <v>9.3810086729234438E-2</v>
      </c>
      <c r="F659" s="30">
        <f t="shared" si="93"/>
        <v>9.3810086729234438E-2</v>
      </c>
      <c r="G659" s="30">
        <f t="shared" si="93"/>
        <v>9.3810086729234438E-2</v>
      </c>
      <c r="H659" s="30">
        <f t="shared" si="93"/>
        <v>9.3810086729234438E-2</v>
      </c>
      <c r="I659" s="30" t="str">
        <f t="shared" si="90"/>
        <v/>
      </c>
    </row>
    <row r="660" spans="1:9" x14ac:dyDescent="0.25">
      <c r="A660" s="30">
        <f t="shared" si="94"/>
        <v>0.25</v>
      </c>
      <c r="B660" s="94">
        <f>INT((ROWS(B$11:B660)-1)/20)+40+0.05*MOD(ROWS(B$11:B660)-1,20)</f>
        <v>72.45</v>
      </c>
      <c r="C660" s="58" t="str">
        <f t="shared" si="95"/>
        <v/>
      </c>
      <c r="D660" s="58" t="str">
        <f t="shared" si="89"/>
        <v/>
      </c>
      <c r="E660" s="30">
        <f t="shared" si="92"/>
        <v>9.3393267449750142E-2</v>
      </c>
      <c r="F660" s="30">
        <f t="shared" si="93"/>
        <v>9.3393267449750142E-2</v>
      </c>
      <c r="G660" s="30">
        <f t="shared" si="93"/>
        <v>9.3393267449750142E-2</v>
      </c>
      <c r="H660" s="30">
        <f t="shared" si="93"/>
        <v>9.3393267449750142E-2</v>
      </c>
      <c r="I660" s="30" t="str">
        <f t="shared" si="90"/>
        <v/>
      </c>
    </row>
    <row r="661" spans="1:9" x14ac:dyDescent="0.25">
      <c r="A661" s="30">
        <f t="shared" si="94"/>
        <v>0.25</v>
      </c>
      <c r="B661" s="94">
        <f>INT((ROWS(B$11:B661)-1)/20)+40+0.05*MOD(ROWS(B$11:B661)-1,20)</f>
        <v>72.5</v>
      </c>
      <c r="C661" s="58" t="str">
        <f t="shared" si="95"/>
        <v/>
      </c>
      <c r="D661" s="58" t="str">
        <f t="shared" si="89"/>
        <v/>
      </c>
      <c r="E661" s="30">
        <f t="shared" si="92"/>
        <v>9.2963773467442237E-2</v>
      </c>
      <c r="F661" s="30">
        <f t="shared" si="93"/>
        <v>9.2963773467442237E-2</v>
      </c>
      <c r="G661" s="30">
        <f t="shared" si="93"/>
        <v>9.2963773467442237E-2</v>
      </c>
      <c r="H661" s="30">
        <f t="shared" si="93"/>
        <v>9.2963773467442237E-2</v>
      </c>
      <c r="I661" s="30" t="str">
        <f t="shared" si="90"/>
        <v/>
      </c>
    </row>
    <row r="662" spans="1:9" x14ac:dyDescent="0.25">
      <c r="A662" s="30">
        <f t="shared" si="94"/>
        <v>0.25</v>
      </c>
      <c r="B662" s="94">
        <f>INT((ROWS(B$11:B662)-1)/20)+40+0.05*MOD(ROWS(B$11:B662)-1,20)</f>
        <v>72.55</v>
      </c>
      <c r="C662" s="58" t="str">
        <f t="shared" si="95"/>
        <v/>
      </c>
      <c r="D662" s="58" t="str">
        <f t="shared" si="89"/>
        <v/>
      </c>
      <c r="E662" s="30">
        <f t="shared" si="92"/>
        <v>9.2521796968122502E-2</v>
      </c>
      <c r="F662" s="30">
        <f t="shared" si="93"/>
        <v>9.2521796968122502E-2</v>
      </c>
      <c r="G662" s="30">
        <f t="shared" si="93"/>
        <v>9.2521796968122502E-2</v>
      </c>
      <c r="H662" s="30">
        <f t="shared" si="93"/>
        <v>9.2521796968122502E-2</v>
      </c>
      <c r="I662" s="30" t="str">
        <f t="shared" si="90"/>
        <v/>
      </c>
    </row>
    <row r="663" spans="1:9" x14ac:dyDescent="0.25">
      <c r="A663" s="30">
        <f t="shared" si="94"/>
        <v>0.25</v>
      </c>
      <c r="B663" s="94">
        <f>INT((ROWS(B$11:B663)-1)/20)+40+0.05*MOD(ROWS(B$11:B663)-1,20)</f>
        <v>72.599999999999994</v>
      </c>
      <c r="C663" s="58" t="str">
        <f t="shared" si="95"/>
        <v/>
      </c>
      <c r="D663" s="58" t="str">
        <f t="shared" si="89"/>
        <v/>
      </c>
      <c r="E663" s="30">
        <f t="shared" si="92"/>
        <v>9.2067535075830889E-2</v>
      </c>
      <c r="F663" s="30">
        <f t="shared" si="93"/>
        <v>9.2067535075830889E-2</v>
      </c>
      <c r="G663" s="30">
        <f t="shared" si="93"/>
        <v>9.2067535075830889E-2</v>
      </c>
      <c r="H663" s="30">
        <f t="shared" si="93"/>
        <v>9.2067535075830889E-2</v>
      </c>
      <c r="I663" s="30" t="str">
        <f t="shared" si="90"/>
        <v/>
      </c>
    </row>
    <row r="664" spans="1:9" x14ac:dyDescent="0.25">
      <c r="A664" s="30">
        <f t="shared" si="94"/>
        <v>0.25</v>
      </c>
      <c r="B664" s="94">
        <f>INT((ROWS(B$11:B664)-1)/20)+40+0.05*MOD(ROWS(B$11:B664)-1,20)</f>
        <v>72.650000000000006</v>
      </c>
      <c r="C664" s="58" t="str">
        <f t="shared" si="95"/>
        <v/>
      </c>
      <c r="D664" s="58" t="str">
        <f t="shared" si="89"/>
        <v/>
      </c>
      <c r="E664" s="30">
        <f t="shared" si="92"/>
        <v>9.1601189706463873E-2</v>
      </c>
      <c r="F664" s="30">
        <f t="shared" si="93"/>
        <v>9.1601189706463873E-2</v>
      </c>
      <c r="G664" s="30">
        <f t="shared" si="93"/>
        <v>9.1601189706463873E-2</v>
      </c>
      <c r="H664" s="30">
        <f t="shared" si="93"/>
        <v>9.1601189706463873E-2</v>
      </c>
      <c r="I664" s="30" t="str">
        <f t="shared" si="90"/>
        <v/>
      </c>
    </row>
    <row r="665" spans="1:9" x14ac:dyDescent="0.25">
      <c r="A665" s="30">
        <f t="shared" si="94"/>
        <v>0.25</v>
      </c>
      <c r="B665" s="94">
        <f>INT((ROWS(B$11:B665)-1)/20)+40+0.05*MOD(ROWS(B$11:B665)-1,20)</f>
        <v>72.7</v>
      </c>
      <c r="C665" s="58" t="str">
        <f t="shared" si="95"/>
        <v/>
      </c>
      <c r="D665" s="58" t="str">
        <f t="shared" si="89"/>
        <v/>
      </c>
      <c r="E665" s="30">
        <f t="shared" si="92"/>
        <v>9.1122967418376583E-2</v>
      </c>
      <c r="F665" s="30">
        <f t="shared" si="93"/>
        <v>9.1122967418376583E-2</v>
      </c>
      <c r="G665" s="30">
        <f t="shared" si="93"/>
        <v>9.1122967418376583E-2</v>
      </c>
      <c r="H665" s="30">
        <f t="shared" si="93"/>
        <v>9.1122967418376583E-2</v>
      </c>
      <c r="I665" s="30" t="str">
        <f t="shared" si="90"/>
        <v/>
      </c>
    </row>
    <row r="666" spans="1:9" x14ac:dyDescent="0.25">
      <c r="A666" s="30">
        <f t="shared" si="94"/>
        <v>0.25</v>
      </c>
      <c r="B666" s="94">
        <f>INT((ROWS(B$11:B666)-1)/20)+40+0.05*MOD(ROWS(B$11:B666)-1,20)</f>
        <v>72.75</v>
      </c>
      <c r="C666" s="58" t="str">
        <f t="shared" si="95"/>
        <v/>
      </c>
      <c r="D666" s="58" t="str">
        <f t="shared" si="89"/>
        <v/>
      </c>
      <c r="E666" s="30">
        <f t="shared" si="92"/>
        <v>9.0633079260111313E-2</v>
      </c>
      <c r="F666" s="30">
        <f t="shared" si="93"/>
        <v>9.0633079260111313E-2</v>
      </c>
      <c r="G666" s="30">
        <f t="shared" si="93"/>
        <v>9.0633079260111313E-2</v>
      </c>
      <c r="H666" s="30">
        <f t="shared" si="93"/>
        <v>9.0633079260111313E-2</v>
      </c>
      <c r="I666" s="30" t="str">
        <f t="shared" si="90"/>
        <v/>
      </c>
    </row>
    <row r="667" spans="1:9" x14ac:dyDescent="0.25">
      <c r="A667" s="30">
        <f t="shared" si="94"/>
        <v>0.25</v>
      </c>
      <c r="B667" s="94">
        <f>INT((ROWS(B$11:B667)-1)/20)+40+0.05*MOD(ROWS(B$11:B667)-1,20)</f>
        <v>72.8</v>
      </c>
      <c r="C667" s="58" t="str">
        <f t="shared" si="95"/>
        <v/>
      </c>
      <c r="D667" s="58" t="str">
        <f t="shared" si="89"/>
        <v/>
      </c>
      <c r="E667" s="30">
        <f t="shared" si="92"/>
        <v>9.0131740615412015E-2</v>
      </c>
      <c r="F667" s="30">
        <f t="shared" si="93"/>
        <v>9.0131740615412015E-2</v>
      </c>
      <c r="G667" s="30">
        <f t="shared" si="93"/>
        <v>9.0131740615412015E-2</v>
      </c>
      <c r="H667" s="30">
        <f t="shared" si="93"/>
        <v>9.0131740615412015E-2</v>
      </c>
      <c r="I667" s="30" t="str">
        <f t="shared" si="90"/>
        <v/>
      </c>
    </row>
    <row r="668" spans="1:9" x14ac:dyDescent="0.25">
      <c r="A668" s="30">
        <f t="shared" si="94"/>
        <v>0.25</v>
      </c>
      <c r="B668" s="94">
        <f>INT((ROWS(B$11:B668)-1)/20)+40+0.05*MOD(ROWS(B$11:B668)-1,20)</f>
        <v>72.849999999999994</v>
      </c>
      <c r="C668" s="58" t="str">
        <f t="shared" si="95"/>
        <v/>
      </c>
      <c r="D668" s="58" t="str">
        <f t="shared" si="89"/>
        <v/>
      </c>
      <c r="E668" s="30">
        <f t="shared" si="92"/>
        <v>8.9619171045681928E-2</v>
      </c>
      <c r="F668" s="30">
        <f t="shared" si="93"/>
        <v>8.9619171045681928E-2</v>
      </c>
      <c r="G668" s="30">
        <f t="shared" si="93"/>
        <v>8.9619171045681928E-2</v>
      </c>
      <c r="H668" s="30">
        <f t="shared" si="93"/>
        <v>8.9619171045681928E-2</v>
      </c>
      <c r="I668" s="30" t="str">
        <f t="shared" si="90"/>
        <v/>
      </c>
    </row>
    <row r="669" spans="1:9" x14ac:dyDescent="0.25">
      <c r="A669" s="30">
        <f t="shared" si="94"/>
        <v>0.25</v>
      </c>
      <c r="B669" s="94">
        <f>INT((ROWS(B$11:B669)-1)/20)+40+0.05*MOD(ROWS(B$11:B669)-1,20)</f>
        <v>72.900000000000006</v>
      </c>
      <c r="C669" s="58" t="str">
        <f t="shared" si="95"/>
        <v/>
      </c>
      <c r="D669" s="58" t="str">
        <f t="shared" si="89"/>
        <v/>
      </c>
      <c r="E669" s="30">
        <f t="shared" si="92"/>
        <v>8.9095594130045752E-2</v>
      </c>
      <c r="F669" s="30">
        <f t="shared" si="93"/>
        <v>8.9095594130045752E-2</v>
      </c>
      <c r="G669" s="30">
        <f t="shared" si="93"/>
        <v>8.9095594130045752E-2</v>
      </c>
      <c r="H669" s="30">
        <f t="shared" si="93"/>
        <v>8.9095594130045752E-2</v>
      </c>
      <c r="I669" s="30" t="str">
        <f t="shared" si="90"/>
        <v/>
      </c>
    </row>
    <row r="670" spans="1:9" x14ac:dyDescent="0.25">
      <c r="A670" s="30">
        <f t="shared" si="94"/>
        <v>0.25</v>
      </c>
      <c r="B670" s="94">
        <f>INT((ROWS(B$11:B670)-1)/20)+40+0.05*MOD(ROWS(B$11:B670)-1,20)</f>
        <v>72.95</v>
      </c>
      <c r="C670" s="58" t="str">
        <f t="shared" si="95"/>
        <v/>
      </c>
      <c r="D670" s="58" t="str">
        <f t="shared" si="89"/>
        <v/>
      </c>
      <c r="E670" s="30">
        <f t="shared" si="92"/>
        <v>8.8561237303180246E-2</v>
      </c>
      <c r="F670" s="30">
        <f t="shared" si="93"/>
        <v>8.8561237303180246E-2</v>
      </c>
      <c r="G670" s="30">
        <f t="shared" si="93"/>
        <v>8.8561237303180246E-2</v>
      </c>
      <c r="H670" s="30">
        <f t="shared" si="93"/>
        <v>8.8561237303180246E-2</v>
      </c>
      <c r="I670" s="30" t="str">
        <f t="shared" si="90"/>
        <v/>
      </c>
    </row>
    <row r="671" spans="1:9" x14ac:dyDescent="0.25">
      <c r="A671" s="30">
        <f t="shared" si="94"/>
        <v>0.5</v>
      </c>
      <c r="B671" s="94">
        <f>INT((ROWS(B$11:B671)-1)/20)+40+0.05*MOD(ROWS(B$11:B671)-1,20)</f>
        <v>73</v>
      </c>
      <c r="C671" s="58" t="str">
        <f t="shared" si="95"/>
        <v/>
      </c>
      <c r="D671" s="58" t="str">
        <f t="shared" si="89"/>
        <v/>
      </c>
      <c r="E671" s="30">
        <f t="shared" si="92"/>
        <v>8.8016331691074881E-2</v>
      </c>
      <c r="F671" s="30">
        <f t="shared" ref="F671:H690" si="96">IF(AND($B671&gt;=F$7,$B671&lt;=F$8),E671,"")</f>
        <v>8.8016331691074881E-2</v>
      </c>
      <c r="G671" s="30">
        <f t="shared" si="96"/>
        <v>8.8016331691074881E-2</v>
      </c>
      <c r="H671" s="30">
        <f t="shared" si="96"/>
        <v>8.8016331691074881E-2</v>
      </c>
      <c r="I671" s="30" t="str">
        <f t="shared" si="90"/>
        <v/>
      </c>
    </row>
    <row r="672" spans="1:9" x14ac:dyDescent="0.25">
      <c r="A672" s="30">
        <f t="shared" si="94"/>
        <v>0.5</v>
      </c>
      <c r="B672" s="94">
        <f>INT((ROWS(B$11:B672)-1)/20)+40+0.05*MOD(ROWS(B$11:B672)-1,20)</f>
        <v>73.05</v>
      </c>
      <c r="C672" s="58" t="str">
        <f t="shared" si="95"/>
        <v/>
      </c>
      <c r="D672" s="58" t="str">
        <f t="shared" si="89"/>
        <v/>
      </c>
      <c r="E672" s="30">
        <f t="shared" si="92"/>
        <v>8.7461111944891493E-2</v>
      </c>
      <c r="F672" s="30">
        <f t="shared" si="96"/>
        <v>8.7461111944891493E-2</v>
      </c>
      <c r="G672" s="30">
        <f t="shared" si="96"/>
        <v>8.7461111944891493E-2</v>
      </c>
      <c r="H672" s="30">
        <f t="shared" si="96"/>
        <v>8.7461111944891493E-2</v>
      </c>
      <c r="I672" s="30" t="str">
        <f t="shared" si="90"/>
        <v/>
      </c>
    </row>
    <row r="673" spans="1:9" x14ac:dyDescent="0.25">
      <c r="A673" s="30">
        <f t="shared" si="94"/>
        <v>0.5</v>
      </c>
      <c r="B673" s="94">
        <f>INT((ROWS(B$11:B673)-1)/20)+40+0.05*MOD(ROWS(B$11:B673)-1,20)</f>
        <v>73.099999999999994</v>
      </c>
      <c r="C673" s="58" t="str">
        <f t="shared" si="95"/>
        <v/>
      </c>
      <c r="D673" s="58" t="str">
        <f t="shared" si="89"/>
        <v/>
      </c>
      <c r="E673" s="30">
        <f t="shared" si="92"/>
        <v>8.6895816073087093E-2</v>
      </c>
      <c r="F673" s="30">
        <f t="shared" si="96"/>
        <v>8.6895816073087093E-2</v>
      </c>
      <c r="G673" s="30">
        <f t="shared" si="96"/>
        <v>8.6895816073087093E-2</v>
      </c>
      <c r="H673" s="30">
        <f t="shared" si="96"/>
        <v>8.6895816073087093E-2</v>
      </c>
      <c r="I673" s="30" t="str">
        <f t="shared" si="90"/>
        <v/>
      </c>
    </row>
    <row r="674" spans="1:9" x14ac:dyDescent="0.25">
      <c r="A674" s="30">
        <f t="shared" si="94"/>
        <v>0.5</v>
      </c>
      <c r="B674" s="94">
        <f>INT((ROWS(B$11:B674)-1)/20)+40+0.05*MOD(ROWS(B$11:B674)-1,20)</f>
        <v>73.150000000000006</v>
      </c>
      <c r="C674" s="58" t="str">
        <f t="shared" si="95"/>
        <v/>
      </c>
      <c r="D674" s="58" t="str">
        <f t="shared" si="89"/>
        <v/>
      </c>
      <c r="E674" s="30">
        <f t="shared" si="92"/>
        <v>8.6320685271968206E-2</v>
      </c>
      <c r="F674" s="30">
        <f t="shared" si="96"/>
        <v>8.6320685271968206E-2</v>
      </c>
      <c r="G674" s="30">
        <f t="shared" si="96"/>
        <v>8.6320685271968206E-2</v>
      </c>
      <c r="H674" s="30">
        <f t="shared" si="96"/>
        <v>8.6320685271968206E-2</v>
      </c>
      <c r="I674" s="30" t="str">
        <f t="shared" si="90"/>
        <v/>
      </c>
    </row>
    <row r="675" spans="1:9" x14ac:dyDescent="0.25">
      <c r="A675" s="30">
        <f t="shared" si="94"/>
        <v>0.5</v>
      </c>
      <c r="B675" s="94">
        <f>INT((ROWS(B$11:B675)-1)/20)+40+0.05*MOD(ROWS(B$11:B675)-1,20)</f>
        <v>73.2</v>
      </c>
      <c r="C675" s="58" t="str">
        <f t="shared" si="95"/>
        <v/>
      </c>
      <c r="D675" s="58" t="str">
        <f t="shared" si="89"/>
        <v/>
      </c>
      <c r="E675" s="30">
        <f t="shared" si="92"/>
        <v>8.5735963754845948E-2</v>
      </c>
      <c r="F675" s="30">
        <f t="shared" si="96"/>
        <v>8.5735963754845948E-2</v>
      </c>
      <c r="G675" s="30">
        <f t="shared" si="96"/>
        <v>8.5735963754845948E-2</v>
      </c>
      <c r="H675" s="30">
        <f t="shared" si="96"/>
        <v>8.5735963754845948E-2</v>
      </c>
      <c r="I675" s="30" t="str">
        <f t="shared" si="90"/>
        <v/>
      </c>
    </row>
    <row r="676" spans="1:9" x14ac:dyDescent="0.25">
      <c r="A676" s="30">
        <f t="shared" si="94"/>
        <v>0.5</v>
      </c>
      <c r="B676" s="94">
        <f>INT((ROWS(B$11:B676)-1)/20)+40+0.05*MOD(ROWS(B$11:B676)-1,20)</f>
        <v>73.25</v>
      </c>
      <c r="C676" s="58" t="str">
        <f t="shared" si="95"/>
        <v/>
      </c>
      <c r="D676" s="58" t="str">
        <f t="shared" si="89"/>
        <v/>
      </c>
      <c r="E676" s="30">
        <f t="shared" si="92"/>
        <v>8.5141898579957673E-2</v>
      </c>
      <c r="F676" s="30">
        <f t="shared" si="96"/>
        <v>8.5141898579957673E-2</v>
      </c>
      <c r="G676" s="30">
        <f t="shared" si="96"/>
        <v>8.5141898579957673E-2</v>
      </c>
      <c r="H676" s="30">
        <f t="shared" si="96"/>
        <v>8.5141898579957673E-2</v>
      </c>
      <c r="I676" s="30" t="str">
        <f t="shared" si="90"/>
        <v/>
      </c>
    </row>
    <row r="677" spans="1:9" x14ac:dyDescent="0.25">
      <c r="A677" s="30">
        <f t="shared" si="94"/>
        <v>0.5</v>
      </c>
      <c r="B677" s="94">
        <f>INT((ROWS(B$11:B677)-1)/20)+40+0.05*MOD(ROWS(B$11:B677)-1,20)</f>
        <v>73.3</v>
      </c>
      <c r="C677" s="58" t="str">
        <f t="shared" si="95"/>
        <v/>
      </c>
      <c r="D677" s="58" t="str">
        <f t="shared" si="89"/>
        <v/>
      </c>
      <c r="E677" s="30">
        <f t="shared" si="92"/>
        <v>8.4538739477327887E-2</v>
      </c>
      <c r="F677" s="30">
        <f t="shared" si="96"/>
        <v>8.4538739477327887E-2</v>
      </c>
      <c r="G677" s="30">
        <f t="shared" si="96"/>
        <v>8.4538739477327887E-2</v>
      </c>
      <c r="H677" s="30">
        <f t="shared" si="96"/>
        <v>8.4538739477327887E-2</v>
      </c>
      <c r="I677" s="30" t="str">
        <f t="shared" si="90"/>
        <v/>
      </c>
    </row>
    <row r="678" spans="1:9" x14ac:dyDescent="0.25">
      <c r="A678" s="30">
        <f t="shared" si="94"/>
        <v>0.5</v>
      </c>
      <c r="B678" s="94">
        <f>INT((ROWS(B$11:B678)-1)/20)+40+0.05*MOD(ROWS(B$11:B678)-1,20)</f>
        <v>73.349999999999994</v>
      </c>
      <c r="C678" s="58" t="str">
        <f t="shared" si="95"/>
        <v/>
      </c>
      <c r="D678" s="58" t="str">
        <f t="shared" si="89"/>
        <v/>
      </c>
      <c r="E678" s="30">
        <f t="shared" si="92"/>
        <v>8.3926738674734436E-2</v>
      </c>
      <c r="F678" s="30">
        <f t="shared" si="96"/>
        <v>8.3926738674734436E-2</v>
      </c>
      <c r="G678" s="30">
        <f t="shared" si="96"/>
        <v>8.3926738674734436E-2</v>
      </c>
      <c r="H678" s="30">
        <f t="shared" si="96"/>
        <v>8.3926738674734436E-2</v>
      </c>
      <c r="I678" s="30" t="str">
        <f t="shared" si="90"/>
        <v/>
      </c>
    </row>
    <row r="679" spans="1:9" x14ac:dyDescent="0.25">
      <c r="A679" s="30">
        <f t="shared" si="94"/>
        <v>0.5</v>
      </c>
      <c r="B679" s="94">
        <f>INT((ROWS(B$11:B679)-1)/20)+40+0.05*MOD(ROWS(B$11:B679)-1,20)</f>
        <v>73.400000000000006</v>
      </c>
      <c r="C679" s="58" t="str">
        <f t="shared" si="95"/>
        <v/>
      </c>
      <c r="D679" s="58" t="str">
        <f t="shared" si="89"/>
        <v/>
      </c>
      <c r="E679" s="30">
        <f t="shared" si="92"/>
        <v>8.3306150722949848E-2</v>
      </c>
      <c r="F679" s="30">
        <f t="shared" si="96"/>
        <v>8.3306150722949848E-2</v>
      </c>
      <c r="G679" s="30">
        <f t="shared" si="96"/>
        <v>8.3306150722949848E-2</v>
      </c>
      <c r="H679" s="30">
        <f t="shared" si="96"/>
        <v>8.3306150722949848E-2</v>
      </c>
      <c r="I679" s="30" t="str">
        <f t="shared" si="90"/>
        <v/>
      </c>
    </row>
    <row r="680" spans="1:9" x14ac:dyDescent="0.25">
      <c r="A680" s="30">
        <f t="shared" si="94"/>
        <v>0.5</v>
      </c>
      <c r="B680" s="94">
        <f>INT((ROWS(B$11:B680)-1)/20)+40+0.05*MOD(ROWS(B$11:B680)-1,20)</f>
        <v>73.45</v>
      </c>
      <c r="C680" s="58" t="str">
        <f t="shared" si="95"/>
        <v/>
      </c>
      <c r="D680" s="58" t="str">
        <f t="shared" si="89"/>
        <v/>
      </c>
      <c r="E680" s="30">
        <f t="shared" si="92"/>
        <v>8.2677232320426911E-2</v>
      </c>
      <c r="F680" s="30">
        <f t="shared" si="96"/>
        <v>8.2677232320426911E-2</v>
      </c>
      <c r="G680" s="30">
        <f t="shared" si="96"/>
        <v>8.2677232320426911E-2</v>
      </c>
      <c r="H680" s="30">
        <f t="shared" si="96"/>
        <v>8.2677232320426911E-2</v>
      </c>
      <c r="I680" s="30" t="str">
        <f t="shared" si="90"/>
        <v/>
      </c>
    </row>
    <row r="681" spans="1:9" x14ac:dyDescent="0.25">
      <c r="A681" s="30">
        <f t="shared" si="94"/>
        <v>0.5</v>
      </c>
      <c r="B681" s="94">
        <f>INT((ROWS(B$11:B681)-1)/20)+40+0.05*MOD(ROWS(B$11:B681)-1,20)</f>
        <v>73.5</v>
      </c>
      <c r="C681" s="58" t="str">
        <f t="shared" si="95"/>
        <v/>
      </c>
      <c r="D681" s="58" t="str">
        <f t="shared" si="89"/>
        <v/>
      </c>
      <c r="E681" s="30">
        <f t="shared" si="92"/>
        <v>8.2040242137593769E-2</v>
      </c>
      <c r="F681" s="30">
        <f t="shared" si="96"/>
        <v>8.2040242137593769E-2</v>
      </c>
      <c r="G681" s="30">
        <f t="shared" si="96"/>
        <v>8.2040242137593769E-2</v>
      </c>
      <c r="H681" s="30">
        <f t="shared" si="96"/>
        <v>8.2040242137593769E-2</v>
      </c>
      <c r="I681" s="30" t="str">
        <f t="shared" si="90"/>
        <v/>
      </c>
    </row>
    <row r="682" spans="1:9" x14ac:dyDescent="0.25">
      <c r="A682" s="30">
        <f t="shared" si="94"/>
        <v>0.5</v>
      </c>
      <c r="B682" s="94">
        <f>INT((ROWS(B$11:B682)-1)/20)+40+0.05*MOD(ROWS(B$11:B682)-1,20)</f>
        <v>73.55</v>
      </c>
      <c r="C682" s="58" t="str">
        <f t="shared" si="95"/>
        <v/>
      </c>
      <c r="D682" s="58" t="str">
        <f t="shared" si="89"/>
        <v/>
      </c>
      <c r="E682" s="30">
        <f t="shared" si="92"/>
        <v>8.1395440640928754E-2</v>
      </c>
      <c r="F682" s="30">
        <f t="shared" si="96"/>
        <v>8.1395440640928754E-2</v>
      </c>
      <c r="G682" s="30">
        <f t="shared" si="96"/>
        <v>8.1395440640928754E-2</v>
      </c>
      <c r="H682" s="30">
        <f t="shared" si="96"/>
        <v>8.1395440640928754E-2</v>
      </c>
      <c r="I682" s="30" t="str">
        <f t="shared" si="90"/>
        <v/>
      </c>
    </row>
    <row r="683" spans="1:9" x14ac:dyDescent="0.25">
      <c r="A683" s="30">
        <f t="shared" si="94"/>
        <v>0.5</v>
      </c>
      <c r="B683" s="94">
        <f>INT((ROWS(B$11:B683)-1)/20)+40+0.05*MOD(ROWS(B$11:B683)-1,20)</f>
        <v>73.599999999999994</v>
      </c>
      <c r="C683" s="58" t="str">
        <f t="shared" si="95"/>
        <v/>
      </c>
      <c r="D683" s="58" t="str">
        <f t="shared" si="89"/>
        <v/>
      </c>
      <c r="E683" s="30">
        <f t="shared" si="92"/>
        <v>8.074308991697865E-2</v>
      </c>
      <c r="F683" s="30">
        <f t="shared" si="96"/>
        <v>8.074308991697865E-2</v>
      </c>
      <c r="G683" s="30">
        <f t="shared" si="96"/>
        <v>8.074308991697865E-2</v>
      </c>
      <c r="H683" s="30">
        <f t="shared" si="96"/>
        <v>8.074308991697865E-2</v>
      </c>
      <c r="I683" s="30" t="str">
        <f t="shared" si="90"/>
        <v/>
      </c>
    </row>
    <row r="684" spans="1:9" x14ac:dyDescent="0.25">
      <c r="A684" s="30">
        <f t="shared" si="94"/>
        <v>0.5</v>
      </c>
      <c r="B684" s="94">
        <f>INT((ROWS(B$11:B684)-1)/20)+40+0.05*MOD(ROWS(B$11:B684)-1,20)</f>
        <v>73.650000000000006</v>
      </c>
      <c r="C684" s="58" t="str">
        <f t="shared" si="95"/>
        <v/>
      </c>
      <c r="D684" s="58" t="str">
        <f t="shared" si="89"/>
        <v/>
      </c>
      <c r="E684" s="30">
        <f t="shared" si="92"/>
        <v>8.0083453496485532E-2</v>
      </c>
      <c r="F684" s="30">
        <f t="shared" si="96"/>
        <v>8.0083453496485532E-2</v>
      </c>
      <c r="G684" s="30">
        <f t="shared" si="96"/>
        <v>8.0083453496485532E-2</v>
      </c>
      <c r="H684" s="30">
        <f t="shared" si="96"/>
        <v>8.0083453496485532E-2</v>
      </c>
      <c r="I684" s="30" t="str">
        <f t="shared" si="90"/>
        <v/>
      </c>
    </row>
    <row r="685" spans="1:9" x14ac:dyDescent="0.25">
      <c r="A685" s="30">
        <f t="shared" si="94"/>
        <v>0.5</v>
      </c>
      <c r="B685" s="94">
        <f>INT((ROWS(B$11:B685)-1)/20)+40+0.05*MOD(ROWS(B$11:B685)-1,20)</f>
        <v>73.7</v>
      </c>
      <c r="C685" s="58" t="str">
        <f t="shared" si="95"/>
        <v/>
      </c>
      <c r="D685" s="58" t="str">
        <f t="shared" ref="D685:D748" si="97">IF(ISNUMBER(MATCH(B685,$K$2:$K$8,0)),TEXT(B685,"0\""")&amp;CHAR(10)&amp;TEXT((B685-$F$1)/$F$2," 0 z"),"")</f>
        <v/>
      </c>
      <c r="E685" s="30">
        <f t="shared" si="92"/>
        <v>7.9416796178787011E-2</v>
      </c>
      <c r="F685" s="30">
        <f t="shared" si="96"/>
        <v>7.9416796178787011E-2</v>
      </c>
      <c r="G685" s="30">
        <f t="shared" si="96"/>
        <v>7.9416796178787011E-2</v>
      </c>
      <c r="H685" s="30">
        <f t="shared" si="96"/>
        <v>7.9416796178787011E-2</v>
      </c>
      <c r="I685" s="30" t="str">
        <f t="shared" si="90"/>
        <v/>
      </c>
    </row>
    <row r="686" spans="1:9" x14ac:dyDescent="0.25">
      <c r="A686" s="30">
        <f t="shared" si="94"/>
        <v>0.5</v>
      </c>
      <c r="B686" s="94">
        <f>INT((ROWS(B$11:B686)-1)/20)+40+0.05*MOD(ROWS(B$11:B686)-1,20)</f>
        <v>73.75</v>
      </c>
      <c r="C686" s="58" t="str">
        <f t="shared" si="95"/>
        <v/>
      </c>
      <c r="D686" s="58" t="str">
        <f t="shared" si="97"/>
        <v/>
      </c>
      <c r="E686" s="30">
        <f t="shared" si="92"/>
        <v>7.8743383856648336E-2</v>
      </c>
      <c r="F686" s="30">
        <f t="shared" si="96"/>
        <v>7.8743383856648336E-2</v>
      </c>
      <c r="G686" s="30">
        <f t="shared" si="96"/>
        <v>7.8743383856648336E-2</v>
      </c>
      <c r="H686" s="30">
        <f t="shared" si="96"/>
        <v>7.8743383856648336E-2</v>
      </c>
      <c r="I686" s="30" t="str">
        <f t="shared" ref="I686:I749" si="98">IF(AND(B686&gt;=$F$1-0.05,B686&lt;=$F$1+0.05),E686,"")</f>
        <v/>
      </c>
    </row>
    <row r="687" spans="1:9" x14ac:dyDescent="0.25">
      <c r="A687" s="30">
        <f t="shared" si="94"/>
        <v>0.5</v>
      </c>
      <c r="B687" s="94">
        <f>INT((ROWS(B$11:B687)-1)/20)+40+0.05*MOD(ROWS(B$11:B687)-1,20)</f>
        <v>73.8</v>
      </c>
      <c r="C687" s="58" t="str">
        <f t="shared" si="95"/>
        <v/>
      </c>
      <c r="D687" s="58" t="str">
        <f t="shared" si="97"/>
        <v/>
      </c>
      <c r="E687" s="30">
        <f t="shared" si="92"/>
        <v>7.806348334169036E-2</v>
      </c>
      <c r="F687" s="30">
        <f t="shared" si="96"/>
        <v>7.806348334169036E-2</v>
      </c>
      <c r="G687" s="30">
        <f t="shared" si="96"/>
        <v>7.806348334169036E-2</v>
      </c>
      <c r="H687" s="30">
        <f t="shared" si="96"/>
        <v>7.806348334169036E-2</v>
      </c>
      <c r="I687" s="30" t="str">
        <f t="shared" si="98"/>
        <v/>
      </c>
    </row>
    <row r="688" spans="1:9" x14ac:dyDescent="0.25">
      <c r="A688" s="30">
        <f t="shared" si="94"/>
        <v>0.5</v>
      </c>
      <c r="B688" s="94">
        <f>INT((ROWS(B$11:B688)-1)/20)+40+0.05*MOD(ROWS(B$11:B688)-1,20)</f>
        <v>73.849999999999994</v>
      </c>
      <c r="C688" s="58" t="str">
        <f t="shared" si="95"/>
        <v/>
      </c>
      <c r="D688" s="58" t="str">
        <f t="shared" si="97"/>
        <v/>
      </c>
      <c r="E688" s="30">
        <f t="shared" si="92"/>
        <v>7.7377362190568594E-2</v>
      </c>
      <c r="F688" s="30">
        <f t="shared" si="96"/>
        <v>7.7377362190568594E-2</v>
      </c>
      <c r="G688" s="30">
        <f t="shared" si="96"/>
        <v>7.7377362190568594E-2</v>
      </c>
      <c r="H688" s="30">
        <f t="shared" si="96"/>
        <v>7.7377362190568594E-2</v>
      </c>
      <c r="I688" s="30" t="str">
        <f t="shared" si="98"/>
        <v/>
      </c>
    </row>
    <row r="689" spans="1:9" x14ac:dyDescent="0.25">
      <c r="A689" s="30">
        <f t="shared" si="94"/>
        <v>0.5</v>
      </c>
      <c r="B689" s="94">
        <f>INT((ROWS(B$11:B689)-1)/20)+40+0.05*MOD(ROWS(B$11:B689)-1,20)</f>
        <v>73.900000000000006</v>
      </c>
      <c r="C689" s="58" t="str">
        <f t="shared" si="95"/>
        <v/>
      </c>
      <c r="D689" s="58" t="str">
        <f t="shared" si="97"/>
        <v/>
      </c>
      <c r="E689" s="30">
        <f t="shared" si="92"/>
        <v>7.6685288532059914E-2</v>
      </c>
      <c r="F689" s="30">
        <f t="shared" si="96"/>
        <v>7.6685288532059914E-2</v>
      </c>
      <c r="G689" s="30">
        <f t="shared" si="96"/>
        <v>7.6685288532059914E-2</v>
      </c>
      <c r="H689" s="30">
        <f t="shared" si="96"/>
        <v>7.6685288532059914E-2</v>
      </c>
      <c r="I689" s="30" t="str">
        <f t="shared" si="98"/>
        <v/>
      </c>
    </row>
    <row r="690" spans="1:9" x14ac:dyDescent="0.25">
      <c r="A690" s="30">
        <f t="shared" si="94"/>
        <v>0.5</v>
      </c>
      <c r="B690" s="94">
        <f>INT((ROWS(B$11:B690)-1)/20)+40+0.05*MOD(ROWS(B$11:B690)-1,20)</f>
        <v>73.95</v>
      </c>
      <c r="C690" s="58" t="str">
        <f t="shared" si="95"/>
        <v/>
      </c>
      <c r="D690" s="58" t="str">
        <f t="shared" si="97"/>
        <v/>
      </c>
      <c r="E690" s="30">
        <f t="shared" si="92"/>
        <v>7.5987530895211652E-2</v>
      </c>
      <c r="F690" s="30">
        <f t="shared" si="96"/>
        <v>7.5987530895211652E-2</v>
      </c>
      <c r="G690" s="30">
        <f t="shared" si="96"/>
        <v>7.5987530895211652E-2</v>
      </c>
      <c r="H690" s="30">
        <f t="shared" si="96"/>
        <v>7.5987530895211652E-2</v>
      </c>
      <c r="I690" s="30" t="str">
        <f t="shared" si="98"/>
        <v/>
      </c>
    </row>
    <row r="691" spans="1:9" x14ac:dyDescent="0.25">
      <c r="A691" s="30">
        <f t="shared" si="94"/>
        <v>0.75</v>
      </c>
      <c r="B691" s="94">
        <f>INT((ROWS(B$11:B691)-1)/20)+40+0.05*MOD(ROWS(B$11:B691)-1,20)</f>
        <v>74</v>
      </c>
      <c r="C691" s="58" t="str">
        <f t="shared" si="95"/>
        <v/>
      </c>
      <c r="D691" s="58" t="str">
        <f t="shared" si="97"/>
        <v/>
      </c>
      <c r="E691" s="30">
        <f t="shared" si="92"/>
        <v>7.5284358038701107E-2</v>
      </c>
      <c r="F691" s="30">
        <f t="shared" ref="F691:H710" si="99">IF(AND($B691&gt;=F$7,$B691&lt;=F$8),E691,"")</f>
        <v>7.5284358038701107E-2</v>
      </c>
      <c r="G691" s="30">
        <f t="shared" si="99"/>
        <v>7.5284358038701107E-2</v>
      </c>
      <c r="H691" s="30">
        <f t="shared" si="99"/>
        <v>7.5284358038701107E-2</v>
      </c>
      <c r="I691" s="30" t="str">
        <f t="shared" si="98"/>
        <v/>
      </c>
    </row>
    <row r="692" spans="1:9" x14ac:dyDescent="0.25">
      <c r="A692" s="30">
        <f t="shared" si="94"/>
        <v>0.75</v>
      </c>
      <c r="B692" s="94">
        <f>INT((ROWS(B$11:B692)-1)/20)+40+0.05*MOD(ROWS(B$11:B692)-1,20)</f>
        <v>74.05</v>
      </c>
      <c r="C692" s="58" t="str">
        <f t="shared" si="95"/>
        <v/>
      </c>
      <c r="D692" s="58" t="str">
        <f t="shared" si="97"/>
        <v/>
      </c>
      <c r="E692" s="30">
        <f t="shared" si="92"/>
        <v>7.4576038781557746E-2</v>
      </c>
      <c r="F692" s="30">
        <f t="shared" si="99"/>
        <v>7.4576038781557746E-2</v>
      </c>
      <c r="G692" s="30">
        <f t="shared" si="99"/>
        <v>7.4576038781557746E-2</v>
      </c>
      <c r="H692" s="30">
        <f t="shared" si="99"/>
        <v>7.4576038781557746E-2</v>
      </c>
      <c r="I692" s="30" t="str">
        <f t="shared" si="98"/>
        <v/>
      </c>
    </row>
    <row r="693" spans="1:9" x14ac:dyDescent="0.25">
      <c r="A693" s="30">
        <f t="shared" si="94"/>
        <v>0.75</v>
      </c>
      <c r="B693" s="94">
        <f>INT((ROWS(B$11:B693)-1)/20)+40+0.05*MOD(ROWS(B$11:B693)-1,20)</f>
        <v>74.099999999999994</v>
      </c>
      <c r="C693" s="58" t="str">
        <f t="shared" si="95"/>
        <v/>
      </c>
      <c r="D693" s="58" t="str">
        <f t="shared" si="97"/>
        <v/>
      </c>
      <c r="E693" s="30">
        <f t="shared" si="92"/>
        <v>7.3862841835390824E-2</v>
      </c>
      <c r="F693" s="30">
        <f t="shared" si="99"/>
        <v>7.3862841835390824E-2</v>
      </c>
      <c r="G693" s="30">
        <f t="shared" si="99"/>
        <v>7.3862841835390824E-2</v>
      </c>
      <c r="H693" s="30">
        <f t="shared" si="99"/>
        <v>7.3862841835390824E-2</v>
      </c>
      <c r="I693" s="30" t="str">
        <f t="shared" si="98"/>
        <v/>
      </c>
    </row>
    <row r="694" spans="1:9" x14ac:dyDescent="0.25">
      <c r="A694" s="30">
        <f t="shared" si="94"/>
        <v>0.75</v>
      </c>
      <c r="B694" s="94">
        <f>INT((ROWS(B$11:B694)-1)/20)+40+0.05*MOD(ROWS(B$11:B694)-1,20)</f>
        <v>74.150000000000006</v>
      </c>
      <c r="C694" s="58" t="str">
        <f t="shared" si="95"/>
        <v/>
      </c>
      <c r="D694" s="58" t="str">
        <f t="shared" si="97"/>
        <v/>
      </c>
      <c r="E694" s="30">
        <f t="shared" si="92"/>
        <v>7.3145035638265868E-2</v>
      </c>
      <c r="F694" s="30">
        <f t="shared" si="99"/>
        <v>7.3145035638265868E-2</v>
      </c>
      <c r="G694" s="30">
        <f t="shared" si="99"/>
        <v>7.3145035638265868E-2</v>
      </c>
      <c r="H694" s="30">
        <f t="shared" si="99"/>
        <v>7.3145035638265868E-2</v>
      </c>
      <c r="I694" s="30" t="str">
        <f t="shared" si="98"/>
        <v/>
      </c>
    </row>
    <row r="695" spans="1:9" x14ac:dyDescent="0.25">
      <c r="A695" s="30">
        <f t="shared" si="94"/>
        <v>0.75</v>
      </c>
      <c r="B695" s="94">
        <f>INT((ROWS(B$11:B695)-1)/20)+40+0.05*MOD(ROWS(B$11:B695)-1,20)</f>
        <v>74.2</v>
      </c>
      <c r="C695" s="58" t="str">
        <f t="shared" si="95"/>
        <v/>
      </c>
      <c r="D695" s="58" t="str">
        <f t="shared" si="97"/>
        <v/>
      </c>
      <c r="E695" s="30">
        <f t="shared" si="92"/>
        <v>7.2422888190370641E-2</v>
      </c>
      <c r="F695" s="30">
        <f t="shared" si="99"/>
        <v>7.2422888190370641E-2</v>
      </c>
      <c r="G695" s="30">
        <f t="shared" si="99"/>
        <v>7.2422888190370641E-2</v>
      </c>
      <c r="H695" s="30">
        <f t="shared" si="99"/>
        <v>7.2422888190370641E-2</v>
      </c>
      <c r="I695" s="30" t="str">
        <f t="shared" si="98"/>
        <v/>
      </c>
    </row>
    <row r="696" spans="1:9" x14ac:dyDescent="0.25">
      <c r="A696" s="30">
        <f t="shared" si="94"/>
        <v>0.75</v>
      </c>
      <c r="B696" s="94">
        <f>INT((ROWS(B$11:B696)-1)/20)+40+0.05*MOD(ROWS(B$11:B696)-1,20)</f>
        <v>74.25</v>
      </c>
      <c r="C696" s="58" t="str">
        <f t="shared" si="95"/>
        <v/>
      </c>
      <c r="D696" s="58" t="str">
        <f t="shared" si="97"/>
        <v/>
      </c>
      <c r="E696" s="30">
        <f t="shared" si="92"/>
        <v>7.1696666891603617E-2</v>
      </c>
      <c r="F696" s="30">
        <f t="shared" si="99"/>
        <v>7.1696666891603617E-2</v>
      </c>
      <c r="G696" s="30">
        <f t="shared" si="99"/>
        <v>7.1696666891603617E-2</v>
      </c>
      <c r="H696" s="30">
        <f t="shared" si="99"/>
        <v>7.1696666891603617E-2</v>
      </c>
      <c r="I696" s="30" t="str">
        <f t="shared" si="98"/>
        <v/>
      </c>
    </row>
    <row r="697" spans="1:9" x14ac:dyDescent="0.25">
      <c r="A697" s="30">
        <f t="shared" si="94"/>
        <v>0.75</v>
      </c>
      <c r="B697" s="94">
        <f>INT((ROWS(B$11:B697)-1)/20)+40+0.05*MOD(ROWS(B$11:B697)-1,20)</f>
        <v>74.3</v>
      </c>
      <c r="C697" s="58" t="str">
        <f t="shared" si="95"/>
        <v/>
      </c>
      <c r="D697" s="58" t="str">
        <f t="shared" si="97"/>
        <v/>
      </c>
      <c r="E697" s="30">
        <f t="shared" si="92"/>
        <v>7.0966638381221872E-2</v>
      </c>
      <c r="F697" s="30">
        <f t="shared" si="99"/>
        <v>7.0966638381221872E-2</v>
      </c>
      <c r="G697" s="30">
        <f t="shared" si="99"/>
        <v>7.0966638381221872E-2</v>
      </c>
      <c r="H697" s="30">
        <f t="shared" si="99"/>
        <v>7.0966638381221872E-2</v>
      </c>
      <c r="I697" s="30" t="str">
        <f t="shared" si="98"/>
        <v/>
      </c>
    </row>
    <row r="698" spans="1:9" x14ac:dyDescent="0.25">
      <c r="A698" s="30">
        <f t="shared" si="94"/>
        <v>0.75</v>
      </c>
      <c r="B698" s="94">
        <f>INT((ROWS(B$11:B698)-1)/20)+40+0.05*MOD(ROWS(B$11:B698)-1,20)</f>
        <v>74.349999999999994</v>
      </c>
      <c r="C698" s="58" t="str">
        <f t="shared" si="95"/>
        <v/>
      </c>
      <c r="D698" s="58" t="str">
        <f t="shared" si="97"/>
        <v/>
      </c>
      <c r="E698" s="30">
        <f t="shared" si="92"/>
        <v>7.0233068379674621E-2</v>
      </c>
      <c r="F698" s="30">
        <f t="shared" si="99"/>
        <v>7.0233068379674621E-2</v>
      </c>
      <c r="G698" s="30">
        <f t="shared" si="99"/>
        <v>7.0233068379674621E-2</v>
      </c>
      <c r="H698" s="30">
        <f t="shared" si="99"/>
        <v>7.0233068379674621E-2</v>
      </c>
      <c r="I698" s="30" t="str">
        <f t="shared" si="98"/>
        <v/>
      </c>
    </row>
    <row r="699" spans="1:9" x14ac:dyDescent="0.25">
      <c r="A699" s="30">
        <f t="shared" si="94"/>
        <v>0.75</v>
      </c>
      <c r="B699" s="94">
        <f>INT((ROWS(B$11:B699)-1)/20)+40+0.05*MOD(ROWS(B$11:B699)-1,20)</f>
        <v>74.400000000000006</v>
      </c>
      <c r="C699" s="58" t="str">
        <f t="shared" si="95"/>
        <v/>
      </c>
      <c r="D699" s="58" t="str">
        <f t="shared" si="97"/>
        <v/>
      </c>
      <c r="E699" s="30">
        <f t="shared" si="92"/>
        <v>6.9496221532749036E-2</v>
      </c>
      <c r="F699" s="30">
        <f t="shared" si="99"/>
        <v>6.9496221532749036E-2</v>
      </c>
      <c r="G699" s="30">
        <f t="shared" si="99"/>
        <v>6.9496221532749036E-2</v>
      </c>
      <c r="H699" s="30">
        <f t="shared" si="99"/>
        <v>6.9496221532749036E-2</v>
      </c>
      <c r="I699" s="30" t="str">
        <f t="shared" si="98"/>
        <v/>
      </c>
    </row>
    <row r="700" spans="1:9" x14ac:dyDescent="0.25">
      <c r="A700" s="30">
        <f t="shared" si="94"/>
        <v>0.75</v>
      </c>
      <c r="B700" s="94">
        <f>INT((ROWS(B$11:B700)-1)/20)+40+0.05*MOD(ROWS(B$11:B700)-1,20)</f>
        <v>74.45</v>
      </c>
      <c r="C700" s="58" t="str">
        <f t="shared" si="95"/>
        <v/>
      </c>
      <c r="D700" s="58" t="str">
        <f t="shared" si="97"/>
        <v/>
      </c>
      <c r="E700" s="30">
        <f t="shared" si="92"/>
        <v>6.8756361258151016E-2</v>
      </c>
      <c r="F700" s="30">
        <f t="shared" si="99"/>
        <v>6.8756361258151016E-2</v>
      </c>
      <c r="G700" s="30">
        <f t="shared" si="99"/>
        <v>6.8756361258151016E-2</v>
      </c>
      <c r="H700" s="30">
        <f t="shared" si="99"/>
        <v>6.8756361258151016E-2</v>
      </c>
      <c r="I700" s="30" t="str">
        <f t="shared" si="98"/>
        <v/>
      </c>
    </row>
    <row r="701" spans="1:9" x14ac:dyDescent="0.25">
      <c r="A701" s="30">
        <f t="shared" si="94"/>
        <v>0.75</v>
      </c>
      <c r="B701" s="94">
        <f>INT((ROWS(B$11:B701)-1)/20)+40+0.05*MOD(ROWS(B$11:B701)-1,20)</f>
        <v>74.5</v>
      </c>
      <c r="C701" s="58" t="str">
        <f t="shared" si="95"/>
        <v/>
      </c>
      <c r="D701" s="58" t="str">
        <f t="shared" si="97"/>
        <v/>
      </c>
      <c r="E701" s="30">
        <f t="shared" si="92"/>
        <v>6.8013749594635881E-2</v>
      </c>
      <c r="F701" s="30">
        <f t="shared" si="99"/>
        <v>6.8013749594635881E-2</v>
      </c>
      <c r="G701" s="30">
        <f t="shared" si="99"/>
        <v>6.8013749594635881E-2</v>
      </c>
      <c r="H701" s="30">
        <f t="shared" si="99"/>
        <v>6.8013749594635881E-2</v>
      </c>
      <c r="I701" s="30" t="str">
        <f t="shared" si="98"/>
        <v/>
      </c>
    </row>
    <row r="702" spans="1:9" x14ac:dyDescent="0.25">
      <c r="A702" s="30">
        <f t="shared" si="94"/>
        <v>0.75</v>
      </c>
      <c r="B702" s="94">
        <f>INT((ROWS(B$11:B702)-1)/20)+40+0.05*MOD(ROWS(B$11:B702)-1,20)</f>
        <v>74.55</v>
      </c>
      <c r="C702" s="58" t="str">
        <f t="shared" si="95"/>
        <v/>
      </c>
      <c r="D702" s="58" t="str">
        <f t="shared" si="97"/>
        <v/>
      </c>
      <c r="E702" s="30">
        <f t="shared" si="92"/>
        <v>6.726864705380696E-2</v>
      </c>
      <c r="F702" s="30">
        <f t="shared" si="99"/>
        <v>6.726864705380696E-2</v>
      </c>
      <c r="G702" s="30">
        <f t="shared" si="99"/>
        <v>6.726864705380696E-2</v>
      </c>
      <c r="H702" s="30">
        <f t="shared" si="99"/>
        <v>6.726864705380696E-2</v>
      </c>
      <c r="I702" s="30" t="str">
        <f t="shared" si="98"/>
        <v/>
      </c>
    </row>
    <row r="703" spans="1:9" x14ac:dyDescent="0.25">
      <c r="A703" s="30">
        <f t="shared" si="94"/>
        <v>0.75</v>
      </c>
      <c r="B703" s="94">
        <f>INT((ROWS(B$11:B703)-1)/20)+40+0.05*MOD(ROWS(B$11:B703)-1,20)</f>
        <v>74.599999999999994</v>
      </c>
      <c r="C703" s="58" t="str">
        <f t="shared" si="95"/>
        <v/>
      </c>
      <c r="D703" s="58" t="str">
        <f t="shared" si="97"/>
        <v/>
      </c>
      <c r="E703" s="30">
        <f t="shared" si="92"/>
        <v>6.6521312474688801E-2</v>
      </c>
      <c r="F703" s="30">
        <f t="shared" si="99"/>
        <v>6.6521312474688801E-2</v>
      </c>
      <c r="G703" s="30">
        <f t="shared" si="99"/>
        <v>6.6521312474688801E-2</v>
      </c>
      <c r="H703" s="30">
        <f t="shared" si="99"/>
        <v>6.6521312474688801E-2</v>
      </c>
      <c r="I703" s="30" t="str">
        <f t="shared" si="98"/>
        <v/>
      </c>
    </row>
    <row r="704" spans="1:9" x14ac:dyDescent="0.25">
      <c r="A704" s="30">
        <f t="shared" si="94"/>
        <v>0.75</v>
      </c>
      <c r="B704" s="94">
        <f>INT((ROWS(B$11:B704)-1)/20)+40+0.05*MOD(ROWS(B$11:B704)-1,20)</f>
        <v>74.650000000000006</v>
      </c>
      <c r="C704" s="58" t="str">
        <f t="shared" si="95"/>
        <v/>
      </c>
      <c r="D704" s="58" t="str">
        <f t="shared" si="97"/>
        <v/>
      </c>
      <c r="E704" s="30">
        <f t="shared" si="92"/>
        <v>6.5772002881181513E-2</v>
      </c>
      <c r="F704" s="30">
        <f t="shared" si="99"/>
        <v>6.5772002881181513E-2</v>
      </c>
      <c r="G704" s="30">
        <f t="shared" si="99"/>
        <v>6.5772002881181513E-2</v>
      </c>
      <c r="H704" s="30">
        <f t="shared" si="99"/>
        <v>6.5772002881181513E-2</v>
      </c>
      <c r="I704" s="30" t="str">
        <f t="shared" si="98"/>
        <v/>
      </c>
    </row>
    <row r="705" spans="1:9" x14ac:dyDescent="0.25">
      <c r="A705" s="30">
        <f t="shared" si="94"/>
        <v>0.75</v>
      </c>
      <c r="B705" s="94">
        <f>INT((ROWS(B$11:B705)-1)/20)+40+0.05*MOD(ROWS(B$11:B705)-1,20)</f>
        <v>74.7</v>
      </c>
      <c r="C705" s="58" t="str">
        <f t="shared" si="95"/>
        <v/>
      </c>
      <c r="D705" s="58" t="str">
        <f t="shared" si="97"/>
        <v/>
      </c>
      <c r="E705" s="30">
        <f t="shared" si="92"/>
        <v>6.5020973342498886E-2</v>
      </c>
      <c r="F705" s="30">
        <f t="shared" si="99"/>
        <v>6.5020973342498886E-2</v>
      </c>
      <c r="G705" s="30">
        <f t="shared" si="99"/>
        <v>6.5020973342498886E-2</v>
      </c>
      <c r="H705" s="30">
        <f t="shared" si="99"/>
        <v>6.5020973342498886E-2</v>
      </c>
      <c r="I705" s="30" t="str">
        <f t="shared" si="98"/>
        <v/>
      </c>
    </row>
    <row r="706" spans="1:9" x14ac:dyDescent="0.25">
      <c r="A706" s="30">
        <f t="shared" si="94"/>
        <v>0.75</v>
      </c>
      <c r="B706" s="94">
        <f>INT((ROWS(B$11:B706)-1)/20)+40+0.05*MOD(ROWS(B$11:B706)-1,20)</f>
        <v>74.75</v>
      </c>
      <c r="C706" s="58" t="str">
        <f t="shared" si="95"/>
        <v/>
      </c>
      <c r="D706" s="58" t="str">
        <f t="shared" si="97"/>
        <v/>
      </c>
      <c r="E706" s="30">
        <f t="shared" si="92"/>
        <v>6.4268476836683672E-2</v>
      </c>
      <c r="F706" s="30">
        <f t="shared" si="99"/>
        <v>6.4268476836683672E-2</v>
      </c>
      <c r="G706" s="30">
        <f t="shared" si="99"/>
        <v>6.4268476836683672E-2</v>
      </c>
      <c r="H706" s="30">
        <f t="shared" si="99"/>
        <v>6.4268476836683672E-2</v>
      </c>
      <c r="I706" s="30" t="str">
        <f t="shared" si="98"/>
        <v/>
      </c>
    </row>
    <row r="707" spans="1:9" x14ac:dyDescent="0.25">
      <c r="A707" s="30">
        <f t="shared" si="94"/>
        <v>0.75</v>
      </c>
      <c r="B707" s="94">
        <f>INT((ROWS(B$11:B707)-1)/20)+40+0.05*MOD(ROWS(B$11:B707)-1,20)</f>
        <v>74.8</v>
      </c>
      <c r="C707" s="58" t="str">
        <f t="shared" si="95"/>
        <v/>
      </c>
      <c r="D707" s="58" t="str">
        <f t="shared" si="97"/>
        <v/>
      </c>
      <c r="E707" s="30">
        <f t="shared" si="92"/>
        <v>6.3514764117297284E-2</v>
      </c>
      <c r="F707" s="30">
        <f t="shared" si="99"/>
        <v>6.3514764117297284E-2</v>
      </c>
      <c r="G707" s="30">
        <f t="shared" si="99"/>
        <v>6.3514764117297284E-2</v>
      </c>
      <c r="H707" s="30">
        <f t="shared" si="99"/>
        <v>6.3514764117297284E-2</v>
      </c>
      <c r="I707" s="30" t="str">
        <f t="shared" si="98"/>
        <v/>
      </c>
    </row>
    <row r="708" spans="1:9" x14ac:dyDescent="0.25">
      <c r="A708" s="30">
        <f t="shared" si="94"/>
        <v>0.75</v>
      </c>
      <c r="B708" s="94">
        <f>INT((ROWS(B$11:B708)-1)/20)+40+0.05*MOD(ROWS(B$11:B708)-1,20)</f>
        <v>74.849999999999994</v>
      </c>
      <c r="C708" s="58" t="str">
        <f t="shared" si="95"/>
        <v/>
      </c>
      <c r="D708" s="58" t="str">
        <f t="shared" si="97"/>
        <v/>
      </c>
      <c r="E708" s="30">
        <f t="shared" si="92"/>
        <v>6.2760083583368237E-2</v>
      </c>
      <c r="F708" s="30">
        <f t="shared" si="99"/>
        <v>6.2760083583368237E-2</v>
      </c>
      <c r="G708" s="30">
        <f t="shared" si="99"/>
        <v>6.2760083583368237E-2</v>
      </c>
      <c r="H708" s="30">
        <f t="shared" si="99"/>
        <v>6.2760083583368237E-2</v>
      </c>
      <c r="I708" s="30" t="str">
        <f t="shared" si="98"/>
        <v/>
      </c>
    </row>
    <row r="709" spans="1:9" x14ac:dyDescent="0.25">
      <c r="A709" s="30">
        <f t="shared" si="94"/>
        <v>0.75</v>
      </c>
      <c r="B709" s="94">
        <f>INT((ROWS(B$11:B709)-1)/20)+40+0.05*MOD(ROWS(B$11:B709)-1,20)</f>
        <v>74.900000000000006</v>
      </c>
      <c r="C709" s="58" t="str">
        <f t="shared" si="95"/>
        <v/>
      </c>
      <c r="D709" s="58" t="str">
        <f t="shared" si="97"/>
        <v/>
      </c>
      <c r="E709" s="30">
        <f t="shared" si="92"/>
        <v>6.2004681152684198E-2</v>
      </c>
      <c r="F709" s="30">
        <f t="shared" si="99"/>
        <v>6.2004681152684198E-2</v>
      </c>
      <c r="G709" s="30">
        <f t="shared" si="99"/>
        <v>6.2004681152684198E-2</v>
      </c>
      <c r="H709" s="30">
        <f t="shared" si="99"/>
        <v>6.2004681152684198E-2</v>
      </c>
      <c r="I709" s="30" t="str">
        <f t="shared" si="98"/>
        <v/>
      </c>
    </row>
    <row r="710" spans="1:9" x14ac:dyDescent="0.25">
      <c r="A710" s="30">
        <f t="shared" si="94"/>
        <v>0.75</v>
      </c>
      <c r="B710" s="94">
        <f>INT((ROWS(B$11:B710)-1)/20)+40+0.05*MOD(ROWS(B$11:B710)-1,20)</f>
        <v>74.95</v>
      </c>
      <c r="C710" s="58" t="str">
        <f t="shared" si="95"/>
        <v/>
      </c>
      <c r="D710" s="58" t="str">
        <f t="shared" si="97"/>
        <v/>
      </c>
      <c r="E710" s="30">
        <f t="shared" si="92"/>
        <v>6.124880013850767E-2</v>
      </c>
      <c r="F710" s="30">
        <f t="shared" si="99"/>
        <v>6.124880013850767E-2</v>
      </c>
      <c r="G710" s="30">
        <f t="shared" si="99"/>
        <v>6.124880013850767E-2</v>
      </c>
      <c r="H710" s="30">
        <f t="shared" si="99"/>
        <v>6.124880013850767E-2</v>
      </c>
      <c r="I710" s="30" t="str">
        <f t="shared" si="98"/>
        <v/>
      </c>
    </row>
    <row r="711" spans="1:9" x14ac:dyDescent="0.25">
      <c r="A711" s="30">
        <f t="shared" si="94"/>
        <v>1</v>
      </c>
      <c r="B711" s="94">
        <f>INT((ROWS(B$11:B711)-1)/20)+40+0.05*MOD(ROWS(B$11:B711)-1,20)</f>
        <v>75</v>
      </c>
      <c r="C711" s="58">
        <f t="shared" si="95"/>
        <v>1</v>
      </c>
      <c r="D711" s="58" t="str">
        <f t="shared" si="97"/>
        <v>75"
 1 z</v>
      </c>
      <c r="E711" s="30">
        <f t="shared" si="92"/>
        <v>6.0492681129785841E-2</v>
      </c>
      <c r="F711" s="30">
        <f t="shared" ref="F711:H730" si="100">IF(AND($B711&gt;=F$7,$B711&lt;=F$8),E711,"")</f>
        <v>6.0492681129785841E-2</v>
      </c>
      <c r="G711" s="30">
        <f t="shared" si="100"/>
        <v>6.0492681129785841E-2</v>
      </c>
      <c r="H711" s="30">
        <f t="shared" si="100"/>
        <v>6.0492681129785841E-2</v>
      </c>
      <c r="I711" s="30" t="str">
        <f t="shared" si="98"/>
        <v/>
      </c>
    </row>
    <row r="712" spans="1:9" x14ac:dyDescent="0.25">
      <c r="A712" s="30">
        <f t="shared" si="94"/>
        <v>1</v>
      </c>
      <c r="B712" s="94">
        <f>INT((ROWS(B$11:B712)-1)/20)+40+0.05*MOD(ROWS(B$11:B712)-1,20)</f>
        <v>75.05</v>
      </c>
      <c r="C712" s="58" t="str">
        <f t="shared" si="95"/>
        <v/>
      </c>
      <c r="D712" s="58" t="str">
        <f t="shared" si="97"/>
        <v/>
      </c>
      <c r="E712" s="30">
        <f t="shared" si="92"/>
        <v>5.9736561874928915E-2</v>
      </c>
      <c r="F712" s="30">
        <f t="shared" si="100"/>
        <v>5.9736561874928915E-2</v>
      </c>
      <c r="G712" s="30">
        <f t="shared" si="100"/>
        <v>5.9736561874928915E-2</v>
      </c>
      <c r="H712" s="30" t="str">
        <f t="shared" si="100"/>
        <v/>
      </c>
      <c r="I712" s="30" t="str">
        <f t="shared" si="98"/>
        <v/>
      </c>
    </row>
    <row r="713" spans="1:9" x14ac:dyDescent="0.25">
      <c r="A713" s="30">
        <f t="shared" si="94"/>
        <v>1</v>
      </c>
      <c r="B713" s="94">
        <f>INT((ROWS(B$11:B713)-1)/20)+40+0.05*MOD(ROWS(B$11:B713)-1,20)</f>
        <v>75.099999999999994</v>
      </c>
      <c r="C713" s="58" t="str">
        <f t="shared" si="95"/>
        <v/>
      </c>
      <c r="D713" s="58" t="str">
        <f t="shared" si="97"/>
        <v/>
      </c>
      <c r="E713" s="30">
        <f t="shared" si="92"/>
        <v>5.8980677169218218E-2</v>
      </c>
      <c r="F713" s="30">
        <f t="shared" si="100"/>
        <v>5.8980677169218218E-2</v>
      </c>
      <c r="G713" s="30">
        <f t="shared" si="100"/>
        <v>5.8980677169218218E-2</v>
      </c>
      <c r="H713" s="30" t="str">
        <f t="shared" si="100"/>
        <v/>
      </c>
      <c r="I713" s="30" t="str">
        <f t="shared" si="98"/>
        <v/>
      </c>
    </row>
    <row r="714" spans="1:9" x14ac:dyDescent="0.25">
      <c r="A714" s="30">
        <f t="shared" si="94"/>
        <v>1</v>
      </c>
      <c r="B714" s="94">
        <f>INT((ROWS(B$11:B714)-1)/20)+40+0.05*MOD(ROWS(B$11:B714)-1,20)</f>
        <v>75.150000000000006</v>
      </c>
      <c r="C714" s="58" t="str">
        <f t="shared" si="95"/>
        <v/>
      </c>
      <c r="D714" s="58" t="str">
        <f t="shared" si="97"/>
        <v/>
      </c>
      <c r="E714" s="30">
        <f t="shared" si="92"/>
        <v>5.8225258745905249E-2</v>
      </c>
      <c r="F714" s="30">
        <f t="shared" si="100"/>
        <v>5.8225258745905249E-2</v>
      </c>
      <c r="G714" s="30">
        <f t="shared" si="100"/>
        <v>5.8225258745905249E-2</v>
      </c>
      <c r="H714" s="30" t="str">
        <f t="shared" si="100"/>
        <v/>
      </c>
      <c r="I714" s="30" t="str">
        <f t="shared" si="98"/>
        <v/>
      </c>
    </row>
    <row r="715" spans="1:9" x14ac:dyDescent="0.25">
      <c r="A715" s="30">
        <f t="shared" si="94"/>
        <v>1</v>
      </c>
      <c r="B715" s="94">
        <f>INT((ROWS(B$11:B715)-1)/20)+40+0.05*MOD(ROWS(B$11:B715)-1,20)</f>
        <v>75.2</v>
      </c>
      <c r="C715" s="58" t="str">
        <f t="shared" si="95"/>
        <v/>
      </c>
      <c r="D715" s="58" t="str">
        <f t="shared" si="97"/>
        <v/>
      </c>
      <c r="E715" s="30">
        <f t="shared" ref="E715:E778" si="101">_xlfn.NORM.DIST(B715,$F$1,$F$2,0)</f>
        <v>5.7470535171058205E-2</v>
      </c>
      <c r="F715" s="30">
        <f t="shared" si="100"/>
        <v>5.7470535171058205E-2</v>
      </c>
      <c r="G715" s="30">
        <f t="shared" si="100"/>
        <v>5.7470535171058205E-2</v>
      </c>
      <c r="H715" s="30" t="str">
        <f t="shared" si="100"/>
        <v/>
      </c>
      <c r="I715" s="30" t="str">
        <f t="shared" si="98"/>
        <v/>
      </c>
    </row>
    <row r="716" spans="1:9" x14ac:dyDescent="0.25">
      <c r="A716" s="30">
        <f t="shared" ref="A716:A779" si="102">(INT(B716)-$F$1)/$F$2</f>
        <v>1</v>
      </c>
      <c r="B716" s="94">
        <f>INT((ROWS(B$11:B716)-1)/20)+40+0.05*MOD(ROWS(B$11:B716)-1,20)</f>
        <v>75.25</v>
      </c>
      <c r="C716" s="58" t="str">
        <f t="shared" ref="C716:C779" si="103">IF(AND(A716&lt;&gt;A715,INT(A716)=A716),A716,"")</f>
        <v/>
      </c>
      <c r="D716" s="58" t="str">
        <f t="shared" si="97"/>
        <v/>
      </c>
      <c r="E716" s="30">
        <f t="shared" si="101"/>
        <v>5.6716731742203159E-2</v>
      </c>
      <c r="F716" s="30">
        <f t="shared" si="100"/>
        <v>5.6716731742203159E-2</v>
      </c>
      <c r="G716" s="30">
        <f t="shared" si="100"/>
        <v>5.6716731742203159E-2</v>
      </c>
      <c r="H716" s="30" t="str">
        <f t="shared" si="100"/>
        <v/>
      </c>
      <c r="I716" s="30" t="str">
        <f t="shared" si="98"/>
        <v/>
      </c>
    </row>
    <row r="717" spans="1:9" x14ac:dyDescent="0.25">
      <c r="A717" s="30">
        <f t="shared" si="102"/>
        <v>1</v>
      </c>
      <c r="B717" s="94">
        <f>INT((ROWS(B$11:B717)-1)/20)+40+0.05*MOD(ROWS(B$11:B717)-1,20)</f>
        <v>75.3</v>
      </c>
      <c r="C717" s="58" t="str">
        <f t="shared" si="103"/>
        <v/>
      </c>
      <c r="D717" s="58" t="str">
        <f t="shared" si="97"/>
        <v/>
      </c>
      <c r="E717" s="30">
        <f t="shared" si="101"/>
        <v>5.5964070390809917E-2</v>
      </c>
      <c r="F717" s="30">
        <f t="shared" si="100"/>
        <v>5.5964070390809917E-2</v>
      </c>
      <c r="G717" s="30">
        <f t="shared" si="100"/>
        <v>5.5964070390809917E-2</v>
      </c>
      <c r="H717" s="30" t="str">
        <f t="shared" si="100"/>
        <v/>
      </c>
      <c r="I717" s="30" t="str">
        <f t="shared" si="98"/>
        <v/>
      </c>
    </row>
    <row r="718" spans="1:9" x14ac:dyDescent="0.25">
      <c r="A718" s="30">
        <f t="shared" si="102"/>
        <v>1</v>
      </c>
      <c r="B718" s="94">
        <f>INT((ROWS(B$11:B718)-1)/20)+40+0.05*MOD(ROWS(B$11:B718)-1,20)</f>
        <v>75.349999999999994</v>
      </c>
      <c r="C718" s="58" t="str">
        <f t="shared" si="103"/>
        <v/>
      </c>
      <c r="D718" s="58" t="str">
        <f t="shared" si="97"/>
        <v/>
      </c>
      <c r="E718" s="30">
        <f t="shared" si="101"/>
        <v>5.5212769588660511E-2</v>
      </c>
      <c r="F718" s="30">
        <f t="shared" si="100"/>
        <v>5.5212769588660511E-2</v>
      </c>
      <c r="G718" s="30">
        <f t="shared" si="100"/>
        <v>5.5212769588660511E-2</v>
      </c>
      <c r="H718" s="30" t="str">
        <f t="shared" si="100"/>
        <v/>
      </c>
      <c r="I718" s="30" t="str">
        <f t="shared" si="98"/>
        <v/>
      </c>
    </row>
    <row r="719" spans="1:9" x14ac:dyDescent="0.25">
      <c r="A719" s="30">
        <f t="shared" si="102"/>
        <v>1</v>
      </c>
      <c r="B719" s="94">
        <f>INT((ROWS(B$11:B719)-1)/20)+40+0.05*MOD(ROWS(B$11:B719)-1,20)</f>
        <v>75.400000000000006</v>
      </c>
      <c r="C719" s="58" t="str">
        <f t="shared" si="103"/>
        <v/>
      </c>
      <c r="D719" s="58" t="str">
        <f t="shared" si="97"/>
        <v/>
      </c>
      <c r="E719" s="30">
        <f t="shared" si="101"/>
        <v>5.4463044258137555E-2</v>
      </c>
      <c r="F719" s="30">
        <f t="shared" si="100"/>
        <v>5.4463044258137555E-2</v>
      </c>
      <c r="G719" s="30">
        <f t="shared" si="100"/>
        <v>5.4463044258137555E-2</v>
      </c>
      <c r="H719" s="30" t="str">
        <f t="shared" si="100"/>
        <v/>
      </c>
      <c r="I719" s="30" t="str">
        <f t="shared" si="98"/>
        <v/>
      </c>
    </row>
    <row r="720" spans="1:9" x14ac:dyDescent="0.25">
      <c r="A720" s="30">
        <f t="shared" si="102"/>
        <v>1</v>
      </c>
      <c r="B720" s="94">
        <f>INT((ROWS(B$11:B720)-1)/20)+40+0.05*MOD(ROWS(B$11:B720)-1,20)</f>
        <v>75.45</v>
      </c>
      <c r="C720" s="58" t="str">
        <f t="shared" si="103"/>
        <v/>
      </c>
      <c r="D720" s="58" t="str">
        <f t="shared" si="97"/>
        <v/>
      </c>
      <c r="E720" s="30">
        <f t="shared" si="101"/>
        <v>5.3715105686464974E-2</v>
      </c>
      <c r="F720" s="30">
        <f t="shared" si="100"/>
        <v>5.3715105686464974E-2</v>
      </c>
      <c r="G720" s="30">
        <f t="shared" si="100"/>
        <v>5.3715105686464974E-2</v>
      </c>
      <c r="H720" s="30" t="str">
        <f t="shared" si="100"/>
        <v/>
      </c>
      <c r="I720" s="30" t="str">
        <f t="shared" si="98"/>
        <v/>
      </c>
    </row>
    <row r="721" spans="1:9" x14ac:dyDescent="0.25">
      <c r="A721" s="30">
        <f t="shared" si="102"/>
        <v>1</v>
      </c>
      <c r="B721" s="94">
        <f>INT((ROWS(B$11:B721)-1)/20)+40+0.05*MOD(ROWS(B$11:B721)-1,20)</f>
        <v>75.5</v>
      </c>
      <c r="C721" s="58" t="str">
        <f t="shared" si="103"/>
        <v/>
      </c>
      <c r="D721" s="58" t="str">
        <f t="shared" si="97"/>
        <v/>
      </c>
      <c r="E721" s="30">
        <f t="shared" si="101"/>
        <v>5.296916144392487E-2</v>
      </c>
      <c r="F721" s="30">
        <f t="shared" si="100"/>
        <v>5.296916144392487E-2</v>
      </c>
      <c r="G721" s="30">
        <f t="shared" si="100"/>
        <v>5.296916144392487E-2</v>
      </c>
      <c r="H721" s="30" t="str">
        <f t="shared" si="100"/>
        <v/>
      </c>
      <c r="I721" s="30" t="str">
        <f t="shared" si="98"/>
        <v/>
      </c>
    </row>
    <row r="722" spans="1:9" x14ac:dyDescent="0.25">
      <c r="A722" s="30">
        <f t="shared" si="102"/>
        <v>1</v>
      </c>
      <c r="B722" s="94">
        <f>INT((ROWS(B$11:B722)-1)/20)+40+0.05*MOD(ROWS(B$11:B722)-1,20)</f>
        <v>75.55</v>
      </c>
      <c r="C722" s="58" t="str">
        <f t="shared" si="103"/>
        <v/>
      </c>
      <c r="D722" s="58" t="str">
        <f t="shared" si="97"/>
        <v/>
      </c>
      <c r="E722" s="30">
        <f t="shared" si="101"/>
        <v>5.2225415306076807E-2</v>
      </c>
      <c r="F722" s="30">
        <f t="shared" si="100"/>
        <v>5.2225415306076807E-2</v>
      </c>
      <c r="G722" s="30">
        <f t="shared" si="100"/>
        <v>5.2225415306076807E-2</v>
      </c>
      <c r="H722" s="30" t="str">
        <f t="shared" si="100"/>
        <v/>
      </c>
      <c r="I722" s="30" t="str">
        <f t="shared" si="98"/>
        <v/>
      </c>
    </row>
    <row r="723" spans="1:9" x14ac:dyDescent="0.25">
      <c r="A723" s="30">
        <f t="shared" si="102"/>
        <v>1</v>
      </c>
      <c r="B723" s="94">
        <f>INT((ROWS(B$11:B723)-1)/20)+40+0.05*MOD(ROWS(B$11:B723)-1,20)</f>
        <v>75.599999999999994</v>
      </c>
      <c r="C723" s="58" t="str">
        <f t="shared" si="103"/>
        <v/>
      </c>
      <c r="D723" s="58" t="str">
        <f t="shared" si="97"/>
        <v/>
      </c>
      <c r="E723" s="30">
        <f t="shared" si="101"/>
        <v>5.1484067179993771E-2</v>
      </c>
      <c r="F723" s="30">
        <f t="shared" si="100"/>
        <v>5.1484067179993771E-2</v>
      </c>
      <c r="G723" s="30">
        <f t="shared" si="100"/>
        <v>5.1484067179993771E-2</v>
      </c>
      <c r="H723" s="30" t="str">
        <f t="shared" si="100"/>
        <v/>
      </c>
      <c r="I723" s="30" t="str">
        <f t="shared" si="98"/>
        <v/>
      </c>
    </row>
    <row r="724" spans="1:9" x14ac:dyDescent="0.25">
      <c r="A724" s="30">
        <f t="shared" si="102"/>
        <v>1</v>
      </c>
      <c r="B724" s="94">
        <f>INT((ROWS(B$11:B724)-1)/20)+40+0.05*MOD(ROWS(B$11:B724)-1,20)</f>
        <v>75.650000000000006</v>
      </c>
      <c r="C724" s="58" t="str">
        <f t="shared" si="103"/>
        <v/>
      </c>
      <c r="D724" s="58" t="str">
        <f t="shared" si="97"/>
        <v/>
      </c>
      <c r="E724" s="30">
        <f t="shared" si="101"/>
        <v>5.0745313034528859E-2</v>
      </c>
      <c r="F724" s="30">
        <f t="shared" si="100"/>
        <v>5.0745313034528859E-2</v>
      </c>
      <c r="G724" s="30">
        <f t="shared" si="100"/>
        <v>5.0745313034528859E-2</v>
      </c>
      <c r="H724" s="30" t="str">
        <f t="shared" si="100"/>
        <v/>
      </c>
      <c r="I724" s="30" t="str">
        <f t="shared" si="98"/>
        <v/>
      </c>
    </row>
    <row r="725" spans="1:9" x14ac:dyDescent="0.25">
      <c r="A725" s="30">
        <f t="shared" si="102"/>
        <v>1</v>
      </c>
      <c r="B725" s="94">
        <f>INT((ROWS(B$11:B725)-1)/20)+40+0.05*MOD(ROWS(B$11:B725)-1,20)</f>
        <v>75.7</v>
      </c>
      <c r="C725" s="58" t="str">
        <f t="shared" si="103"/>
        <v/>
      </c>
      <c r="D725" s="58" t="str">
        <f t="shared" si="97"/>
        <v/>
      </c>
      <c r="E725" s="30">
        <f t="shared" si="101"/>
        <v>5.000934483462189E-2</v>
      </c>
      <c r="F725" s="30">
        <f t="shared" si="100"/>
        <v>5.000934483462189E-2</v>
      </c>
      <c r="G725" s="30">
        <f t="shared" si="100"/>
        <v>5.000934483462189E-2</v>
      </c>
      <c r="H725" s="30" t="str">
        <f t="shared" si="100"/>
        <v/>
      </c>
      <c r="I725" s="30" t="str">
        <f t="shared" si="98"/>
        <v/>
      </c>
    </row>
    <row r="726" spans="1:9" x14ac:dyDescent="0.25">
      <c r="A726" s="30">
        <f t="shared" si="102"/>
        <v>1</v>
      </c>
      <c r="B726" s="94">
        <f>INT((ROWS(B$11:B726)-1)/20)+40+0.05*MOD(ROWS(B$11:B726)-1,20)</f>
        <v>75.75</v>
      </c>
      <c r="C726" s="58" t="str">
        <f t="shared" si="103"/>
        <v/>
      </c>
      <c r="D726" s="58" t="str">
        <f t="shared" si="97"/>
        <v/>
      </c>
      <c r="E726" s="30">
        <f t="shared" si="101"/>
        <v>4.9276350479646826E-2</v>
      </c>
      <c r="F726" s="30">
        <f t="shared" si="100"/>
        <v>4.9276350479646826E-2</v>
      </c>
      <c r="G726" s="30">
        <f t="shared" si="100"/>
        <v>4.9276350479646826E-2</v>
      </c>
      <c r="H726" s="30" t="str">
        <f t="shared" si="100"/>
        <v/>
      </c>
      <c r="I726" s="30" t="str">
        <f t="shared" si="98"/>
        <v/>
      </c>
    </row>
    <row r="727" spans="1:9" x14ac:dyDescent="0.25">
      <c r="A727" s="30">
        <f t="shared" si="102"/>
        <v>1</v>
      </c>
      <c r="B727" s="94">
        <f>INT((ROWS(B$11:B727)-1)/20)+40+0.05*MOD(ROWS(B$11:B727)-1,20)</f>
        <v>75.8</v>
      </c>
      <c r="C727" s="58" t="str">
        <f t="shared" si="103"/>
        <v/>
      </c>
      <c r="D727" s="58" t="str">
        <f t="shared" si="97"/>
        <v/>
      </c>
      <c r="E727" s="30">
        <f t="shared" si="101"/>
        <v>4.854651374580328E-2</v>
      </c>
      <c r="F727" s="30">
        <f t="shared" si="100"/>
        <v>4.854651374580328E-2</v>
      </c>
      <c r="G727" s="30">
        <f t="shared" si="100"/>
        <v>4.854651374580328E-2</v>
      </c>
      <c r="H727" s="30" t="str">
        <f t="shared" si="100"/>
        <v/>
      </c>
      <c r="I727" s="30" t="str">
        <f t="shared" si="98"/>
        <v/>
      </c>
    </row>
    <row r="728" spans="1:9" x14ac:dyDescent="0.25">
      <c r="A728" s="30">
        <f t="shared" si="102"/>
        <v>1</v>
      </c>
      <c r="B728" s="94">
        <f>INT((ROWS(B$11:B728)-1)/20)+40+0.05*MOD(ROWS(B$11:B728)-1,20)</f>
        <v>75.849999999999994</v>
      </c>
      <c r="C728" s="58" t="str">
        <f t="shared" si="103"/>
        <v/>
      </c>
      <c r="D728" s="58" t="str">
        <f t="shared" si="97"/>
        <v/>
      </c>
      <c r="E728" s="30">
        <f t="shared" si="101"/>
        <v>4.7820014232544235E-2</v>
      </c>
      <c r="F728" s="30">
        <f t="shared" si="100"/>
        <v>4.7820014232544235E-2</v>
      </c>
      <c r="G728" s="30">
        <f t="shared" si="100"/>
        <v>4.7820014232544235E-2</v>
      </c>
      <c r="H728" s="30" t="str">
        <f t="shared" si="100"/>
        <v/>
      </c>
      <c r="I728" s="30" t="str">
        <f t="shared" si="98"/>
        <v/>
      </c>
    </row>
    <row r="729" spans="1:9" x14ac:dyDescent="0.25">
      <c r="A729" s="30">
        <f t="shared" si="102"/>
        <v>1</v>
      </c>
      <c r="B729" s="94">
        <f>INT((ROWS(B$11:B729)-1)/20)+40+0.05*MOD(ROWS(B$11:B729)-1,20)</f>
        <v>75.900000000000006</v>
      </c>
      <c r="C729" s="58" t="str">
        <f t="shared" si="103"/>
        <v/>
      </c>
      <c r="D729" s="58" t="str">
        <f t="shared" si="97"/>
        <v/>
      </c>
      <c r="E729" s="30">
        <f t="shared" si="101"/>
        <v>4.7097027313031503E-2</v>
      </c>
      <c r="F729" s="30">
        <f t="shared" si="100"/>
        <v>4.7097027313031503E-2</v>
      </c>
      <c r="G729" s="30">
        <f t="shared" si="100"/>
        <v>4.7097027313031503E-2</v>
      </c>
      <c r="H729" s="30" t="str">
        <f t="shared" si="100"/>
        <v/>
      </c>
      <c r="I729" s="30" t="str">
        <f t="shared" si="98"/>
        <v/>
      </c>
    </row>
    <row r="730" spans="1:9" x14ac:dyDescent="0.25">
      <c r="A730" s="30">
        <f t="shared" si="102"/>
        <v>1</v>
      </c>
      <c r="B730" s="94">
        <f>INT((ROWS(B$11:B730)-1)/20)+40+0.05*MOD(ROWS(B$11:B730)-1,20)</f>
        <v>75.95</v>
      </c>
      <c r="C730" s="58" t="str">
        <f t="shared" si="103"/>
        <v/>
      </c>
      <c r="D730" s="58" t="str">
        <f t="shared" si="97"/>
        <v/>
      </c>
      <c r="E730" s="30">
        <f t="shared" si="101"/>
        <v>4.6377724088606499E-2</v>
      </c>
      <c r="F730" s="30">
        <f t="shared" si="100"/>
        <v>4.6377724088606499E-2</v>
      </c>
      <c r="G730" s="30">
        <f t="shared" si="100"/>
        <v>4.6377724088606499E-2</v>
      </c>
      <c r="H730" s="30" t="str">
        <f t="shared" si="100"/>
        <v/>
      </c>
      <c r="I730" s="30" t="str">
        <f t="shared" si="98"/>
        <v/>
      </c>
    </row>
    <row r="731" spans="1:9" x14ac:dyDescent="0.25">
      <c r="A731" s="30">
        <f t="shared" si="102"/>
        <v>1.25</v>
      </c>
      <c r="B731" s="94">
        <f>INT((ROWS(B$11:B731)-1)/20)+40+0.05*MOD(ROWS(B$11:B731)-1,20)</f>
        <v>76</v>
      </c>
      <c r="C731" s="58" t="str">
        <f t="shared" si="103"/>
        <v/>
      </c>
      <c r="D731" s="58" t="str">
        <f t="shared" si="97"/>
        <v/>
      </c>
      <c r="E731" s="30">
        <f t="shared" si="101"/>
        <v>4.5662271347255479E-2</v>
      </c>
      <c r="F731" s="30">
        <f t="shared" ref="F731:H750" si="104">IF(AND($B731&gt;=F$7,$B731&lt;=F$8),E731,"")</f>
        <v>4.5662271347255479E-2</v>
      </c>
      <c r="G731" s="30">
        <f t="shared" si="104"/>
        <v>4.5662271347255479E-2</v>
      </c>
      <c r="H731" s="30" t="str">
        <f t="shared" si="104"/>
        <v/>
      </c>
      <c r="I731" s="30" t="str">
        <f t="shared" si="98"/>
        <v/>
      </c>
    </row>
    <row r="732" spans="1:9" x14ac:dyDescent="0.25">
      <c r="A732" s="30">
        <f t="shared" si="102"/>
        <v>1.25</v>
      </c>
      <c r="B732" s="94">
        <f>INT((ROWS(B$11:B732)-1)/20)+40+0.05*MOD(ROWS(B$11:B732)-1,20)</f>
        <v>76.05</v>
      </c>
      <c r="C732" s="58" t="str">
        <f t="shared" si="103"/>
        <v/>
      </c>
      <c r="D732" s="58" t="str">
        <f t="shared" si="97"/>
        <v/>
      </c>
      <c r="E732" s="30">
        <f t="shared" si="101"/>
        <v>4.4950831526051616E-2</v>
      </c>
      <c r="F732" s="30">
        <f t="shared" si="104"/>
        <v>4.4950831526051616E-2</v>
      </c>
      <c r="G732" s="30">
        <f t="shared" si="104"/>
        <v>4.4950831526051616E-2</v>
      </c>
      <c r="H732" s="30" t="str">
        <f t="shared" si="104"/>
        <v/>
      </c>
      <c r="I732" s="30" t="str">
        <f t="shared" si="98"/>
        <v/>
      </c>
    </row>
    <row r="733" spans="1:9" x14ac:dyDescent="0.25">
      <c r="A733" s="30">
        <f t="shared" si="102"/>
        <v>1.25</v>
      </c>
      <c r="B733" s="94">
        <f>INT((ROWS(B$11:B733)-1)/20)+40+0.05*MOD(ROWS(B$11:B733)-1,20)</f>
        <v>76.099999999999994</v>
      </c>
      <c r="C733" s="58" t="str">
        <f t="shared" si="103"/>
        <v/>
      </c>
      <c r="D733" s="58" t="str">
        <f t="shared" si="97"/>
        <v/>
      </c>
      <c r="E733" s="30">
        <f t="shared" si="101"/>
        <v>4.4243562677545006E-2</v>
      </c>
      <c r="F733" s="30">
        <f t="shared" si="104"/>
        <v>4.4243562677545006E-2</v>
      </c>
      <c r="G733" s="30">
        <f t="shared" si="104"/>
        <v>4.4243562677545006E-2</v>
      </c>
      <c r="H733" s="30" t="str">
        <f t="shared" si="104"/>
        <v/>
      </c>
      <c r="I733" s="30" t="str">
        <f t="shared" si="98"/>
        <v/>
      </c>
    </row>
    <row r="734" spans="1:9" x14ac:dyDescent="0.25">
      <c r="A734" s="30">
        <f t="shared" si="102"/>
        <v>1.25</v>
      </c>
      <c r="B734" s="94">
        <f>INT((ROWS(B$11:B734)-1)/20)+40+0.05*MOD(ROWS(B$11:B734)-1,20)</f>
        <v>76.150000000000006</v>
      </c>
      <c r="C734" s="58" t="str">
        <f t="shared" si="103"/>
        <v/>
      </c>
      <c r="D734" s="58" t="str">
        <f t="shared" si="97"/>
        <v/>
      </c>
      <c r="E734" s="30">
        <f t="shared" si="101"/>
        <v>4.3540618440072072E-2</v>
      </c>
      <c r="F734" s="30">
        <f t="shared" si="104"/>
        <v>4.3540618440072072E-2</v>
      </c>
      <c r="G734" s="30">
        <f t="shared" si="104"/>
        <v>4.3540618440072072E-2</v>
      </c>
      <c r="H734" s="30" t="str">
        <f t="shared" si="104"/>
        <v/>
      </c>
      <c r="I734" s="30" t="str">
        <f t="shared" si="98"/>
        <v/>
      </c>
    </row>
    <row r="735" spans="1:9" x14ac:dyDescent="0.25">
      <c r="A735" s="30">
        <f t="shared" si="102"/>
        <v>1.25</v>
      </c>
      <c r="B735" s="94">
        <f>INT((ROWS(B$11:B735)-1)/20)+40+0.05*MOD(ROWS(B$11:B735)-1,20)</f>
        <v>76.2</v>
      </c>
      <c r="C735" s="58" t="str">
        <f t="shared" si="103"/>
        <v/>
      </c>
      <c r="D735" s="58" t="str">
        <f t="shared" si="97"/>
        <v/>
      </c>
      <c r="E735" s="30">
        <f t="shared" si="101"/>
        <v>4.2842148011951797E-2</v>
      </c>
      <c r="F735" s="30">
        <f t="shared" si="104"/>
        <v>4.2842148011951797E-2</v>
      </c>
      <c r="G735" s="30">
        <f t="shared" si="104"/>
        <v>4.2842148011951797E-2</v>
      </c>
      <c r="H735" s="30" t="str">
        <f t="shared" si="104"/>
        <v/>
      </c>
      <c r="I735" s="30" t="str">
        <f t="shared" si="98"/>
        <v/>
      </c>
    </row>
    <row r="736" spans="1:9" x14ac:dyDescent="0.25">
      <c r="A736" s="30">
        <f t="shared" si="102"/>
        <v>1.25</v>
      </c>
      <c r="B736" s="94">
        <f>INT((ROWS(B$11:B736)-1)/20)+40+0.05*MOD(ROWS(B$11:B736)-1,20)</f>
        <v>76.25</v>
      </c>
      <c r="C736" s="58" t="str">
        <f t="shared" si="103"/>
        <v/>
      </c>
      <c r="D736" s="58" t="str">
        <f t="shared" si="97"/>
        <v/>
      </c>
      <c r="E736" s="30">
        <f t="shared" si="101"/>
        <v>4.2148296129528778E-2</v>
      </c>
      <c r="F736" s="30">
        <f t="shared" si="104"/>
        <v>4.2148296129528778E-2</v>
      </c>
      <c r="G736" s="30">
        <f t="shared" si="104"/>
        <v>4.2148296129528778E-2</v>
      </c>
      <c r="H736" s="30" t="str">
        <f t="shared" si="104"/>
        <v/>
      </c>
      <c r="I736" s="30" t="str">
        <f t="shared" si="98"/>
        <v/>
      </c>
    </row>
    <row r="737" spans="1:9" x14ac:dyDescent="0.25">
      <c r="A737" s="30">
        <f t="shared" si="102"/>
        <v>1.25</v>
      </c>
      <c r="B737" s="94">
        <f>INT((ROWS(B$11:B737)-1)/20)+40+0.05*MOD(ROWS(B$11:B737)-1,20)</f>
        <v>76.3</v>
      </c>
      <c r="C737" s="58" t="str">
        <f t="shared" si="103"/>
        <v/>
      </c>
      <c r="D737" s="58" t="str">
        <f t="shared" si="97"/>
        <v/>
      </c>
      <c r="E737" s="30">
        <f t="shared" si="101"/>
        <v>4.1459203049026221E-2</v>
      </c>
      <c r="F737" s="30">
        <f t="shared" si="104"/>
        <v>4.1459203049026221E-2</v>
      </c>
      <c r="G737" s="30">
        <f t="shared" si="104"/>
        <v>4.1459203049026221E-2</v>
      </c>
      <c r="H737" s="30" t="str">
        <f t="shared" si="104"/>
        <v/>
      </c>
      <c r="I737" s="30" t="str">
        <f t="shared" si="98"/>
        <v/>
      </c>
    </row>
    <row r="738" spans="1:9" x14ac:dyDescent="0.25">
      <c r="A738" s="30">
        <f t="shared" si="102"/>
        <v>1.25</v>
      </c>
      <c r="B738" s="94">
        <f>INT((ROWS(B$11:B738)-1)/20)+40+0.05*MOD(ROWS(B$11:B738)-1,20)</f>
        <v>76.349999999999994</v>
      </c>
      <c r="C738" s="58" t="str">
        <f t="shared" si="103"/>
        <v/>
      </c>
      <c r="D738" s="58" t="str">
        <f t="shared" si="97"/>
        <v/>
      </c>
      <c r="E738" s="30">
        <f t="shared" si="101"/>
        <v>4.0775004532161811E-2</v>
      </c>
      <c r="F738" s="30">
        <f t="shared" si="104"/>
        <v>4.0775004532161811E-2</v>
      </c>
      <c r="G738" s="30">
        <f t="shared" si="104"/>
        <v>4.0775004532161811E-2</v>
      </c>
      <c r="H738" s="30" t="str">
        <f t="shared" si="104"/>
        <v/>
      </c>
      <c r="I738" s="30" t="str">
        <f t="shared" si="98"/>
        <v/>
      </c>
    </row>
    <row r="739" spans="1:9" x14ac:dyDescent="0.25">
      <c r="A739" s="30">
        <f t="shared" si="102"/>
        <v>1.25</v>
      </c>
      <c r="B739" s="94">
        <f>INT((ROWS(B$11:B739)-1)/20)+40+0.05*MOD(ROWS(B$11:B739)-1,20)</f>
        <v>76.400000000000006</v>
      </c>
      <c r="C739" s="58" t="str">
        <f t="shared" si="103"/>
        <v/>
      </c>
      <c r="D739" s="58" t="str">
        <f t="shared" si="97"/>
        <v/>
      </c>
      <c r="E739" s="30">
        <f t="shared" si="101"/>
        <v>4.0095831835479823E-2</v>
      </c>
      <c r="F739" s="30">
        <f t="shared" si="104"/>
        <v>4.0095831835479823E-2</v>
      </c>
      <c r="G739" s="30">
        <f t="shared" si="104"/>
        <v>4.0095831835479823E-2</v>
      </c>
      <c r="H739" s="30" t="str">
        <f t="shared" si="104"/>
        <v/>
      </c>
      <c r="I739" s="30" t="str">
        <f t="shared" si="98"/>
        <v/>
      </c>
    </row>
    <row r="740" spans="1:9" x14ac:dyDescent="0.25">
      <c r="A740" s="30">
        <f t="shared" si="102"/>
        <v>1.25</v>
      </c>
      <c r="B740" s="94">
        <f>INT((ROWS(B$11:B740)-1)/20)+40+0.05*MOD(ROWS(B$11:B740)-1,20)</f>
        <v>76.45</v>
      </c>
      <c r="C740" s="58" t="str">
        <f t="shared" si="103"/>
        <v/>
      </c>
      <c r="D740" s="58" t="str">
        <f t="shared" si="97"/>
        <v/>
      </c>
      <c r="E740" s="30">
        <f t="shared" si="101"/>
        <v>3.9421811703349553E-2</v>
      </c>
      <c r="F740" s="30">
        <f t="shared" si="104"/>
        <v>3.9421811703349553E-2</v>
      </c>
      <c r="G740" s="30">
        <f t="shared" si="104"/>
        <v>3.9421811703349553E-2</v>
      </c>
      <c r="H740" s="30" t="str">
        <f t="shared" si="104"/>
        <v/>
      </c>
      <c r="I740" s="30" t="str">
        <f t="shared" si="98"/>
        <v/>
      </c>
    </row>
    <row r="741" spans="1:9" x14ac:dyDescent="0.25">
      <c r="A741" s="30">
        <f t="shared" si="102"/>
        <v>1.25</v>
      </c>
      <c r="B741" s="94">
        <f>INT((ROWS(B$11:B741)-1)/20)+40+0.05*MOD(ROWS(B$11:B741)-1,20)</f>
        <v>76.5</v>
      </c>
      <c r="C741" s="58" t="str">
        <f t="shared" si="103"/>
        <v/>
      </c>
      <c r="D741" s="58" t="str">
        <f t="shared" si="97"/>
        <v/>
      </c>
      <c r="E741" s="30">
        <f t="shared" si="101"/>
        <v>3.8753066364573305E-2</v>
      </c>
      <c r="F741" s="30">
        <f t="shared" si="104"/>
        <v>3.8753066364573305E-2</v>
      </c>
      <c r="G741" s="30">
        <f t="shared" si="104"/>
        <v>3.8753066364573305E-2</v>
      </c>
      <c r="H741" s="30" t="str">
        <f t="shared" si="104"/>
        <v/>
      </c>
      <c r="I741" s="30" t="str">
        <f t="shared" si="98"/>
        <v/>
      </c>
    </row>
    <row r="742" spans="1:9" x14ac:dyDescent="0.25">
      <c r="A742" s="30">
        <f t="shared" si="102"/>
        <v>1.25</v>
      </c>
      <c r="B742" s="94">
        <f>INT((ROWS(B$11:B742)-1)/20)+40+0.05*MOD(ROWS(B$11:B742)-1,20)</f>
        <v>76.55</v>
      </c>
      <c r="C742" s="58" t="str">
        <f t="shared" si="103"/>
        <v/>
      </c>
      <c r="D742" s="58" t="str">
        <f t="shared" si="97"/>
        <v/>
      </c>
      <c r="E742" s="30">
        <f t="shared" si="101"/>
        <v>3.8089713532550633E-2</v>
      </c>
      <c r="F742" s="30">
        <f t="shared" si="104"/>
        <v>3.8089713532550633E-2</v>
      </c>
      <c r="G742" s="30">
        <f t="shared" si="104"/>
        <v>3.8089713532550633E-2</v>
      </c>
      <c r="H742" s="30" t="str">
        <f t="shared" si="104"/>
        <v/>
      </c>
      <c r="I742" s="30" t="str">
        <f t="shared" si="98"/>
        <v/>
      </c>
    </row>
    <row r="743" spans="1:9" x14ac:dyDescent="0.25">
      <c r="A743" s="30">
        <f t="shared" si="102"/>
        <v>1.25</v>
      </c>
      <c r="B743" s="94">
        <f>INT((ROWS(B$11:B743)-1)/20)+40+0.05*MOD(ROWS(B$11:B743)-1,20)</f>
        <v>76.599999999999994</v>
      </c>
      <c r="C743" s="58" t="str">
        <f t="shared" si="103"/>
        <v/>
      </c>
      <c r="D743" s="58" t="str">
        <f t="shared" si="97"/>
        <v/>
      </c>
      <c r="E743" s="30">
        <f t="shared" si="101"/>
        <v>3.7431866408936289E-2</v>
      </c>
      <c r="F743" s="30">
        <f t="shared" si="104"/>
        <v>3.7431866408936289E-2</v>
      </c>
      <c r="G743" s="30">
        <f t="shared" si="104"/>
        <v>3.7431866408936289E-2</v>
      </c>
      <c r="H743" s="30" t="str">
        <f t="shared" si="104"/>
        <v/>
      </c>
      <c r="I743" s="30" t="str">
        <f t="shared" si="98"/>
        <v/>
      </c>
    </row>
    <row r="744" spans="1:9" x14ac:dyDescent="0.25">
      <c r="A744" s="30">
        <f t="shared" si="102"/>
        <v>1.25</v>
      </c>
      <c r="B744" s="94">
        <f>INT((ROWS(B$11:B744)-1)/20)+40+0.05*MOD(ROWS(B$11:B744)-1,20)</f>
        <v>76.650000000000006</v>
      </c>
      <c r="C744" s="58" t="str">
        <f t="shared" si="103"/>
        <v/>
      </c>
      <c r="D744" s="58" t="str">
        <f t="shared" si="97"/>
        <v/>
      </c>
      <c r="E744" s="30">
        <f t="shared" si="101"/>
        <v>3.677963369072991E-2</v>
      </c>
      <c r="F744" s="30">
        <f t="shared" si="104"/>
        <v>3.677963369072991E-2</v>
      </c>
      <c r="G744" s="30">
        <f t="shared" si="104"/>
        <v>3.677963369072991E-2</v>
      </c>
      <c r="H744" s="30" t="str">
        <f t="shared" si="104"/>
        <v/>
      </c>
      <c r="I744" s="30" t="str">
        <f t="shared" si="98"/>
        <v/>
      </c>
    </row>
    <row r="745" spans="1:9" x14ac:dyDescent="0.25">
      <c r="A745" s="30">
        <f t="shared" si="102"/>
        <v>1.25</v>
      </c>
      <c r="B745" s="94">
        <f>INT((ROWS(B$11:B745)-1)/20)+40+0.05*MOD(ROWS(B$11:B745)-1,20)</f>
        <v>76.7</v>
      </c>
      <c r="C745" s="58" t="str">
        <f t="shared" si="103"/>
        <v/>
      </c>
      <c r="D745" s="58" t="str">
        <f t="shared" si="97"/>
        <v/>
      </c>
      <c r="E745" s="30">
        <f t="shared" si="101"/>
        <v>3.6133119580733189E-2</v>
      </c>
      <c r="F745" s="30">
        <f t="shared" si="104"/>
        <v>3.6133119580733189E-2</v>
      </c>
      <c r="G745" s="30">
        <f t="shared" si="104"/>
        <v>3.6133119580733189E-2</v>
      </c>
      <c r="H745" s="30" t="str">
        <f t="shared" si="104"/>
        <v/>
      </c>
      <c r="I745" s="30" t="str">
        <f t="shared" si="98"/>
        <v/>
      </c>
    </row>
    <row r="746" spans="1:9" x14ac:dyDescent="0.25">
      <c r="A746" s="30">
        <f t="shared" si="102"/>
        <v>1.25</v>
      </c>
      <c r="B746" s="94">
        <f>INT((ROWS(B$11:B746)-1)/20)+40+0.05*MOD(ROWS(B$11:B746)-1,20)</f>
        <v>76.75</v>
      </c>
      <c r="C746" s="58" t="str">
        <f t="shared" si="103"/>
        <v/>
      </c>
      <c r="D746" s="58" t="str">
        <f t="shared" si="97"/>
        <v/>
      </c>
      <c r="E746" s="30">
        <f t="shared" si="101"/>
        <v>3.5492423801303886E-2</v>
      </c>
      <c r="F746" s="30">
        <f t="shared" si="104"/>
        <v>3.5492423801303886E-2</v>
      </c>
      <c r="G746" s="30">
        <f t="shared" si="104"/>
        <v>3.5492423801303886E-2</v>
      </c>
      <c r="H746" s="30" t="str">
        <f t="shared" si="104"/>
        <v/>
      </c>
      <c r="I746" s="30" t="str">
        <f t="shared" si="98"/>
        <v/>
      </c>
    </row>
    <row r="747" spans="1:9" x14ac:dyDescent="0.25">
      <c r="A747" s="30">
        <f t="shared" si="102"/>
        <v>1.25</v>
      </c>
      <c r="B747" s="94">
        <f>INT((ROWS(B$11:B747)-1)/20)+40+0.05*MOD(ROWS(B$11:B747)-1,20)</f>
        <v>76.8</v>
      </c>
      <c r="C747" s="58" t="str">
        <f t="shared" si="103"/>
        <v/>
      </c>
      <c r="D747" s="58" t="str">
        <f t="shared" si="97"/>
        <v/>
      </c>
      <c r="E747" s="30">
        <f t="shared" si="101"/>
        <v>3.4857641611340105E-2</v>
      </c>
      <c r="F747" s="30">
        <f t="shared" si="104"/>
        <v>3.4857641611340105E-2</v>
      </c>
      <c r="G747" s="30">
        <f t="shared" si="104"/>
        <v>3.4857641611340105E-2</v>
      </c>
      <c r="H747" s="30" t="str">
        <f t="shared" si="104"/>
        <v/>
      </c>
      <c r="I747" s="30" t="str">
        <f t="shared" si="98"/>
        <v/>
      </c>
    </row>
    <row r="748" spans="1:9" x14ac:dyDescent="0.25">
      <c r="A748" s="30">
        <f t="shared" si="102"/>
        <v>1.25</v>
      </c>
      <c r="B748" s="94">
        <f>INT((ROWS(B$11:B748)-1)/20)+40+0.05*MOD(ROWS(B$11:B748)-1,20)</f>
        <v>76.849999999999994</v>
      </c>
      <c r="C748" s="58" t="str">
        <f t="shared" si="103"/>
        <v/>
      </c>
      <c r="D748" s="58" t="str">
        <f t="shared" si="97"/>
        <v/>
      </c>
      <c r="E748" s="30">
        <f t="shared" si="101"/>
        <v>3.4228863826419487E-2</v>
      </c>
      <c r="F748" s="30">
        <f t="shared" si="104"/>
        <v>3.4228863826419487E-2</v>
      </c>
      <c r="G748" s="30">
        <f t="shared" si="104"/>
        <v>3.4228863826419487E-2</v>
      </c>
      <c r="H748" s="30" t="str">
        <f t="shared" si="104"/>
        <v/>
      </c>
      <c r="I748" s="30" t="str">
        <f t="shared" si="98"/>
        <v/>
      </c>
    </row>
    <row r="749" spans="1:9" x14ac:dyDescent="0.25">
      <c r="A749" s="30">
        <f t="shared" si="102"/>
        <v>1.25</v>
      </c>
      <c r="B749" s="94">
        <f>INT((ROWS(B$11:B749)-1)/20)+40+0.05*MOD(ROWS(B$11:B749)-1,20)</f>
        <v>76.900000000000006</v>
      </c>
      <c r="C749" s="58" t="str">
        <f t="shared" si="103"/>
        <v/>
      </c>
      <c r="D749" s="58" t="str">
        <f t="shared" ref="D749:D812" si="105">IF(ISNUMBER(MATCH(B749,$K$2:$K$8,0)),TEXT(B749,"0\""")&amp;CHAR(10)&amp;TEXT((B749-$F$1)/$F$2," 0 z"),"")</f>
        <v/>
      </c>
      <c r="E749" s="30">
        <f t="shared" si="101"/>
        <v>3.3606176842019699E-2</v>
      </c>
      <c r="F749" s="30">
        <f t="shared" si="104"/>
        <v>3.3606176842019699E-2</v>
      </c>
      <c r="G749" s="30">
        <f t="shared" si="104"/>
        <v>3.3606176842019699E-2</v>
      </c>
      <c r="H749" s="30" t="str">
        <f t="shared" si="104"/>
        <v/>
      </c>
      <c r="I749" s="30" t="str">
        <f t="shared" si="98"/>
        <v/>
      </c>
    </row>
    <row r="750" spans="1:9" x14ac:dyDescent="0.25">
      <c r="A750" s="30">
        <f t="shared" si="102"/>
        <v>1.25</v>
      </c>
      <c r="B750" s="94">
        <f>INT((ROWS(B$11:B750)-1)/20)+40+0.05*MOD(ROWS(B$11:B750)-1,20)</f>
        <v>76.95</v>
      </c>
      <c r="C750" s="58" t="str">
        <f t="shared" si="103"/>
        <v/>
      </c>
      <c r="D750" s="58" t="str">
        <f t="shared" si="105"/>
        <v/>
      </c>
      <c r="E750" s="30">
        <f t="shared" si="101"/>
        <v>3.2989662659744311E-2</v>
      </c>
      <c r="F750" s="30">
        <f t="shared" si="104"/>
        <v>3.2989662659744311E-2</v>
      </c>
      <c r="G750" s="30">
        <f t="shared" si="104"/>
        <v>3.2989662659744311E-2</v>
      </c>
      <c r="H750" s="30" t="str">
        <f t="shared" si="104"/>
        <v/>
      </c>
      <c r="I750" s="30" t="str">
        <f t="shared" ref="I750:I813" si="106">IF(AND(B750&gt;=$F$1-0.05,B750&lt;=$F$1+0.05),E750,"")</f>
        <v/>
      </c>
    </row>
    <row r="751" spans="1:9" x14ac:dyDescent="0.25">
      <c r="A751" s="30">
        <f t="shared" si="102"/>
        <v>1.5</v>
      </c>
      <c r="B751" s="94">
        <f>INT((ROWS(B$11:B751)-1)/20)+40+0.05*MOD(ROWS(B$11:B751)-1,20)</f>
        <v>77</v>
      </c>
      <c r="C751" s="58" t="str">
        <f t="shared" si="103"/>
        <v/>
      </c>
      <c r="D751" s="58" t="str">
        <f t="shared" si="105"/>
        <v/>
      </c>
      <c r="E751" s="30">
        <f t="shared" si="101"/>
        <v>3.2379398916472936E-2</v>
      </c>
      <c r="F751" s="30">
        <f t="shared" ref="F751:H770" si="107">IF(AND($B751&gt;=F$7,$B751&lt;=F$8),E751,"")</f>
        <v>3.2379398916472936E-2</v>
      </c>
      <c r="G751" s="30">
        <f t="shared" si="107"/>
        <v>3.2379398916472936E-2</v>
      </c>
      <c r="H751" s="30" t="str">
        <f t="shared" si="107"/>
        <v/>
      </c>
      <c r="I751" s="30" t="str">
        <f t="shared" si="106"/>
        <v/>
      </c>
    </row>
    <row r="752" spans="1:9" x14ac:dyDescent="0.25">
      <c r="A752" s="30">
        <f t="shared" si="102"/>
        <v>1.5</v>
      </c>
      <c r="B752" s="94">
        <f>INT((ROWS(B$11:B752)-1)/20)+40+0.05*MOD(ROWS(B$11:B752)-1,20)</f>
        <v>77.05</v>
      </c>
      <c r="C752" s="58" t="str">
        <f t="shared" si="103"/>
        <v/>
      </c>
      <c r="D752" s="58" t="str">
        <f t="shared" si="105"/>
        <v/>
      </c>
      <c r="E752" s="30">
        <f t="shared" si="101"/>
        <v>3.1775458916358829E-2</v>
      </c>
      <c r="F752" s="30">
        <f t="shared" si="107"/>
        <v>3.1775458916358829E-2</v>
      </c>
      <c r="G752" s="30">
        <f t="shared" si="107"/>
        <v>3.1775458916358829E-2</v>
      </c>
      <c r="H752" s="30" t="str">
        <f t="shared" si="107"/>
        <v/>
      </c>
      <c r="I752" s="30" t="str">
        <f t="shared" si="106"/>
        <v/>
      </c>
    </row>
    <row r="753" spans="1:9" x14ac:dyDescent="0.25">
      <c r="A753" s="30">
        <f t="shared" si="102"/>
        <v>1.5</v>
      </c>
      <c r="B753" s="94">
        <f>INT((ROWS(B$11:B753)-1)/20)+40+0.05*MOD(ROWS(B$11:B753)-1,20)</f>
        <v>77.099999999999994</v>
      </c>
      <c r="C753" s="58" t="str">
        <f t="shared" si="103"/>
        <v/>
      </c>
      <c r="D753" s="58" t="str">
        <f t="shared" si="105"/>
        <v/>
      </c>
      <c r="E753" s="30">
        <f t="shared" si="101"/>
        <v>3.1177911665589367E-2</v>
      </c>
      <c r="F753" s="30">
        <f t="shared" si="107"/>
        <v>3.1177911665589367E-2</v>
      </c>
      <c r="G753" s="30">
        <f t="shared" si="107"/>
        <v>3.1177911665589367E-2</v>
      </c>
      <c r="H753" s="30" t="str">
        <f t="shared" si="107"/>
        <v/>
      </c>
      <c r="I753" s="30" t="str">
        <f t="shared" si="106"/>
        <v/>
      </c>
    </row>
    <row r="754" spans="1:9" x14ac:dyDescent="0.25">
      <c r="A754" s="30">
        <f t="shared" si="102"/>
        <v>1.5</v>
      </c>
      <c r="B754" s="94">
        <f>INT((ROWS(B$11:B754)-1)/20)+40+0.05*MOD(ROWS(B$11:B754)-1,20)</f>
        <v>77.150000000000006</v>
      </c>
      <c r="C754" s="58" t="str">
        <f t="shared" si="103"/>
        <v/>
      </c>
      <c r="D754" s="58" t="str">
        <f t="shared" si="105"/>
        <v/>
      </c>
      <c r="E754" s="30">
        <f t="shared" si="101"/>
        <v>3.058682190982696E-2</v>
      </c>
      <c r="F754" s="30">
        <f t="shared" si="107"/>
        <v>3.058682190982696E-2</v>
      </c>
      <c r="G754" s="30">
        <f t="shared" si="107"/>
        <v>3.058682190982696E-2</v>
      </c>
      <c r="H754" s="30" t="str">
        <f t="shared" si="107"/>
        <v/>
      </c>
      <c r="I754" s="30" t="str">
        <f t="shared" si="106"/>
        <v/>
      </c>
    </row>
    <row r="755" spans="1:9" x14ac:dyDescent="0.25">
      <c r="A755" s="30">
        <f t="shared" si="102"/>
        <v>1.5</v>
      </c>
      <c r="B755" s="94">
        <f>INT((ROWS(B$11:B755)-1)/20)+40+0.05*MOD(ROWS(B$11:B755)-1,20)</f>
        <v>77.2</v>
      </c>
      <c r="C755" s="58" t="str">
        <f t="shared" si="103"/>
        <v/>
      </c>
      <c r="D755" s="58" t="str">
        <f t="shared" si="105"/>
        <v/>
      </c>
      <c r="E755" s="30">
        <f t="shared" si="101"/>
        <v>3.0002250174246368E-2</v>
      </c>
      <c r="F755" s="30">
        <f t="shared" si="107"/>
        <v>3.0002250174246368E-2</v>
      </c>
      <c r="G755" s="30">
        <f t="shared" si="107"/>
        <v>3.0002250174246368E-2</v>
      </c>
      <c r="H755" s="30" t="str">
        <f t="shared" si="107"/>
        <v/>
      </c>
      <c r="I755" s="30" t="str">
        <f t="shared" si="106"/>
        <v/>
      </c>
    </row>
    <row r="756" spans="1:9" x14ac:dyDescent="0.25">
      <c r="A756" s="30">
        <f t="shared" si="102"/>
        <v>1.5</v>
      </c>
      <c r="B756" s="94">
        <f>INT((ROWS(B$11:B756)-1)/20)+40+0.05*MOD(ROWS(B$11:B756)-1,20)</f>
        <v>77.25</v>
      </c>
      <c r="C756" s="58" t="str">
        <f t="shared" si="103"/>
        <v/>
      </c>
      <c r="D756" s="58" t="str">
        <f t="shared" si="105"/>
        <v/>
      </c>
      <c r="E756" s="30">
        <f t="shared" si="101"/>
        <v>2.9424252806080013E-2</v>
      </c>
      <c r="F756" s="30">
        <f t="shared" si="107"/>
        <v>2.9424252806080013E-2</v>
      </c>
      <c r="G756" s="30">
        <f t="shared" si="107"/>
        <v>2.9424252806080013E-2</v>
      </c>
      <c r="H756" s="30" t="str">
        <f t="shared" si="107"/>
        <v/>
      </c>
      <c r="I756" s="30" t="str">
        <f t="shared" si="106"/>
        <v/>
      </c>
    </row>
    <row r="757" spans="1:9" x14ac:dyDescent="0.25">
      <c r="A757" s="30">
        <f t="shared" si="102"/>
        <v>1.5</v>
      </c>
      <c r="B757" s="94">
        <f>INT((ROWS(B$11:B757)-1)/20)+40+0.05*MOD(ROWS(B$11:B757)-1,20)</f>
        <v>77.3</v>
      </c>
      <c r="C757" s="58" t="str">
        <f t="shared" si="103"/>
        <v/>
      </c>
      <c r="D757" s="58" t="str">
        <f t="shared" si="105"/>
        <v/>
      </c>
      <c r="E757" s="30">
        <f t="shared" si="101"/>
        <v>2.8852882019587529E-2</v>
      </c>
      <c r="F757" s="30">
        <f t="shared" si="107"/>
        <v>2.8852882019587529E-2</v>
      </c>
      <c r="G757" s="30">
        <f t="shared" si="107"/>
        <v>2.8852882019587529E-2</v>
      </c>
      <c r="H757" s="30" t="str">
        <f t="shared" si="107"/>
        <v/>
      </c>
      <c r="I757" s="30" t="str">
        <f t="shared" si="106"/>
        <v/>
      </c>
    </row>
    <row r="758" spans="1:9" x14ac:dyDescent="0.25">
      <c r="A758" s="30">
        <f t="shared" si="102"/>
        <v>1.5</v>
      </c>
      <c r="B758" s="94">
        <f>INT((ROWS(B$11:B758)-1)/20)+40+0.05*MOD(ROWS(B$11:B758)-1,20)</f>
        <v>77.349999999999994</v>
      </c>
      <c r="C758" s="58" t="str">
        <f t="shared" si="103"/>
        <v/>
      </c>
      <c r="D758" s="58" t="str">
        <f t="shared" si="105"/>
        <v/>
      </c>
      <c r="E758" s="30">
        <f t="shared" si="101"/>
        <v>2.8288185943359006E-2</v>
      </c>
      <c r="F758" s="30">
        <f t="shared" si="107"/>
        <v>2.8288185943359006E-2</v>
      </c>
      <c r="G758" s="30">
        <f t="shared" si="107"/>
        <v>2.8288185943359006E-2</v>
      </c>
      <c r="H758" s="30" t="str">
        <f t="shared" si="107"/>
        <v/>
      </c>
      <c r="I758" s="30" t="str">
        <f t="shared" si="106"/>
        <v/>
      </c>
    </row>
    <row r="759" spans="1:9" x14ac:dyDescent="0.25">
      <c r="A759" s="30">
        <f t="shared" si="102"/>
        <v>1.5</v>
      </c>
      <c r="B759" s="94">
        <f>INT((ROWS(B$11:B759)-1)/20)+40+0.05*MOD(ROWS(B$11:B759)-1,20)</f>
        <v>77.400000000000006</v>
      </c>
      <c r="C759" s="58" t="str">
        <f t="shared" si="103"/>
        <v/>
      </c>
      <c r="D759" s="58" t="str">
        <f t="shared" si="105"/>
        <v/>
      </c>
      <c r="E759" s="30">
        <f t="shared" si="101"/>
        <v>2.773020866986383E-2</v>
      </c>
      <c r="F759" s="30">
        <f t="shared" si="107"/>
        <v>2.773020866986383E-2</v>
      </c>
      <c r="G759" s="30">
        <f t="shared" si="107"/>
        <v>2.773020866986383E-2</v>
      </c>
      <c r="H759" s="30" t="str">
        <f t="shared" si="107"/>
        <v/>
      </c>
      <c r="I759" s="30" t="str">
        <f t="shared" si="106"/>
        <v/>
      </c>
    </row>
    <row r="760" spans="1:9" x14ac:dyDescent="0.25">
      <c r="A760" s="30">
        <f t="shared" si="102"/>
        <v>1.5</v>
      </c>
      <c r="B760" s="94">
        <f>INT((ROWS(B$11:B760)-1)/20)+40+0.05*MOD(ROWS(B$11:B760)-1,20)</f>
        <v>77.45</v>
      </c>
      <c r="C760" s="58" t="str">
        <f t="shared" si="103"/>
        <v/>
      </c>
      <c r="D760" s="58" t="str">
        <f t="shared" si="105"/>
        <v/>
      </c>
      <c r="E760" s="30">
        <f t="shared" si="101"/>
        <v>2.7178990307156439E-2</v>
      </c>
      <c r="F760" s="30">
        <f t="shared" si="107"/>
        <v>2.7178990307156439E-2</v>
      </c>
      <c r="G760" s="30">
        <f t="shared" si="107"/>
        <v>2.7178990307156439E-2</v>
      </c>
      <c r="H760" s="30" t="str">
        <f t="shared" si="107"/>
        <v/>
      </c>
      <c r="I760" s="30" t="str">
        <f t="shared" si="106"/>
        <v/>
      </c>
    </row>
    <row r="761" spans="1:9" x14ac:dyDescent="0.25">
      <c r="A761" s="30">
        <f t="shared" si="102"/>
        <v>1.5</v>
      </c>
      <c r="B761" s="94">
        <f>INT((ROWS(B$11:B761)-1)/20)+40+0.05*MOD(ROWS(B$11:B761)-1,20)</f>
        <v>77.5</v>
      </c>
      <c r="C761" s="58" t="str">
        <f t="shared" si="103"/>
        <v/>
      </c>
      <c r="D761" s="58" t="str">
        <f t="shared" si="105"/>
        <v/>
      </c>
      <c r="E761" s="30">
        <f t="shared" si="101"/>
        <v>2.6634567032646269E-2</v>
      </c>
      <c r="F761" s="30">
        <f t="shared" si="107"/>
        <v>2.6634567032646269E-2</v>
      </c>
      <c r="G761" s="30">
        <f t="shared" si="107"/>
        <v>2.6634567032646269E-2</v>
      </c>
      <c r="H761" s="30" t="str">
        <f t="shared" si="107"/>
        <v/>
      </c>
      <c r="I761" s="30" t="str">
        <f t="shared" si="106"/>
        <v/>
      </c>
    </row>
    <row r="762" spans="1:9" x14ac:dyDescent="0.25">
      <c r="A762" s="30">
        <f t="shared" si="102"/>
        <v>1.5</v>
      </c>
      <c r="B762" s="94">
        <f>INT((ROWS(B$11:B762)-1)/20)+40+0.05*MOD(ROWS(B$11:B762)-1,20)</f>
        <v>77.55</v>
      </c>
      <c r="C762" s="58" t="str">
        <f t="shared" si="103"/>
        <v/>
      </c>
      <c r="D762" s="58" t="str">
        <f t="shared" si="105"/>
        <v/>
      </c>
      <c r="E762" s="30">
        <f t="shared" si="101"/>
        <v>2.6096971148844562E-2</v>
      </c>
      <c r="F762" s="30">
        <f t="shared" si="107"/>
        <v>2.6096971148844562E-2</v>
      </c>
      <c r="G762" s="30">
        <f t="shared" si="107"/>
        <v>2.6096971148844562E-2</v>
      </c>
      <c r="H762" s="30" t="str">
        <f t="shared" si="107"/>
        <v/>
      </c>
      <c r="I762" s="30" t="str">
        <f t="shared" si="106"/>
        <v/>
      </c>
    </row>
    <row r="763" spans="1:9" x14ac:dyDescent="0.25">
      <c r="A763" s="30">
        <f t="shared" si="102"/>
        <v>1.5</v>
      </c>
      <c r="B763" s="94">
        <f>INT((ROWS(B$11:B763)-1)/20)+40+0.05*MOD(ROWS(B$11:B763)-1,20)</f>
        <v>77.599999999999994</v>
      </c>
      <c r="C763" s="58" t="str">
        <f t="shared" si="103"/>
        <v/>
      </c>
      <c r="D763" s="58" t="str">
        <f t="shared" si="105"/>
        <v/>
      </c>
      <c r="E763" s="30">
        <f t="shared" si="101"/>
        <v>2.5566231140994562E-2</v>
      </c>
      <c r="F763" s="30">
        <f t="shared" si="107"/>
        <v>2.5566231140994562E-2</v>
      </c>
      <c r="G763" s="30">
        <f t="shared" si="107"/>
        <v>2.5566231140994562E-2</v>
      </c>
      <c r="H763" s="30" t="str">
        <f t="shared" si="107"/>
        <v/>
      </c>
      <c r="I763" s="30" t="str">
        <f t="shared" si="106"/>
        <v/>
      </c>
    </row>
    <row r="764" spans="1:9" x14ac:dyDescent="0.25">
      <c r="A764" s="30">
        <f t="shared" si="102"/>
        <v>1.5</v>
      </c>
      <c r="B764" s="94">
        <f>INT((ROWS(B$11:B764)-1)/20)+40+0.05*MOD(ROWS(B$11:B764)-1,20)</f>
        <v>77.650000000000006</v>
      </c>
      <c r="C764" s="58" t="str">
        <f t="shared" si="103"/>
        <v/>
      </c>
      <c r="D764" s="58" t="str">
        <f t="shared" si="105"/>
        <v/>
      </c>
      <c r="E764" s="30">
        <f t="shared" si="101"/>
        <v>2.5042371736494741E-2</v>
      </c>
      <c r="F764" s="30">
        <f t="shared" si="107"/>
        <v>2.5042371736494741E-2</v>
      </c>
      <c r="G764" s="30">
        <f t="shared" si="107"/>
        <v>2.5042371736494741E-2</v>
      </c>
      <c r="H764" s="30" t="str">
        <f t="shared" si="107"/>
        <v/>
      </c>
      <c r="I764" s="30" t="str">
        <f t="shared" si="106"/>
        <v/>
      </c>
    </row>
    <row r="765" spans="1:9" x14ac:dyDescent="0.25">
      <c r="A765" s="30">
        <f t="shared" si="102"/>
        <v>1.5</v>
      </c>
      <c r="B765" s="94">
        <f>INT((ROWS(B$11:B765)-1)/20)+40+0.05*MOD(ROWS(B$11:B765)-1,20)</f>
        <v>77.7</v>
      </c>
      <c r="C765" s="58" t="str">
        <f t="shared" si="103"/>
        <v/>
      </c>
      <c r="D765" s="58" t="str">
        <f t="shared" si="105"/>
        <v/>
      </c>
      <c r="E765" s="30">
        <f t="shared" si="101"/>
        <v>2.4525413966024426E-2</v>
      </c>
      <c r="F765" s="30">
        <f t="shared" si="107"/>
        <v>2.4525413966024426E-2</v>
      </c>
      <c r="G765" s="30">
        <f t="shared" si="107"/>
        <v>2.4525413966024426E-2</v>
      </c>
      <c r="H765" s="30" t="str">
        <f t="shared" si="107"/>
        <v/>
      </c>
      <c r="I765" s="30" t="str">
        <f t="shared" si="106"/>
        <v/>
      </c>
    </row>
    <row r="766" spans="1:9" x14ac:dyDescent="0.25">
      <c r="A766" s="30">
        <f t="shared" si="102"/>
        <v>1.5</v>
      </c>
      <c r="B766" s="94">
        <f>INT((ROWS(B$11:B766)-1)/20)+40+0.05*MOD(ROWS(B$11:B766)-1,20)</f>
        <v>77.75</v>
      </c>
      <c r="C766" s="58" t="str">
        <f t="shared" si="103"/>
        <v/>
      </c>
      <c r="D766" s="58" t="str">
        <f t="shared" si="105"/>
        <v/>
      </c>
      <c r="E766" s="30">
        <f t="shared" si="101"/>
        <v>2.4015375226278338E-2</v>
      </c>
      <c r="F766" s="30">
        <f t="shared" si="107"/>
        <v>2.4015375226278338E-2</v>
      </c>
      <c r="G766" s="30">
        <f t="shared" si="107"/>
        <v>2.4015375226278338E-2</v>
      </c>
      <c r="H766" s="30" t="str">
        <f t="shared" si="107"/>
        <v/>
      </c>
      <c r="I766" s="30" t="str">
        <f t="shared" si="106"/>
        <v/>
      </c>
    </row>
    <row r="767" spans="1:9" x14ac:dyDescent="0.25">
      <c r="A767" s="30">
        <f t="shared" si="102"/>
        <v>1.5</v>
      </c>
      <c r="B767" s="94">
        <f>INT((ROWS(B$11:B767)-1)/20)+40+0.05*MOD(ROWS(B$11:B767)-1,20)</f>
        <v>77.8</v>
      </c>
      <c r="C767" s="58" t="str">
        <f t="shared" si="103"/>
        <v/>
      </c>
      <c r="D767" s="58" t="str">
        <f t="shared" si="105"/>
        <v/>
      </c>
      <c r="E767" s="30">
        <f t="shared" si="101"/>
        <v>2.3512269344221761E-2</v>
      </c>
      <c r="F767" s="30">
        <f t="shared" si="107"/>
        <v>2.3512269344221761E-2</v>
      </c>
      <c r="G767" s="30">
        <f t="shared" si="107"/>
        <v>2.3512269344221761E-2</v>
      </c>
      <c r="H767" s="30" t="str">
        <f t="shared" si="107"/>
        <v/>
      </c>
      <c r="I767" s="30" t="str">
        <f t="shared" si="106"/>
        <v/>
      </c>
    </row>
    <row r="768" spans="1:9" x14ac:dyDescent="0.25">
      <c r="A768" s="30">
        <f t="shared" si="102"/>
        <v>1.5</v>
      </c>
      <c r="B768" s="94">
        <f>INT((ROWS(B$11:B768)-1)/20)+40+0.05*MOD(ROWS(B$11:B768)-1,20)</f>
        <v>77.849999999999994</v>
      </c>
      <c r="C768" s="58" t="str">
        <f t="shared" si="103"/>
        <v/>
      </c>
      <c r="D768" s="58" t="str">
        <f t="shared" si="105"/>
        <v/>
      </c>
      <c r="E768" s="30">
        <f t="shared" si="101"/>
        <v>2.3016106642773169E-2</v>
      </c>
      <c r="F768" s="30">
        <f t="shared" si="107"/>
        <v>2.3016106642773169E-2</v>
      </c>
      <c r="G768" s="30">
        <f t="shared" si="107"/>
        <v>2.3016106642773169E-2</v>
      </c>
      <c r="H768" s="30" t="str">
        <f t="shared" si="107"/>
        <v/>
      </c>
      <c r="I768" s="30" t="str">
        <f t="shared" si="106"/>
        <v/>
      </c>
    </row>
    <row r="769" spans="1:9" x14ac:dyDescent="0.25">
      <c r="A769" s="30">
        <f t="shared" si="102"/>
        <v>1.5</v>
      </c>
      <c r="B769" s="94">
        <f>INT((ROWS(B$11:B769)-1)/20)+40+0.05*MOD(ROWS(B$11:B769)-1,20)</f>
        <v>77.900000000000006</v>
      </c>
      <c r="C769" s="58" t="str">
        <f t="shared" si="103"/>
        <v/>
      </c>
      <c r="D769" s="58" t="str">
        <f t="shared" si="105"/>
        <v/>
      </c>
      <c r="E769" s="30">
        <f t="shared" si="101"/>
        <v>2.2526894007824472E-2</v>
      </c>
      <c r="F769" s="30">
        <f t="shared" si="107"/>
        <v>2.2526894007824472E-2</v>
      </c>
      <c r="G769" s="30">
        <f t="shared" si="107"/>
        <v>2.2526894007824472E-2</v>
      </c>
      <c r="H769" s="30" t="str">
        <f t="shared" si="107"/>
        <v/>
      </c>
      <c r="I769" s="30" t="str">
        <f t="shared" si="106"/>
        <v/>
      </c>
    </row>
    <row r="770" spans="1:9" x14ac:dyDescent="0.25">
      <c r="A770" s="30">
        <f t="shared" si="102"/>
        <v>1.5</v>
      </c>
      <c r="B770" s="94">
        <f>INT((ROWS(B$11:B770)-1)/20)+40+0.05*MOD(ROWS(B$11:B770)-1,20)</f>
        <v>77.95</v>
      </c>
      <c r="C770" s="58" t="str">
        <f t="shared" si="103"/>
        <v/>
      </c>
      <c r="D770" s="58" t="str">
        <f t="shared" si="105"/>
        <v/>
      </c>
      <c r="E770" s="30">
        <f t="shared" si="101"/>
        <v>2.2044634956509337E-2</v>
      </c>
      <c r="F770" s="30">
        <f t="shared" si="107"/>
        <v>2.2044634956509337E-2</v>
      </c>
      <c r="G770" s="30">
        <f t="shared" si="107"/>
        <v>2.2044634956509337E-2</v>
      </c>
      <c r="H770" s="30" t="str">
        <f t="shared" si="107"/>
        <v/>
      </c>
      <c r="I770" s="30" t="str">
        <f t="shared" si="106"/>
        <v/>
      </c>
    </row>
    <row r="771" spans="1:9" x14ac:dyDescent="0.25">
      <c r="A771" s="30">
        <f t="shared" si="102"/>
        <v>1.75</v>
      </c>
      <c r="B771" s="94">
        <f>INT((ROWS(B$11:B771)-1)/20)+40+0.05*MOD(ROWS(B$11:B771)-1,20)</f>
        <v>78</v>
      </c>
      <c r="C771" s="58" t="str">
        <f t="shared" si="103"/>
        <v/>
      </c>
      <c r="D771" s="58" t="str">
        <f t="shared" si="105"/>
        <v/>
      </c>
      <c r="E771" s="30">
        <f t="shared" si="101"/>
        <v>2.1569329706627883E-2</v>
      </c>
      <c r="F771" s="30">
        <f t="shared" ref="F771:H790" si="108">IF(AND($B771&gt;=F$7,$B771&lt;=F$8),E771,"")</f>
        <v>2.1569329706627883E-2</v>
      </c>
      <c r="G771" s="30">
        <f t="shared" si="108"/>
        <v>2.1569329706627883E-2</v>
      </c>
      <c r="H771" s="30" t="str">
        <f t="shared" si="108"/>
        <v/>
      </c>
      <c r="I771" s="30" t="str">
        <f t="shared" si="106"/>
        <v/>
      </c>
    </row>
    <row r="772" spans="1:9" x14ac:dyDescent="0.25">
      <c r="A772" s="30">
        <f t="shared" si="102"/>
        <v>1.75</v>
      </c>
      <c r="B772" s="94">
        <f>INT((ROWS(B$11:B772)-1)/20)+40+0.05*MOD(ROWS(B$11:B772)-1,20)</f>
        <v>78.05</v>
      </c>
      <c r="C772" s="58" t="str">
        <f t="shared" si="103"/>
        <v/>
      </c>
      <c r="D772" s="58" t="str">
        <f t="shared" si="105"/>
        <v/>
      </c>
      <c r="E772" s="30">
        <f t="shared" si="101"/>
        <v>2.1100975247141579E-2</v>
      </c>
      <c r="F772" s="30">
        <f t="shared" si="108"/>
        <v>2.1100975247141579E-2</v>
      </c>
      <c r="G772" s="30">
        <f t="shared" si="108"/>
        <v>2.1100975247141579E-2</v>
      </c>
      <c r="H772" s="30" t="str">
        <f t="shared" si="108"/>
        <v/>
      </c>
      <c r="I772" s="30" t="str">
        <f t="shared" si="106"/>
        <v/>
      </c>
    </row>
    <row r="773" spans="1:9" x14ac:dyDescent="0.25">
      <c r="A773" s="30">
        <f t="shared" si="102"/>
        <v>1.75</v>
      </c>
      <c r="B773" s="94">
        <f>INT((ROWS(B$11:B773)-1)/20)+40+0.05*MOD(ROWS(B$11:B773)-1,20)</f>
        <v>78.099999999999994</v>
      </c>
      <c r="C773" s="58" t="str">
        <f t="shared" si="103"/>
        <v/>
      </c>
      <c r="D773" s="58" t="str">
        <f t="shared" si="105"/>
        <v/>
      </c>
      <c r="E773" s="30">
        <f t="shared" si="101"/>
        <v>2.0639565409647957E-2</v>
      </c>
      <c r="F773" s="30">
        <f t="shared" si="108"/>
        <v>2.0639565409647957E-2</v>
      </c>
      <c r="G773" s="30">
        <f t="shared" si="108"/>
        <v>2.0639565409647957E-2</v>
      </c>
      <c r="H773" s="30" t="str">
        <f t="shared" si="108"/>
        <v/>
      </c>
      <c r="I773" s="30" t="str">
        <f t="shared" si="106"/>
        <v/>
      </c>
    </row>
    <row r="774" spans="1:9" x14ac:dyDescent="0.25">
      <c r="A774" s="30">
        <f t="shared" si="102"/>
        <v>1.75</v>
      </c>
      <c r="B774" s="94">
        <f>INT((ROWS(B$11:B774)-1)/20)+40+0.05*MOD(ROWS(B$11:B774)-1,20)</f>
        <v>78.150000000000006</v>
      </c>
      <c r="C774" s="58" t="str">
        <f t="shared" si="103"/>
        <v/>
      </c>
      <c r="D774" s="58" t="str">
        <f t="shared" si="105"/>
        <v/>
      </c>
      <c r="E774" s="30">
        <f t="shared" si="101"/>
        <v>2.0185090940748447E-2</v>
      </c>
      <c r="F774" s="30">
        <f t="shared" si="108"/>
        <v>2.0185090940748447E-2</v>
      </c>
      <c r="G774" s="30">
        <f t="shared" si="108"/>
        <v>2.0185090940748447E-2</v>
      </c>
      <c r="H774" s="30" t="str">
        <f t="shared" si="108"/>
        <v/>
      </c>
      <c r="I774" s="30" t="str">
        <f t="shared" si="106"/>
        <v/>
      </c>
    </row>
    <row r="775" spans="1:9" x14ac:dyDescent="0.25">
      <c r="A775" s="30">
        <f t="shared" si="102"/>
        <v>1.75</v>
      </c>
      <c r="B775" s="94">
        <f>INT((ROWS(B$11:B775)-1)/20)+40+0.05*MOD(ROWS(B$11:B775)-1,20)</f>
        <v>78.2</v>
      </c>
      <c r="C775" s="58" t="str">
        <f t="shared" si="103"/>
        <v/>
      </c>
      <c r="D775" s="58" t="str">
        <f t="shared" si="105"/>
        <v/>
      </c>
      <c r="E775" s="30">
        <f t="shared" si="101"/>
        <v>1.9737539575223517E-2</v>
      </c>
      <c r="F775" s="30">
        <f t="shared" si="108"/>
        <v>1.9737539575223517E-2</v>
      </c>
      <c r="G775" s="30">
        <f t="shared" si="108"/>
        <v>1.9737539575223517E-2</v>
      </c>
      <c r="H775" s="30" t="str">
        <f t="shared" si="108"/>
        <v/>
      </c>
      <c r="I775" s="30" t="str">
        <f t="shared" si="106"/>
        <v/>
      </c>
    </row>
    <row r="776" spans="1:9" x14ac:dyDescent="0.25">
      <c r="A776" s="30">
        <f t="shared" si="102"/>
        <v>1.75</v>
      </c>
      <c r="B776" s="94">
        <f>INT((ROWS(B$11:B776)-1)/20)+40+0.05*MOD(ROWS(B$11:B776)-1,20)</f>
        <v>78.25</v>
      </c>
      <c r="C776" s="58" t="str">
        <f t="shared" si="103"/>
        <v/>
      </c>
      <c r="D776" s="58" t="str">
        <f t="shared" si="105"/>
        <v/>
      </c>
      <c r="E776" s="30">
        <f t="shared" si="101"/>
        <v>1.9296896109927679E-2</v>
      </c>
      <c r="F776" s="30">
        <f t="shared" si="108"/>
        <v>1.9296896109927679E-2</v>
      </c>
      <c r="G776" s="30">
        <f t="shared" si="108"/>
        <v>1.9296896109927679E-2</v>
      </c>
      <c r="H776" s="30" t="str">
        <f t="shared" si="108"/>
        <v/>
      </c>
      <c r="I776" s="30" t="str">
        <f t="shared" si="106"/>
        <v/>
      </c>
    </row>
    <row r="777" spans="1:9" x14ac:dyDescent="0.25">
      <c r="A777" s="30">
        <f t="shared" si="102"/>
        <v>1.75</v>
      </c>
      <c r="B777" s="94">
        <f>INT((ROWS(B$11:B777)-1)/20)+40+0.05*MOD(ROWS(B$11:B777)-1,20)</f>
        <v>78.3</v>
      </c>
      <c r="C777" s="58" t="str">
        <f t="shared" si="103"/>
        <v/>
      </c>
      <c r="D777" s="58" t="str">
        <f t="shared" si="105"/>
        <v/>
      </c>
      <c r="E777" s="30">
        <f t="shared" si="101"/>
        <v>1.8863142478322575E-2</v>
      </c>
      <c r="F777" s="30">
        <f t="shared" si="108"/>
        <v>1.8863142478322575E-2</v>
      </c>
      <c r="G777" s="30">
        <f t="shared" si="108"/>
        <v>1.8863142478322575E-2</v>
      </c>
      <c r="H777" s="30" t="str">
        <f t="shared" si="108"/>
        <v/>
      </c>
      <c r="I777" s="30" t="str">
        <f t="shared" si="106"/>
        <v/>
      </c>
    </row>
    <row r="778" spans="1:9" x14ac:dyDescent="0.25">
      <c r="A778" s="30">
        <f t="shared" si="102"/>
        <v>1.75</v>
      </c>
      <c r="B778" s="94">
        <f>INT((ROWS(B$11:B778)-1)/20)+40+0.05*MOD(ROWS(B$11:B778)-1,20)</f>
        <v>78.349999999999994</v>
      </c>
      <c r="C778" s="58" t="str">
        <f t="shared" si="103"/>
        <v/>
      </c>
      <c r="D778" s="58" t="str">
        <f t="shared" si="105"/>
        <v/>
      </c>
      <c r="E778" s="30">
        <f t="shared" si="101"/>
        <v>1.843625782556298E-2</v>
      </c>
      <c r="F778" s="30">
        <f t="shared" si="108"/>
        <v>1.843625782556298E-2</v>
      </c>
      <c r="G778" s="30">
        <f t="shared" si="108"/>
        <v>1.843625782556298E-2</v>
      </c>
      <c r="H778" s="30" t="str">
        <f t="shared" si="108"/>
        <v/>
      </c>
      <c r="I778" s="30" t="str">
        <f t="shared" si="106"/>
        <v/>
      </c>
    </row>
    <row r="779" spans="1:9" x14ac:dyDescent="0.25">
      <c r="A779" s="30">
        <f t="shared" si="102"/>
        <v>1.75</v>
      </c>
      <c r="B779" s="94">
        <f>INT((ROWS(B$11:B779)-1)/20)+40+0.05*MOD(ROWS(B$11:B779)-1,20)</f>
        <v>78.400000000000006</v>
      </c>
      <c r="C779" s="58" t="str">
        <f t="shared" si="103"/>
        <v/>
      </c>
      <c r="D779" s="58" t="str">
        <f t="shared" si="105"/>
        <v/>
      </c>
      <c r="E779" s="30">
        <f t="shared" ref="E779:E842" si="109">_xlfn.NORM.DIST(B779,$F$1,$F$2,0)</f>
        <v>1.8016218584054455E-2</v>
      </c>
      <c r="F779" s="30">
        <f t="shared" si="108"/>
        <v>1.8016218584054455E-2</v>
      </c>
      <c r="G779" s="30">
        <f t="shared" si="108"/>
        <v>1.8016218584054455E-2</v>
      </c>
      <c r="H779" s="30" t="str">
        <f t="shared" si="108"/>
        <v/>
      </c>
      <c r="I779" s="30" t="str">
        <f t="shared" si="106"/>
        <v/>
      </c>
    </row>
    <row r="780" spans="1:9" x14ac:dyDescent="0.25">
      <c r="A780" s="30">
        <f t="shared" ref="A780:A843" si="110">(INT(B780)-$F$1)/$F$2</f>
        <v>1.75</v>
      </c>
      <c r="B780" s="94">
        <f>INT((ROWS(B$11:B780)-1)/20)+40+0.05*MOD(ROWS(B$11:B780)-1,20)</f>
        <v>78.45</v>
      </c>
      <c r="C780" s="58" t="str">
        <f t="shared" ref="C780:C843" si="111">IF(AND(A780&lt;&gt;A779,INT(A780)=A780),A780,"")</f>
        <v/>
      </c>
      <c r="D780" s="58" t="str">
        <f t="shared" si="105"/>
        <v/>
      </c>
      <c r="E780" s="30">
        <f t="shared" si="109"/>
        <v>1.7602998549402615E-2</v>
      </c>
      <c r="F780" s="30">
        <f t="shared" si="108"/>
        <v>1.7602998549402615E-2</v>
      </c>
      <c r="G780" s="30">
        <f t="shared" si="108"/>
        <v>1.7602998549402615E-2</v>
      </c>
      <c r="H780" s="30" t="str">
        <f t="shared" si="108"/>
        <v/>
      </c>
      <c r="I780" s="30" t="str">
        <f t="shared" si="106"/>
        <v/>
      </c>
    </row>
    <row r="781" spans="1:9" x14ac:dyDescent="0.25">
      <c r="A781" s="30">
        <f t="shared" si="110"/>
        <v>1.75</v>
      </c>
      <c r="B781" s="94">
        <f>INT((ROWS(B$11:B781)-1)/20)+40+0.05*MOD(ROWS(B$11:B781)-1,20)</f>
        <v>78.5</v>
      </c>
      <c r="C781" s="58" t="str">
        <f t="shared" si="111"/>
        <v/>
      </c>
      <c r="D781" s="58" t="str">
        <f t="shared" si="105"/>
        <v/>
      </c>
      <c r="E781" s="30">
        <f t="shared" si="109"/>
        <v>1.7196568956672976E-2</v>
      </c>
      <c r="F781" s="30">
        <f t="shared" si="108"/>
        <v>1.7196568956672976E-2</v>
      </c>
      <c r="G781" s="30">
        <f t="shared" si="108"/>
        <v>1.7196568956672976E-2</v>
      </c>
      <c r="H781" s="30" t="str">
        <f t="shared" si="108"/>
        <v/>
      </c>
      <c r="I781" s="30" t="str">
        <f t="shared" si="106"/>
        <v/>
      </c>
    </row>
    <row r="782" spans="1:9" x14ac:dyDescent="0.25">
      <c r="A782" s="30">
        <f t="shared" si="110"/>
        <v>1.75</v>
      </c>
      <c r="B782" s="94">
        <f>INT((ROWS(B$11:B782)-1)/20)+40+0.05*MOD(ROWS(B$11:B782)-1,20)</f>
        <v>78.55</v>
      </c>
      <c r="C782" s="58" t="str">
        <f t="shared" si="111"/>
        <v/>
      </c>
      <c r="D782" s="58" t="str">
        <f t="shared" si="105"/>
        <v/>
      </c>
      <c r="E782" s="30">
        <f t="shared" si="109"/>
        <v>1.6796898556885972E-2</v>
      </c>
      <c r="F782" s="30">
        <f t="shared" si="108"/>
        <v>1.6796898556885972E-2</v>
      </c>
      <c r="G782" s="30">
        <f t="shared" si="108"/>
        <v>1.6796898556885972E-2</v>
      </c>
      <c r="H782" s="30" t="str">
        <f t="shared" si="108"/>
        <v/>
      </c>
      <c r="I782" s="30" t="str">
        <f t="shared" si="106"/>
        <v/>
      </c>
    </row>
    <row r="783" spans="1:9" x14ac:dyDescent="0.25">
      <c r="A783" s="30">
        <f t="shared" si="110"/>
        <v>1.75</v>
      </c>
      <c r="B783" s="94">
        <f>INT((ROWS(B$11:B783)-1)/20)+40+0.05*MOD(ROWS(B$11:B783)-1,20)</f>
        <v>78.599999999999994</v>
      </c>
      <c r="C783" s="58" t="str">
        <f t="shared" si="111"/>
        <v/>
      </c>
      <c r="D783" s="58" t="str">
        <f t="shared" si="105"/>
        <v/>
      </c>
      <c r="E783" s="30">
        <f t="shared" si="109"/>
        <v>1.6403953693669194E-2</v>
      </c>
      <c r="F783" s="30">
        <f t="shared" si="108"/>
        <v>1.6403953693669194E-2</v>
      </c>
      <c r="G783" s="30">
        <f t="shared" si="108"/>
        <v>1.6403953693669194E-2</v>
      </c>
      <c r="H783" s="30" t="str">
        <f t="shared" si="108"/>
        <v/>
      </c>
      <c r="I783" s="30" t="str">
        <f t="shared" si="106"/>
        <v/>
      </c>
    </row>
    <row r="784" spans="1:9" x14ac:dyDescent="0.25">
      <c r="A784" s="30">
        <f t="shared" si="110"/>
        <v>1.75</v>
      </c>
      <c r="B784" s="94">
        <f>INT((ROWS(B$11:B784)-1)/20)+40+0.05*MOD(ROWS(B$11:B784)-1,20)</f>
        <v>78.650000000000006</v>
      </c>
      <c r="C784" s="58" t="str">
        <f t="shared" si="111"/>
        <v/>
      </c>
      <c r="D784" s="58" t="str">
        <f t="shared" si="105"/>
        <v/>
      </c>
      <c r="E784" s="30">
        <f t="shared" si="109"/>
        <v>1.6017698379992697E-2</v>
      </c>
      <c r="F784" s="30">
        <f t="shared" si="108"/>
        <v>1.6017698379992697E-2</v>
      </c>
      <c r="G784" s="30">
        <f t="shared" si="108"/>
        <v>1.6017698379992697E-2</v>
      </c>
      <c r="H784" s="30" t="str">
        <f t="shared" si="108"/>
        <v/>
      </c>
      <c r="I784" s="30" t="str">
        <f t="shared" si="106"/>
        <v/>
      </c>
    </row>
    <row r="785" spans="1:9" x14ac:dyDescent="0.25">
      <c r="A785" s="30">
        <f t="shared" si="110"/>
        <v>1.75</v>
      </c>
      <c r="B785" s="94">
        <f>INT((ROWS(B$11:B785)-1)/20)+40+0.05*MOD(ROWS(B$11:B785)-1,20)</f>
        <v>78.7</v>
      </c>
      <c r="C785" s="58" t="str">
        <f t="shared" si="111"/>
        <v/>
      </c>
      <c r="D785" s="58" t="str">
        <f t="shared" si="105"/>
        <v/>
      </c>
      <c r="E785" s="30">
        <f t="shared" si="109"/>
        <v>1.5638094374914976E-2</v>
      </c>
      <c r="F785" s="30">
        <f t="shared" si="108"/>
        <v>1.5638094374914976E-2</v>
      </c>
      <c r="G785" s="30">
        <f t="shared" si="108"/>
        <v>1.5638094374914976E-2</v>
      </c>
      <c r="H785" s="30" t="str">
        <f t="shared" si="108"/>
        <v/>
      </c>
      <c r="I785" s="30" t="str">
        <f t="shared" si="106"/>
        <v/>
      </c>
    </row>
    <row r="786" spans="1:9" x14ac:dyDescent="0.25">
      <c r="A786" s="30">
        <f t="shared" si="110"/>
        <v>1.75</v>
      </c>
      <c r="B786" s="94">
        <f>INT((ROWS(B$11:B786)-1)/20)+40+0.05*MOD(ROWS(B$11:B786)-1,20)</f>
        <v>78.75</v>
      </c>
      <c r="C786" s="58" t="str">
        <f t="shared" si="111"/>
        <v/>
      </c>
      <c r="D786" s="58" t="str">
        <f t="shared" si="105"/>
        <v/>
      </c>
      <c r="E786" s="30">
        <f t="shared" si="109"/>
        <v>1.5265101260266586E-2</v>
      </c>
      <c r="F786" s="30">
        <f t="shared" si="108"/>
        <v>1.5265101260266586E-2</v>
      </c>
      <c r="G786" s="30">
        <f t="shared" si="108"/>
        <v>1.5265101260266586E-2</v>
      </c>
      <c r="H786" s="30" t="str">
        <f t="shared" si="108"/>
        <v/>
      </c>
      <c r="I786" s="30" t="str">
        <f t="shared" si="106"/>
        <v/>
      </c>
    </row>
    <row r="787" spans="1:9" x14ac:dyDescent="0.25">
      <c r="A787" s="30">
        <f t="shared" si="110"/>
        <v>1.75</v>
      </c>
      <c r="B787" s="94">
        <f>INT((ROWS(B$11:B787)-1)/20)+40+0.05*MOD(ROWS(B$11:B787)-1,20)</f>
        <v>78.8</v>
      </c>
      <c r="C787" s="58" t="str">
        <f t="shared" si="111"/>
        <v/>
      </c>
      <c r="D787" s="58" t="str">
        <f t="shared" si="105"/>
        <v/>
      </c>
      <c r="E787" s="30">
        <f t="shared" si="109"/>
        <v>1.4898676517204041E-2</v>
      </c>
      <c r="F787" s="30">
        <f t="shared" si="108"/>
        <v>1.4898676517204041E-2</v>
      </c>
      <c r="G787" s="30">
        <f t="shared" si="108"/>
        <v>1.4898676517204041E-2</v>
      </c>
      <c r="H787" s="30" t="str">
        <f t="shared" si="108"/>
        <v/>
      </c>
      <c r="I787" s="30" t="str">
        <f t="shared" si="106"/>
        <v/>
      </c>
    </row>
    <row r="788" spans="1:9" x14ac:dyDescent="0.25">
      <c r="A788" s="30">
        <f t="shared" si="110"/>
        <v>1.75</v>
      </c>
      <c r="B788" s="94">
        <f>INT((ROWS(B$11:B788)-1)/20)+40+0.05*MOD(ROWS(B$11:B788)-1,20)</f>
        <v>78.849999999999994</v>
      </c>
      <c r="C788" s="58" t="str">
        <f t="shared" si="111"/>
        <v/>
      </c>
      <c r="D788" s="58" t="str">
        <f t="shared" si="105"/>
        <v/>
      </c>
      <c r="E788" s="30">
        <f t="shared" si="109"/>
        <v>1.4538775602564512E-2</v>
      </c>
      <c r="F788" s="30">
        <f t="shared" si="108"/>
        <v>1.4538775602564512E-2</v>
      </c>
      <c r="G788" s="30">
        <f t="shared" si="108"/>
        <v>1.4538775602564512E-2</v>
      </c>
      <c r="H788" s="30" t="str">
        <f t="shared" si="108"/>
        <v/>
      </c>
      <c r="I788" s="30" t="str">
        <f t="shared" si="106"/>
        <v/>
      </c>
    </row>
    <row r="789" spans="1:9" x14ac:dyDescent="0.25">
      <c r="A789" s="30">
        <f t="shared" si="110"/>
        <v>1.75</v>
      </c>
      <c r="B789" s="94">
        <f>INT((ROWS(B$11:B789)-1)/20)+40+0.05*MOD(ROWS(B$11:B789)-1,20)</f>
        <v>78.900000000000006</v>
      </c>
      <c r="C789" s="58" t="str">
        <f t="shared" si="111"/>
        <v/>
      </c>
      <c r="D789" s="58" t="str">
        <f t="shared" si="105"/>
        <v/>
      </c>
      <c r="E789" s="30">
        <f t="shared" si="109"/>
        <v>1.4185352024955966E-2</v>
      </c>
      <c r="F789" s="30">
        <f t="shared" si="108"/>
        <v>1.4185352024955966E-2</v>
      </c>
      <c r="G789" s="30">
        <f t="shared" si="108"/>
        <v>1.4185352024955966E-2</v>
      </c>
      <c r="H789" s="30" t="str">
        <f t="shared" si="108"/>
        <v/>
      </c>
      <c r="I789" s="30" t="str">
        <f t="shared" si="106"/>
        <v/>
      </c>
    </row>
    <row r="790" spans="1:9" x14ac:dyDescent="0.25">
      <c r="A790" s="30">
        <f t="shared" si="110"/>
        <v>1.75</v>
      </c>
      <c r="B790" s="94">
        <f>INT((ROWS(B$11:B790)-1)/20)+40+0.05*MOD(ROWS(B$11:B790)-1,20)</f>
        <v>78.95</v>
      </c>
      <c r="C790" s="58" t="str">
        <f t="shared" si="111"/>
        <v/>
      </c>
      <c r="D790" s="58" t="str">
        <f t="shared" si="105"/>
        <v/>
      </c>
      <c r="E790" s="30">
        <f t="shared" si="109"/>
        <v>1.3838357420519041E-2</v>
      </c>
      <c r="F790" s="30">
        <f t="shared" si="108"/>
        <v>1.3838357420519041E-2</v>
      </c>
      <c r="G790" s="30">
        <f t="shared" si="108"/>
        <v>1.3838357420519041E-2</v>
      </c>
      <c r="H790" s="30" t="str">
        <f t="shared" si="108"/>
        <v/>
      </c>
      <c r="I790" s="30" t="str">
        <f t="shared" si="106"/>
        <v/>
      </c>
    </row>
    <row r="791" spans="1:9" x14ac:dyDescent="0.25">
      <c r="A791" s="30">
        <f t="shared" si="110"/>
        <v>2</v>
      </c>
      <c r="B791" s="94">
        <f>INT((ROWS(B$11:B791)-1)/20)+40+0.05*MOD(ROWS(B$11:B791)-1,20)</f>
        <v>79</v>
      </c>
      <c r="C791" s="58">
        <f t="shared" si="111"/>
        <v>2</v>
      </c>
      <c r="D791" s="58" t="str">
        <f t="shared" si="105"/>
        <v>79"
 2 z</v>
      </c>
      <c r="E791" s="30">
        <f t="shared" si="109"/>
        <v>1.3497741628297016E-2</v>
      </c>
      <c r="F791" s="30">
        <f t="shared" ref="F791:H810" si="112">IF(AND($B791&gt;=F$7,$B791&lt;=F$8),E791,"")</f>
        <v>1.3497741628297016E-2</v>
      </c>
      <c r="G791" s="30">
        <f t="shared" si="112"/>
        <v>1.3497741628297016E-2</v>
      </c>
      <c r="H791" s="30" t="str">
        <f t="shared" si="112"/>
        <v/>
      </c>
      <c r="I791" s="30" t="str">
        <f t="shared" si="106"/>
        <v/>
      </c>
    </row>
    <row r="792" spans="1:9" x14ac:dyDescent="0.25">
      <c r="A792" s="30">
        <f t="shared" si="110"/>
        <v>2</v>
      </c>
      <c r="B792" s="94">
        <f>INT((ROWS(B$11:B792)-1)/20)+40+0.05*MOD(ROWS(B$11:B792)-1,20)</f>
        <v>79.05</v>
      </c>
      <c r="C792" s="58" t="str">
        <f t="shared" si="111"/>
        <v/>
      </c>
      <c r="D792" s="58" t="str">
        <f t="shared" si="105"/>
        <v/>
      </c>
      <c r="E792" s="30">
        <f t="shared" si="109"/>
        <v>1.3163452765155551E-2</v>
      </c>
      <c r="F792" s="30">
        <f t="shared" si="112"/>
        <v>1.3163452765155551E-2</v>
      </c>
      <c r="G792" s="30" t="str">
        <f t="shared" si="112"/>
        <v/>
      </c>
      <c r="H792" s="30" t="str">
        <f t="shared" si="112"/>
        <v/>
      </c>
      <c r="I792" s="30" t="str">
        <f t="shared" si="106"/>
        <v/>
      </c>
    </row>
    <row r="793" spans="1:9" x14ac:dyDescent="0.25">
      <c r="A793" s="30">
        <f t="shared" si="110"/>
        <v>2</v>
      </c>
      <c r="B793" s="94">
        <f>INT((ROWS(B$11:B793)-1)/20)+40+0.05*MOD(ROWS(B$11:B793)-1,20)</f>
        <v>79.099999999999994</v>
      </c>
      <c r="C793" s="58" t="str">
        <f t="shared" si="111"/>
        <v/>
      </c>
      <c r="D793" s="58" t="str">
        <f t="shared" si="105"/>
        <v/>
      </c>
      <c r="E793" s="30">
        <f t="shared" si="109"/>
        <v>1.2835437300192397E-2</v>
      </c>
      <c r="F793" s="30">
        <f t="shared" si="112"/>
        <v>1.2835437300192397E-2</v>
      </c>
      <c r="G793" s="30" t="str">
        <f t="shared" si="112"/>
        <v/>
      </c>
      <c r="H793" s="30" t="str">
        <f t="shared" si="112"/>
        <v/>
      </c>
      <c r="I793" s="30" t="str">
        <f t="shared" si="106"/>
        <v/>
      </c>
    </row>
    <row r="794" spans="1:9" x14ac:dyDescent="0.25">
      <c r="A794" s="30">
        <f t="shared" si="110"/>
        <v>2</v>
      </c>
      <c r="B794" s="94">
        <f>INT((ROWS(B$11:B794)-1)/20)+40+0.05*MOD(ROWS(B$11:B794)-1,20)</f>
        <v>79.150000000000006</v>
      </c>
      <c r="C794" s="58" t="str">
        <f t="shared" si="111"/>
        <v/>
      </c>
      <c r="D794" s="58" t="str">
        <f t="shared" si="105"/>
        <v/>
      </c>
      <c r="E794" s="30">
        <f t="shared" si="109"/>
        <v>1.2513640128581227E-2</v>
      </c>
      <c r="F794" s="30">
        <f t="shared" si="112"/>
        <v>1.2513640128581227E-2</v>
      </c>
      <c r="G794" s="30" t="str">
        <f t="shared" si="112"/>
        <v/>
      </c>
      <c r="H794" s="30" t="str">
        <f t="shared" si="112"/>
        <v/>
      </c>
      <c r="I794" s="30" t="str">
        <f t="shared" si="106"/>
        <v/>
      </c>
    </row>
    <row r="795" spans="1:9" x14ac:dyDescent="0.25">
      <c r="A795" s="30">
        <f t="shared" si="110"/>
        <v>2</v>
      </c>
      <c r="B795" s="94">
        <f>INT((ROWS(B$11:B795)-1)/20)+40+0.05*MOD(ROWS(B$11:B795)-1,20)</f>
        <v>79.2</v>
      </c>
      <c r="C795" s="58" t="str">
        <f t="shared" si="111"/>
        <v/>
      </c>
      <c r="D795" s="58" t="str">
        <f t="shared" si="105"/>
        <v/>
      </c>
      <c r="E795" s="30">
        <f t="shared" si="109"/>
        <v>1.219800464479567E-2</v>
      </c>
      <c r="F795" s="30">
        <f t="shared" si="112"/>
        <v>1.219800464479567E-2</v>
      </c>
      <c r="G795" s="30" t="str">
        <f t="shared" si="112"/>
        <v/>
      </c>
      <c r="H795" s="30" t="str">
        <f t="shared" si="112"/>
        <v/>
      </c>
      <c r="I795" s="30" t="str">
        <f t="shared" si="106"/>
        <v/>
      </c>
    </row>
    <row r="796" spans="1:9" x14ac:dyDescent="0.25">
      <c r="A796" s="30">
        <f t="shared" si="110"/>
        <v>2</v>
      </c>
      <c r="B796" s="94">
        <f>INT((ROWS(B$11:B796)-1)/20)+40+0.05*MOD(ROWS(B$11:B796)-1,20)</f>
        <v>79.25</v>
      </c>
      <c r="C796" s="58" t="str">
        <f t="shared" si="111"/>
        <v/>
      </c>
      <c r="D796" s="58" t="str">
        <f t="shared" si="105"/>
        <v/>
      </c>
      <c r="E796" s="30">
        <f t="shared" si="109"/>
        <v>1.1888472815159907E-2</v>
      </c>
      <c r="F796" s="30">
        <f t="shared" si="112"/>
        <v>1.1888472815159907E-2</v>
      </c>
      <c r="G796" s="30" t="str">
        <f t="shared" si="112"/>
        <v/>
      </c>
      <c r="H796" s="30" t="str">
        <f t="shared" si="112"/>
        <v/>
      </c>
      <c r="I796" s="30" t="str">
        <f t="shared" si="106"/>
        <v/>
      </c>
    </row>
    <row r="797" spans="1:9" x14ac:dyDescent="0.25">
      <c r="A797" s="30">
        <f t="shared" si="110"/>
        <v>2</v>
      </c>
      <c r="B797" s="94">
        <f>INT((ROWS(B$11:B797)-1)/20)+40+0.05*MOD(ROWS(B$11:B797)-1,20)</f>
        <v>79.3</v>
      </c>
      <c r="C797" s="58" t="str">
        <f t="shared" si="111"/>
        <v/>
      </c>
      <c r="D797" s="58" t="str">
        <f t="shared" si="105"/>
        <v/>
      </c>
      <c r="E797" s="30">
        <f t="shared" si="109"/>
        <v>1.1584985249677325E-2</v>
      </c>
      <c r="F797" s="30">
        <f t="shared" si="112"/>
        <v>1.1584985249677325E-2</v>
      </c>
      <c r="G797" s="30" t="str">
        <f t="shared" si="112"/>
        <v/>
      </c>
      <c r="H797" s="30" t="str">
        <f t="shared" si="112"/>
        <v/>
      </c>
      <c r="I797" s="30" t="str">
        <f t="shared" si="106"/>
        <v/>
      </c>
    </row>
    <row r="798" spans="1:9" x14ac:dyDescent="0.25">
      <c r="A798" s="30">
        <f t="shared" si="110"/>
        <v>2</v>
      </c>
      <c r="B798" s="94">
        <f>INT((ROWS(B$11:B798)-1)/20)+40+0.05*MOD(ROWS(B$11:B798)-1,20)</f>
        <v>79.349999999999994</v>
      </c>
      <c r="C798" s="58" t="str">
        <f t="shared" si="111"/>
        <v/>
      </c>
      <c r="D798" s="58" t="str">
        <f t="shared" si="105"/>
        <v/>
      </c>
      <c r="E798" s="30">
        <f t="shared" si="109"/>
        <v>1.1287481273087646E-2</v>
      </c>
      <c r="F798" s="30">
        <f t="shared" si="112"/>
        <v>1.1287481273087646E-2</v>
      </c>
      <c r="G798" s="30" t="str">
        <f t="shared" si="112"/>
        <v/>
      </c>
      <c r="H798" s="30" t="str">
        <f t="shared" si="112"/>
        <v/>
      </c>
      <c r="I798" s="30" t="str">
        <f t="shared" si="106"/>
        <v/>
      </c>
    </row>
    <row r="799" spans="1:9" x14ac:dyDescent="0.25">
      <c r="A799" s="30">
        <f t="shared" si="110"/>
        <v>2</v>
      </c>
      <c r="B799" s="94">
        <f>INT((ROWS(B$11:B799)-1)/20)+40+0.05*MOD(ROWS(B$11:B799)-1,20)</f>
        <v>79.400000000000006</v>
      </c>
      <c r="C799" s="58" t="str">
        <f t="shared" si="111"/>
        <v/>
      </c>
      <c r="D799" s="58" t="str">
        <f t="shared" si="105"/>
        <v/>
      </c>
      <c r="E799" s="30">
        <f t="shared" si="109"/>
        <v>1.0995898995106763E-2</v>
      </c>
      <c r="F799" s="30">
        <f t="shared" si="112"/>
        <v>1.0995898995106763E-2</v>
      </c>
      <c r="G799" s="30" t="str">
        <f t="shared" si="112"/>
        <v/>
      </c>
      <c r="H799" s="30" t="str">
        <f t="shared" si="112"/>
        <v/>
      </c>
      <c r="I799" s="30" t="str">
        <f t="shared" si="106"/>
        <v/>
      </c>
    </row>
    <row r="800" spans="1:9" x14ac:dyDescent="0.25">
      <c r="A800" s="30">
        <f t="shared" si="110"/>
        <v>2</v>
      </c>
      <c r="B800" s="94">
        <f>INT((ROWS(B$11:B800)-1)/20)+40+0.05*MOD(ROWS(B$11:B800)-1,20)</f>
        <v>79.45</v>
      </c>
      <c r="C800" s="58" t="str">
        <f t="shared" si="111"/>
        <v/>
      </c>
      <c r="D800" s="58" t="str">
        <f t="shared" si="105"/>
        <v/>
      </c>
      <c r="E800" s="30">
        <f t="shared" si="109"/>
        <v>1.0710175379805604E-2</v>
      </c>
      <c r="F800" s="30">
        <f t="shared" si="112"/>
        <v>1.0710175379805604E-2</v>
      </c>
      <c r="G800" s="30" t="str">
        <f t="shared" si="112"/>
        <v/>
      </c>
      <c r="H800" s="30" t="str">
        <f t="shared" si="112"/>
        <v/>
      </c>
      <c r="I800" s="30" t="str">
        <f t="shared" si="106"/>
        <v/>
      </c>
    </row>
    <row r="801" spans="1:9" x14ac:dyDescent="0.25">
      <c r="A801" s="30">
        <f t="shared" si="110"/>
        <v>2</v>
      </c>
      <c r="B801" s="94">
        <f>INT((ROWS(B$11:B801)-1)/20)+40+0.05*MOD(ROWS(B$11:B801)-1,20)</f>
        <v>79.5</v>
      </c>
      <c r="C801" s="58" t="str">
        <f t="shared" si="111"/>
        <v/>
      </c>
      <c r="D801" s="58" t="str">
        <f t="shared" si="105"/>
        <v/>
      </c>
      <c r="E801" s="30">
        <f t="shared" si="109"/>
        <v>1.0430246314084653E-2</v>
      </c>
      <c r="F801" s="30">
        <f t="shared" si="112"/>
        <v>1.0430246314084653E-2</v>
      </c>
      <c r="G801" s="30" t="str">
        <f t="shared" si="112"/>
        <v/>
      </c>
      <c r="H801" s="30" t="str">
        <f t="shared" si="112"/>
        <v/>
      </c>
      <c r="I801" s="30" t="str">
        <f t="shared" si="106"/>
        <v/>
      </c>
    </row>
    <row r="802" spans="1:9" x14ac:dyDescent="0.25">
      <c r="A802" s="30">
        <f t="shared" si="110"/>
        <v>2</v>
      </c>
      <c r="B802" s="94">
        <f>INT((ROWS(B$11:B802)-1)/20)+40+0.05*MOD(ROWS(B$11:B802)-1,20)</f>
        <v>79.55</v>
      </c>
      <c r="C802" s="58" t="str">
        <f t="shared" si="111"/>
        <v/>
      </c>
      <c r="D802" s="58" t="str">
        <f t="shared" si="105"/>
        <v/>
      </c>
      <c r="E802" s="30">
        <f t="shared" si="109"/>
        <v>1.015604667520585E-2</v>
      </c>
      <c r="F802" s="30">
        <f t="shared" si="112"/>
        <v>1.015604667520585E-2</v>
      </c>
      <c r="G802" s="30" t="str">
        <f t="shared" si="112"/>
        <v/>
      </c>
      <c r="H802" s="30" t="str">
        <f t="shared" si="112"/>
        <v/>
      </c>
      <c r="I802" s="30" t="str">
        <f t="shared" si="106"/>
        <v/>
      </c>
    </row>
    <row r="803" spans="1:9" x14ac:dyDescent="0.25">
      <c r="A803" s="30">
        <f t="shared" si="110"/>
        <v>2</v>
      </c>
      <c r="B803" s="94">
        <f>INT((ROWS(B$11:B803)-1)/20)+40+0.05*MOD(ROWS(B$11:B803)-1,20)</f>
        <v>79.599999999999994</v>
      </c>
      <c r="C803" s="58" t="str">
        <f t="shared" si="111"/>
        <v/>
      </c>
      <c r="D803" s="58" t="str">
        <f t="shared" si="105"/>
        <v/>
      </c>
      <c r="E803" s="30">
        <f t="shared" si="109"/>
        <v>9.8875103973425828E-3</v>
      </c>
      <c r="F803" s="30">
        <f t="shared" si="112"/>
        <v>9.8875103973425828E-3</v>
      </c>
      <c r="G803" s="30" t="str">
        <f t="shared" si="112"/>
        <v/>
      </c>
      <c r="H803" s="30" t="str">
        <f t="shared" si="112"/>
        <v/>
      </c>
      <c r="I803" s="30" t="str">
        <f t="shared" si="106"/>
        <v/>
      </c>
    </row>
    <row r="804" spans="1:9" x14ac:dyDescent="0.25">
      <c r="A804" s="30">
        <f t="shared" si="110"/>
        <v>2</v>
      </c>
      <c r="B804" s="94">
        <f>INT((ROWS(B$11:B804)-1)/20)+40+0.05*MOD(ROWS(B$11:B804)-1,20)</f>
        <v>79.650000000000006</v>
      </c>
      <c r="C804" s="58" t="str">
        <f t="shared" si="111"/>
        <v/>
      </c>
      <c r="D804" s="58" t="str">
        <f t="shared" si="105"/>
        <v/>
      </c>
      <c r="E804" s="30">
        <f t="shared" si="109"/>
        <v>9.6245705371123275E-3</v>
      </c>
      <c r="F804" s="30">
        <f t="shared" si="112"/>
        <v>9.6245705371123275E-3</v>
      </c>
      <c r="G804" s="30" t="str">
        <f t="shared" si="112"/>
        <v/>
      </c>
      <c r="H804" s="30" t="str">
        <f t="shared" si="112"/>
        <v/>
      </c>
      <c r="I804" s="30" t="str">
        <f t="shared" si="106"/>
        <v/>
      </c>
    </row>
    <row r="805" spans="1:9" x14ac:dyDescent="0.25">
      <c r="A805" s="30">
        <f t="shared" si="110"/>
        <v>2</v>
      </c>
      <c r="B805" s="94">
        <f>INT((ROWS(B$11:B805)-1)/20)+40+0.05*MOD(ROWS(B$11:B805)-1,20)</f>
        <v>79.7</v>
      </c>
      <c r="C805" s="58" t="str">
        <f t="shared" si="111"/>
        <v/>
      </c>
      <c r="D805" s="58" t="str">
        <f t="shared" si="105"/>
        <v/>
      </c>
      <c r="E805" s="30">
        <f t="shared" si="109"/>
        <v>9.3671593380584301E-3</v>
      </c>
      <c r="F805" s="30">
        <f t="shared" si="112"/>
        <v>9.3671593380584301E-3</v>
      </c>
      <c r="G805" s="30" t="str">
        <f t="shared" si="112"/>
        <v/>
      </c>
      <c r="H805" s="30" t="str">
        <f t="shared" si="112"/>
        <v/>
      </c>
      <c r="I805" s="30" t="str">
        <f t="shared" si="106"/>
        <v/>
      </c>
    </row>
    <row r="806" spans="1:9" x14ac:dyDescent="0.25">
      <c r="A806" s="30">
        <f t="shared" si="110"/>
        <v>2</v>
      </c>
      <c r="B806" s="94">
        <f>INT((ROWS(B$11:B806)-1)/20)+40+0.05*MOD(ROWS(B$11:B806)-1,20)</f>
        <v>79.75</v>
      </c>
      <c r="C806" s="58" t="str">
        <f t="shared" si="111"/>
        <v/>
      </c>
      <c r="D806" s="58" t="str">
        <f t="shared" si="105"/>
        <v/>
      </c>
      <c r="E806" s="30">
        <f t="shared" si="109"/>
        <v>9.1152082940480356E-3</v>
      </c>
      <c r="F806" s="30">
        <f t="shared" si="112"/>
        <v>9.1152082940480356E-3</v>
      </c>
      <c r="G806" s="30" t="str">
        <f t="shared" si="112"/>
        <v/>
      </c>
      <c r="H806" s="30" t="str">
        <f t="shared" si="112"/>
        <v/>
      </c>
      <c r="I806" s="30" t="str">
        <f t="shared" si="106"/>
        <v/>
      </c>
    </row>
    <row r="807" spans="1:9" x14ac:dyDescent="0.25">
      <c r="A807" s="30">
        <f t="shared" si="110"/>
        <v>2</v>
      </c>
      <c r="B807" s="94">
        <f>INT((ROWS(B$11:B807)-1)/20)+40+0.05*MOD(ROWS(B$11:B807)-1,20)</f>
        <v>79.8</v>
      </c>
      <c r="C807" s="58" t="str">
        <f t="shared" si="111"/>
        <v/>
      </c>
      <c r="D807" s="58" t="str">
        <f t="shared" si="105"/>
        <v/>
      </c>
      <c r="E807" s="30">
        <f t="shared" si="109"/>
        <v>8.8686482115578717E-3</v>
      </c>
      <c r="F807" s="30">
        <f t="shared" si="112"/>
        <v>8.8686482115578717E-3</v>
      </c>
      <c r="G807" s="30" t="str">
        <f t="shared" si="112"/>
        <v/>
      </c>
      <c r="H807" s="30" t="str">
        <f t="shared" si="112"/>
        <v/>
      </c>
      <c r="I807" s="30" t="str">
        <f t="shared" si="106"/>
        <v/>
      </c>
    </row>
    <row r="808" spans="1:9" x14ac:dyDescent="0.25">
      <c r="A808" s="30">
        <f t="shared" si="110"/>
        <v>2</v>
      </c>
      <c r="B808" s="94">
        <f>INT((ROWS(B$11:B808)-1)/20)+40+0.05*MOD(ROWS(B$11:B808)-1,20)</f>
        <v>79.849999999999994</v>
      </c>
      <c r="C808" s="58" t="str">
        <f t="shared" si="111"/>
        <v/>
      </c>
      <c r="D808" s="58" t="str">
        <f t="shared" si="105"/>
        <v/>
      </c>
      <c r="E808" s="30">
        <f t="shared" si="109"/>
        <v>8.6274092708189028E-3</v>
      </c>
      <c r="F808" s="30">
        <f t="shared" si="112"/>
        <v>8.6274092708189028E-3</v>
      </c>
      <c r="G808" s="30" t="str">
        <f t="shared" si="112"/>
        <v/>
      </c>
      <c r="H808" s="30" t="str">
        <f t="shared" si="112"/>
        <v/>
      </c>
      <c r="I808" s="30" t="str">
        <f t="shared" si="106"/>
        <v/>
      </c>
    </row>
    <row r="809" spans="1:9" x14ac:dyDescent="0.25">
      <c r="A809" s="30">
        <f t="shared" si="110"/>
        <v>2</v>
      </c>
      <c r="B809" s="94">
        <f>INT((ROWS(B$11:B809)-1)/20)+40+0.05*MOD(ROWS(B$11:B809)-1,20)</f>
        <v>79.900000000000006</v>
      </c>
      <c r="C809" s="58" t="str">
        <f t="shared" si="111"/>
        <v/>
      </c>
      <c r="D809" s="58" t="str">
        <f t="shared" si="105"/>
        <v/>
      </c>
      <c r="E809" s="30">
        <f t="shared" si="109"/>
        <v>8.3914210857943591E-3</v>
      </c>
      <c r="F809" s="30">
        <f t="shared" si="112"/>
        <v>8.3914210857943591E-3</v>
      </c>
      <c r="G809" s="30" t="str">
        <f t="shared" si="112"/>
        <v/>
      </c>
      <c r="H809" s="30" t="str">
        <f t="shared" si="112"/>
        <v/>
      </c>
      <c r="I809" s="30" t="str">
        <f t="shared" si="106"/>
        <v/>
      </c>
    </row>
    <row r="810" spans="1:9" x14ac:dyDescent="0.25">
      <c r="A810" s="30">
        <f t="shared" si="110"/>
        <v>2</v>
      </c>
      <c r="B810" s="94">
        <f>INT((ROWS(B$11:B810)-1)/20)+40+0.05*MOD(ROWS(B$11:B810)-1,20)</f>
        <v>79.95</v>
      </c>
      <c r="C810" s="58" t="str">
        <f t="shared" si="111"/>
        <v/>
      </c>
      <c r="D810" s="58" t="str">
        <f t="shared" si="105"/>
        <v/>
      </c>
      <c r="E810" s="30">
        <f t="shared" si="109"/>
        <v>8.1606127629676086E-3</v>
      </c>
      <c r="F810" s="30">
        <f t="shared" si="112"/>
        <v>8.1606127629676086E-3</v>
      </c>
      <c r="G810" s="30" t="str">
        <f t="shared" si="112"/>
        <v/>
      </c>
      <c r="H810" s="30" t="str">
        <f t="shared" si="112"/>
        <v/>
      </c>
      <c r="I810" s="30" t="str">
        <f t="shared" si="106"/>
        <v/>
      </c>
    </row>
    <row r="811" spans="1:9" x14ac:dyDescent="0.25">
      <c r="A811" s="30">
        <f t="shared" si="110"/>
        <v>2.25</v>
      </c>
      <c r="B811" s="94">
        <f>INT((ROWS(B$11:B811)-1)/20)+40+0.05*MOD(ROWS(B$11:B811)-1,20)</f>
        <v>80</v>
      </c>
      <c r="C811" s="58" t="str">
        <f t="shared" si="111"/>
        <v/>
      </c>
      <c r="D811" s="58" t="str">
        <f t="shared" si="105"/>
        <v/>
      </c>
      <c r="E811" s="30">
        <f t="shared" si="109"/>
        <v>7.9349129589168545E-3</v>
      </c>
      <c r="F811" s="30">
        <f t="shared" ref="F811:H830" si="113">IF(AND($B811&gt;=F$7,$B811&lt;=F$8),E811,"")</f>
        <v>7.9349129589168545E-3</v>
      </c>
      <c r="G811" s="30" t="str">
        <f t="shared" si="113"/>
        <v/>
      </c>
      <c r="H811" s="30" t="str">
        <f t="shared" si="113"/>
        <v/>
      </c>
      <c r="I811" s="30" t="str">
        <f t="shared" si="106"/>
        <v/>
      </c>
    </row>
    <row r="812" spans="1:9" x14ac:dyDescent="0.25">
      <c r="A812" s="30">
        <f t="shared" si="110"/>
        <v>2.25</v>
      </c>
      <c r="B812" s="94">
        <f>INT((ROWS(B$11:B812)-1)/20)+40+0.05*MOD(ROWS(B$11:B812)-1,20)</f>
        <v>80.05</v>
      </c>
      <c r="C812" s="58" t="str">
        <f t="shared" si="111"/>
        <v/>
      </c>
      <c r="D812" s="58" t="str">
        <f t="shared" si="105"/>
        <v/>
      </c>
      <c r="E812" s="30">
        <f t="shared" si="109"/>
        <v>7.714249936657991E-3</v>
      </c>
      <c r="F812" s="30">
        <f t="shared" si="113"/>
        <v>7.714249936657991E-3</v>
      </c>
      <c r="G812" s="30" t="str">
        <f t="shared" si="113"/>
        <v/>
      </c>
      <c r="H812" s="30" t="str">
        <f t="shared" si="113"/>
        <v/>
      </c>
      <c r="I812" s="30" t="str">
        <f t="shared" si="106"/>
        <v/>
      </c>
    </row>
    <row r="813" spans="1:9" x14ac:dyDescent="0.25">
      <c r="A813" s="30">
        <f t="shared" si="110"/>
        <v>2.25</v>
      </c>
      <c r="B813" s="94">
        <f>INT((ROWS(B$11:B813)-1)/20)+40+0.05*MOD(ROWS(B$11:B813)-1,20)</f>
        <v>80.099999999999994</v>
      </c>
      <c r="C813" s="58" t="str">
        <f t="shared" si="111"/>
        <v/>
      </c>
      <c r="D813" s="58" t="str">
        <f t="shared" ref="D813:D876" si="114">IF(ISNUMBER(MATCH(B813,$K$2:$K$8,0)),TEXT(B813,"0\""")&amp;CHAR(10)&amp;TEXT((B813-$F$1)/$F$2," 0 z"),"")</f>
        <v/>
      </c>
      <c r="E813" s="30">
        <f t="shared" si="109"/>
        <v>7.4985516207363469E-3</v>
      </c>
      <c r="F813" s="30">
        <f t="shared" si="113"/>
        <v>7.4985516207363469E-3</v>
      </c>
      <c r="G813" s="30" t="str">
        <f t="shared" si="113"/>
        <v/>
      </c>
      <c r="H813" s="30" t="str">
        <f t="shared" si="113"/>
        <v/>
      </c>
      <c r="I813" s="30" t="str">
        <f t="shared" si="106"/>
        <v/>
      </c>
    </row>
    <row r="814" spans="1:9" x14ac:dyDescent="0.25">
      <c r="A814" s="30">
        <f t="shared" si="110"/>
        <v>2.25</v>
      </c>
      <c r="B814" s="94">
        <f>INT((ROWS(B$11:B814)-1)/20)+40+0.05*MOD(ROWS(B$11:B814)-1,20)</f>
        <v>80.150000000000006</v>
      </c>
      <c r="C814" s="58" t="str">
        <f t="shared" si="111"/>
        <v/>
      </c>
      <c r="D814" s="58" t="str">
        <f t="shared" si="114"/>
        <v/>
      </c>
      <c r="E814" s="30">
        <f t="shared" si="109"/>
        <v>7.2877456510514202E-3</v>
      </c>
      <c r="F814" s="30">
        <f t="shared" si="113"/>
        <v>7.2877456510514202E-3</v>
      </c>
      <c r="G814" s="30" t="str">
        <f t="shared" si="113"/>
        <v/>
      </c>
      <c r="H814" s="30" t="str">
        <f t="shared" si="113"/>
        <v/>
      </c>
      <c r="I814" s="30" t="str">
        <f t="shared" ref="I814:I877" si="115">IF(AND(B814&gt;=$F$1-0.05,B814&lt;=$F$1+0.05),E814,"")</f>
        <v/>
      </c>
    </row>
    <row r="815" spans="1:9" x14ac:dyDescent="0.25">
      <c r="A815" s="30">
        <f t="shared" si="110"/>
        <v>2.25</v>
      </c>
      <c r="B815" s="94">
        <f>INT((ROWS(B$11:B815)-1)/20)+40+0.05*MOD(ROWS(B$11:B815)-1,20)</f>
        <v>80.2</v>
      </c>
      <c r="C815" s="58" t="str">
        <f t="shared" si="111"/>
        <v/>
      </c>
      <c r="D815" s="58" t="str">
        <f t="shared" si="114"/>
        <v/>
      </c>
      <c r="E815" s="30">
        <f t="shared" si="109"/>
        <v>7.08175943540028E-3</v>
      </c>
      <c r="F815" s="30">
        <f t="shared" si="113"/>
        <v>7.08175943540028E-3</v>
      </c>
      <c r="G815" s="30" t="str">
        <f t="shared" si="113"/>
        <v/>
      </c>
      <c r="H815" s="30" t="str">
        <f t="shared" si="113"/>
        <v/>
      </c>
      <c r="I815" s="30" t="str">
        <f t="shared" si="115"/>
        <v/>
      </c>
    </row>
    <row r="816" spans="1:9" x14ac:dyDescent="0.25">
      <c r="A816" s="30">
        <f t="shared" si="110"/>
        <v>2.25</v>
      </c>
      <c r="B816" s="94">
        <f>INT((ROWS(B$11:B816)-1)/20)+40+0.05*MOD(ROWS(B$11:B816)-1,20)</f>
        <v>80.25</v>
      </c>
      <c r="C816" s="58" t="str">
        <f t="shared" si="111"/>
        <v/>
      </c>
      <c r="D816" s="58" t="str">
        <f t="shared" si="114"/>
        <v/>
      </c>
      <c r="E816" s="30">
        <f t="shared" si="109"/>
        <v>6.8805202007261174E-3</v>
      </c>
      <c r="F816" s="30">
        <f t="shared" si="113"/>
        <v>6.8805202007261174E-3</v>
      </c>
      <c r="G816" s="30" t="str">
        <f t="shared" si="113"/>
        <v/>
      </c>
      <c r="H816" s="30" t="str">
        <f t="shared" si="113"/>
        <v/>
      </c>
      <c r="I816" s="30" t="str">
        <f t="shared" si="115"/>
        <v/>
      </c>
    </row>
    <row r="817" spans="1:9" x14ac:dyDescent="0.25">
      <c r="A817" s="30">
        <f t="shared" si="110"/>
        <v>2.25</v>
      </c>
      <c r="B817" s="94">
        <f>INT((ROWS(B$11:B817)-1)/20)+40+0.05*MOD(ROWS(B$11:B817)-1,20)</f>
        <v>80.3</v>
      </c>
      <c r="C817" s="58" t="str">
        <f t="shared" si="111"/>
        <v/>
      </c>
      <c r="D817" s="58" t="str">
        <f t="shared" si="114"/>
        <v/>
      </c>
      <c r="E817" s="30">
        <f t="shared" si="109"/>
        <v>6.6839550430620688E-3</v>
      </c>
      <c r="F817" s="30">
        <f t="shared" si="113"/>
        <v>6.6839550430620688E-3</v>
      </c>
      <c r="G817" s="30" t="str">
        <f t="shared" si="113"/>
        <v/>
      </c>
      <c r="H817" s="30" t="str">
        <f t="shared" si="113"/>
        <v/>
      </c>
      <c r="I817" s="30" t="str">
        <f t="shared" si="115"/>
        <v/>
      </c>
    </row>
    <row r="818" spans="1:9" x14ac:dyDescent="0.25">
      <c r="A818" s="30">
        <f t="shared" si="110"/>
        <v>2.25</v>
      </c>
      <c r="B818" s="94">
        <f>INT((ROWS(B$11:B818)-1)/20)+40+0.05*MOD(ROWS(B$11:B818)-1,20)</f>
        <v>80.349999999999994</v>
      </c>
      <c r="C818" s="58" t="str">
        <f t="shared" si="111"/>
        <v/>
      </c>
      <c r="D818" s="58" t="str">
        <f t="shared" si="114"/>
        <v/>
      </c>
      <c r="E818" s="30">
        <f t="shared" si="109"/>
        <v>6.4919909761602381E-3</v>
      </c>
      <c r="F818" s="30">
        <f t="shared" si="113"/>
        <v>6.4919909761602381E-3</v>
      </c>
      <c r="G818" s="30" t="str">
        <f t="shared" si="113"/>
        <v/>
      </c>
      <c r="H818" s="30" t="str">
        <f t="shared" si="113"/>
        <v/>
      </c>
      <c r="I818" s="30" t="str">
        <f t="shared" si="115"/>
        <v/>
      </c>
    </row>
    <row r="819" spans="1:9" x14ac:dyDescent="0.25">
      <c r="A819" s="30">
        <f t="shared" si="110"/>
        <v>2.25</v>
      </c>
      <c r="B819" s="94">
        <f>INT((ROWS(B$11:B819)-1)/20)+40+0.05*MOD(ROWS(B$11:B819)-1,20)</f>
        <v>80.400000000000006</v>
      </c>
      <c r="C819" s="58" t="str">
        <f t="shared" si="111"/>
        <v/>
      </c>
      <c r="D819" s="58" t="str">
        <f t="shared" si="114"/>
        <v/>
      </c>
      <c r="E819" s="30">
        <f t="shared" si="109"/>
        <v>6.3045549787985765E-3</v>
      </c>
      <c r="F819" s="30">
        <f t="shared" si="113"/>
        <v>6.3045549787985765E-3</v>
      </c>
      <c r="G819" s="30" t="str">
        <f t="shared" si="113"/>
        <v/>
      </c>
      <c r="H819" s="30" t="str">
        <f t="shared" si="113"/>
        <v/>
      </c>
      <c r="I819" s="30" t="str">
        <f t="shared" si="115"/>
        <v/>
      </c>
    </row>
    <row r="820" spans="1:9" x14ac:dyDescent="0.25">
      <c r="A820" s="30">
        <f t="shared" si="110"/>
        <v>2.25</v>
      </c>
      <c r="B820" s="94">
        <f>INT((ROWS(B$11:B820)-1)/20)+40+0.05*MOD(ROWS(B$11:B820)-1,20)</f>
        <v>80.45</v>
      </c>
      <c r="C820" s="58" t="str">
        <f t="shared" si="111"/>
        <v/>
      </c>
      <c r="D820" s="58" t="str">
        <f t="shared" si="114"/>
        <v/>
      </c>
      <c r="E820" s="30">
        <f t="shared" si="109"/>
        <v>6.1215740407599773E-3</v>
      </c>
      <c r="F820" s="30">
        <f t="shared" si="113"/>
        <v>6.1215740407599773E-3</v>
      </c>
      <c r="G820" s="30" t="str">
        <f t="shared" si="113"/>
        <v/>
      </c>
      <c r="H820" s="30" t="str">
        <f t="shared" si="113"/>
        <v/>
      </c>
      <c r="I820" s="30" t="str">
        <f t="shared" si="115"/>
        <v/>
      </c>
    </row>
    <row r="821" spans="1:9" x14ac:dyDescent="0.25">
      <c r="A821" s="30">
        <f t="shared" si="110"/>
        <v>2.25</v>
      </c>
      <c r="B821" s="94">
        <f>INT((ROWS(B$11:B821)-1)/20)+40+0.05*MOD(ROWS(B$11:B821)-1,20)</f>
        <v>80.5</v>
      </c>
      <c r="C821" s="58" t="str">
        <f t="shared" si="111"/>
        <v/>
      </c>
      <c r="D821" s="58" t="str">
        <f t="shared" si="114"/>
        <v/>
      </c>
      <c r="E821" s="30">
        <f t="shared" si="109"/>
        <v>5.9429752074784516E-3</v>
      </c>
      <c r="F821" s="30">
        <f t="shared" si="113"/>
        <v>5.9429752074784516E-3</v>
      </c>
      <c r="G821" s="30" t="str">
        <f t="shared" si="113"/>
        <v/>
      </c>
      <c r="H821" s="30" t="str">
        <f t="shared" si="113"/>
        <v/>
      </c>
      <c r="I821" s="30" t="str">
        <f t="shared" si="115"/>
        <v/>
      </c>
    </row>
    <row r="822" spans="1:9" x14ac:dyDescent="0.25">
      <c r="A822" s="30">
        <f t="shared" si="110"/>
        <v>2.25</v>
      </c>
      <c r="B822" s="94">
        <f>INT((ROWS(B$11:B822)-1)/20)+40+0.05*MOD(ROWS(B$11:B822)-1,20)</f>
        <v>80.55</v>
      </c>
      <c r="C822" s="58" t="str">
        <f t="shared" si="111"/>
        <v/>
      </c>
      <c r="D822" s="58" t="str">
        <f t="shared" si="114"/>
        <v/>
      </c>
      <c r="E822" s="30">
        <f t="shared" si="109"/>
        <v>5.7686856233506592E-3</v>
      </c>
      <c r="F822" s="30">
        <f t="shared" si="113"/>
        <v>5.7686856233506592E-3</v>
      </c>
      <c r="G822" s="30" t="str">
        <f t="shared" si="113"/>
        <v/>
      </c>
      <c r="H822" s="30" t="str">
        <f t="shared" si="113"/>
        <v/>
      </c>
      <c r="I822" s="30" t="str">
        <f t="shared" si="115"/>
        <v/>
      </c>
    </row>
    <row r="823" spans="1:9" x14ac:dyDescent="0.25">
      <c r="A823" s="30">
        <f t="shared" si="110"/>
        <v>2.25</v>
      </c>
      <c r="B823" s="94">
        <f>INT((ROWS(B$11:B823)-1)/20)+40+0.05*MOD(ROWS(B$11:B823)-1,20)</f>
        <v>80.599999999999994</v>
      </c>
      <c r="C823" s="58" t="str">
        <f t="shared" si="111"/>
        <v/>
      </c>
      <c r="D823" s="58" t="str">
        <f t="shared" si="114"/>
        <v/>
      </c>
      <c r="E823" s="30">
        <f t="shared" si="109"/>
        <v>5.5986325737107422E-3</v>
      </c>
      <c r="F823" s="30">
        <f t="shared" si="113"/>
        <v>5.5986325737107422E-3</v>
      </c>
      <c r="G823" s="30" t="str">
        <f t="shared" si="113"/>
        <v/>
      </c>
      <c r="H823" s="30" t="str">
        <f t="shared" si="113"/>
        <v/>
      </c>
      <c r="I823" s="30" t="str">
        <f t="shared" si="115"/>
        <v/>
      </c>
    </row>
    <row r="824" spans="1:9" x14ac:dyDescent="0.25">
      <c r="A824" s="30">
        <f t="shared" si="110"/>
        <v>2.25</v>
      </c>
      <c r="B824" s="94">
        <f>INT((ROWS(B$11:B824)-1)/20)+40+0.05*MOD(ROWS(B$11:B824)-1,20)</f>
        <v>80.650000000000006</v>
      </c>
      <c r="C824" s="58" t="str">
        <f t="shared" si="111"/>
        <v/>
      </c>
      <c r="D824" s="58" t="str">
        <f t="shared" si="114"/>
        <v/>
      </c>
      <c r="E824" s="30">
        <f t="shared" si="109"/>
        <v>5.4327435254689655E-3</v>
      </c>
      <c r="F824" s="30">
        <f t="shared" si="113"/>
        <v>5.4327435254689655E-3</v>
      </c>
      <c r="G824" s="30" t="str">
        <f t="shared" si="113"/>
        <v/>
      </c>
      <c r="H824" s="30" t="str">
        <f t="shared" si="113"/>
        <v/>
      </c>
      <c r="I824" s="30" t="str">
        <f t="shared" si="115"/>
        <v/>
      </c>
    </row>
    <row r="825" spans="1:9" x14ac:dyDescent="0.25">
      <c r="A825" s="30">
        <f t="shared" si="110"/>
        <v>2.25</v>
      </c>
      <c r="B825" s="94">
        <f>INT((ROWS(B$11:B825)-1)/20)+40+0.05*MOD(ROWS(B$11:B825)-1,20)</f>
        <v>80.7</v>
      </c>
      <c r="C825" s="58" t="str">
        <f t="shared" si="111"/>
        <v/>
      </c>
      <c r="D825" s="58" t="str">
        <f t="shared" si="114"/>
        <v/>
      </c>
      <c r="E825" s="30">
        <f t="shared" si="109"/>
        <v>5.2709461664160176E-3</v>
      </c>
      <c r="F825" s="30">
        <f t="shared" si="113"/>
        <v>5.2709461664160176E-3</v>
      </c>
      <c r="G825" s="30" t="str">
        <f t="shared" si="113"/>
        <v/>
      </c>
      <c r="H825" s="30" t="str">
        <f t="shared" si="113"/>
        <v/>
      </c>
      <c r="I825" s="30" t="str">
        <f t="shared" si="115"/>
        <v/>
      </c>
    </row>
    <row r="826" spans="1:9" x14ac:dyDescent="0.25">
      <c r="A826" s="30">
        <f t="shared" si="110"/>
        <v>2.25</v>
      </c>
      <c r="B826" s="94">
        <f>INT((ROWS(B$11:B826)-1)/20)+40+0.05*MOD(ROWS(B$11:B826)-1,20)</f>
        <v>80.75</v>
      </c>
      <c r="C826" s="58" t="str">
        <f t="shared" si="111"/>
        <v/>
      </c>
      <c r="D826" s="58" t="str">
        <f t="shared" si="114"/>
        <v/>
      </c>
      <c r="E826" s="30">
        <f t="shared" si="109"/>
        <v>5.1131684431953497E-3</v>
      </c>
      <c r="F826" s="30">
        <f t="shared" si="113"/>
        <v>5.1131684431953497E-3</v>
      </c>
      <c r="G826" s="30" t="str">
        <f t="shared" si="113"/>
        <v/>
      </c>
      <c r="H826" s="30" t="str">
        <f t="shared" si="113"/>
        <v/>
      </c>
      <c r="I826" s="30" t="str">
        <f t="shared" si="115"/>
        <v/>
      </c>
    </row>
    <row r="827" spans="1:9" x14ac:dyDescent="0.25">
      <c r="A827" s="30">
        <f t="shared" si="110"/>
        <v>2.25</v>
      </c>
      <c r="B827" s="94">
        <f>INT((ROWS(B$11:B827)-1)/20)+40+0.05*MOD(ROWS(B$11:B827)-1,20)</f>
        <v>80.8</v>
      </c>
      <c r="C827" s="58" t="str">
        <f t="shared" si="111"/>
        <v/>
      </c>
      <c r="D827" s="58" t="str">
        <f t="shared" si="114"/>
        <v/>
      </c>
      <c r="E827" s="30">
        <f t="shared" si="109"/>
        <v>4.9593385979488395E-3</v>
      </c>
      <c r="F827" s="30">
        <f t="shared" si="113"/>
        <v>4.9593385979488395E-3</v>
      </c>
      <c r="G827" s="30" t="str">
        <f t="shared" si="113"/>
        <v/>
      </c>
      <c r="H827" s="30" t="str">
        <f t="shared" si="113"/>
        <v/>
      </c>
      <c r="I827" s="30" t="str">
        <f t="shared" si="115"/>
        <v/>
      </c>
    </row>
    <row r="828" spans="1:9" x14ac:dyDescent="0.25">
      <c r="A828" s="30">
        <f t="shared" si="110"/>
        <v>2.25</v>
      </c>
      <c r="B828" s="94">
        <f>INT((ROWS(B$11:B828)-1)/20)+40+0.05*MOD(ROWS(B$11:B828)-1,20)</f>
        <v>80.849999999999994</v>
      </c>
      <c r="C828" s="58" t="str">
        <f t="shared" si="111"/>
        <v/>
      </c>
      <c r="D828" s="58" t="str">
        <f t="shared" si="114"/>
        <v/>
      </c>
      <c r="E828" s="30">
        <f t="shared" si="109"/>
        <v>4.8093852036407972E-3</v>
      </c>
      <c r="F828" s="30">
        <f t="shared" si="113"/>
        <v>4.8093852036407972E-3</v>
      </c>
      <c r="G828" s="30" t="str">
        <f t="shared" si="113"/>
        <v/>
      </c>
      <c r="H828" s="30" t="str">
        <f t="shared" si="113"/>
        <v/>
      </c>
      <c r="I828" s="30" t="str">
        <f t="shared" si="115"/>
        <v/>
      </c>
    </row>
    <row r="829" spans="1:9" x14ac:dyDescent="0.25">
      <c r="A829" s="30">
        <f t="shared" si="110"/>
        <v>2.25</v>
      </c>
      <c r="B829" s="94">
        <f>INT((ROWS(B$11:B829)-1)/20)+40+0.05*MOD(ROWS(B$11:B829)-1,20)</f>
        <v>80.900000000000006</v>
      </c>
      <c r="C829" s="58" t="str">
        <f t="shared" si="111"/>
        <v/>
      </c>
      <c r="D829" s="58" t="str">
        <f t="shared" si="114"/>
        <v/>
      </c>
      <c r="E829" s="30">
        <f t="shared" si="109"/>
        <v>4.6632371980674598E-3</v>
      </c>
      <c r="F829" s="30">
        <f t="shared" si="113"/>
        <v>4.6632371980674598E-3</v>
      </c>
      <c r="G829" s="30" t="str">
        <f t="shared" si="113"/>
        <v/>
      </c>
      <c r="H829" s="30" t="str">
        <f t="shared" si="113"/>
        <v/>
      </c>
      <c r="I829" s="30" t="str">
        <f t="shared" si="115"/>
        <v/>
      </c>
    </row>
    <row r="830" spans="1:9" x14ac:dyDescent="0.25">
      <c r="A830" s="30">
        <f t="shared" si="110"/>
        <v>2.25</v>
      </c>
      <c r="B830" s="94">
        <f>INT((ROWS(B$11:B830)-1)/20)+40+0.05*MOD(ROWS(B$11:B830)-1,20)</f>
        <v>80.95</v>
      </c>
      <c r="C830" s="58" t="str">
        <f t="shared" si="111"/>
        <v/>
      </c>
      <c r="D830" s="58" t="str">
        <f t="shared" si="114"/>
        <v/>
      </c>
      <c r="E830" s="30">
        <f t="shared" si="109"/>
        <v>4.5208239165603435E-3</v>
      </c>
      <c r="F830" s="30">
        <f t="shared" si="113"/>
        <v>4.5208239165603435E-3</v>
      </c>
      <c r="G830" s="30" t="str">
        <f t="shared" si="113"/>
        <v/>
      </c>
      <c r="H830" s="30" t="str">
        <f t="shared" si="113"/>
        <v/>
      </c>
      <c r="I830" s="30" t="str">
        <f t="shared" si="115"/>
        <v/>
      </c>
    </row>
    <row r="831" spans="1:9" x14ac:dyDescent="0.25">
      <c r="A831" s="30">
        <f t="shared" si="110"/>
        <v>2.5</v>
      </c>
      <c r="B831" s="94">
        <f>INT((ROWS(B$11:B831)-1)/20)+40+0.05*MOD(ROWS(B$11:B831)-1,20)</f>
        <v>81</v>
      </c>
      <c r="C831" s="58" t="str">
        <f t="shared" si="111"/>
        <v/>
      </c>
      <c r="D831" s="58" t="str">
        <f t="shared" si="114"/>
        <v/>
      </c>
      <c r="E831" s="30">
        <f t="shared" si="109"/>
        <v>4.3820751233921351E-3</v>
      </c>
      <c r="F831" s="30">
        <f t="shared" ref="F831:H850" si="116">IF(AND($B831&gt;=F$7,$B831&lt;=F$8),E831,"")</f>
        <v>4.3820751233921351E-3</v>
      </c>
      <c r="G831" s="30" t="str">
        <f t="shared" si="116"/>
        <v/>
      </c>
      <c r="H831" s="30" t="str">
        <f t="shared" si="116"/>
        <v/>
      </c>
      <c r="I831" s="30" t="str">
        <f t="shared" si="115"/>
        <v/>
      </c>
    </row>
    <row r="832" spans="1:9" x14ac:dyDescent="0.25">
      <c r="A832" s="30">
        <f t="shared" si="110"/>
        <v>2.5</v>
      </c>
      <c r="B832" s="94">
        <f>INT((ROWS(B$11:B832)-1)/20)+40+0.05*MOD(ROWS(B$11:B832)-1,20)</f>
        <v>81.05</v>
      </c>
      <c r="C832" s="58" t="str">
        <f t="shared" si="111"/>
        <v/>
      </c>
      <c r="D832" s="58" t="str">
        <f t="shared" si="114"/>
        <v/>
      </c>
      <c r="E832" s="30">
        <f t="shared" si="109"/>
        <v>4.2469210418963803E-3</v>
      </c>
      <c r="F832" s="30">
        <f t="shared" si="116"/>
        <v>4.2469210418963803E-3</v>
      </c>
      <c r="G832" s="30" t="str">
        <f t="shared" si="116"/>
        <v/>
      </c>
      <c r="H832" s="30" t="str">
        <f t="shared" si="116"/>
        <v/>
      </c>
      <c r="I832" s="30" t="str">
        <f t="shared" si="115"/>
        <v/>
      </c>
    </row>
    <row r="833" spans="1:9" x14ac:dyDescent="0.25">
      <c r="A833" s="30">
        <f t="shared" si="110"/>
        <v>2.5</v>
      </c>
      <c r="B833" s="94">
        <f>INT((ROWS(B$11:B833)-1)/20)+40+0.05*MOD(ROWS(B$11:B833)-1,20)</f>
        <v>81.099999999999994</v>
      </c>
      <c r="C833" s="58" t="str">
        <f t="shared" si="111"/>
        <v/>
      </c>
      <c r="D833" s="58" t="str">
        <f t="shared" si="114"/>
        <v/>
      </c>
      <c r="E833" s="30">
        <f t="shared" si="109"/>
        <v>4.1152923833118298E-3</v>
      </c>
      <c r="F833" s="30">
        <f t="shared" si="116"/>
        <v>4.1152923833118298E-3</v>
      </c>
      <c r="G833" s="30" t="str">
        <f t="shared" si="116"/>
        <v/>
      </c>
      <c r="H833" s="30" t="str">
        <f t="shared" si="116"/>
        <v/>
      </c>
      <c r="I833" s="30" t="str">
        <f t="shared" si="115"/>
        <v/>
      </c>
    </row>
    <row r="834" spans="1:9" x14ac:dyDescent="0.25">
      <c r="A834" s="30">
        <f t="shared" si="110"/>
        <v>2.5</v>
      </c>
      <c r="B834" s="94">
        <f>INT((ROWS(B$11:B834)-1)/20)+40+0.05*MOD(ROWS(B$11:B834)-1,20)</f>
        <v>81.150000000000006</v>
      </c>
      <c r="C834" s="58" t="str">
        <f t="shared" si="111"/>
        <v/>
      </c>
      <c r="D834" s="58" t="str">
        <f t="shared" si="114"/>
        <v/>
      </c>
      <c r="E834" s="30">
        <f t="shared" si="109"/>
        <v>3.9871203743641667E-3</v>
      </c>
      <c r="F834" s="30">
        <f t="shared" si="116"/>
        <v>3.9871203743641667E-3</v>
      </c>
      <c r="G834" s="30" t="str">
        <f t="shared" si="116"/>
        <v/>
      </c>
      <c r="H834" s="30" t="str">
        <f t="shared" si="116"/>
        <v/>
      </c>
      <c r="I834" s="30" t="str">
        <f t="shared" si="115"/>
        <v/>
      </c>
    </row>
    <row r="835" spans="1:9" x14ac:dyDescent="0.25">
      <c r="A835" s="30">
        <f t="shared" si="110"/>
        <v>2.5</v>
      </c>
      <c r="B835" s="94">
        <f>INT((ROWS(B$11:B835)-1)/20)+40+0.05*MOD(ROWS(B$11:B835)-1,20)</f>
        <v>81.2</v>
      </c>
      <c r="C835" s="58" t="str">
        <f t="shared" si="111"/>
        <v/>
      </c>
      <c r="D835" s="58" t="str">
        <f t="shared" si="114"/>
        <v/>
      </c>
      <c r="E835" s="30">
        <f t="shared" si="109"/>
        <v>3.8623367835987853E-3</v>
      </c>
      <c r="F835" s="30">
        <f t="shared" si="116"/>
        <v>3.8623367835987853E-3</v>
      </c>
      <c r="G835" s="30" t="str">
        <f t="shared" si="116"/>
        <v/>
      </c>
      <c r="H835" s="30" t="str">
        <f t="shared" si="116"/>
        <v/>
      </c>
      <c r="I835" s="30" t="str">
        <f t="shared" si="115"/>
        <v/>
      </c>
    </row>
    <row r="836" spans="1:9" x14ac:dyDescent="0.25">
      <c r="A836" s="30">
        <f t="shared" si="110"/>
        <v>2.5</v>
      </c>
      <c r="B836" s="94">
        <f>INT((ROWS(B$11:B836)-1)/20)+40+0.05*MOD(ROWS(B$11:B836)-1,20)</f>
        <v>81.25</v>
      </c>
      <c r="C836" s="58" t="str">
        <f t="shared" si="111"/>
        <v/>
      </c>
      <c r="D836" s="58" t="str">
        <f t="shared" si="114"/>
        <v/>
      </c>
      <c r="E836" s="30">
        <f t="shared" si="109"/>
        <v>3.7408739464784868E-3</v>
      </c>
      <c r="F836" s="30">
        <f t="shared" si="116"/>
        <v>3.7408739464784868E-3</v>
      </c>
      <c r="G836" s="30" t="str">
        <f t="shared" si="116"/>
        <v/>
      </c>
      <c r="H836" s="30" t="str">
        <f t="shared" si="116"/>
        <v/>
      </c>
      <c r="I836" s="30" t="str">
        <f t="shared" si="115"/>
        <v/>
      </c>
    </row>
    <row r="837" spans="1:9" x14ac:dyDescent="0.25">
      <c r="A837" s="30">
        <f t="shared" si="110"/>
        <v>2.5</v>
      </c>
      <c r="B837" s="94">
        <f>INT((ROWS(B$11:B837)-1)/20)+40+0.05*MOD(ROWS(B$11:B837)-1,20)</f>
        <v>81.3</v>
      </c>
      <c r="C837" s="58" t="str">
        <f t="shared" si="111"/>
        <v/>
      </c>
      <c r="D837" s="58" t="str">
        <f t="shared" si="114"/>
        <v/>
      </c>
      <c r="E837" s="30">
        <f t="shared" si="109"/>
        <v>3.6226647892621177E-3</v>
      </c>
      <c r="F837" s="30">
        <f t="shared" si="116"/>
        <v>3.6226647892621177E-3</v>
      </c>
      <c r="G837" s="30" t="str">
        <f t="shared" si="116"/>
        <v/>
      </c>
      <c r="H837" s="30" t="str">
        <f t="shared" si="116"/>
        <v/>
      </c>
      <c r="I837" s="30" t="str">
        <f t="shared" si="115"/>
        <v/>
      </c>
    </row>
    <row r="838" spans="1:9" x14ac:dyDescent="0.25">
      <c r="A838" s="30">
        <f t="shared" si="110"/>
        <v>2.5</v>
      </c>
      <c r="B838" s="94">
        <f>INT((ROWS(B$11:B838)-1)/20)+40+0.05*MOD(ROWS(B$11:B838)-1,20)</f>
        <v>81.349999999999994</v>
      </c>
      <c r="C838" s="58" t="str">
        <f t="shared" si="111"/>
        <v/>
      </c>
      <c r="D838" s="58" t="str">
        <f t="shared" si="114"/>
        <v/>
      </c>
      <c r="E838" s="30">
        <f t="shared" si="109"/>
        <v>3.5076428516797337E-3</v>
      </c>
      <c r="F838" s="30">
        <f t="shared" si="116"/>
        <v>3.5076428516797337E-3</v>
      </c>
      <c r="G838" s="30" t="str">
        <f t="shared" si="116"/>
        <v/>
      </c>
      <c r="H838" s="30" t="str">
        <f t="shared" si="116"/>
        <v/>
      </c>
      <c r="I838" s="30" t="str">
        <f t="shared" si="115"/>
        <v/>
      </c>
    </row>
    <row r="839" spans="1:9" x14ac:dyDescent="0.25">
      <c r="A839" s="30">
        <f t="shared" si="110"/>
        <v>2.5</v>
      </c>
      <c r="B839" s="94">
        <f>INT((ROWS(B$11:B839)-1)/20)+40+0.05*MOD(ROWS(B$11:B839)-1,20)</f>
        <v>81.400000000000006</v>
      </c>
      <c r="C839" s="58" t="str">
        <f t="shared" si="111"/>
        <v/>
      </c>
      <c r="D839" s="58" t="str">
        <f t="shared" si="114"/>
        <v/>
      </c>
      <c r="E839" s="30">
        <f t="shared" si="109"/>
        <v>3.3957423084213915E-3</v>
      </c>
      <c r="F839" s="30">
        <f t="shared" si="116"/>
        <v>3.3957423084213915E-3</v>
      </c>
      <c r="G839" s="30" t="str">
        <f t="shared" si="116"/>
        <v/>
      </c>
      <c r="H839" s="30" t="str">
        <f t="shared" si="116"/>
        <v/>
      </c>
      <c r="I839" s="30" t="str">
        <f t="shared" si="115"/>
        <v/>
      </c>
    </row>
    <row r="840" spans="1:9" x14ac:dyDescent="0.25">
      <c r="A840" s="30">
        <f t="shared" si="110"/>
        <v>2.5</v>
      </c>
      <c r="B840" s="94">
        <f>INT((ROWS(B$11:B840)-1)/20)+40+0.05*MOD(ROWS(B$11:B840)-1,20)</f>
        <v>81.45</v>
      </c>
      <c r="C840" s="58" t="str">
        <f t="shared" si="111"/>
        <v/>
      </c>
      <c r="D840" s="58" t="str">
        <f t="shared" si="114"/>
        <v/>
      </c>
      <c r="E840" s="30">
        <f t="shared" si="109"/>
        <v>3.2868979894573919E-3</v>
      </c>
      <c r="F840" s="30">
        <f t="shared" si="116"/>
        <v>3.2868979894573919E-3</v>
      </c>
      <c r="G840" s="30" t="str">
        <f t="shared" si="116"/>
        <v/>
      </c>
      <c r="H840" s="30" t="str">
        <f t="shared" si="116"/>
        <v/>
      </c>
      <c r="I840" s="30" t="str">
        <f t="shared" si="115"/>
        <v/>
      </c>
    </row>
    <row r="841" spans="1:9" x14ac:dyDescent="0.25">
      <c r="A841" s="30">
        <f t="shared" si="110"/>
        <v>2.5</v>
      </c>
      <c r="B841" s="94">
        <f>INT((ROWS(B$11:B841)-1)/20)+40+0.05*MOD(ROWS(B$11:B841)-1,20)</f>
        <v>81.5</v>
      </c>
      <c r="C841" s="58" t="str">
        <f t="shared" si="111"/>
        <v/>
      </c>
      <c r="D841" s="58" t="str">
        <f t="shared" si="114"/>
        <v/>
      </c>
      <c r="E841" s="30">
        <f t="shared" si="109"/>
        <v>3.1810453992078581E-3</v>
      </c>
      <c r="F841" s="30">
        <f t="shared" si="116"/>
        <v>3.1810453992078581E-3</v>
      </c>
      <c r="G841" s="30" t="str">
        <f t="shared" si="116"/>
        <v/>
      </c>
      <c r="H841" s="30" t="str">
        <f t="shared" si="116"/>
        <v/>
      </c>
      <c r="I841" s="30" t="str">
        <f t="shared" si="115"/>
        <v/>
      </c>
    </row>
    <row r="842" spans="1:9" x14ac:dyDescent="0.25">
      <c r="A842" s="30">
        <f t="shared" si="110"/>
        <v>2.5</v>
      </c>
      <c r="B842" s="94">
        <f>INT((ROWS(B$11:B842)-1)/20)+40+0.05*MOD(ROWS(B$11:B842)-1,20)</f>
        <v>81.55</v>
      </c>
      <c r="C842" s="58" t="str">
        <f t="shared" si="111"/>
        <v/>
      </c>
      <c r="D842" s="58" t="str">
        <f t="shared" si="114"/>
        <v/>
      </c>
      <c r="E842" s="30">
        <f t="shared" si="109"/>
        <v>3.0781207345812996E-3</v>
      </c>
      <c r="F842" s="30">
        <f t="shared" si="116"/>
        <v>3.0781207345812996E-3</v>
      </c>
      <c r="G842" s="30" t="str">
        <f t="shared" si="116"/>
        <v/>
      </c>
      <c r="H842" s="30" t="str">
        <f t="shared" si="116"/>
        <v/>
      </c>
      <c r="I842" s="30" t="str">
        <f t="shared" si="115"/>
        <v/>
      </c>
    </row>
    <row r="843" spans="1:9" x14ac:dyDescent="0.25">
      <c r="A843" s="30">
        <f t="shared" si="110"/>
        <v>2.5</v>
      </c>
      <c r="B843" s="94">
        <f>INT((ROWS(B$11:B843)-1)/20)+40+0.05*MOD(ROWS(B$11:B843)-1,20)</f>
        <v>81.599999999999994</v>
      </c>
      <c r="C843" s="58" t="str">
        <f t="shared" si="111"/>
        <v/>
      </c>
      <c r="D843" s="58" t="str">
        <f t="shared" si="114"/>
        <v/>
      </c>
      <c r="E843" s="30">
        <f t="shared" ref="E843:E906" si="117">_xlfn.NORM.DIST(B843,$F$1,$F$2,0)</f>
        <v>2.9780609019013056E-3</v>
      </c>
      <c r="F843" s="30">
        <f t="shared" si="116"/>
        <v>2.9780609019013056E-3</v>
      </c>
      <c r="G843" s="30" t="str">
        <f t="shared" si="116"/>
        <v/>
      </c>
      <c r="H843" s="30" t="str">
        <f t="shared" si="116"/>
        <v/>
      </c>
      <c r="I843" s="30" t="str">
        <f t="shared" si="115"/>
        <v/>
      </c>
    </row>
    <row r="844" spans="1:9" x14ac:dyDescent="0.25">
      <c r="A844" s="30">
        <f t="shared" ref="A844:A907" si="118">(INT(B844)-$F$1)/$F$2</f>
        <v>2.5</v>
      </c>
      <c r="B844" s="94">
        <f>INT((ROWS(B$11:B844)-1)/20)+40+0.05*MOD(ROWS(B$11:B844)-1,20)</f>
        <v>81.650000000000006</v>
      </c>
      <c r="C844" s="58" t="str">
        <f t="shared" ref="C844:C907" si="119">IF(AND(A844&lt;&gt;A843,INT(A844)=A844),A844,"")</f>
        <v/>
      </c>
      <c r="D844" s="58" t="str">
        <f t="shared" si="114"/>
        <v/>
      </c>
      <c r="E844" s="30">
        <f t="shared" si="117"/>
        <v>2.8808035327417291E-3</v>
      </c>
      <c r="F844" s="30">
        <f t="shared" si="116"/>
        <v>2.8808035327417291E-3</v>
      </c>
      <c r="G844" s="30" t="str">
        <f t="shared" si="116"/>
        <v/>
      </c>
      <c r="H844" s="30" t="str">
        <f t="shared" si="116"/>
        <v/>
      </c>
      <c r="I844" s="30" t="str">
        <f t="shared" si="115"/>
        <v/>
      </c>
    </row>
    <row r="845" spans="1:9" x14ac:dyDescent="0.25">
      <c r="A845" s="30">
        <f t="shared" si="118"/>
        <v>2.5</v>
      </c>
      <c r="B845" s="94">
        <f>INT((ROWS(B$11:B845)-1)/20)+40+0.05*MOD(ROWS(B$11:B845)-1,20)</f>
        <v>81.7</v>
      </c>
      <c r="C845" s="58" t="str">
        <f t="shared" si="119"/>
        <v/>
      </c>
      <c r="D845" s="58" t="str">
        <f t="shared" si="114"/>
        <v/>
      </c>
      <c r="E845" s="30">
        <f t="shared" si="117"/>
        <v>2.7862869986911955E-3</v>
      </c>
      <c r="F845" s="30">
        <f t="shared" si="116"/>
        <v>2.7862869986911955E-3</v>
      </c>
      <c r="G845" s="30" t="str">
        <f t="shared" si="116"/>
        <v/>
      </c>
      <c r="H845" s="30" t="str">
        <f t="shared" si="116"/>
        <v/>
      </c>
      <c r="I845" s="30" t="str">
        <f t="shared" si="115"/>
        <v/>
      </c>
    </row>
    <row r="846" spans="1:9" x14ac:dyDescent="0.25">
      <c r="A846" s="30">
        <f t="shared" si="118"/>
        <v>2.5</v>
      </c>
      <c r="B846" s="94">
        <f>INT((ROWS(B$11:B846)-1)/20)+40+0.05*MOD(ROWS(B$11:B846)-1,20)</f>
        <v>81.75</v>
      </c>
      <c r="C846" s="58" t="str">
        <f t="shared" si="119"/>
        <v/>
      </c>
      <c r="D846" s="58" t="str">
        <f t="shared" si="114"/>
        <v/>
      </c>
      <c r="E846" s="30">
        <f t="shared" si="117"/>
        <v>2.694450425067726E-3</v>
      </c>
      <c r="F846" s="30">
        <f t="shared" si="116"/>
        <v>2.694450425067726E-3</v>
      </c>
      <c r="G846" s="30" t="str">
        <f t="shared" si="116"/>
        <v/>
      </c>
      <c r="H846" s="30" t="str">
        <f t="shared" si="116"/>
        <v/>
      </c>
      <c r="I846" s="30" t="str">
        <f t="shared" si="115"/>
        <v/>
      </c>
    </row>
    <row r="847" spans="1:9" x14ac:dyDescent="0.25">
      <c r="A847" s="30">
        <f t="shared" si="118"/>
        <v>2.5</v>
      </c>
      <c r="B847" s="94">
        <f>INT((ROWS(B$11:B847)-1)/20)+40+0.05*MOD(ROWS(B$11:B847)-1,20)</f>
        <v>81.8</v>
      </c>
      <c r="C847" s="58" t="str">
        <f t="shared" si="119"/>
        <v/>
      </c>
      <c r="D847" s="58" t="str">
        <f t="shared" si="114"/>
        <v/>
      </c>
      <c r="E847" s="30">
        <f t="shared" si="117"/>
        <v>2.6052337036056535E-3</v>
      </c>
      <c r="F847" s="30">
        <f t="shared" si="116"/>
        <v>2.6052337036056535E-3</v>
      </c>
      <c r="G847" s="30" t="str">
        <f t="shared" si="116"/>
        <v/>
      </c>
      <c r="H847" s="30" t="str">
        <f t="shared" si="116"/>
        <v/>
      </c>
      <c r="I847" s="30" t="str">
        <f t="shared" si="115"/>
        <v/>
      </c>
    </row>
    <row r="848" spans="1:9" x14ac:dyDescent="0.25">
      <c r="A848" s="30">
        <f t="shared" si="118"/>
        <v>2.5</v>
      </c>
      <c r="B848" s="94">
        <f>INT((ROWS(B$11:B848)-1)/20)+40+0.05*MOD(ROWS(B$11:B848)-1,20)</f>
        <v>81.849999999999994</v>
      </c>
      <c r="C848" s="58" t="str">
        <f t="shared" si="119"/>
        <v/>
      </c>
      <c r="D848" s="58" t="str">
        <f t="shared" si="114"/>
        <v/>
      </c>
      <c r="E848" s="30">
        <f t="shared" si="117"/>
        <v>2.518577504136451E-3</v>
      </c>
      <c r="F848" s="30">
        <f t="shared" si="116"/>
        <v>2.518577504136451E-3</v>
      </c>
      <c r="G848" s="30" t="str">
        <f t="shared" si="116"/>
        <v/>
      </c>
      <c r="H848" s="30" t="str">
        <f t="shared" si="116"/>
        <v/>
      </c>
      <c r="I848" s="30" t="str">
        <f t="shared" si="115"/>
        <v/>
      </c>
    </row>
    <row r="849" spans="1:9" x14ac:dyDescent="0.25">
      <c r="A849" s="30">
        <f t="shared" si="118"/>
        <v>2.5</v>
      </c>
      <c r="B849" s="94">
        <f>INT((ROWS(B$11:B849)-1)/20)+40+0.05*MOD(ROWS(B$11:B849)-1,20)</f>
        <v>81.900000000000006</v>
      </c>
      <c r="C849" s="58" t="str">
        <f t="shared" si="119"/>
        <v/>
      </c>
      <c r="D849" s="58" t="str">
        <f t="shared" si="114"/>
        <v/>
      </c>
      <c r="E849" s="30">
        <f t="shared" si="117"/>
        <v>2.4344232852859904E-3</v>
      </c>
      <c r="F849" s="30">
        <f t="shared" si="116"/>
        <v>2.4344232852859904E-3</v>
      </c>
      <c r="G849" s="30" t="str">
        <f t="shared" si="116"/>
        <v/>
      </c>
      <c r="H849" s="30" t="str">
        <f t="shared" si="116"/>
        <v/>
      </c>
      <c r="I849" s="30" t="str">
        <f t="shared" si="115"/>
        <v/>
      </c>
    </row>
    <row r="850" spans="1:9" x14ac:dyDescent="0.25">
      <c r="A850" s="30">
        <f t="shared" si="118"/>
        <v>2.5</v>
      </c>
      <c r="B850" s="94">
        <f>INT((ROWS(B$11:B850)-1)/20)+40+0.05*MOD(ROWS(B$11:B850)-1,20)</f>
        <v>81.95</v>
      </c>
      <c r="C850" s="58" t="str">
        <f t="shared" si="119"/>
        <v/>
      </c>
      <c r="D850" s="58" t="str">
        <f t="shared" si="114"/>
        <v/>
      </c>
      <c r="E850" s="30">
        <f t="shared" si="117"/>
        <v>2.3527133042110593E-3</v>
      </c>
      <c r="F850" s="30">
        <f t="shared" si="116"/>
        <v>2.3527133042110593E-3</v>
      </c>
      <c r="G850" s="30" t="str">
        <f t="shared" si="116"/>
        <v/>
      </c>
      <c r="H850" s="30" t="str">
        <f t="shared" si="116"/>
        <v/>
      </c>
      <c r="I850" s="30" t="str">
        <f t="shared" si="115"/>
        <v/>
      </c>
    </row>
    <row r="851" spans="1:9" x14ac:dyDescent="0.25">
      <c r="A851" s="30">
        <f t="shared" si="118"/>
        <v>2.75</v>
      </c>
      <c r="B851" s="94">
        <f>INT((ROWS(B$11:B851)-1)/20)+40+0.05*MOD(ROWS(B$11:B851)-1,20)</f>
        <v>82</v>
      </c>
      <c r="C851" s="58" t="str">
        <f t="shared" si="119"/>
        <v/>
      </c>
      <c r="D851" s="58" t="str">
        <f t="shared" si="114"/>
        <v/>
      </c>
      <c r="E851" s="30">
        <f t="shared" si="117"/>
        <v>2.2733906253977632E-3</v>
      </c>
      <c r="F851" s="30">
        <f t="shared" ref="F851:H870" si="120">IF(AND($B851&gt;=F$7,$B851&lt;=F$8),E851,"")</f>
        <v>2.2733906253977632E-3</v>
      </c>
      <c r="G851" s="30" t="str">
        <f t="shared" si="120"/>
        <v/>
      </c>
      <c r="H851" s="30" t="str">
        <f t="shared" si="120"/>
        <v/>
      </c>
      <c r="I851" s="30" t="str">
        <f t="shared" si="115"/>
        <v/>
      </c>
    </row>
    <row r="852" spans="1:9" x14ac:dyDescent="0.25">
      <c r="A852" s="30">
        <f t="shared" si="118"/>
        <v>2.75</v>
      </c>
      <c r="B852" s="94">
        <f>INT((ROWS(B$11:B852)-1)/20)+40+0.05*MOD(ROWS(B$11:B852)-1,20)</f>
        <v>82.05</v>
      </c>
      <c r="C852" s="58" t="str">
        <f t="shared" si="119"/>
        <v/>
      </c>
      <c r="D852" s="58" t="str">
        <f t="shared" si="114"/>
        <v/>
      </c>
      <c r="E852" s="30">
        <f t="shared" si="117"/>
        <v>2.1963991285455166E-3</v>
      </c>
      <c r="F852" s="30">
        <f t="shared" si="120"/>
        <v>2.1963991285455166E-3</v>
      </c>
      <c r="G852" s="30" t="str">
        <f t="shared" si="120"/>
        <v/>
      </c>
      <c r="H852" s="30" t="str">
        <f t="shared" si="120"/>
        <v/>
      </c>
      <c r="I852" s="30" t="str">
        <f t="shared" si="115"/>
        <v/>
      </c>
    </row>
    <row r="853" spans="1:9" x14ac:dyDescent="0.25">
      <c r="A853" s="30">
        <f t="shared" si="118"/>
        <v>2.75</v>
      </c>
      <c r="B853" s="94">
        <f>INT((ROWS(B$11:B853)-1)/20)+40+0.05*MOD(ROWS(B$11:B853)-1,20)</f>
        <v>82.1</v>
      </c>
      <c r="C853" s="58" t="str">
        <f t="shared" si="119"/>
        <v/>
      </c>
      <c r="D853" s="58" t="str">
        <f t="shared" si="114"/>
        <v/>
      </c>
      <c r="E853" s="30">
        <f t="shared" si="117"/>
        <v>2.1216835155596879E-3</v>
      </c>
      <c r="F853" s="30">
        <f t="shared" si="120"/>
        <v>2.1216835155596879E-3</v>
      </c>
      <c r="G853" s="30" t="str">
        <f t="shared" si="120"/>
        <v/>
      </c>
      <c r="H853" s="30" t="str">
        <f t="shared" si="120"/>
        <v/>
      </c>
      <c r="I853" s="30" t="str">
        <f t="shared" si="115"/>
        <v/>
      </c>
    </row>
    <row r="854" spans="1:9" x14ac:dyDescent="0.25">
      <c r="A854" s="30">
        <f t="shared" si="118"/>
        <v>2.75</v>
      </c>
      <c r="B854" s="94">
        <f>INT((ROWS(B$11:B854)-1)/20)+40+0.05*MOD(ROWS(B$11:B854)-1,20)</f>
        <v>82.15</v>
      </c>
      <c r="C854" s="58" t="str">
        <f t="shared" si="119"/>
        <v/>
      </c>
      <c r="D854" s="58" t="str">
        <f t="shared" si="114"/>
        <v/>
      </c>
      <c r="E854" s="30">
        <f t="shared" si="117"/>
        <v>2.0491893166766405E-3</v>
      </c>
      <c r="F854" s="30">
        <f t="shared" si="120"/>
        <v>2.0491893166766405E-3</v>
      </c>
      <c r="G854" s="30" t="str">
        <f t="shared" si="120"/>
        <v/>
      </c>
      <c r="H854" s="30" t="str">
        <f t="shared" si="120"/>
        <v/>
      </c>
      <c r="I854" s="30" t="str">
        <f t="shared" si="115"/>
        <v/>
      </c>
    </row>
    <row r="855" spans="1:9" x14ac:dyDescent="0.25">
      <c r="A855" s="30">
        <f t="shared" si="118"/>
        <v>2.75</v>
      </c>
      <c r="B855" s="94">
        <f>INT((ROWS(B$11:B855)-1)/20)+40+0.05*MOD(ROWS(B$11:B855)-1,20)</f>
        <v>82.2</v>
      </c>
      <c r="C855" s="58" t="str">
        <f t="shared" si="119"/>
        <v/>
      </c>
      <c r="D855" s="58" t="str">
        <f t="shared" si="114"/>
        <v/>
      </c>
      <c r="E855" s="30">
        <f t="shared" si="117"/>
        <v>1.9788628957449865E-3</v>
      </c>
      <c r="F855" s="30">
        <f t="shared" si="120"/>
        <v>1.9788628957449865E-3</v>
      </c>
      <c r="G855" s="30" t="str">
        <f t="shared" si="120"/>
        <v/>
      </c>
      <c r="H855" s="30" t="str">
        <f t="shared" si="120"/>
        <v/>
      </c>
      <c r="I855" s="30" t="str">
        <f t="shared" si="115"/>
        <v/>
      </c>
    </row>
    <row r="856" spans="1:9" x14ac:dyDescent="0.25">
      <c r="A856" s="30">
        <f t="shared" si="118"/>
        <v>2.75</v>
      </c>
      <c r="B856" s="94">
        <f>INT((ROWS(B$11:B856)-1)/20)+40+0.05*MOD(ROWS(B$11:B856)-1,20)</f>
        <v>82.25</v>
      </c>
      <c r="C856" s="58" t="str">
        <f t="shared" si="119"/>
        <v/>
      </c>
      <c r="D856" s="58" t="str">
        <f t="shared" si="114"/>
        <v/>
      </c>
      <c r="E856" s="30">
        <f t="shared" si="117"/>
        <v>1.9106514546866004E-3</v>
      </c>
      <c r="F856" s="30">
        <f t="shared" si="120"/>
        <v>1.9106514546866004E-3</v>
      </c>
      <c r="G856" s="30" t="str">
        <f t="shared" si="120"/>
        <v/>
      </c>
      <c r="H856" s="30" t="str">
        <f t="shared" si="120"/>
        <v/>
      </c>
      <c r="I856" s="30" t="str">
        <f t="shared" si="115"/>
        <v/>
      </c>
    </row>
    <row r="857" spans="1:9" x14ac:dyDescent="0.25">
      <c r="A857" s="30">
        <f t="shared" si="118"/>
        <v>2.75</v>
      </c>
      <c r="B857" s="94">
        <f>INT((ROWS(B$11:B857)-1)/20)+40+0.05*MOD(ROWS(B$11:B857)-1,20)</f>
        <v>82.3</v>
      </c>
      <c r="C857" s="58" t="str">
        <f t="shared" si="119"/>
        <v/>
      </c>
      <c r="D857" s="58" t="str">
        <f t="shared" si="114"/>
        <v/>
      </c>
      <c r="E857" s="30">
        <f t="shared" si="117"/>
        <v>1.8445030371617012E-3</v>
      </c>
      <c r="F857" s="30">
        <f t="shared" si="120"/>
        <v>1.8445030371617012E-3</v>
      </c>
      <c r="G857" s="30" t="str">
        <f t="shared" si="120"/>
        <v/>
      </c>
      <c r="H857" s="30" t="str">
        <f t="shared" si="120"/>
        <v/>
      </c>
      <c r="I857" s="30" t="str">
        <f t="shared" si="115"/>
        <v/>
      </c>
    </row>
    <row r="858" spans="1:9" x14ac:dyDescent="0.25">
      <c r="A858" s="30">
        <f t="shared" si="118"/>
        <v>2.75</v>
      </c>
      <c r="B858" s="94">
        <f>INT((ROWS(B$11:B858)-1)/20)+40+0.05*MOD(ROWS(B$11:B858)-1,20)</f>
        <v>82.35</v>
      </c>
      <c r="C858" s="58" t="str">
        <f t="shared" si="119"/>
        <v/>
      </c>
      <c r="D858" s="58" t="str">
        <f t="shared" si="114"/>
        <v/>
      </c>
      <c r="E858" s="30">
        <f t="shared" si="117"/>
        <v>1.7803665314616466E-3</v>
      </c>
      <c r="F858" s="30">
        <f t="shared" si="120"/>
        <v>1.7803665314616466E-3</v>
      </c>
      <c r="G858" s="30" t="str">
        <f t="shared" si="120"/>
        <v/>
      </c>
      <c r="H858" s="30" t="str">
        <f t="shared" si="120"/>
        <v/>
      </c>
      <c r="I858" s="30" t="str">
        <f t="shared" si="115"/>
        <v/>
      </c>
    </row>
    <row r="859" spans="1:9" x14ac:dyDescent="0.25">
      <c r="A859" s="30">
        <f t="shared" si="118"/>
        <v>2.75</v>
      </c>
      <c r="B859" s="94">
        <f>INT((ROWS(B$11:B859)-1)/20)+40+0.05*MOD(ROWS(B$11:B859)-1,20)</f>
        <v>82.4</v>
      </c>
      <c r="C859" s="58" t="str">
        <f t="shared" si="119"/>
        <v/>
      </c>
      <c r="D859" s="58" t="str">
        <f t="shared" si="114"/>
        <v/>
      </c>
      <c r="E859" s="30">
        <f t="shared" si="117"/>
        <v>1.7181916726534867E-3</v>
      </c>
      <c r="F859" s="30">
        <f t="shared" si="120"/>
        <v>1.7181916726534867E-3</v>
      </c>
      <c r="G859" s="30" t="str">
        <f t="shared" si="120"/>
        <v/>
      </c>
      <c r="H859" s="30" t="str">
        <f t="shared" si="120"/>
        <v/>
      </c>
      <c r="I859" s="30" t="str">
        <f t="shared" si="115"/>
        <v/>
      </c>
    </row>
    <row r="860" spans="1:9" x14ac:dyDescent="0.25">
      <c r="A860" s="30">
        <f t="shared" si="118"/>
        <v>2.75</v>
      </c>
      <c r="B860" s="94">
        <f>INT((ROWS(B$11:B860)-1)/20)+40+0.05*MOD(ROWS(B$11:B860)-1,20)</f>
        <v>82.45</v>
      </c>
      <c r="C860" s="58" t="str">
        <f t="shared" si="119"/>
        <v/>
      </c>
      <c r="D860" s="58" t="str">
        <f t="shared" si="114"/>
        <v/>
      </c>
      <c r="E860" s="30">
        <f t="shared" si="117"/>
        <v>1.657929044000293E-3</v>
      </c>
      <c r="F860" s="30">
        <f t="shared" si="120"/>
        <v>1.657929044000293E-3</v>
      </c>
      <c r="G860" s="30" t="str">
        <f t="shared" si="120"/>
        <v/>
      </c>
      <c r="H860" s="30" t="str">
        <f t="shared" si="120"/>
        <v/>
      </c>
      <c r="I860" s="30" t="str">
        <f t="shared" si="115"/>
        <v/>
      </c>
    </row>
    <row r="861" spans="1:9" x14ac:dyDescent="0.25">
      <c r="A861" s="30">
        <f t="shared" si="118"/>
        <v>2.75</v>
      </c>
      <c r="B861" s="94">
        <f>INT((ROWS(B$11:B861)-1)/20)+40+0.05*MOD(ROWS(B$11:B861)-1,20)</f>
        <v>82.5</v>
      </c>
      <c r="C861" s="58" t="str">
        <f t="shared" si="119"/>
        <v/>
      </c>
      <c r="D861" s="58" t="str">
        <f t="shared" si="114"/>
        <v/>
      </c>
      <c r="E861" s="30">
        <f t="shared" si="117"/>
        <v>1.5995300776808891E-3</v>
      </c>
      <c r="F861" s="30">
        <f t="shared" si="120"/>
        <v>1.5995300776808891E-3</v>
      </c>
      <c r="G861" s="30" t="str">
        <f t="shared" si="120"/>
        <v/>
      </c>
      <c r="H861" s="30" t="str">
        <f t="shared" si="120"/>
        <v/>
      </c>
      <c r="I861" s="30" t="str">
        <f t="shared" si="115"/>
        <v/>
      </c>
    </row>
    <row r="862" spans="1:9" x14ac:dyDescent="0.25">
      <c r="A862" s="30">
        <f t="shared" si="118"/>
        <v>2.75</v>
      </c>
      <c r="B862" s="94">
        <f>INT((ROWS(B$11:B862)-1)/20)+40+0.05*MOD(ROWS(B$11:B862)-1,20)</f>
        <v>82.55</v>
      </c>
      <c r="C862" s="58" t="str">
        <f t="shared" si="119"/>
        <v/>
      </c>
      <c r="D862" s="58" t="str">
        <f t="shared" si="114"/>
        <v/>
      </c>
      <c r="E862" s="30">
        <f t="shared" si="117"/>
        <v>1.5429470548330973E-3</v>
      </c>
      <c r="F862" s="30">
        <f t="shared" si="120"/>
        <v>1.5429470548330973E-3</v>
      </c>
      <c r="G862" s="30" t="str">
        <f t="shared" si="120"/>
        <v/>
      </c>
      <c r="H862" s="30" t="str">
        <f t="shared" si="120"/>
        <v/>
      </c>
      <c r="I862" s="30" t="str">
        <f t="shared" si="115"/>
        <v/>
      </c>
    </row>
    <row r="863" spans="1:9" x14ac:dyDescent="0.25">
      <c r="A863" s="30">
        <f t="shared" si="118"/>
        <v>2.75</v>
      </c>
      <c r="B863" s="94">
        <f>INT((ROWS(B$11:B863)-1)/20)+40+0.05*MOD(ROWS(B$11:B863)-1,20)</f>
        <v>82.6</v>
      </c>
      <c r="C863" s="58" t="str">
        <f t="shared" si="119"/>
        <v/>
      </c>
      <c r="D863" s="58" t="str">
        <f t="shared" si="114"/>
        <v/>
      </c>
      <c r="E863" s="30">
        <f t="shared" si="117"/>
        <v>1.48813310494397E-3</v>
      </c>
      <c r="F863" s="30">
        <f t="shared" si="120"/>
        <v>1.48813310494397E-3</v>
      </c>
      <c r="G863" s="30" t="str">
        <f t="shared" si="120"/>
        <v/>
      </c>
      <c r="H863" s="30" t="str">
        <f t="shared" si="120"/>
        <v/>
      </c>
      <c r="I863" s="30" t="str">
        <f t="shared" si="115"/>
        <v/>
      </c>
    </row>
    <row r="864" spans="1:9" x14ac:dyDescent="0.25">
      <c r="A864" s="30">
        <f t="shared" si="118"/>
        <v>2.75</v>
      </c>
      <c r="B864" s="94">
        <f>INT((ROWS(B$11:B864)-1)/20)+40+0.05*MOD(ROWS(B$11:B864)-1,20)</f>
        <v>82.65</v>
      </c>
      <c r="C864" s="58" t="str">
        <f t="shared" si="119"/>
        <v/>
      </c>
      <c r="D864" s="58" t="str">
        <f t="shared" si="114"/>
        <v/>
      </c>
      <c r="E864" s="30">
        <f t="shared" si="117"/>
        <v>1.4350422046106135E-3</v>
      </c>
      <c r="F864" s="30">
        <f t="shared" si="120"/>
        <v>1.4350422046106135E-3</v>
      </c>
      <c r="G864" s="30" t="str">
        <f t="shared" si="120"/>
        <v/>
      </c>
      <c r="H864" s="30" t="str">
        <f t="shared" si="120"/>
        <v/>
      </c>
      <c r="I864" s="30" t="str">
        <f t="shared" si="115"/>
        <v/>
      </c>
    </row>
    <row r="865" spans="1:9" x14ac:dyDescent="0.25">
      <c r="A865" s="30">
        <f t="shared" si="118"/>
        <v>2.75</v>
      </c>
      <c r="B865" s="94">
        <f>INT((ROWS(B$11:B865)-1)/20)+40+0.05*MOD(ROWS(B$11:B865)-1,20)</f>
        <v>82.7</v>
      </c>
      <c r="C865" s="58" t="str">
        <f t="shared" si="119"/>
        <v/>
      </c>
      <c r="D865" s="58" t="str">
        <f t="shared" si="114"/>
        <v/>
      </c>
      <c r="E865" s="30">
        <f t="shared" si="117"/>
        <v>1.3836291756951218E-3</v>
      </c>
      <c r="F865" s="30">
        <f t="shared" si="120"/>
        <v>1.3836291756951218E-3</v>
      </c>
      <c r="G865" s="30" t="str">
        <f t="shared" si="120"/>
        <v/>
      </c>
      <c r="H865" s="30" t="str">
        <f t="shared" si="120"/>
        <v/>
      </c>
      <c r="I865" s="30" t="str">
        <f t="shared" si="115"/>
        <v/>
      </c>
    </row>
    <row r="866" spans="1:9" x14ac:dyDescent="0.25">
      <c r="A866" s="30">
        <f t="shared" si="118"/>
        <v>2.75</v>
      </c>
      <c r="B866" s="94">
        <f>INT((ROWS(B$11:B866)-1)/20)+40+0.05*MOD(ROWS(B$11:B866)-1,20)</f>
        <v>82.75</v>
      </c>
      <c r="C866" s="58" t="str">
        <f t="shared" si="119"/>
        <v/>
      </c>
      <c r="D866" s="58" t="str">
        <f t="shared" si="114"/>
        <v/>
      </c>
      <c r="E866" s="30">
        <f t="shared" si="117"/>
        <v>1.3338496828965787E-3</v>
      </c>
      <c r="F866" s="30">
        <f t="shared" si="120"/>
        <v>1.3338496828965787E-3</v>
      </c>
      <c r="G866" s="30" t="str">
        <f t="shared" si="120"/>
        <v/>
      </c>
      <c r="H866" s="30" t="str">
        <f t="shared" si="120"/>
        <v/>
      </c>
      <c r="I866" s="30" t="str">
        <f t="shared" si="115"/>
        <v/>
      </c>
    </row>
    <row r="867" spans="1:9" x14ac:dyDescent="0.25">
      <c r="A867" s="30">
        <f t="shared" si="118"/>
        <v>2.75</v>
      </c>
      <c r="B867" s="94">
        <f>INT((ROWS(B$11:B867)-1)/20)+40+0.05*MOD(ROWS(B$11:B867)-1,20)</f>
        <v>82.8</v>
      </c>
      <c r="C867" s="58" t="str">
        <f t="shared" si="119"/>
        <v/>
      </c>
      <c r="D867" s="58" t="str">
        <f t="shared" si="114"/>
        <v/>
      </c>
      <c r="E867" s="30">
        <f t="shared" si="117"/>
        <v>1.2856602307634881E-3</v>
      </c>
      <c r="F867" s="30">
        <f t="shared" si="120"/>
        <v>1.2856602307634881E-3</v>
      </c>
      <c r="G867" s="30" t="str">
        <f t="shared" si="120"/>
        <v/>
      </c>
      <c r="H867" s="30" t="str">
        <f t="shared" si="120"/>
        <v/>
      </c>
      <c r="I867" s="30" t="str">
        <f t="shared" si="115"/>
        <v/>
      </c>
    </row>
    <row r="868" spans="1:9" x14ac:dyDescent="0.25">
      <c r="A868" s="30">
        <f t="shared" si="118"/>
        <v>2.75</v>
      </c>
      <c r="B868" s="94">
        <f>INT((ROWS(B$11:B868)-1)/20)+40+0.05*MOD(ROWS(B$11:B868)-1,20)</f>
        <v>82.85</v>
      </c>
      <c r="C868" s="58" t="str">
        <f t="shared" si="119"/>
        <v/>
      </c>
      <c r="D868" s="58" t="str">
        <f t="shared" si="114"/>
        <v/>
      </c>
      <c r="E868" s="30">
        <f t="shared" si="117"/>
        <v>1.2390181601691858E-3</v>
      </c>
      <c r="F868" s="30">
        <f t="shared" si="120"/>
        <v>1.2390181601691858E-3</v>
      </c>
      <c r="G868" s="30" t="str">
        <f t="shared" si="120"/>
        <v/>
      </c>
      <c r="H868" s="30" t="str">
        <f t="shared" si="120"/>
        <v/>
      </c>
      <c r="I868" s="30" t="str">
        <f t="shared" si="115"/>
        <v/>
      </c>
    </row>
    <row r="869" spans="1:9" x14ac:dyDescent="0.25">
      <c r="A869" s="30">
        <f t="shared" si="118"/>
        <v>2.75</v>
      </c>
      <c r="B869" s="94">
        <f>INT((ROWS(B$11:B869)-1)/20)+40+0.05*MOD(ROWS(B$11:B869)-1,20)</f>
        <v>82.9</v>
      </c>
      <c r="C869" s="58" t="str">
        <f t="shared" si="119"/>
        <v/>
      </c>
      <c r="D869" s="58" t="str">
        <f t="shared" si="114"/>
        <v/>
      </c>
      <c r="E869" s="30">
        <f t="shared" si="117"/>
        <v>1.1938816442728854E-3</v>
      </c>
      <c r="F869" s="30">
        <f t="shared" si="120"/>
        <v>1.1938816442728854E-3</v>
      </c>
      <c r="G869" s="30" t="str">
        <f t="shared" si="120"/>
        <v/>
      </c>
      <c r="H869" s="30" t="str">
        <f t="shared" si="120"/>
        <v/>
      </c>
      <c r="I869" s="30" t="str">
        <f t="shared" si="115"/>
        <v/>
      </c>
    </row>
    <row r="870" spans="1:9" x14ac:dyDescent="0.25">
      <c r="A870" s="30">
        <f t="shared" si="118"/>
        <v>2.75</v>
      </c>
      <c r="B870" s="94">
        <f>INT((ROWS(B$11:B870)-1)/20)+40+0.05*MOD(ROWS(B$11:B870)-1,20)</f>
        <v>82.95</v>
      </c>
      <c r="C870" s="58" t="str">
        <f t="shared" si="119"/>
        <v/>
      </c>
      <c r="D870" s="58" t="str">
        <f t="shared" si="114"/>
        <v/>
      </c>
      <c r="E870" s="30">
        <f t="shared" si="117"/>
        <v>1.1502096839887015E-3</v>
      </c>
      <c r="F870" s="30">
        <f t="shared" si="120"/>
        <v>1.1502096839887015E-3</v>
      </c>
      <c r="G870" s="30" t="str">
        <f t="shared" si="120"/>
        <v/>
      </c>
      <c r="H870" s="30" t="str">
        <f t="shared" si="120"/>
        <v/>
      </c>
      <c r="I870" s="30" t="str">
        <f t="shared" si="115"/>
        <v/>
      </c>
    </row>
    <row r="871" spans="1:9" x14ac:dyDescent="0.25">
      <c r="A871" s="30">
        <f t="shared" si="118"/>
        <v>3</v>
      </c>
      <c r="B871" s="94">
        <f>INT((ROWS(B$11:B871)-1)/20)+40+0.05*MOD(ROWS(B$11:B871)-1,20)</f>
        <v>83</v>
      </c>
      <c r="C871" s="58">
        <f t="shared" si="119"/>
        <v>3</v>
      </c>
      <c r="D871" s="58" t="str">
        <f t="shared" si="114"/>
        <v>83"
 3 z</v>
      </c>
      <c r="E871" s="30">
        <f t="shared" si="117"/>
        <v>1.1079621029845019E-3</v>
      </c>
      <c r="F871" s="30">
        <f t="shared" ref="F871:H890" si="121">IF(AND($B871&gt;=F$7,$B871&lt;=F$8),E871,"")</f>
        <v>1.1079621029845019E-3</v>
      </c>
      <c r="G871" s="30" t="str">
        <f t="shared" si="121"/>
        <v/>
      </c>
      <c r="H871" s="30" t="str">
        <f t="shared" si="121"/>
        <v/>
      </c>
      <c r="I871" s="30" t="str">
        <f t="shared" si="115"/>
        <v/>
      </c>
    </row>
    <row r="872" spans="1:9" x14ac:dyDescent="0.25">
      <c r="A872" s="30">
        <f t="shared" si="118"/>
        <v>3</v>
      </c>
      <c r="B872" s="94">
        <f>INT((ROWS(B$11:B872)-1)/20)+40+0.05*MOD(ROWS(B$11:B872)-1,20)</f>
        <v>83.05</v>
      </c>
      <c r="C872" s="58" t="str">
        <f t="shared" si="119"/>
        <v/>
      </c>
      <c r="D872" s="58" t="str">
        <f t="shared" si="114"/>
        <v/>
      </c>
      <c r="E872" s="30">
        <f t="shared" si="117"/>
        <v>1.0670995422325457E-3</v>
      </c>
      <c r="F872" s="30" t="str">
        <f t="shared" si="121"/>
        <v/>
      </c>
      <c r="G872" s="30" t="str">
        <f t="shared" si="121"/>
        <v/>
      </c>
      <c r="H872" s="30" t="str">
        <f t="shared" si="121"/>
        <v/>
      </c>
      <c r="I872" s="30" t="str">
        <f t="shared" si="115"/>
        <v/>
      </c>
    </row>
    <row r="873" spans="1:9" x14ac:dyDescent="0.25">
      <c r="A873" s="30">
        <f t="shared" si="118"/>
        <v>3</v>
      </c>
      <c r="B873" s="94">
        <f>INT((ROWS(B$11:B873)-1)/20)+40+0.05*MOD(ROWS(B$11:B873)-1,20)</f>
        <v>83.1</v>
      </c>
      <c r="C873" s="58" t="str">
        <f t="shared" si="119"/>
        <v/>
      </c>
      <c r="D873" s="58" t="str">
        <f t="shared" si="114"/>
        <v/>
      </c>
      <c r="E873" s="30">
        <f t="shared" si="117"/>
        <v>1.0275834541331446E-3</v>
      </c>
      <c r="F873" s="30" t="str">
        <f t="shared" si="121"/>
        <v/>
      </c>
      <c r="G873" s="30" t="str">
        <f t="shared" si="121"/>
        <v/>
      </c>
      <c r="H873" s="30" t="str">
        <f t="shared" si="121"/>
        <v/>
      </c>
      <c r="I873" s="30" t="str">
        <f t="shared" si="115"/>
        <v/>
      </c>
    </row>
    <row r="874" spans="1:9" x14ac:dyDescent="0.25">
      <c r="A874" s="30">
        <f t="shared" si="118"/>
        <v>3</v>
      </c>
      <c r="B874" s="94">
        <f>INT((ROWS(B$11:B874)-1)/20)+40+0.05*MOD(ROWS(B$11:B874)-1,20)</f>
        <v>83.15</v>
      </c>
      <c r="C874" s="58" t="str">
        <f t="shared" si="119"/>
        <v/>
      </c>
      <c r="D874" s="58" t="str">
        <f t="shared" si="114"/>
        <v/>
      </c>
      <c r="E874" s="30">
        <f t="shared" si="117"/>
        <v>9.8937609623248979E-4</v>
      </c>
      <c r="F874" s="30" t="str">
        <f t="shared" si="121"/>
        <v/>
      </c>
      <c r="G874" s="30" t="str">
        <f t="shared" si="121"/>
        <v/>
      </c>
      <c r="H874" s="30" t="str">
        <f t="shared" si="121"/>
        <v/>
      </c>
      <c r="I874" s="30" t="str">
        <f t="shared" si="115"/>
        <v/>
      </c>
    </row>
    <row r="875" spans="1:9" x14ac:dyDescent="0.25">
      <c r="A875" s="30">
        <f t="shared" si="118"/>
        <v>3</v>
      </c>
      <c r="B875" s="94">
        <f>INT((ROWS(B$11:B875)-1)/20)+40+0.05*MOD(ROWS(B$11:B875)-1,20)</f>
        <v>83.2</v>
      </c>
      <c r="C875" s="58" t="str">
        <f t="shared" si="119"/>
        <v/>
      </c>
      <c r="D875" s="58" t="str">
        <f t="shared" si="114"/>
        <v/>
      </c>
      <c r="E875" s="30">
        <f t="shared" si="117"/>
        <v>9.5244052455545E-4</v>
      </c>
      <c r="F875" s="30" t="str">
        <f t="shared" si="121"/>
        <v/>
      </c>
      <c r="G875" s="30" t="str">
        <f t="shared" si="121"/>
        <v/>
      </c>
      <c r="H875" s="30" t="str">
        <f t="shared" si="121"/>
        <v/>
      </c>
      <c r="I875" s="30" t="str">
        <f t="shared" si="115"/>
        <v/>
      </c>
    </row>
    <row r="876" spans="1:9" x14ac:dyDescent="0.25">
      <c r="A876" s="30">
        <f t="shared" si="118"/>
        <v>3</v>
      </c>
      <c r="B876" s="94">
        <f>INT((ROWS(B$11:B876)-1)/20)+40+0.05*MOD(ROWS(B$11:B876)-1,20)</f>
        <v>83.25</v>
      </c>
      <c r="C876" s="58" t="str">
        <f t="shared" si="119"/>
        <v/>
      </c>
      <c r="D876" s="58" t="str">
        <f t="shared" si="114"/>
        <v/>
      </c>
      <c r="E876" s="30">
        <f t="shared" si="117"/>
        <v>9.1674058657355653E-4</v>
      </c>
      <c r="F876" s="30" t="str">
        <f t="shared" si="121"/>
        <v/>
      </c>
      <c r="G876" s="30" t="str">
        <f t="shared" si="121"/>
        <v/>
      </c>
      <c r="H876" s="30" t="str">
        <f t="shared" si="121"/>
        <v/>
      </c>
      <c r="I876" s="30" t="str">
        <f t="shared" si="115"/>
        <v/>
      </c>
    </row>
    <row r="877" spans="1:9" x14ac:dyDescent="0.25">
      <c r="A877" s="30">
        <f t="shared" si="118"/>
        <v>3</v>
      </c>
      <c r="B877" s="94">
        <f>INT((ROWS(B$11:B877)-1)/20)+40+0.05*MOD(ROWS(B$11:B877)-1,20)</f>
        <v>83.3</v>
      </c>
      <c r="C877" s="58" t="str">
        <f t="shared" si="119"/>
        <v/>
      </c>
      <c r="D877" s="58" t="str">
        <f t="shared" ref="D877:D940" si="122">IF(ISNUMBER(MATCH(B877,$K$2:$K$8,0)),TEXT(B877,"0\""")&amp;CHAR(10)&amp;TEXT((B877-$F$1)/$F$2," 0 z"),"")</f>
        <v/>
      </c>
      <c r="E877" s="30">
        <f t="shared" si="117"/>
        <v>8.8224091382844202E-4</v>
      </c>
      <c r="F877" s="30" t="str">
        <f t="shared" si="121"/>
        <v/>
      </c>
      <c r="G877" s="30" t="str">
        <f t="shared" si="121"/>
        <v/>
      </c>
      <c r="H877" s="30" t="str">
        <f t="shared" si="121"/>
        <v/>
      </c>
      <c r="I877" s="30" t="str">
        <f t="shared" si="115"/>
        <v/>
      </c>
    </row>
    <row r="878" spans="1:9" x14ac:dyDescent="0.25">
      <c r="A878" s="30">
        <f t="shared" si="118"/>
        <v>3</v>
      </c>
      <c r="B878" s="94">
        <f>INT((ROWS(B$11:B878)-1)/20)+40+0.05*MOD(ROWS(B$11:B878)-1,20)</f>
        <v>83.35</v>
      </c>
      <c r="C878" s="58" t="str">
        <f t="shared" si="119"/>
        <v/>
      </c>
      <c r="D878" s="58" t="str">
        <f t="shared" si="122"/>
        <v/>
      </c>
      <c r="E878" s="30">
        <f t="shared" si="117"/>
        <v>8.4890691423019629E-4</v>
      </c>
      <c r="F878" s="30" t="str">
        <f t="shared" si="121"/>
        <v/>
      </c>
      <c r="G878" s="30" t="str">
        <f t="shared" si="121"/>
        <v/>
      </c>
      <c r="H878" s="30" t="str">
        <f t="shared" si="121"/>
        <v/>
      </c>
      <c r="I878" s="30" t="str">
        <f t="shared" ref="I878:I941" si="123">IF(AND(B878&gt;=$F$1-0.05,B878&lt;=$F$1+0.05),E878,"")</f>
        <v/>
      </c>
    </row>
    <row r="879" spans="1:9" x14ac:dyDescent="0.25">
      <c r="A879" s="30">
        <f t="shared" si="118"/>
        <v>3</v>
      </c>
      <c r="B879" s="94">
        <f>INT((ROWS(B$11:B879)-1)/20)+40+0.05*MOD(ROWS(B$11:B879)-1,20)</f>
        <v>83.4</v>
      </c>
      <c r="C879" s="58" t="str">
        <f t="shared" si="119"/>
        <v/>
      </c>
      <c r="D879" s="58" t="str">
        <f t="shared" si="122"/>
        <v/>
      </c>
      <c r="E879" s="30">
        <f t="shared" si="117"/>
        <v>8.1670476404997684E-4</v>
      </c>
      <c r="F879" s="30" t="str">
        <f t="shared" si="121"/>
        <v/>
      </c>
      <c r="G879" s="30" t="str">
        <f t="shared" si="121"/>
        <v/>
      </c>
      <c r="H879" s="30" t="str">
        <f t="shared" si="121"/>
        <v/>
      </c>
      <c r="I879" s="30" t="str">
        <f t="shared" si="123"/>
        <v/>
      </c>
    </row>
    <row r="880" spans="1:9" x14ac:dyDescent="0.25">
      <c r="A880" s="30">
        <f t="shared" si="118"/>
        <v>3</v>
      </c>
      <c r="B880" s="94">
        <f>INT((ROWS(B$11:B880)-1)/20)+40+0.05*MOD(ROWS(B$11:B880)-1,20)</f>
        <v>83.45</v>
      </c>
      <c r="C880" s="58" t="str">
        <f t="shared" si="119"/>
        <v/>
      </c>
      <c r="D880" s="58" t="str">
        <f t="shared" si="122"/>
        <v/>
      </c>
      <c r="E880" s="30">
        <f t="shared" si="117"/>
        <v>7.856013996257764E-4</v>
      </c>
      <c r="F880" s="30" t="str">
        <f t="shared" si="121"/>
        <v/>
      </c>
      <c r="G880" s="30" t="str">
        <f t="shared" si="121"/>
        <v/>
      </c>
      <c r="H880" s="30" t="str">
        <f t="shared" si="121"/>
        <v/>
      </c>
      <c r="I880" s="30" t="str">
        <f t="shared" si="123"/>
        <v/>
      </c>
    </row>
    <row r="881" spans="1:9" x14ac:dyDescent="0.25">
      <c r="A881" s="30">
        <f t="shared" si="118"/>
        <v>3</v>
      </c>
      <c r="B881" s="94">
        <f>INT((ROWS(B$11:B881)-1)/20)+40+0.05*MOD(ROWS(B$11:B881)-1,20)</f>
        <v>83.5</v>
      </c>
      <c r="C881" s="58" t="str">
        <f t="shared" si="119"/>
        <v/>
      </c>
      <c r="D881" s="58" t="str">
        <f t="shared" si="122"/>
        <v/>
      </c>
      <c r="E881" s="30">
        <f t="shared" si="117"/>
        <v>7.5556450879968903E-4</v>
      </c>
      <c r="F881" s="30" t="str">
        <f t="shared" si="121"/>
        <v/>
      </c>
      <c r="G881" s="30" t="str">
        <f t="shared" si="121"/>
        <v/>
      </c>
      <c r="H881" s="30" t="str">
        <f t="shared" si="121"/>
        <v/>
      </c>
      <c r="I881" s="30" t="str">
        <f t="shared" si="123"/>
        <v/>
      </c>
    </row>
    <row r="882" spans="1:9" x14ac:dyDescent="0.25">
      <c r="A882" s="30">
        <f t="shared" si="118"/>
        <v>3</v>
      </c>
      <c r="B882" s="94">
        <f>INT((ROWS(B$11:B882)-1)/20)+40+0.05*MOD(ROWS(B$11:B882)-1,20)</f>
        <v>83.55</v>
      </c>
      <c r="C882" s="58" t="str">
        <f t="shared" si="119"/>
        <v/>
      </c>
      <c r="D882" s="58" t="str">
        <f t="shared" si="122"/>
        <v/>
      </c>
      <c r="E882" s="30">
        <f t="shared" si="117"/>
        <v>7.2656252210489191E-4</v>
      </c>
      <c r="F882" s="30" t="str">
        <f t="shared" si="121"/>
        <v/>
      </c>
      <c r="G882" s="30" t="str">
        <f t="shared" si="121"/>
        <v/>
      </c>
      <c r="H882" s="30" t="str">
        <f t="shared" si="121"/>
        <v/>
      </c>
      <c r="I882" s="30" t="str">
        <f t="shared" si="123"/>
        <v/>
      </c>
    </row>
    <row r="883" spans="1:9" x14ac:dyDescent="0.25">
      <c r="A883" s="30">
        <f t="shared" si="118"/>
        <v>3</v>
      </c>
      <c r="B883" s="94">
        <f>INT((ROWS(B$11:B883)-1)/20)+40+0.05*MOD(ROWS(B$11:B883)-1,20)</f>
        <v>83.6</v>
      </c>
      <c r="C883" s="58" t="str">
        <f t="shared" si="119"/>
        <v/>
      </c>
      <c r="D883" s="58" t="str">
        <f t="shared" si="122"/>
        <v/>
      </c>
      <c r="E883" s="30">
        <f t="shared" si="117"/>
        <v>6.9856460371986483E-4</v>
      </c>
      <c r="F883" s="30" t="str">
        <f t="shared" si="121"/>
        <v/>
      </c>
      <c r="G883" s="30" t="str">
        <f t="shared" si="121"/>
        <v/>
      </c>
      <c r="H883" s="30" t="str">
        <f t="shared" si="121"/>
        <v/>
      </c>
      <c r="I883" s="30" t="str">
        <f t="shared" si="123"/>
        <v/>
      </c>
    </row>
    <row r="884" spans="1:9" x14ac:dyDescent="0.25">
      <c r="A884" s="30">
        <f t="shared" si="118"/>
        <v>3</v>
      </c>
      <c r="B884" s="94">
        <f>INT((ROWS(B$11:B884)-1)/20)+40+0.05*MOD(ROWS(B$11:B884)-1,20)</f>
        <v>83.65</v>
      </c>
      <c r="C884" s="58" t="str">
        <f t="shared" si="119"/>
        <v/>
      </c>
      <c r="D884" s="58" t="str">
        <f t="shared" si="122"/>
        <v/>
      </c>
      <c r="E884" s="30">
        <f t="shared" si="117"/>
        <v>6.7154064220708708E-4</v>
      </c>
      <c r="F884" s="30" t="str">
        <f t="shared" si="121"/>
        <v/>
      </c>
      <c r="G884" s="30" t="str">
        <f t="shared" si="121"/>
        <v/>
      </c>
      <c r="H884" s="30" t="str">
        <f t="shared" si="121"/>
        <v/>
      </c>
      <c r="I884" s="30" t="str">
        <f t="shared" si="123"/>
        <v/>
      </c>
    </row>
    <row r="885" spans="1:9" x14ac:dyDescent="0.25">
      <c r="A885" s="30">
        <f t="shared" si="118"/>
        <v>3</v>
      </c>
      <c r="B885" s="94">
        <f>INT((ROWS(B$11:B885)-1)/20)+40+0.05*MOD(ROWS(B$11:B885)-1,20)</f>
        <v>83.7</v>
      </c>
      <c r="C885" s="58" t="str">
        <f t="shared" si="119"/>
        <v/>
      </c>
      <c r="D885" s="58" t="str">
        <f t="shared" si="122"/>
        <v/>
      </c>
      <c r="E885" s="30">
        <f t="shared" si="117"/>
        <v>6.454612410530528E-4</v>
      </c>
      <c r="F885" s="30" t="str">
        <f t="shared" si="121"/>
        <v/>
      </c>
      <c r="G885" s="30" t="str">
        <f t="shared" si="121"/>
        <v/>
      </c>
      <c r="H885" s="30" t="str">
        <f t="shared" si="121"/>
        <v/>
      </c>
      <c r="I885" s="30" t="str">
        <f t="shared" si="123"/>
        <v/>
      </c>
    </row>
    <row r="886" spans="1:9" x14ac:dyDescent="0.25">
      <c r="A886" s="30">
        <f t="shared" si="118"/>
        <v>3</v>
      </c>
      <c r="B886" s="94">
        <f>INT((ROWS(B$11:B886)-1)/20)+40+0.05*MOD(ROWS(B$11:B886)-1,20)</f>
        <v>83.75</v>
      </c>
      <c r="C886" s="58" t="str">
        <f t="shared" si="119"/>
        <v/>
      </c>
      <c r="D886" s="58" t="str">
        <f t="shared" si="122"/>
        <v/>
      </c>
      <c r="E886" s="30">
        <f t="shared" si="117"/>
        <v>6.2029770902582505E-4</v>
      </c>
      <c r="F886" s="30" t="str">
        <f t="shared" si="121"/>
        <v/>
      </c>
      <c r="G886" s="30" t="str">
        <f t="shared" si="121"/>
        <v/>
      </c>
      <c r="H886" s="30" t="str">
        <f t="shared" si="121"/>
        <v/>
      </c>
      <c r="I886" s="30" t="str">
        <f t="shared" si="123"/>
        <v/>
      </c>
    </row>
    <row r="887" spans="1:9" x14ac:dyDescent="0.25">
      <c r="A887" s="30">
        <f t="shared" si="118"/>
        <v>3</v>
      </c>
      <c r="B887" s="94">
        <f>INT((ROWS(B$11:B887)-1)/20)+40+0.05*MOD(ROWS(B$11:B887)-1,20)</f>
        <v>83.8</v>
      </c>
      <c r="C887" s="58" t="str">
        <f t="shared" si="119"/>
        <v/>
      </c>
      <c r="D887" s="58" t="str">
        <f t="shared" si="122"/>
        <v/>
      </c>
      <c r="E887" s="30">
        <f t="shared" si="117"/>
        <v>5.9602205036621216E-4</v>
      </c>
      <c r="F887" s="30" t="str">
        <f t="shared" si="121"/>
        <v/>
      </c>
      <c r="G887" s="30" t="str">
        <f t="shared" si="121"/>
        <v/>
      </c>
      <c r="H887" s="30" t="str">
        <f t="shared" si="121"/>
        <v/>
      </c>
      <c r="I887" s="30" t="str">
        <f t="shared" si="123"/>
        <v/>
      </c>
    </row>
    <row r="888" spans="1:9" x14ac:dyDescent="0.25">
      <c r="A888" s="30">
        <f t="shared" si="118"/>
        <v>3</v>
      </c>
      <c r="B888" s="94">
        <f>INT((ROWS(B$11:B888)-1)/20)+40+0.05*MOD(ROWS(B$11:B888)-1,20)</f>
        <v>83.85</v>
      </c>
      <c r="C888" s="58" t="str">
        <f t="shared" si="119"/>
        <v/>
      </c>
      <c r="D888" s="58" t="str">
        <f t="shared" si="122"/>
        <v/>
      </c>
      <c r="E888" s="30">
        <f t="shared" si="117"/>
        <v>5.7260695482792259E-4</v>
      </c>
      <c r="F888" s="30" t="str">
        <f t="shared" si="121"/>
        <v/>
      </c>
      <c r="G888" s="30" t="str">
        <f t="shared" si="121"/>
        <v/>
      </c>
      <c r="H888" s="30" t="str">
        <f t="shared" si="121"/>
        <v/>
      </c>
      <c r="I888" s="30" t="str">
        <f t="shared" si="123"/>
        <v/>
      </c>
    </row>
    <row r="889" spans="1:9" x14ac:dyDescent="0.25">
      <c r="A889" s="30">
        <f t="shared" si="118"/>
        <v>3</v>
      </c>
      <c r="B889" s="94">
        <f>INT((ROWS(B$11:B889)-1)/20)+40+0.05*MOD(ROWS(B$11:B889)-1,20)</f>
        <v>83.9</v>
      </c>
      <c r="C889" s="58" t="str">
        <f t="shared" si="119"/>
        <v/>
      </c>
      <c r="D889" s="58" t="str">
        <f t="shared" si="122"/>
        <v/>
      </c>
      <c r="E889" s="30">
        <f t="shared" si="117"/>
        <v>5.5002578758178049E-4</v>
      </c>
      <c r="F889" s="30" t="str">
        <f t="shared" si="121"/>
        <v/>
      </c>
      <c r="G889" s="30" t="str">
        <f t="shared" si="121"/>
        <v/>
      </c>
      <c r="H889" s="30" t="str">
        <f t="shared" si="121"/>
        <v/>
      </c>
      <c r="I889" s="30" t="str">
        <f t="shared" si="123"/>
        <v/>
      </c>
    </row>
    <row r="890" spans="1:9" x14ac:dyDescent="0.25">
      <c r="A890" s="30">
        <f t="shared" si="118"/>
        <v>3</v>
      </c>
      <c r="B890" s="94">
        <f>INT((ROWS(B$11:B890)-1)/20)+40+0.05*MOD(ROWS(B$11:B890)-1,20)</f>
        <v>83.95</v>
      </c>
      <c r="C890" s="58" t="str">
        <f t="shared" si="119"/>
        <v/>
      </c>
      <c r="D890" s="58" t="str">
        <f t="shared" si="122"/>
        <v/>
      </c>
      <c r="E890" s="30">
        <f t="shared" si="117"/>
        <v>5.2825257899862183E-4</v>
      </c>
      <c r="F890" s="30" t="str">
        <f t="shared" si="121"/>
        <v/>
      </c>
      <c r="G890" s="30" t="str">
        <f t="shared" si="121"/>
        <v/>
      </c>
      <c r="H890" s="30" t="str">
        <f t="shared" si="121"/>
        <v/>
      </c>
      <c r="I890" s="30" t="str">
        <f t="shared" si="123"/>
        <v/>
      </c>
    </row>
    <row r="891" spans="1:9" x14ac:dyDescent="0.25">
      <c r="A891" s="30">
        <f t="shared" si="118"/>
        <v>3.25</v>
      </c>
      <c r="B891" s="94">
        <f>INT((ROWS(B$11:B891)-1)/20)+40+0.05*MOD(ROWS(B$11:B891)-1,20)</f>
        <v>84</v>
      </c>
      <c r="C891" s="58" t="str">
        <f t="shared" si="119"/>
        <v/>
      </c>
      <c r="D891" s="58" t="str">
        <f t="shared" si="122"/>
        <v/>
      </c>
      <c r="E891" s="30">
        <f t="shared" si="117"/>
        <v>5.0726201432494203E-4</v>
      </c>
      <c r="F891" s="30" t="str">
        <f t="shared" ref="F891:H910" si="124">IF(AND($B891&gt;=F$7,$B891&lt;=F$8),E891,"")</f>
        <v/>
      </c>
      <c r="G891" s="30" t="str">
        <f t="shared" si="124"/>
        <v/>
      </c>
      <c r="H891" s="30" t="str">
        <f t="shared" si="124"/>
        <v/>
      </c>
      <c r="I891" s="30" t="str">
        <f t="shared" si="123"/>
        <v/>
      </c>
    </row>
    <row r="892" spans="1:9" x14ac:dyDescent="0.25">
      <c r="A892" s="30">
        <f t="shared" si="118"/>
        <v>3.25</v>
      </c>
      <c r="B892" s="94">
        <f>INT((ROWS(B$11:B892)-1)/20)+40+0.05*MOD(ROWS(B$11:B892)-1,20)</f>
        <v>84.05</v>
      </c>
      <c r="C892" s="58" t="str">
        <f t="shared" si="119"/>
        <v/>
      </c>
      <c r="D892" s="58" t="str">
        <f t="shared" si="122"/>
        <v/>
      </c>
      <c r="E892" s="30">
        <f t="shared" si="117"/>
        <v>4.8702942326512156E-4</v>
      </c>
      <c r="F892" s="30" t="str">
        <f t="shared" si="124"/>
        <v/>
      </c>
      <c r="G892" s="30" t="str">
        <f t="shared" si="124"/>
        <v/>
      </c>
      <c r="H892" s="30" t="str">
        <f t="shared" si="124"/>
        <v/>
      </c>
      <c r="I892" s="30" t="str">
        <f t="shared" si="123"/>
        <v/>
      </c>
    </row>
    <row r="893" spans="1:9" x14ac:dyDescent="0.25">
      <c r="A893" s="30">
        <f t="shared" si="118"/>
        <v>3.25</v>
      </c>
      <c r="B893" s="94">
        <f>INT((ROWS(B$11:B893)-1)/20)+40+0.05*MOD(ROWS(B$11:B893)-1,20)</f>
        <v>84.1</v>
      </c>
      <c r="C893" s="58" t="str">
        <f t="shared" si="119"/>
        <v/>
      </c>
      <c r="D893" s="58" t="str">
        <f t="shared" si="122"/>
        <v/>
      </c>
      <c r="E893" s="30">
        <f t="shared" si="117"/>
        <v>4.6753076948341467E-4</v>
      </c>
      <c r="F893" s="30" t="str">
        <f t="shared" si="124"/>
        <v/>
      </c>
      <c r="G893" s="30" t="str">
        <f t="shared" si="124"/>
        <v/>
      </c>
      <c r="H893" s="30" t="str">
        <f t="shared" si="124"/>
        <v/>
      </c>
      <c r="I893" s="30" t="str">
        <f t="shared" si="123"/>
        <v/>
      </c>
    </row>
    <row r="894" spans="1:9" x14ac:dyDescent="0.25">
      <c r="A894" s="30">
        <f t="shared" si="118"/>
        <v>3.25</v>
      </c>
      <c r="B894" s="94">
        <f>INT((ROWS(B$11:B894)-1)/20)+40+0.05*MOD(ROWS(B$11:B894)-1,20)</f>
        <v>84.15</v>
      </c>
      <c r="C894" s="58" t="str">
        <f t="shared" si="119"/>
        <v/>
      </c>
      <c r="D894" s="58" t="str">
        <f t="shared" si="122"/>
        <v/>
      </c>
      <c r="E894" s="30">
        <f t="shared" si="117"/>
        <v>4.4874264003855739E-4</v>
      </c>
      <c r="F894" s="30" t="str">
        <f t="shared" si="124"/>
        <v/>
      </c>
      <c r="G894" s="30" t="str">
        <f t="shared" si="124"/>
        <v/>
      </c>
      <c r="H894" s="30" t="str">
        <f t="shared" si="124"/>
        <v/>
      </c>
      <c r="I894" s="30" t="str">
        <f t="shared" si="123"/>
        <v/>
      </c>
    </row>
    <row r="895" spans="1:9" x14ac:dyDescent="0.25">
      <c r="A895" s="30">
        <f t="shared" si="118"/>
        <v>3.25</v>
      </c>
      <c r="B895" s="94">
        <f>INT((ROWS(B$11:B895)-1)/20)+40+0.05*MOD(ROWS(B$11:B895)-1,20)</f>
        <v>84.2</v>
      </c>
      <c r="C895" s="58" t="str">
        <f t="shared" si="119"/>
        <v/>
      </c>
      <c r="D895" s="58" t="str">
        <f t="shared" si="122"/>
        <v/>
      </c>
      <c r="E895" s="30">
        <f t="shared" si="117"/>
        <v>4.3064223476341917E-4</v>
      </c>
      <c r="F895" s="30" t="str">
        <f t="shared" si="124"/>
        <v/>
      </c>
      <c r="G895" s="30" t="str">
        <f t="shared" si="124"/>
        <v/>
      </c>
      <c r="H895" s="30" t="str">
        <f t="shared" si="124"/>
        <v/>
      </c>
      <c r="I895" s="30" t="str">
        <f t="shared" si="123"/>
        <v/>
      </c>
    </row>
    <row r="896" spans="1:9" x14ac:dyDescent="0.25">
      <c r="A896" s="30">
        <f t="shared" si="118"/>
        <v>3.25</v>
      </c>
      <c r="B896" s="94">
        <f>INT((ROWS(B$11:B896)-1)/20)+40+0.05*MOD(ROWS(B$11:B896)-1,20)</f>
        <v>84.25</v>
      </c>
      <c r="C896" s="58" t="str">
        <f t="shared" si="119"/>
        <v/>
      </c>
      <c r="D896" s="58" t="str">
        <f t="shared" si="122"/>
        <v/>
      </c>
      <c r="E896" s="30">
        <f t="shared" si="117"/>
        <v>4.1320735560156454E-4</v>
      </c>
      <c r="F896" s="30" t="str">
        <f t="shared" si="124"/>
        <v/>
      </c>
      <c r="G896" s="30" t="str">
        <f t="shared" si="124"/>
        <v/>
      </c>
      <c r="H896" s="30" t="str">
        <f t="shared" si="124"/>
        <v/>
      </c>
      <c r="I896" s="30" t="str">
        <f t="shared" si="123"/>
        <v/>
      </c>
    </row>
    <row r="897" spans="1:9" x14ac:dyDescent="0.25">
      <c r="A897" s="30">
        <f t="shared" si="118"/>
        <v>3.25</v>
      </c>
      <c r="B897" s="94">
        <f>INT((ROWS(B$11:B897)-1)/20)+40+0.05*MOD(ROWS(B$11:B897)-1,20)</f>
        <v>84.3</v>
      </c>
      <c r="C897" s="58" t="str">
        <f t="shared" si="119"/>
        <v/>
      </c>
      <c r="D897" s="58" t="str">
        <f t="shared" si="122"/>
        <v/>
      </c>
      <c r="E897" s="30">
        <f t="shared" si="117"/>
        <v>3.9641639591236492E-4</v>
      </c>
      <c r="F897" s="30" t="str">
        <f t="shared" si="124"/>
        <v/>
      </c>
      <c r="G897" s="30" t="str">
        <f t="shared" si="124"/>
        <v/>
      </c>
      <c r="H897" s="30" t="str">
        <f t="shared" si="124"/>
        <v/>
      </c>
      <c r="I897" s="30" t="str">
        <f t="shared" si="123"/>
        <v/>
      </c>
    </row>
    <row r="898" spans="1:9" x14ac:dyDescent="0.25">
      <c r="A898" s="30">
        <f t="shared" si="118"/>
        <v>3.25</v>
      </c>
      <c r="B898" s="94">
        <f>INT((ROWS(B$11:B898)-1)/20)+40+0.05*MOD(ROWS(B$11:B898)-1,20)</f>
        <v>84.35</v>
      </c>
      <c r="C898" s="58" t="str">
        <f t="shared" si="119"/>
        <v/>
      </c>
      <c r="D898" s="58" t="str">
        <f t="shared" si="122"/>
        <v/>
      </c>
      <c r="E898" s="30">
        <f t="shared" si="117"/>
        <v>3.8024832975566236E-4</v>
      </c>
      <c r="F898" s="30" t="str">
        <f t="shared" si="124"/>
        <v/>
      </c>
      <c r="G898" s="30" t="str">
        <f t="shared" si="124"/>
        <v/>
      </c>
      <c r="H898" s="30" t="str">
        <f t="shared" si="124"/>
        <v/>
      </c>
      <c r="I898" s="30" t="str">
        <f t="shared" si="123"/>
        <v/>
      </c>
    </row>
    <row r="899" spans="1:9" x14ac:dyDescent="0.25">
      <c r="A899" s="30">
        <f t="shared" si="118"/>
        <v>3.25</v>
      </c>
      <c r="B899" s="94">
        <f>INT((ROWS(B$11:B899)-1)/20)+40+0.05*MOD(ROWS(B$11:B899)-1,20)</f>
        <v>84.4</v>
      </c>
      <c r="C899" s="58" t="str">
        <f t="shared" si="119"/>
        <v/>
      </c>
      <c r="D899" s="58" t="str">
        <f t="shared" si="122"/>
        <v/>
      </c>
      <c r="E899" s="30">
        <f t="shared" si="117"/>
        <v>3.646827011666849E-4</v>
      </c>
      <c r="F899" s="30" t="str">
        <f t="shared" si="124"/>
        <v/>
      </c>
      <c r="G899" s="30" t="str">
        <f t="shared" si="124"/>
        <v/>
      </c>
      <c r="H899" s="30" t="str">
        <f t="shared" si="124"/>
        <v/>
      </c>
      <c r="I899" s="30" t="str">
        <f t="shared" si="123"/>
        <v/>
      </c>
    </row>
    <row r="900" spans="1:9" x14ac:dyDescent="0.25">
      <c r="A900" s="30">
        <f t="shared" si="118"/>
        <v>3.25</v>
      </c>
      <c r="B900" s="94">
        <f>INT((ROWS(B$11:B900)-1)/20)+40+0.05*MOD(ROWS(B$11:B900)-1,20)</f>
        <v>84.45</v>
      </c>
      <c r="C900" s="58" t="str">
        <f t="shared" si="119"/>
        <v/>
      </c>
      <c r="D900" s="58" t="str">
        <f t="shared" si="122"/>
        <v/>
      </c>
      <c r="E900" s="30">
        <f t="shared" si="117"/>
        <v>3.4969961343147481E-4</v>
      </c>
      <c r="F900" s="30" t="str">
        <f t="shared" si="124"/>
        <v/>
      </c>
      <c r="G900" s="30" t="str">
        <f t="shared" si="124"/>
        <v/>
      </c>
      <c r="H900" s="30" t="str">
        <f t="shared" si="124"/>
        <v/>
      </c>
      <c r="I900" s="30" t="str">
        <f t="shared" si="123"/>
        <v/>
      </c>
    </row>
    <row r="901" spans="1:9" x14ac:dyDescent="0.25">
      <c r="A901" s="30">
        <f t="shared" si="118"/>
        <v>3.25</v>
      </c>
      <c r="B901" s="94">
        <f>INT((ROWS(B$11:B901)-1)/20)+40+0.05*MOD(ROWS(B$11:B901)-1,20)</f>
        <v>84.5</v>
      </c>
      <c r="C901" s="58" t="str">
        <f t="shared" si="119"/>
        <v/>
      </c>
      <c r="D901" s="58" t="str">
        <f t="shared" si="122"/>
        <v/>
      </c>
      <c r="E901" s="30">
        <f t="shared" si="117"/>
        <v>3.3527971837259444E-4</v>
      </c>
      <c r="F901" s="30" t="str">
        <f t="shared" si="124"/>
        <v/>
      </c>
      <c r="G901" s="30" t="str">
        <f t="shared" si="124"/>
        <v/>
      </c>
      <c r="H901" s="30" t="str">
        <f t="shared" si="124"/>
        <v/>
      </c>
      <c r="I901" s="30" t="str">
        <f t="shared" si="123"/>
        <v/>
      </c>
    </row>
    <row r="902" spans="1:9" x14ac:dyDescent="0.25">
      <c r="A902" s="30">
        <f t="shared" si="118"/>
        <v>3.25</v>
      </c>
      <c r="B902" s="94">
        <f>INT((ROWS(B$11:B902)-1)/20)+40+0.05*MOD(ROWS(B$11:B902)-1,20)</f>
        <v>84.55</v>
      </c>
      <c r="C902" s="58" t="str">
        <f t="shared" si="119"/>
        <v/>
      </c>
      <c r="D902" s="58" t="str">
        <f t="shared" si="122"/>
        <v/>
      </c>
      <c r="E902" s="30">
        <f t="shared" si="117"/>
        <v>3.2140420565460317E-4</v>
      </c>
      <c r="F902" s="30" t="str">
        <f t="shared" si="124"/>
        <v/>
      </c>
      <c r="G902" s="30" t="str">
        <f t="shared" si="124"/>
        <v/>
      </c>
      <c r="H902" s="30" t="str">
        <f t="shared" si="124"/>
        <v/>
      </c>
      <c r="I902" s="30" t="str">
        <f t="shared" si="123"/>
        <v/>
      </c>
    </row>
    <row r="903" spans="1:9" x14ac:dyDescent="0.25">
      <c r="A903" s="30">
        <f t="shared" si="118"/>
        <v>3.25</v>
      </c>
      <c r="B903" s="94">
        <f>INT((ROWS(B$11:B903)-1)/20)+40+0.05*MOD(ROWS(B$11:B903)-1,20)</f>
        <v>84.6</v>
      </c>
      <c r="C903" s="58" t="str">
        <f t="shared" si="119"/>
        <v/>
      </c>
      <c r="D903" s="58" t="str">
        <f t="shared" si="122"/>
        <v/>
      </c>
      <c r="E903" s="30">
        <f t="shared" si="117"/>
        <v>3.0805479211825634E-4</v>
      </c>
      <c r="F903" s="30" t="str">
        <f t="shared" si="124"/>
        <v/>
      </c>
      <c r="G903" s="30" t="str">
        <f t="shared" si="124"/>
        <v/>
      </c>
      <c r="H903" s="30" t="str">
        <f t="shared" si="124"/>
        <v/>
      </c>
      <c r="I903" s="30" t="str">
        <f t="shared" si="123"/>
        <v/>
      </c>
    </row>
    <row r="904" spans="1:9" x14ac:dyDescent="0.25">
      <c r="A904" s="30">
        <f t="shared" si="118"/>
        <v>3.25</v>
      </c>
      <c r="B904" s="94">
        <f>INT((ROWS(B$11:B904)-1)/20)+40+0.05*MOD(ROWS(B$11:B904)-1,20)</f>
        <v>84.65</v>
      </c>
      <c r="C904" s="58" t="str">
        <f t="shared" si="119"/>
        <v/>
      </c>
      <c r="D904" s="58" t="str">
        <f t="shared" si="122"/>
        <v/>
      </c>
      <c r="E904" s="30">
        <f t="shared" si="117"/>
        <v>2.9521371115204329E-4</v>
      </c>
      <c r="F904" s="30" t="str">
        <f t="shared" si="124"/>
        <v/>
      </c>
      <c r="G904" s="30" t="str">
        <f t="shared" si="124"/>
        <v/>
      </c>
      <c r="H904" s="30" t="str">
        <f t="shared" si="124"/>
        <v/>
      </c>
      <c r="I904" s="30" t="str">
        <f t="shared" si="123"/>
        <v/>
      </c>
    </row>
    <row r="905" spans="1:9" x14ac:dyDescent="0.25">
      <c r="A905" s="30">
        <f t="shared" si="118"/>
        <v>3.25</v>
      </c>
      <c r="B905" s="94">
        <f>INT((ROWS(B$11:B905)-1)/20)+40+0.05*MOD(ROWS(B$11:B905)-1,20)</f>
        <v>84.7</v>
      </c>
      <c r="C905" s="58" t="str">
        <f t="shared" si="119"/>
        <v/>
      </c>
      <c r="D905" s="58" t="str">
        <f t="shared" si="122"/>
        <v/>
      </c>
      <c r="E905" s="30">
        <f t="shared" si="117"/>
        <v>2.8286370210930131E-4</v>
      </c>
      <c r="F905" s="30" t="str">
        <f t="shared" si="124"/>
        <v/>
      </c>
      <c r="G905" s="30" t="str">
        <f t="shared" si="124"/>
        <v/>
      </c>
      <c r="H905" s="30" t="str">
        <f t="shared" si="124"/>
        <v/>
      </c>
      <c r="I905" s="30" t="str">
        <f t="shared" si="123"/>
        <v/>
      </c>
    </row>
    <row r="906" spans="1:9" x14ac:dyDescent="0.25">
      <c r="A906" s="30">
        <f t="shared" si="118"/>
        <v>3.25</v>
      </c>
      <c r="B906" s="94">
        <f>INT((ROWS(B$11:B906)-1)/20)+40+0.05*MOD(ROWS(B$11:B906)-1,20)</f>
        <v>84.75</v>
      </c>
      <c r="C906" s="58" t="str">
        <f t="shared" si="119"/>
        <v/>
      </c>
      <c r="D906" s="58" t="str">
        <f t="shared" si="122"/>
        <v/>
      </c>
      <c r="E906" s="30">
        <f t="shared" si="117"/>
        <v>2.70987999778663E-4</v>
      </c>
      <c r="F906" s="30" t="str">
        <f t="shared" si="124"/>
        <v/>
      </c>
      <c r="G906" s="30" t="str">
        <f t="shared" si="124"/>
        <v/>
      </c>
      <c r="H906" s="30" t="str">
        <f t="shared" si="124"/>
        <v/>
      </c>
      <c r="I906" s="30" t="str">
        <f t="shared" si="123"/>
        <v/>
      </c>
    </row>
    <row r="907" spans="1:9" x14ac:dyDescent="0.25">
      <c r="A907" s="30">
        <f t="shared" si="118"/>
        <v>3.25</v>
      </c>
      <c r="B907" s="94">
        <f>INT((ROWS(B$11:B907)-1)/20)+40+0.05*MOD(ROWS(B$11:B907)-1,20)</f>
        <v>84.8</v>
      </c>
      <c r="C907" s="58" t="str">
        <f t="shared" si="119"/>
        <v/>
      </c>
      <c r="D907" s="58" t="str">
        <f t="shared" si="122"/>
        <v/>
      </c>
      <c r="E907" s="30">
        <f t="shared" ref="E907:E970" si="125">_xlfn.NORM.DIST(B907,$F$1,$F$2,0)</f>
        <v>2.5957032391535351E-4</v>
      </c>
      <c r="F907" s="30" t="str">
        <f t="shared" si="124"/>
        <v/>
      </c>
      <c r="G907" s="30" t="str">
        <f t="shared" si="124"/>
        <v/>
      </c>
      <c r="H907" s="30" t="str">
        <f t="shared" si="124"/>
        <v/>
      </c>
      <c r="I907" s="30" t="str">
        <f t="shared" si="123"/>
        <v/>
      </c>
    </row>
    <row r="908" spans="1:9" x14ac:dyDescent="0.25">
      <c r="A908" s="30">
        <f t="shared" ref="A908:A971" si="126">(INT(B908)-$F$1)/$F$2</f>
        <v>3.25</v>
      </c>
      <c r="B908" s="94">
        <f>INT((ROWS(B$11:B908)-1)/20)+40+0.05*MOD(ROWS(B$11:B908)-1,20)</f>
        <v>84.85</v>
      </c>
      <c r="C908" s="58" t="str">
        <f t="shared" ref="C908:C971" si="127">IF(AND(A908&lt;&gt;A907,INT(A908)=A908),A908,"")</f>
        <v/>
      </c>
      <c r="D908" s="58" t="str">
        <f t="shared" si="122"/>
        <v/>
      </c>
      <c r="E908" s="30">
        <f t="shared" si="125"/>
        <v>2.485948688403427E-4</v>
      </c>
      <c r="F908" s="30" t="str">
        <f t="shared" si="124"/>
        <v/>
      </c>
      <c r="G908" s="30" t="str">
        <f t="shared" si="124"/>
        <v/>
      </c>
      <c r="H908" s="30" t="str">
        <f t="shared" si="124"/>
        <v/>
      </c>
      <c r="I908" s="30" t="str">
        <f t="shared" si="123"/>
        <v/>
      </c>
    </row>
    <row r="909" spans="1:9" x14ac:dyDescent="0.25">
      <c r="A909" s="30">
        <f t="shared" si="126"/>
        <v>3.25</v>
      </c>
      <c r="B909" s="94">
        <f>INT((ROWS(B$11:B909)-1)/20)+40+0.05*MOD(ROWS(B$11:B909)-1,20)</f>
        <v>84.9</v>
      </c>
      <c r="C909" s="58" t="str">
        <f t="shared" si="127"/>
        <v/>
      </c>
      <c r="D909" s="58" t="str">
        <f t="shared" si="122"/>
        <v/>
      </c>
      <c r="E909" s="30">
        <f t="shared" si="125"/>
        <v>2.3804629311406631E-4</v>
      </c>
      <c r="F909" s="30" t="str">
        <f t="shared" si="124"/>
        <v/>
      </c>
      <c r="G909" s="30" t="str">
        <f t="shared" si="124"/>
        <v/>
      </c>
      <c r="H909" s="30" t="str">
        <f t="shared" si="124"/>
        <v/>
      </c>
      <c r="I909" s="30" t="str">
        <f t="shared" si="123"/>
        <v/>
      </c>
    </row>
    <row r="910" spans="1:9" x14ac:dyDescent="0.25">
      <c r="A910" s="30">
        <f t="shared" si="126"/>
        <v>3.25</v>
      </c>
      <c r="B910" s="94">
        <f>INT((ROWS(B$11:B910)-1)/20)+40+0.05*MOD(ROWS(B$11:B910)-1,20)</f>
        <v>84.95</v>
      </c>
      <c r="C910" s="58" t="str">
        <f t="shared" si="127"/>
        <v/>
      </c>
      <c r="D910" s="58" t="str">
        <f t="shared" si="122"/>
        <v/>
      </c>
      <c r="E910" s="30">
        <f t="shared" si="125"/>
        <v>2.2790970929105914E-4</v>
      </c>
      <c r="F910" s="30" t="str">
        <f t="shared" si="124"/>
        <v/>
      </c>
      <c r="G910" s="30" t="str">
        <f t="shared" si="124"/>
        <v/>
      </c>
      <c r="H910" s="30" t="str">
        <f t="shared" si="124"/>
        <v/>
      </c>
      <c r="I910" s="30" t="str">
        <f t="shared" si="123"/>
        <v/>
      </c>
    </row>
    <row r="911" spans="1:9" x14ac:dyDescent="0.25">
      <c r="A911" s="30">
        <f t="shared" si="126"/>
        <v>3.5</v>
      </c>
      <c r="B911" s="94">
        <f>INT((ROWS(B$11:B911)-1)/20)+40+0.05*MOD(ROWS(B$11:B911)-1,20)</f>
        <v>85</v>
      </c>
      <c r="C911" s="58" t="str">
        <f t="shared" si="127"/>
        <v/>
      </c>
      <c r="D911" s="58" t="str">
        <f t="shared" si="122"/>
        <v/>
      </c>
      <c r="E911" s="30">
        <f t="shared" si="125"/>
        <v>2.1817067376144004E-4</v>
      </c>
      <c r="F911" s="30" t="str">
        <f t="shared" ref="F911:H930" si="128">IF(AND($B911&gt;=F$7,$B911&lt;=F$8),E911,"")</f>
        <v/>
      </c>
      <c r="G911" s="30" t="str">
        <f t="shared" si="128"/>
        <v/>
      </c>
      <c r="H911" s="30" t="str">
        <f t="shared" si="128"/>
        <v/>
      </c>
      <c r="I911" s="30" t="str">
        <f t="shared" si="123"/>
        <v/>
      </c>
    </row>
    <row r="912" spans="1:9" x14ac:dyDescent="0.25">
      <c r="A912" s="30">
        <f t="shared" si="126"/>
        <v>3.5</v>
      </c>
      <c r="B912" s="94">
        <f>INT((ROWS(B$11:B912)-1)/20)+40+0.05*MOD(ROWS(B$11:B912)-1,20)</f>
        <v>85.05</v>
      </c>
      <c r="C912" s="58" t="str">
        <f t="shared" si="127"/>
        <v/>
      </c>
      <c r="D912" s="58" t="str">
        <f t="shared" si="122"/>
        <v/>
      </c>
      <c r="E912" s="30">
        <f t="shared" si="125"/>
        <v>2.0881517668493475E-4</v>
      </c>
      <c r="F912" s="30" t="str">
        <f t="shared" si="128"/>
        <v/>
      </c>
      <c r="G912" s="30" t="str">
        <f t="shared" si="128"/>
        <v/>
      </c>
      <c r="H912" s="30" t="str">
        <f t="shared" si="128"/>
        <v/>
      </c>
      <c r="I912" s="30" t="str">
        <f t="shared" si="123"/>
        <v/>
      </c>
    </row>
    <row r="913" spans="1:9" x14ac:dyDescent="0.25">
      <c r="A913" s="30">
        <f t="shared" si="126"/>
        <v>3.5</v>
      </c>
      <c r="B913" s="94">
        <f>INT((ROWS(B$11:B913)-1)/20)+40+0.05*MOD(ROWS(B$11:B913)-1,20)</f>
        <v>85.1</v>
      </c>
      <c r="C913" s="58" t="str">
        <f t="shared" si="127"/>
        <v/>
      </c>
      <c r="D913" s="58" t="str">
        <f t="shared" si="122"/>
        <v/>
      </c>
      <c r="E913" s="30">
        <f t="shared" si="125"/>
        <v>1.9982963202268956E-4</v>
      </c>
      <c r="F913" s="30" t="str">
        <f t="shared" si="128"/>
        <v/>
      </c>
      <c r="G913" s="30" t="str">
        <f t="shared" si="128"/>
        <v/>
      </c>
      <c r="H913" s="30" t="str">
        <f t="shared" si="128"/>
        <v/>
      </c>
      <c r="I913" s="30" t="str">
        <f t="shared" si="123"/>
        <v/>
      </c>
    </row>
    <row r="914" spans="1:9" x14ac:dyDescent="0.25">
      <c r="A914" s="30">
        <f t="shared" si="126"/>
        <v>3.5</v>
      </c>
      <c r="B914" s="94">
        <f>INT((ROWS(B$11:B914)-1)/20)+40+0.05*MOD(ROWS(B$11:B914)-1,20)</f>
        <v>85.15</v>
      </c>
      <c r="C914" s="58" t="str">
        <f t="shared" si="127"/>
        <v/>
      </c>
      <c r="D914" s="58" t="str">
        <f t="shared" si="122"/>
        <v/>
      </c>
      <c r="E914" s="30">
        <f t="shared" si="125"/>
        <v>1.9120086767185254E-4</v>
      </c>
      <c r="F914" s="30" t="str">
        <f t="shared" si="128"/>
        <v/>
      </c>
      <c r="G914" s="30" t="str">
        <f t="shared" si="128"/>
        <v/>
      </c>
      <c r="H914" s="30" t="str">
        <f t="shared" si="128"/>
        <v/>
      </c>
      <c r="I914" s="30" t="str">
        <f t="shared" si="123"/>
        <v/>
      </c>
    </row>
    <row r="915" spans="1:9" x14ac:dyDescent="0.25">
      <c r="A915" s="30">
        <f t="shared" si="126"/>
        <v>3.5</v>
      </c>
      <c r="B915" s="94">
        <f>INT((ROWS(B$11:B915)-1)/20)+40+0.05*MOD(ROWS(B$11:B915)-1,20)</f>
        <v>85.2</v>
      </c>
      <c r="C915" s="58" t="str">
        <f t="shared" si="127"/>
        <v/>
      </c>
      <c r="D915" s="58" t="str">
        <f t="shared" si="122"/>
        <v/>
      </c>
      <c r="E915" s="30">
        <f t="shared" si="125"/>
        <v>1.8291611570757724E-4</v>
      </c>
      <c r="F915" s="30" t="str">
        <f t="shared" si="128"/>
        <v/>
      </c>
      <c r="G915" s="30" t="str">
        <f t="shared" si="128"/>
        <v/>
      </c>
      <c r="H915" s="30" t="str">
        <f t="shared" si="128"/>
        <v/>
      </c>
      <c r="I915" s="30" t="str">
        <f t="shared" si="123"/>
        <v/>
      </c>
    </row>
    <row r="916" spans="1:9" x14ac:dyDescent="0.25">
      <c r="A916" s="30">
        <f t="shared" si="126"/>
        <v>3.5</v>
      </c>
      <c r="B916" s="94">
        <f>INT((ROWS(B$11:B916)-1)/20)+40+0.05*MOD(ROWS(B$11:B916)-1,20)</f>
        <v>85.25</v>
      </c>
      <c r="C916" s="58" t="str">
        <f t="shared" si="127"/>
        <v/>
      </c>
      <c r="D916" s="58" t="str">
        <f t="shared" si="122"/>
        <v/>
      </c>
      <c r="E916" s="30">
        <f t="shared" si="125"/>
        <v>1.7496300273673568E-4</v>
      </c>
      <c r="F916" s="30" t="str">
        <f t="shared" si="128"/>
        <v/>
      </c>
      <c r="G916" s="30" t="str">
        <f t="shared" si="128"/>
        <v/>
      </c>
      <c r="H916" s="30" t="str">
        <f t="shared" si="128"/>
        <v/>
      </c>
      <c r="I916" s="30" t="str">
        <f t="shared" si="123"/>
        <v/>
      </c>
    </row>
    <row r="917" spans="1:9" x14ac:dyDescent="0.25">
      <c r="A917" s="30">
        <f t="shared" si="126"/>
        <v>3.5</v>
      </c>
      <c r="B917" s="94">
        <f>INT((ROWS(B$11:B917)-1)/20)+40+0.05*MOD(ROWS(B$11:B917)-1,20)</f>
        <v>85.3</v>
      </c>
      <c r="C917" s="58" t="str">
        <f t="shared" si="127"/>
        <v/>
      </c>
      <c r="D917" s="58" t="str">
        <f t="shared" si="122"/>
        <v/>
      </c>
      <c r="E917" s="30">
        <f t="shared" si="125"/>
        <v>1.6732954036741482E-4</v>
      </c>
      <c r="F917" s="30" t="str">
        <f t="shared" si="128"/>
        <v/>
      </c>
      <c r="G917" s="30" t="str">
        <f t="shared" si="128"/>
        <v/>
      </c>
      <c r="H917" s="30" t="str">
        <f t="shared" si="128"/>
        <v/>
      </c>
      <c r="I917" s="30" t="str">
        <f t="shared" si="123"/>
        <v/>
      </c>
    </row>
    <row r="918" spans="1:9" x14ac:dyDescent="0.25">
      <c r="A918" s="30">
        <f t="shared" si="126"/>
        <v>3.5</v>
      </c>
      <c r="B918" s="94">
        <f>INT((ROWS(B$11:B918)-1)/20)+40+0.05*MOD(ROWS(B$11:B918)-1,20)</f>
        <v>85.35</v>
      </c>
      <c r="C918" s="58" t="str">
        <f t="shared" si="127"/>
        <v/>
      </c>
      <c r="D918" s="58" t="str">
        <f t="shared" si="122"/>
        <v/>
      </c>
      <c r="E918" s="30">
        <f t="shared" si="125"/>
        <v>1.6000411579787817E-4</v>
      </c>
      <c r="F918" s="30" t="str">
        <f t="shared" si="128"/>
        <v/>
      </c>
      <c r="G918" s="30" t="str">
        <f t="shared" si="128"/>
        <v/>
      </c>
      <c r="H918" s="30" t="str">
        <f t="shared" si="128"/>
        <v/>
      </c>
      <c r="I918" s="30" t="str">
        <f t="shared" si="123"/>
        <v/>
      </c>
    </row>
    <row r="919" spans="1:9" x14ac:dyDescent="0.25">
      <c r="A919" s="30">
        <f t="shared" si="126"/>
        <v>3.5</v>
      </c>
      <c r="B919" s="94">
        <f>INT((ROWS(B$11:B919)-1)/20)+40+0.05*MOD(ROWS(B$11:B919)-1,20)</f>
        <v>85.4</v>
      </c>
      <c r="C919" s="58" t="str">
        <f t="shared" si="127"/>
        <v/>
      </c>
      <c r="D919" s="58" t="str">
        <f t="shared" si="122"/>
        <v/>
      </c>
      <c r="E919" s="30">
        <f t="shared" si="125"/>
        <v>1.529754825284423E-4</v>
      </c>
      <c r="F919" s="30" t="str">
        <f t="shared" si="128"/>
        <v/>
      </c>
      <c r="G919" s="30" t="str">
        <f t="shared" si="128"/>
        <v/>
      </c>
      <c r="H919" s="30" t="str">
        <f t="shared" si="128"/>
        <v/>
      </c>
      <c r="I919" s="30" t="str">
        <f t="shared" si="123"/>
        <v/>
      </c>
    </row>
    <row r="920" spans="1:9" x14ac:dyDescent="0.25">
      <c r="A920" s="30">
        <f t="shared" si="126"/>
        <v>3.5</v>
      </c>
      <c r="B920" s="94">
        <f>INT((ROWS(B$11:B920)-1)/20)+40+0.05*MOD(ROWS(B$11:B920)-1,20)</f>
        <v>85.45</v>
      </c>
      <c r="C920" s="58" t="str">
        <f t="shared" si="127"/>
        <v/>
      </c>
      <c r="D920" s="58" t="str">
        <f t="shared" si="122"/>
        <v/>
      </c>
      <c r="E920" s="30">
        <f t="shared" si="125"/>
        <v>1.4623275119942847E-4</v>
      </c>
      <c r="F920" s="30" t="str">
        <f t="shared" si="128"/>
        <v/>
      </c>
      <c r="G920" s="30" t="str">
        <f t="shared" si="128"/>
        <v/>
      </c>
      <c r="H920" s="30" t="str">
        <f t="shared" si="128"/>
        <v/>
      </c>
      <c r="I920" s="30" t="str">
        <f t="shared" si="123"/>
        <v/>
      </c>
    </row>
    <row r="921" spans="1:9" x14ac:dyDescent="0.25">
      <c r="A921" s="30">
        <f t="shared" si="126"/>
        <v>3.5</v>
      </c>
      <c r="B921" s="94">
        <f>INT((ROWS(B$11:B921)-1)/20)+40+0.05*MOD(ROWS(B$11:B921)-1,20)</f>
        <v>85.5</v>
      </c>
      <c r="C921" s="58" t="str">
        <f t="shared" si="127"/>
        <v/>
      </c>
      <c r="D921" s="58" t="str">
        <f t="shared" si="122"/>
        <v/>
      </c>
      <c r="E921" s="30">
        <f t="shared" si="125"/>
        <v>1.3976538055804122E-4</v>
      </c>
      <c r="F921" s="30" t="str">
        <f t="shared" si="128"/>
        <v/>
      </c>
      <c r="G921" s="30" t="str">
        <f t="shared" si="128"/>
        <v/>
      </c>
      <c r="H921" s="30" t="str">
        <f t="shared" si="128"/>
        <v/>
      </c>
      <c r="I921" s="30" t="str">
        <f t="shared" si="123"/>
        <v/>
      </c>
    </row>
    <row r="922" spans="1:9" x14ac:dyDescent="0.25">
      <c r="A922" s="30">
        <f t="shared" si="126"/>
        <v>3.5</v>
      </c>
      <c r="B922" s="94">
        <f>INT((ROWS(B$11:B922)-1)/20)+40+0.05*MOD(ROWS(B$11:B922)-1,20)</f>
        <v>85.55</v>
      </c>
      <c r="C922" s="58" t="str">
        <f t="shared" si="127"/>
        <v/>
      </c>
      <c r="D922" s="58" t="str">
        <f t="shared" si="122"/>
        <v/>
      </c>
      <c r="E922" s="30">
        <f t="shared" si="125"/>
        <v>1.3356316855682706E-4</v>
      </c>
      <c r="F922" s="30" t="str">
        <f t="shared" si="128"/>
        <v/>
      </c>
      <c r="G922" s="30" t="str">
        <f t="shared" si="128"/>
        <v/>
      </c>
      <c r="H922" s="30" t="str">
        <f t="shared" si="128"/>
        <v/>
      </c>
      <c r="I922" s="30" t="str">
        <f t="shared" si="123"/>
        <v/>
      </c>
    </row>
    <row r="923" spans="1:9" x14ac:dyDescent="0.25">
      <c r="A923" s="30">
        <f t="shared" si="126"/>
        <v>3.5</v>
      </c>
      <c r="B923" s="94">
        <f>INT((ROWS(B$11:B923)-1)/20)+40+0.05*MOD(ROWS(B$11:B923)-1,20)</f>
        <v>85.6</v>
      </c>
      <c r="C923" s="58" t="str">
        <f t="shared" si="127"/>
        <v/>
      </c>
      <c r="D923" s="58" t="str">
        <f t="shared" si="122"/>
        <v/>
      </c>
      <c r="E923" s="30">
        <f t="shared" si="125"/>
        <v>1.2761624358604708E-4</v>
      </c>
      <c r="F923" s="30" t="str">
        <f t="shared" si="128"/>
        <v/>
      </c>
      <c r="G923" s="30" t="str">
        <f t="shared" si="128"/>
        <v/>
      </c>
      <c r="H923" s="30" t="str">
        <f t="shared" si="128"/>
        <v/>
      </c>
      <c r="I923" s="30" t="str">
        <f t="shared" si="123"/>
        <v/>
      </c>
    </row>
    <row r="924" spans="1:9" x14ac:dyDescent="0.25">
      <c r="A924" s="30">
        <f t="shared" si="126"/>
        <v>3.5</v>
      </c>
      <c r="B924" s="94">
        <f>INT((ROWS(B$11:B924)-1)/20)+40+0.05*MOD(ROWS(B$11:B924)-1,20)</f>
        <v>85.65</v>
      </c>
      <c r="C924" s="58" t="str">
        <f t="shared" si="127"/>
        <v/>
      </c>
      <c r="D924" s="58" t="str">
        <f t="shared" si="122"/>
        <v/>
      </c>
      <c r="E924" s="30">
        <f t="shared" si="125"/>
        <v>1.2191505584208257E-4</v>
      </c>
      <c r="F924" s="30" t="str">
        <f t="shared" si="128"/>
        <v/>
      </c>
      <c r="G924" s="30" t="str">
        <f t="shared" si="128"/>
        <v/>
      </c>
      <c r="H924" s="30" t="str">
        <f t="shared" si="128"/>
        <v/>
      </c>
      <c r="I924" s="30" t="str">
        <f t="shared" si="123"/>
        <v/>
      </c>
    </row>
    <row r="925" spans="1:9" x14ac:dyDescent="0.25">
      <c r="A925" s="30">
        <f t="shared" si="126"/>
        <v>3.5</v>
      </c>
      <c r="B925" s="94">
        <f>INT((ROWS(B$11:B925)-1)/20)+40+0.05*MOD(ROWS(B$11:B925)-1,20)</f>
        <v>85.7</v>
      </c>
      <c r="C925" s="58" t="str">
        <f t="shared" si="127"/>
        <v/>
      </c>
      <c r="D925" s="58" t="str">
        <f t="shared" si="122"/>
        <v/>
      </c>
      <c r="E925" s="30">
        <f t="shared" si="125"/>
        <v>1.1645036883375885E-4</v>
      </c>
      <c r="F925" s="30" t="str">
        <f t="shared" si="128"/>
        <v/>
      </c>
      <c r="G925" s="30" t="str">
        <f t="shared" si="128"/>
        <v/>
      </c>
      <c r="H925" s="30" t="str">
        <f t="shared" si="128"/>
        <v/>
      </c>
      <c r="I925" s="30" t="str">
        <f t="shared" si="123"/>
        <v/>
      </c>
    </row>
    <row r="926" spans="1:9" x14ac:dyDescent="0.25">
      <c r="A926" s="30">
        <f t="shared" si="126"/>
        <v>3.5</v>
      </c>
      <c r="B926" s="94">
        <f>INT((ROWS(B$11:B926)-1)/20)+40+0.05*MOD(ROWS(B$11:B926)-1,20)</f>
        <v>85.75</v>
      </c>
      <c r="C926" s="58" t="str">
        <f t="shared" si="127"/>
        <v/>
      </c>
      <c r="D926" s="58" t="str">
        <f t="shared" si="122"/>
        <v/>
      </c>
      <c r="E926" s="30">
        <f t="shared" si="125"/>
        <v>1.1121325102820257E-4</v>
      </c>
      <c r="F926" s="30" t="str">
        <f t="shared" si="128"/>
        <v/>
      </c>
      <c r="G926" s="30" t="str">
        <f t="shared" si="128"/>
        <v/>
      </c>
      <c r="H926" s="30" t="str">
        <f t="shared" si="128"/>
        <v/>
      </c>
      <c r="I926" s="30" t="str">
        <f t="shared" si="123"/>
        <v/>
      </c>
    </row>
    <row r="927" spans="1:9" x14ac:dyDescent="0.25">
      <c r="A927" s="30">
        <f t="shared" si="126"/>
        <v>3.5</v>
      </c>
      <c r="B927" s="94">
        <f>INT((ROWS(B$11:B927)-1)/20)+40+0.05*MOD(ROWS(B$11:B927)-1,20)</f>
        <v>85.8</v>
      </c>
      <c r="C927" s="58" t="str">
        <f t="shared" si="127"/>
        <v/>
      </c>
      <c r="D927" s="58" t="str">
        <f t="shared" si="122"/>
        <v/>
      </c>
      <c r="E927" s="30">
        <f t="shared" si="125"/>
        <v>1.0619506763768822E-4</v>
      </c>
      <c r="F927" s="30" t="str">
        <f t="shared" si="128"/>
        <v/>
      </c>
      <c r="G927" s="30" t="str">
        <f t="shared" si="128"/>
        <v/>
      </c>
      <c r="H927" s="30" t="str">
        <f t="shared" si="128"/>
        <v/>
      </c>
      <c r="I927" s="30" t="str">
        <f t="shared" si="123"/>
        <v/>
      </c>
    </row>
    <row r="928" spans="1:9" x14ac:dyDescent="0.25">
      <c r="A928" s="30">
        <f t="shared" si="126"/>
        <v>3.5</v>
      </c>
      <c r="B928" s="94">
        <f>INT((ROWS(B$11:B928)-1)/20)+40+0.05*MOD(ROWS(B$11:B928)-1,20)</f>
        <v>85.85</v>
      </c>
      <c r="C928" s="58" t="str">
        <f t="shared" si="127"/>
        <v/>
      </c>
      <c r="D928" s="58" t="str">
        <f t="shared" si="122"/>
        <v/>
      </c>
      <c r="E928" s="30">
        <f t="shared" si="125"/>
        <v>1.0138747254865401E-4</v>
      </c>
      <c r="F928" s="30" t="str">
        <f t="shared" si="128"/>
        <v/>
      </c>
      <c r="G928" s="30" t="str">
        <f t="shared" si="128"/>
        <v/>
      </c>
      <c r="H928" s="30" t="str">
        <f t="shared" si="128"/>
        <v/>
      </c>
      <c r="I928" s="30" t="str">
        <f t="shared" si="123"/>
        <v/>
      </c>
    </row>
    <row r="929" spans="1:9" x14ac:dyDescent="0.25">
      <c r="A929" s="30">
        <f t="shared" si="126"/>
        <v>3.5</v>
      </c>
      <c r="B929" s="94">
        <f>INT((ROWS(B$11:B929)-1)/20)+40+0.05*MOD(ROWS(B$11:B929)-1,20)</f>
        <v>85.9</v>
      </c>
      <c r="C929" s="58" t="str">
        <f t="shared" si="127"/>
        <v/>
      </c>
      <c r="D929" s="58" t="str">
        <f t="shared" si="122"/>
        <v/>
      </c>
      <c r="E929" s="30">
        <f t="shared" si="125"/>
        <v>9.6782400393896826E-5</v>
      </c>
      <c r="F929" s="30" t="str">
        <f t="shared" si="128"/>
        <v/>
      </c>
      <c r="G929" s="30" t="str">
        <f t="shared" si="128"/>
        <v/>
      </c>
      <c r="H929" s="30" t="str">
        <f t="shared" si="128"/>
        <v/>
      </c>
      <c r="I929" s="30" t="str">
        <f t="shared" si="123"/>
        <v/>
      </c>
    </row>
    <row r="930" spans="1:9" x14ac:dyDescent="0.25">
      <c r="A930" s="30">
        <f t="shared" si="126"/>
        <v>3.5</v>
      </c>
      <c r="B930" s="94">
        <f>INT((ROWS(B$11:B930)-1)/20)+40+0.05*MOD(ROWS(B$11:B930)-1,20)</f>
        <v>85.95</v>
      </c>
      <c r="C930" s="58" t="str">
        <f t="shared" si="127"/>
        <v/>
      </c>
      <c r="D930" s="58" t="str">
        <f t="shared" si="122"/>
        <v/>
      </c>
      <c r="E930" s="30">
        <f t="shared" si="125"/>
        <v>9.2372058768753335E-5</v>
      </c>
      <c r="F930" s="30" t="str">
        <f t="shared" si="128"/>
        <v/>
      </c>
      <c r="G930" s="30" t="str">
        <f t="shared" si="128"/>
        <v/>
      </c>
      <c r="H930" s="30" t="str">
        <f t="shared" si="128"/>
        <v/>
      </c>
      <c r="I930" s="30" t="str">
        <f t="shared" si="123"/>
        <v/>
      </c>
    </row>
    <row r="931" spans="1:9" x14ac:dyDescent="0.25">
      <c r="A931" s="30">
        <f t="shared" si="126"/>
        <v>3.75</v>
      </c>
      <c r="B931" s="94">
        <f>INT((ROWS(B$11:B931)-1)/20)+40+0.05*MOD(ROWS(B$11:B931)-1,20)</f>
        <v>86</v>
      </c>
      <c r="C931" s="58" t="str">
        <f t="shared" si="127"/>
        <v/>
      </c>
      <c r="D931" s="58" t="str">
        <f t="shared" si="122"/>
        <v/>
      </c>
      <c r="E931" s="30">
        <f t="shared" si="125"/>
        <v>8.8148920591861352E-5</v>
      </c>
      <c r="F931" s="30" t="str">
        <f t="shared" ref="F931:H950" si="129">IF(AND($B931&gt;=F$7,$B931&lt;=F$8),E931,"")</f>
        <v/>
      </c>
      <c r="G931" s="30" t="str">
        <f t="shared" si="129"/>
        <v/>
      </c>
      <c r="H931" s="30" t="str">
        <f t="shared" si="129"/>
        <v/>
      </c>
      <c r="I931" s="30" t="str">
        <f t="shared" si="123"/>
        <v/>
      </c>
    </row>
    <row r="932" spans="1:9" x14ac:dyDescent="0.25">
      <c r="A932" s="30">
        <f t="shared" si="126"/>
        <v>3.75</v>
      </c>
      <c r="B932" s="94">
        <f>INT((ROWS(B$11:B932)-1)/20)+40+0.05*MOD(ROWS(B$11:B932)-1,20)</f>
        <v>86.05</v>
      </c>
      <c r="C932" s="58" t="str">
        <f t="shared" si="127"/>
        <v/>
      </c>
      <c r="D932" s="58" t="str">
        <f t="shared" si="122"/>
        <v/>
      </c>
      <c r="E932" s="30">
        <f t="shared" si="125"/>
        <v>8.4105716610955778E-5</v>
      </c>
      <c r="F932" s="30" t="str">
        <f t="shared" si="129"/>
        <v/>
      </c>
      <c r="G932" s="30" t="str">
        <f t="shared" si="129"/>
        <v/>
      </c>
      <c r="H932" s="30" t="str">
        <f t="shared" si="129"/>
        <v/>
      </c>
      <c r="I932" s="30" t="str">
        <f t="shared" si="123"/>
        <v/>
      </c>
    </row>
    <row r="933" spans="1:9" x14ac:dyDescent="0.25">
      <c r="A933" s="30">
        <f t="shared" si="126"/>
        <v>3.75</v>
      </c>
      <c r="B933" s="94">
        <f>INT((ROWS(B$11:B933)-1)/20)+40+0.05*MOD(ROWS(B$11:B933)-1,20)</f>
        <v>86.1</v>
      </c>
      <c r="C933" s="58" t="str">
        <f t="shared" si="127"/>
        <v/>
      </c>
      <c r="D933" s="58" t="str">
        <f t="shared" si="122"/>
        <v/>
      </c>
      <c r="E933" s="30">
        <f t="shared" si="125"/>
        <v>8.0235428053935566E-5</v>
      </c>
      <c r="F933" s="30" t="str">
        <f t="shared" si="129"/>
        <v/>
      </c>
      <c r="G933" s="30" t="str">
        <f t="shared" si="129"/>
        <v/>
      </c>
      <c r="H933" s="30" t="str">
        <f t="shared" si="129"/>
        <v/>
      </c>
      <c r="I933" s="30" t="str">
        <f t="shared" si="123"/>
        <v/>
      </c>
    </row>
    <row r="934" spans="1:9" x14ac:dyDescent="0.25">
      <c r="A934" s="30">
        <f t="shared" si="126"/>
        <v>3.75</v>
      </c>
      <c r="B934" s="94">
        <f>INT((ROWS(B$11:B934)-1)/20)+40+0.05*MOD(ROWS(B$11:B934)-1,20)</f>
        <v>86.15</v>
      </c>
      <c r="C934" s="58" t="str">
        <f t="shared" si="127"/>
        <v/>
      </c>
      <c r="D934" s="58" t="str">
        <f t="shared" si="122"/>
        <v/>
      </c>
      <c r="E934" s="30">
        <f t="shared" si="125"/>
        <v>7.6531279425296584E-5</v>
      </c>
      <c r="F934" s="30" t="str">
        <f t="shared" si="129"/>
        <v/>
      </c>
      <c r="G934" s="30" t="str">
        <f t="shared" si="129"/>
        <v/>
      </c>
      <c r="H934" s="30" t="str">
        <f t="shared" si="129"/>
        <v/>
      </c>
      <c r="I934" s="30" t="str">
        <f t="shared" si="123"/>
        <v/>
      </c>
    </row>
    <row r="935" spans="1:9" x14ac:dyDescent="0.25">
      <c r="A935" s="30">
        <f t="shared" si="126"/>
        <v>3.75</v>
      </c>
      <c r="B935" s="94">
        <f>INT((ROWS(B$11:B935)-1)/20)+40+0.05*MOD(ROWS(B$11:B935)-1,20)</f>
        <v>86.2</v>
      </c>
      <c r="C935" s="58" t="str">
        <f t="shared" si="127"/>
        <v/>
      </c>
      <c r="D935" s="58" t="str">
        <f t="shared" si="122"/>
        <v/>
      </c>
      <c r="E935" s="30">
        <f t="shared" si="125"/>
        <v>7.2986731447864878E-5</v>
      </c>
      <c r="F935" s="30" t="str">
        <f t="shared" si="129"/>
        <v/>
      </c>
      <c r="G935" s="30" t="str">
        <f t="shared" si="129"/>
        <v/>
      </c>
      <c r="H935" s="30" t="str">
        <f t="shared" si="129"/>
        <v/>
      </c>
      <c r="I935" s="30" t="str">
        <f t="shared" si="123"/>
        <v/>
      </c>
    </row>
    <row r="936" spans="1:9" x14ac:dyDescent="0.25">
      <c r="A936" s="30">
        <f t="shared" si="126"/>
        <v>3.75</v>
      </c>
      <c r="B936" s="94">
        <f>INT((ROWS(B$11:B936)-1)/20)+40+0.05*MOD(ROWS(B$11:B936)-1,20)</f>
        <v>86.25</v>
      </c>
      <c r="C936" s="58" t="str">
        <f t="shared" si="127"/>
        <v/>
      </c>
      <c r="D936" s="58" t="str">
        <f t="shared" si="122"/>
        <v/>
      </c>
      <c r="E936" s="30">
        <f t="shared" si="125"/>
        <v>6.9595474149590522E-5</v>
      </c>
      <c r="F936" s="30" t="str">
        <f t="shared" si="129"/>
        <v/>
      </c>
      <c r="G936" s="30" t="str">
        <f t="shared" si="129"/>
        <v/>
      </c>
      <c r="H936" s="30" t="str">
        <f t="shared" si="129"/>
        <v/>
      </c>
      <c r="I936" s="30" t="str">
        <f t="shared" si="123"/>
        <v/>
      </c>
    </row>
    <row r="937" spans="1:9" x14ac:dyDescent="0.25">
      <c r="A937" s="30">
        <f t="shared" si="126"/>
        <v>3.75</v>
      </c>
      <c r="B937" s="94">
        <f>INT((ROWS(B$11:B937)-1)/20)+40+0.05*MOD(ROWS(B$11:B937)-1,20)</f>
        <v>86.3</v>
      </c>
      <c r="C937" s="58" t="str">
        <f t="shared" si="127"/>
        <v/>
      </c>
      <c r="D937" s="58" t="str">
        <f t="shared" si="122"/>
        <v/>
      </c>
      <c r="E937" s="30">
        <f t="shared" si="125"/>
        <v>6.6351420095057308E-5</v>
      </c>
      <c r="F937" s="30" t="str">
        <f t="shared" si="129"/>
        <v/>
      </c>
      <c r="G937" s="30" t="str">
        <f t="shared" si="129"/>
        <v/>
      </c>
      <c r="H937" s="30" t="str">
        <f t="shared" si="129"/>
        <v/>
      </c>
      <c r="I937" s="30" t="str">
        <f t="shared" si="123"/>
        <v/>
      </c>
    </row>
    <row r="938" spans="1:9" x14ac:dyDescent="0.25">
      <c r="A938" s="30">
        <f t="shared" si="126"/>
        <v>3.75</v>
      </c>
      <c r="B938" s="94">
        <f>INT((ROWS(B$11:B938)-1)/20)+40+0.05*MOD(ROWS(B$11:B938)-1,20)</f>
        <v>86.35</v>
      </c>
      <c r="C938" s="58" t="str">
        <f t="shared" si="127"/>
        <v/>
      </c>
      <c r="D938" s="58" t="str">
        <f t="shared" si="122"/>
        <v/>
      </c>
      <c r="E938" s="30">
        <f t="shared" si="125"/>
        <v>6.3248697761185394E-5</v>
      </c>
      <c r="F938" s="30" t="str">
        <f t="shared" si="129"/>
        <v/>
      </c>
      <c r="G938" s="30" t="str">
        <f t="shared" si="129"/>
        <v/>
      </c>
      <c r="H938" s="30" t="str">
        <f t="shared" si="129"/>
        <v/>
      </c>
      <c r="I938" s="30" t="str">
        <f t="shared" si="123"/>
        <v/>
      </c>
    </row>
    <row r="939" spans="1:9" x14ac:dyDescent="0.25">
      <c r="A939" s="30">
        <f t="shared" si="126"/>
        <v>3.75</v>
      </c>
      <c r="B939" s="94">
        <f>INT((ROWS(B$11:B939)-1)/20)+40+0.05*MOD(ROWS(B$11:B939)-1,20)</f>
        <v>86.4</v>
      </c>
      <c r="C939" s="58" t="str">
        <f t="shared" si="127"/>
        <v/>
      </c>
      <c r="D939" s="58" t="str">
        <f t="shared" si="122"/>
        <v/>
      </c>
      <c r="E939" s="30">
        <f t="shared" si="125"/>
        <v>6.0281645056498038E-5</v>
      </c>
      <c r="F939" s="30" t="str">
        <f t="shared" si="129"/>
        <v/>
      </c>
      <c r="G939" s="30" t="str">
        <f t="shared" si="129"/>
        <v/>
      </c>
      <c r="H939" s="30" t="str">
        <f t="shared" si="129"/>
        <v/>
      </c>
      <c r="I939" s="30" t="str">
        <f t="shared" si="123"/>
        <v/>
      </c>
    </row>
    <row r="940" spans="1:9" x14ac:dyDescent="0.25">
      <c r="A940" s="30">
        <f t="shared" si="126"/>
        <v>3.75</v>
      </c>
      <c r="B940" s="94">
        <f>INT((ROWS(B$11:B940)-1)/20)+40+0.05*MOD(ROWS(B$11:B940)-1,20)</f>
        <v>86.45</v>
      </c>
      <c r="C940" s="58" t="str">
        <f t="shared" si="127"/>
        <v/>
      </c>
      <c r="D940" s="58" t="str">
        <f t="shared" si="122"/>
        <v/>
      </c>
      <c r="E940" s="30">
        <f t="shared" si="125"/>
        <v>5.7444802983196287E-5</v>
      </c>
      <c r="F940" s="30" t="str">
        <f t="shared" si="129"/>
        <v/>
      </c>
      <c r="G940" s="30" t="str">
        <f t="shared" si="129"/>
        <v/>
      </c>
      <c r="H940" s="30" t="str">
        <f t="shared" si="129"/>
        <v/>
      </c>
      <c r="I940" s="30" t="str">
        <f t="shared" si="123"/>
        <v/>
      </c>
    </row>
    <row r="941" spans="1:9" x14ac:dyDescent="0.25">
      <c r="A941" s="30">
        <f t="shared" si="126"/>
        <v>3.75</v>
      </c>
      <c r="B941" s="94">
        <f>INT((ROWS(B$11:B941)-1)/20)+40+0.05*MOD(ROWS(B$11:B941)-1,20)</f>
        <v>86.5</v>
      </c>
      <c r="C941" s="58" t="str">
        <f t="shared" si="127"/>
        <v/>
      </c>
      <c r="D941" s="58" t="str">
        <f t="shared" ref="D941:D1004" si="130">IF(ISNUMBER(MATCH(B941,$K$2:$K$8,0)),TEXT(B941,"0\""")&amp;CHAR(10)&amp;TEXT((B941-$F$1)/$F$2," 0 z"),"")</f>
        <v/>
      </c>
      <c r="E941" s="30">
        <f t="shared" si="125"/>
        <v>5.4732909441153025E-5</v>
      </c>
      <c r="F941" s="30" t="str">
        <f t="shared" si="129"/>
        <v/>
      </c>
      <c r="G941" s="30" t="str">
        <f t="shared" si="129"/>
        <v/>
      </c>
      <c r="H941" s="30" t="str">
        <f t="shared" si="129"/>
        <v/>
      </c>
      <c r="I941" s="30" t="str">
        <f t="shared" si="123"/>
        <v/>
      </c>
    </row>
    <row r="942" spans="1:9" x14ac:dyDescent="0.25">
      <c r="A942" s="30">
        <f t="shared" si="126"/>
        <v>3.75</v>
      </c>
      <c r="B942" s="94">
        <f>INT((ROWS(B$11:B942)-1)/20)+40+0.05*MOD(ROWS(B$11:B942)-1,20)</f>
        <v>86.55</v>
      </c>
      <c r="C942" s="58" t="str">
        <f t="shared" si="127"/>
        <v/>
      </c>
      <c r="D942" s="58" t="str">
        <f t="shared" si="130"/>
        <v/>
      </c>
      <c r="E942" s="30">
        <f t="shared" si="125"/>
        <v>5.2140893172855465E-5</v>
      </c>
      <c r="F942" s="30" t="str">
        <f t="shared" si="129"/>
        <v/>
      </c>
      <c r="G942" s="30" t="str">
        <f t="shared" si="129"/>
        <v/>
      </c>
      <c r="H942" s="30" t="str">
        <f t="shared" si="129"/>
        <v/>
      </c>
      <c r="I942" s="30" t="str">
        <f t="shared" ref="I942:I960" si="131">IF(AND(B942&gt;=$F$1-0.05,B942&lt;=$F$1+0.05),E942,"")</f>
        <v/>
      </c>
    </row>
    <row r="943" spans="1:9" x14ac:dyDescent="0.25">
      <c r="A943" s="30">
        <f t="shared" si="126"/>
        <v>3.75</v>
      </c>
      <c r="B943" s="94">
        <f>INT((ROWS(B$11:B943)-1)/20)+40+0.05*MOD(ROWS(B$11:B943)-1,20)</f>
        <v>86.6</v>
      </c>
      <c r="C943" s="58" t="str">
        <f t="shared" si="127"/>
        <v/>
      </c>
      <c r="D943" s="58" t="str">
        <f t="shared" si="130"/>
        <v/>
      </c>
      <c r="E943" s="30">
        <f t="shared" si="125"/>
        <v>4.9663867848193437E-5</v>
      </c>
      <c r="F943" s="30" t="str">
        <f t="shared" si="129"/>
        <v/>
      </c>
      <c r="G943" s="30" t="str">
        <f t="shared" si="129"/>
        <v/>
      </c>
      <c r="H943" s="30" t="str">
        <f t="shared" si="129"/>
        <v/>
      </c>
      <c r="I943" s="30" t="str">
        <f t="shared" si="131"/>
        <v/>
      </c>
    </row>
    <row r="944" spans="1:9" x14ac:dyDescent="0.25">
      <c r="A944" s="30">
        <f t="shared" si="126"/>
        <v>3.75</v>
      </c>
      <c r="B944" s="94">
        <f>INT((ROWS(B$11:B944)-1)/20)+40+0.05*MOD(ROWS(B$11:B944)-1,20)</f>
        <v>86.65</v>
      </c>
      <c r="C944" s="58" t="str">
        <f t="shared" si="127"/>
        <v/>
      </c>
      <c r="D944" s="58" t="str">
        <f t="shared" si="130"/>
        <v/>
      </c>
      <c r="E944" s="30">
        <f t="shared" si="125"/>
        <v>4.7297126287907728E-5</v>
      </c>
      <c r="F944" s="30" t="str">
        <f t="shared" si="129"/>
        <v/>
      </c>
      <c r="G944" s="30" t="str">
        <f t="shared" si="129"/>
        <v/>
      </c>
      <c r="H944" s="30" t="str">
        <f t="shared" si="129"/>
        <v/>
      </c>
      <c r="I944" s="30" t="str">
        <f t="shared" si="131"/>
        <v/>
      </c>
    </row>
    <row r="945" spans="1:9" x14ac:dyDescent="0.25">
      <c r="A945" s="30">
        <f t="shared" si="126"/>
        <v>3.75</v>
      </c>
      <c r="B945" s="94">
        <f>INT((ROWS(B$11:B945)-1)/20)+40+0.05*MOD(ROWS(B$11:B945)-1,20)</f>
        <v>86.7</v>
      </c>
      <c r="C945" s="58" t="str">
        <f t="shared" si="127"/>
        <v/>
      </c>
      <c r="D945" s="58" t="str">
        <f t="shared" si="130"/>
        <v/>
      </c>
      <c r="E945" s="30">
        <f t="shared" si="125"/>
        <v>4.503613482442204E-5</v>
      </c>
      <c r="F945" s="30" t="str">
        <f t="shared" si="129"/>
        <v/>
      </c>
      <c r="G945" s="30" t="str">
        <f t="shared" si="129"/>
        <v/>
      </c>
      <c r="H945" s="30" t="str">
        <f t="shared" si="129"/>
        <v/>
      </c>
      <c r="I945" s="30" t="str">
        <f t="shared" si="131"/>
        <v/>
      </c>
    </row>
    <row r="946" spans="1:9" x14ac:dyDescent="0.25">
      <c r="A946" s="30">
        <f t="shared" si="126"/>
        <v>3.75</v>
      </c>
      <c r="B946" s="94">
        <f>INT((ROWS(B$11:B946)-1)/20)+40+0.05*MOD(ROWS(B$11:B946)-1,20)</f>
        <v>86.75</v>
      </c>
      <c r="C946" s="58" t="str">
        <f t="shared" si="127"/>
        <v/>
      </c>
      <c r="D946" s="58" t="str">
        <f t="shared" si="130"/>
        <v/>
      </c>
      <c r="E946" s="30">
        <f t="shared" si="125"/>
        <v>4.2876527798680873E-5</v>
      </c>
      <c r="F946" s="30" t="str">
        <f t="shared" si="129"/>
        <v/>
      </c>
      <c r="G946" s="30" t="str">
        <f t="shared" si="129"/>
        <v/>
      </c>
      <c r="H946" s="30" t="str">
        <f t="shared" si="129"/>
        <v/>
      </c>
      <c r="I946" s="30" t="str">
        <f t="shared" si="131"/>
        <v/>
      </c>
    </row>
    <row r="947" spans="1:9" x14ac:dyDescent="0.25">
      <c r="A947" s="30">
        <f t="shared" si="126"/>
        <v>3.75</v>
      </c>
      <c r="B947" s="94">
        <f>INT((ROWS(B$11:B947)-1)/20)+40+0.05*MOD(ROWS(B$11:B947)-1,20)</f>
        <v>86.8</v>
      </c>
      <c r="C947" s="58" t="str">
        <f t="shared" si="127"/>
        <v/>
      </c>
      <c r="D947" s="58" t="str">
        <f t="shared" si="130"/>
        <v/>
      </c>
      <c r="E947" s="30">
        <f t="shared" si="125"/>
        <v>4.0814102191560646E-5</v>
      </c>
      <c r="F947" s="30" t="str">
        <f t="shared" si="129"/>
        <v/>
      </c>
      <c r="G947" s="30" t="str">
        <f t="shared" si="129"/>
        <v/>
      </c>
      <c r="H947" s="30" t="str">
        <f t="shared" si="129"/>
        <v/>
      </c>
      <c r="I947" s="30" t="str">
        <f t="shared" si="131"/>
        <v/>
      </c>
    </row>
    <row r="948" spans="1:9" x14ac:dyDescent="0.25">
      <c r="A948" s="30">
        <f t="shared" si="126"/>
        <v>3.75</v>
      </c>
      <c r="B948" s="94">
        <f>INT((ROWS(B$11:B948)-1)/20)+40+0.05*MOD(ROWS(B$11:B948)-1,20)</f>
        <v>86.85</v>
      </c>
      <c r="C948" s="58" t="str">
        <f t="shared" si="127"/>
        <v/>
      </c>
      <c r="D948" s="58" t="str">
        <f t="shared" si="130"/>
        <v/>
      </c>
      <c r="E948" s="30">
        <f t="shared" si="125"/>
        <v>3.8844812388322232E-5</v>
      </c>
      <c r="F948" s="30" t="str">
        <f t="shared" si="129"/>
        <v/>
      </c>
      <c r="G948" s="30" t="str">
        <f t="shared" si="129"/>
        <v/>
      </c>
      <c r="H948" s="30" t="str">
        <f t="shared" si="129"/>
        <v/>
      </c>
      <c r="I948" s="30" t="str">
        <f t="shared" si="131"/>
        <v/>
      </c>
    </row>
    <row r="949" spans="1:9" x14ac:dyDescent="0.25">
      <c r="A949" s="30">
        <f t="shared" si="126"/>
        <v>3.75</v>
      </c>
      <c r="B949" s="94">
        <f>INT((ROWS(B$11:B949)-1)/20)+40+0.05*MOD(ROWS(B$11:B949)-1,20)</f>
        <v>86.9</v>
      </c>
      <c r="C949" s="58" t="str">
        <f t="shared" si="127"/>
        <v/>
      </c>
      <c r="D949" s="58" t="str">
        <f t="shared" si="130"/>
        <v/>
      </c>
      <c r="E949" s="30">
        <f t="shared" si="125"/>
        <v>3.6964765074518204E-5</v>
      </c>
      <c r="F949" s="30" t="str">
        <f t="shared" si="129"/>
        <v/>
      </c>
      <c r="G949" s="30" t="str">
        <f t="shared" si="129"/>
        <v/>
      </c>
      <c r="H949" s="30" t="str">
        <f t="shared" si="129"/>
        <v/>
      </c>
      <c r="I949" s="30" t="str">
        <f t="shared" si="131"/>
        <v/>
      </c>
    </row>
    <row r="950" spans="1:9" x14ac:dyDescent="0.25">
      <c r="A950" s="30">
        <f t="shared" si="126"/>
        <v>3.75</v>
      </c>
      <c r="B950" s="94">
        <f>INT((ROWS(B$11:B950)-1)/20)+40+0.05*MOD(ROWS(B$11:B950)-1,20)</f>
        <v>86.95</v>
      </c>
      <c r="C950" s="58" t="str">
        <f t="shared" si="127"/>
        <v/>
      </c>
      <c r="D950" s="58" t="str">
        <f t="shared" si="130"/>
        <v/>
      </c>
      <c r="E950" s="30">
        <f t="shared" si="125"/>
        <v>3.5170214261702399E-5</v>
      </c>
      <c r="F950" s="30" t="str">
        <f t="shared" si="129"/>
        <v/>
      </c>
      <c r="G950" s="30" t="str">
        <f t="shared" si="129"/>
        <v/>
      </c>
      <c r="H950" s="30" t="str">
        <f t="shared" si="129"/>
        <v/>
      </c>
      <c r="I950" s="30" t="str">
        <f t="shared" si="131"/>
        <v/>
      </c>
    </row>
    <row r="951" spans="1:9" x14ac:dyDescent="0.25">
      <c r="A951" s="30">
        <f t="shared" si="126"/>
        <v>4</v>
      </c>
      <c r="B951" s="94">
        <f>INT((ROWS(B$11:B951)-1)/20)+40+0.05*MOD(ROWS(B$11:B951)-1,20)</f>
        <v>87</v>
      </c>
      <c r="C951" s="58">
        <f t="shared" si="127"/>
        <v>4</v>
      </c>
      <c r="D951" s="58" t="str">
        <f t="shared" si="130"/>
        <v/>
      </c>
      <c r="E951" s="30">
        <f t="shared" si="125"/>
        <v>3.3457556441221342E-5</v>
      </c>
      <c r="F951" s="30" t="str">
        <f t="shared" ref="F951:H970" si="132">IF(AND($B951&gt;=F$7,$B951&lt;=F$8),E951,"")</f>
        <v/>
      </c>
      <c r="G951" s="30" t="str">
        <f t="shared" si="132"/>
        <v/>
      </c>
      <c r="H951" s="30" t="str">
        <f t="shared" si="132"/>
        <v/>
      </c>
      <c r="I951" s="30" t="str">
        <f t="shared" si="131"/>
        <v/>
      </c>
    </row>
    <row r="952" spans="1:9" x14ac:dyDescent="0.25">
      <c r="A952" s="30">
        <f t="shared" si="126"/>
        <v>4</v>
      </c>
      <c r="B952" s="94">
        <f>INT((ROWS(B$11:B952)-1)/20)+40+0.05*MOD(ROWS(B$11:B952)-1,20)</f>
        <v>87.05</v>
      </c>
      <c r="C952" s="58" t="str">
        <f t="shared" si="127"/>
        <v/>
      </c>
      <c r="D952" s="58" t="str">
        <f t="shared" si="130"/>
        <v/>
      </c>
      <c r="E952" s="30">
        <f t="shared" si="125"/>
        <v>3.1823325864330464E-5</v>
      </c>
      <c r="F952" s="30" t="str">
        <f t="shared" si="132"/>
        <v/>
      </c>
      <c r="G952" s="30" t="str">
        <f t="shared" si="132"/>
        <v/>
      </c>
      <c r="H952" s="30" t="str">
        <f t="shared" si="132"/>
        <v/>
      </c>
      <c r="I952" s="30" t="str">
        <f t="shared" si="131"/>
        <v/>
      </c>
    </row>
    <row r="953" spans="1:9" x14ac:dyDescent="0.25">
      <c r="A953" s="30">
        <f t="shared" si="126"/>
        <v>4</v>
      </c>
      <c r="B953" s="94">
        <f>INT((ROWS(B$11:B953)-1)/20)+40+0.05*MOD(ROWS(B$11:B953)-1,20)</f>
        <v>87.1</v>
      </c>
      <c r="C953" s="58" t="str">
        <f t="shared" si="127"/>
        <v/>
      </c>
      <c r="D953" s="58" t="str">
        <f t="shared" si="130"/>
        <v/>
      </c>
      <c r="E953" s="30">
        <f t="shared" si="125"/>
        <v>3.0264189946811315E-5</v>
      </c>
      <c r="F953" s="30" t="str">
        <f t="shared" si="132"/>
        <v/>
      </c>
      <c r="G953" s="30" t="str">
        <f t="shared" si="132"/>
        <v/>
      </c>
      <c r="H953" s="30" t="str">
        <f t="shared" si="132"/>
        <v/>
      </c>
      <c r="I953" s="30" t="str">
        <f t="shared" si="131"/>
        <v/>
      </c>
    </row>
    <row r="954" spans="1:9" x14ac:dyDescent="0.25">
      <c r="A954" s="30">
        <f t="shared" si="126"/>
        <v>4</v>
      </c>
      <c r="B954" s="94">
        <f>INT((ROWS(B$11:B954)-1)/20)+40+0.05*MOD(ROWS(B$11:B954)-1,20)</f>
        <v>87.15</v>
      </c>
      <c r="C954" s="58" t="str">
        <f t="shared" si="127"/>
        <v/>
      </c>
      <c r="D954" s="58" t="str">
        <f t="shared" si="130"/>
        <v/>
      </c>
      <c r="E954" s="30">
        <f t="shared" si="125"/>
        <v>2.8776944796231722E-5</v>
      </c>
      <c r="F954" s="30" t="str">
        <f t="shared" si="132"/>
        <v/>
      </c>
      <c r="G954" s="30" t="str">
        <f t="shared" si="132"/>
        <v/>
      </c>
      <c r="H954" s="30" t="str">
        <f t="shared" si="132"/>
        <v/>
      </c>
      <c r="I954" s="30" t="str">
        <f t="shared" si="131"/>
        <v/>
      </c>
    </row>
    <row r="955" spans="1:9" x14ac:dyDescent="0.25">
      <c r="A955" s="30">
        <f t="shared" si="126"/>
        <v>4</v>
      </c>
      <c r="B955" s="94">
        <f>INT((ROWS(B$11:B955)-1)/20)+40+0.05*MOD(ROWS(B$11:B955)-1,20)</f>
        <v>87.2</v>
      </c>
      <c r="C955" s="58" t="str">
        <f t="shared" si="127"/>
        <v/>
      </c>
      <c r="D955" s="58" t="str">
        <f t="shared" si="130"/>
        <v/>
      </c>
      <c r="E955" s="30">
        <f t="shared" si="125"/>
        <v>2.735851085995004E-5</v>
      </c>
      <c r="F955" s="30" t="str">
        <f t="shared" si="132"/>
        <v/>
      </c>
      <c r="G955" s="30" t="str">
        <f t="shared" si="132"/>
        <v/>
      </c>
      <c r="H955" s="30" t="str">
        <f t="shared" si="132"/>
        <v/>
      </c>
      <c r="I955" s="30" t="str">
        <f t="shared" si="131"/>
        <v/>
      </c>
    </row>
    <row r="956" spans="1:9" x14ac:dyDescent="0.25">
      <c r="A956" s="30">
        <f t="shared" si="126"/>
        <v>4</v>
      </c>
      <c r="B956" s="94">
        <f>INT((ROWS(B$11:B956)-1)/20)+40+0.05*MOD(ROWS(B$11:B956)-1,20)</f>
        <v>87.25</v>
      </c>
      <c r="C956" s="58" t="str">
        <f t="shared" si="127"/>
        <v/>
      </c>
      <c r="D956" s="58" t="str">
        <f t="shared" si="130"/>
        <v/>
      </c>
      <c r="E956" s="30">
        <f t="shared" si="125"/>
        <v>2.6005928691920975E-5</v>
      </c>
      <c r="F956" s="30" t="str">
        <f t="shared" si="132"/>
        <v/>
      </c>
      <c r="G956" s="30" t="str">
        <f t="shared" si="132"/>
        <v/>
      </c>
      <c r="H956" s="30" t="str">
        <f t="shared" si="132"/>
        <v/>
      </c>
      <c r="I956" s="30" t="str">
        <f t="shared" si="131"/>
        <v/>
      </c>
    </row>
    <row r="957" spans="1:9" x14ac:dyDescent="0.25">
      <c r="A957" s="30">
        <f t="shared" si="126"/>
        <v>4</v>
      </c>
      <c r="B957" s="94">
        <f>INT((ROWS(B$11:B957)-1)/20)+40+0.05*MOD(ROWS(B$11:B957)-1,20)</f>
        <v>87.3</v>
      </c>
      <c r="C957" s="58" t="str">
        <f t="shared" si="127"/>
        <v/>
      </c>
      <c r="D957" s="58" t="str">
        <f t="shared" si="130"/>
        <v/>
      </c>
      <c r="E957" s="30">
        <f t="shared" si="125"/>
        <v>2.4716354836342382E-5</v>
      </c>
      <c r="F957" s="30" t="str">
        <f t="shared" si="132"/>
        <v/>
      </c>
      <c r="G957" s="30" t="str">
        <f t="shared" si="132"/>
        <v/>
      </c>
      <c r="H957" s="30" t="str">
        <f t="shared" si="132"/>
        <v/>
      </c>
      <c r="I957" s="30" t="str">
        <f t="shared" si="131"/>
        <v/>
      </c>
    </row>
    <row r="958" spans="1:9" x14ac:dyDescent="0.25">
      <c r="A958" s="30">
        <f t="shared" si="126"/>
        <v>4</v>
      </c>
      <c r="B958" s="94">
        <f>INT((ROWS(B$11:B958)-1)/20)+40+0.05*MOD(ROWS(B$11:B958)-1,20)</f>
        <v>87.35</v>
      </c>
      <c r="C958" s="58" t="str">
        <f t="shared" si="127"/>
        <v/>
      </c>
      <c r="D958" s="58" t="str">
        <f t="shared" si="130"/>
        <v/>
      </c>
      <c r="E958" s="30">
        <f t="shared" si="125"/>
        <v>2.3487057826141584E-5</v>
      </c>
      <c r="F958" s="30" t="str">
        <f t="shared" si="132"/>
        <v/>
      </c>
      <c r="G958" s="30" t="str">
        <f t="shared" si="132"/>
        <v/>
      </c>
      <c r="H958" s="30" t="str">
        <f t="shared" si="132"/>
        <v/>
      </c>
      <c r="I958" s="30" t="str">
        <f t="shared" si="131"/>
        <v/>
      </c>
    </row>
    <row r="959" spans="1:9" x14ac:dyDescent="0.25">
      <c r="A959" s="30">
        <f t="shared" si="126"/>
        <v>4</v>
      </c>
      <c r="B959" s="94">
        <f>INT((ROWS(B$11:B959)-1)/20)+40+0.05*MOD(ROWS(B$11:B959)-1,20)</f>
        <v>87.4</v>
      </c>
      <c r="C959" s="58" t="str">
        <f t="shared" si="127"/>
        <v/>
      </c>
      <c r="D959" s="58" t="str">
        <f t="shared" si="130"/>
        <v/>
      </c>
      <c r="E959" s="30">
        <f t="shared" si="125"/>
        <v>2.2315414294283076E-5</v>
      </c>
      <c r="F959" s="30" t="str">
        <f t="shared" si="132"/>
        <v/>
      </c>
      <c r="G959" s="30" t="str">
        <f t="shared" si="132"/>
        <v/>
      </c>
      <c r="H959" s="30" t="str">
        <f t="shared" si="132"/>
        <v/>
      </c>
      <c r="I959" s="30" t="str">
        <f t="shared" si="131"/>
        <v/>
      </c>
    </row>
    <row r="960" spans="1:9" x14ac:dyDescent="0.25">
      <c r="A960" s="30">
        <f t="shared" si="126"/>
        <v>4</v>
      </c>
      <c r="B960" s="94">
        <f>INT((ROWS(B$11:B960)-1)/20)+40+0.05*MOD(ROWS(B$11:B960)-1,20)</f>
        <v>87.45</v>
      </c>
      <c r="C960" s="58" t="str">
        <f t="shared" si="127"/>
        <v/>
      </c>
      <c r="D960" s="58" t="str">
        <f t="shared" si="130"/>
        <v/>
      </c>
      <c r="E960" s="30">
        <f t="shared" si="125"/>
        <v>2.1198905195858671E-5</v>
      </c>
      <c r="F960" s="30" t="str">
        <f t="shared" si="132"/>
        <v/>
      </c>
      <c r="G960" s="30" t="str">
        <f t="shared" si="132"/>
        <v/>
      </c>
      <c r="H960" s="30" t="str">
        <f t="shared" si="132"/>
        <v/>
      </c>
      <c r="I960" s="30" t="str">
        <f t="shared" si="131"/>
        <v/>
      </c>
    </row>
    <row r="961" spans="1:9" hidden="1" x14ac:dyDescent="0.25">
      <c r="A961" s="30">
        <f t="shared" si="126"/>
        <v>4</v>
      </c>
      <c r="B961" s="94">
        <f>INT((ROWS(B$11:B961)-1)/20)+40+0.05*MOD(ROWS(B$11:B961)-1,20)</f>
        <v>87.5</v>
      </c>
      <c r="C961" s="58" t="str">
        <f t="shared" si="127"/>
        <v/>
      </c>
      <c r="D961" s="58" t="str">
        <f t="shared" si="130"/>
        <v/>
      </c>
      <c r="E961" s="30">
        <f t="shared" si="125"/>
        <v>2.0135112138898535E-5</v>
      </c>
      <c r="F961" s="30" t="str">
        <f t="shared" si="132"/>
        <v/>
      </c>
      <c r="G961" s="30" t="str">
        <f t="shared" si="132"/>
        <v/>
      </c>
      <c r="H961" s="30" t="str">
        <f t="shared" si="132"/>
        <v/>
      </c>
      <c r="I961" s="30" t="str">
        <f t="shared" ref="I961:I1024" si="133">IF(AND(B961&gt;=$F$1-0.1,B961&lt;=$F$1+0.1),E961,"")</f>
        <v/>
      </c>
    </row>
    <row r="962" spans="1:9" hidden="1" x14ac:dyDescent="0.25">
      <c r="A962" s="30">
        <f t="shared" si="126"/>
        <v>4</v>
      </c>
      <c r="B962" s="94">
        <f>INT((ROWS(B$11:B962)-1)/20)+40+0.05*MOD(ROWS(B$11:B962)-1,20)</f>
        <v>87.55</v>
      </c>
      <c r="C962" s="58" t="str">
        <f t="shared" si="127"/>
        <v/>
      </c>
      <c r="D962" s="58" t="str">
        <f t="shared" si="130"/>
        <v/>
      </c>
      <c r="E962" s="30">
        <f t="shared" si="125"/>
        <v>1.912171382183933E-5</v>
      </c>
      <c r="F962" s="30" t="str">
        <f t="shared" si="132"/>
        <v/>
      </c>
      <c r="G962" s="30" t="str">
        <f t="shared" si="132"/>
        <v/>
      </c>
      <c r="H962" s="30" t="str">
        <f t="shared" si="132"/>
        <v/>
      </c>
      <c r="I962" s="30" t="str">
        <f t="shared" si="133"/>
        <v/>
      </c>
    </row>
    <row r="963" spans="1:9" hidden="1" x14ac:dyDescent="0.25">
      <c r="A963" s="30">
        <f t="shared" si="126"/>
        <v>4</v>
      </c>
      <c r="B963" s="94">
        <f>INT((ROWS(B$11:B963)-1)/20)+40+0.05*MOD(ROWS(B$11:B963)-1,20)</f>
        <v>87.6</v>
      </c>
      <c r="C963" s="58" t="str">
        <f t="shared" si="127"/>
        <v/>
      </c>
      <c r="D963" s="58" t="str">
        <f t="shared" si="130"/>
        <v/>
      </c>
      <c r="E963" s="30">
        <f t="shared" si="125"/>
        <v>1.8156482575563213E-5</v>
      </c>
      <c r="F963" s="30" t="str">
        <f t="shared" si="132"/>
        <v/>
      </c>
      <c r="G963" s="30" t="str">
        <f t="shared" si="132"/>
        <v/>
      </c>
      <c r="H963" s="30" t="str">
        <f t="shared" si="132"/>
        <v/>
      </c>
      <c r="I963" s="30" t="str">
        <f t="shared" si="133"/>
        <v/>
      </c>
    </row>
    <row r="964" spans="1:9" hidden="1" x14ac:dyDescent="0.25">
      <c r="A964" s="30">
        <f t="shared" si="126"/>
        <v>4</v>
      </c>
      <c r="B964" s="94">
        <f>INT((ROWS(B$11:B964)-1)/20)+40+0.05*MOD(ROWS(B$11:B964)-1,20)</f>
        <v>87.65</v>
      </c>
      <c r="C964" s="58" t="str">
        <f t="shared" si="127"/>
        <v/>
      </c>
      <c r="D964" s="58" t="str">
        <f t="shared" si="130"/>
        <v/>
      </c>
      <c r="E964" s="30">
        <f t="shared" si="125"/>
        <v>1.7237281007921997E-5</v>
      </c>
      <c r="F964" s="30" t="str">
        <f t="shared" si="132"/>
        <v/>
      </c>
      <c r="G964" s="30" t="str">
        <f t="shared" si="132"/>
        <v/>
      </c>
      <c r="H964" s="30" t="str">
        <f t="shared" si="132"/>
        <v/>
      </c>
      <c r="I964" s="30" t="str">
        <f t="shared" si="133"/>
        <v/>
      </c>
    </row>
    <row r="965" spans="1:9" hidden="1" x14ac:dyDescent="0.25">
      <c r="A965" s="30">
        <f t="shared" si="126"/>
        <v>4</v>
      </c>
      <c r="B965" s="94">
        <f>INT((ROWS(B$11:B965)-1)/20)+40+0.05*MOD(ROWS(B$11:B965)-1,20)</f>
        <v>87.7</v>
      </c>
      <c r="C965" s="58" t="str">
        <f t="shared" si="127"/>
        <v/>
      </c>
      <c r="D965" s="58" t="str">
        <f t="shared" si="130"/>
        <v/>
      </c>
      <c r="E965" s="30">
        <f t="shared" si="125"/>
        <v>1.6362058748655138E-5</v>
      </c>
      <c r="F965" s="30" t="str">
        <f t="shared" si="132"/>
        <v/>
      </c>
      <c r="G965" s="30" t="str">
        <f t="shared" si="132"/>
        <v/>
      </c>
      <c r="H965" s="30" t="str">
        <f t="shared" si="132"/>
        <v/>
      </c>
      <c r="I965" s="30" t="str">
        <f t="shared" si="133"/>
        <v/>
      </c>
    </row>
    <row r="966" spans="1:9" hidden="1" x14ac:dyDescent="0.25">
      <c r="A966" s="30">
        <f t="shared" si="126"/>
        <v>4</v>
      </c>
      <c r="B966" s="94">
        <f>INT((ROWS(B$11:B966)-1)/20)+40+0.05*MOD(ROWS(B$11:B966)-1,20)</f>
        <v>87.75</v>
      </c>
      <c r="C966" s="58" t="str">
        <f t="shared" si="127"/>
        <v/>
      </c>
      <c r="D966" s="58" t="str">
        <f t="shared" si="130"/>
        <v/>
      </c>
      <c r="E966" s="30">
        <f t="shared" si="125"/>
        <v>1.5528849292604042E-5</v>
      </c>
      <c r="F966" s="30" t="str">
        <f t="shared" si="132"/>
        <v/>
      </c>
      <c r="G966" s="30" t="str">
        <f t="shared" si="132"/>
        <v/>
      </c>
      <c r="H966" s="30" t="str">
        <f t="shared" si="132"/>
        <v/>
      </c>
      <c r="I966" s="30" t="str">
        <f t="shared" si="133"/>
        <v/>
      </c>
    </row>
    <row r="967" spans="1:9" hidden="1" x14ac:dyDescent="0.25">
      <c r="A967" s="30">
        <f t="shared" si="126"/>
        <v>4</v>
      </c>
      <c r="B967" s="94">
        <f>INT((ROWS(B$11:B967)-1)/20)+40+0.05*MOD(ROWS(B$11:B967)-1,20)</f>
        <v>87.8</v>
      </c>
      <c r="C967" s="58" t="str">
        <f t="shared" si="127"/>
        <v/>
      </c>
      <c r="D967" s="58" t="str">
        <f t="shared" si="130"/>
        <v/>
      </c>
      <c r="E967" s="30">
        <f t="shared" si="125"/>
        <v>1.4735766939135015E-5</v>
      </c>
      <c r="F967" s="30" t="str">
        <f t="shared" si="132"/>
        <v/>
      </c>
      <c r="G967" s="30" t="str">
        <f t="shared" si="132"/>
        <v/>
      </c>
      <c r="H967" s="30" t="str">
        <f t="shared" si="132"/>
        <v/>
      </c>
      <c r="I967" s="30" t="str">
        <f t="shared" si="133"/>
        <v/>
      </c>
    </row>
    <row r="968" spans="1:9" hidden="1" x14ac:dyDescent="0.25">
      <c r="A968" s="30">
        <f t="shared" si="126"/>
        <v>4</v>
      </c>
      <c r="B968" s="94">
        <f>INT((ROWS(B$11:B968)-1)/20)+40+0.05*MOD(ROWS(B$11:B968)-1,20)</f>
        <v>87.85</v>
      </c>
      <c r="C968" s="58" t="str">
        <f t="shared" si="127"/>
        <v/>
      </c>
      <c r="D968" s="58" t="str">
        <f t="shared" si="130"/>
        <v/>
      </c>
      <c r="E968" s="30">
        <f t="shared" si="125"/>
        <v>1.3981003825677895E-5</v>
      </c>
      <c r="F968" s="30" t="str">
        <f t="shared" si="132"/>
        <v/>
      </c>
      <c r="G968" s="30" t="str">
        <f t="shared" si="132"/>
        <v/>
      </c>
      <c r="H968" s="30" t="str">
        <f t="shared" si="132"/>
        <v/>
      </c>
      <c r="I968" s="30" t="str">
        <f t="shared" si="133"/>
        <v/>
      </c>
    </row>
    <row r="969" spans="1:9" hidden="1" x14ac:dyDescent="0.25">
      <c r="A969" s="30">
        <f t="shared" si="126"/>
        <v>4</v>
      </c>
      <c r="B969" s="94">
        <f>INT((ROWS(B$11:B969)-1)/20)+40+0.05*MOD(ROWS(B$11:B969)-1,20)</f>
        <v>87.9</v>
      </c>
      <c r="C969" s="58" t="str">
        <f t="shared" si="127"/>
        <v/>
      </c>
      <c r="D969" s="58" t="str">
        <f t="shared" si="130"/>
        <v/>
      </c>
      <c r="E969" s="30">
        <f t="shared" si="125"/>
        <v>1.3262827053298493E-5</v>
      </c>
      <c r="F969" s="30" t="str">
        <f t="shared" si="132"/>
        <v/>
      </c>
      <c r="G969" s="30" t="str">
        <f t="shared" si="132"/>
        <v/>
      </c>
      <c r="H969" s="30" t="str">
        <f t="shared" si="132"/>
        <v/>
      </c>
      <c r="I969" s="30" t="str">
        <f t="shared" si="133"/>
        <v/>
      </c>
    </row>
    <row r="970" spans="1:9" hidden="1" x14ac:dyDescent="0.25">
      <c r="A970" s="30">
        <f t="shared" si="126"/>
        <v>4</v>
      </c>
      <c r="B970" s="94">
        <f>INT((ROWS(B$11:B970)-1)/20)+40+0.05*MOD(ROWS(B$11:B970)-1,20)</f>
        <v>87.95</v>
      </c>
      <c r="C970" s="58" t="str">
        <f t="shared" si="127"/>
        <v/>
      </c>
      <c r="D970" s="58" t="str">
        <f t="shared" si="130"/>
        <v/>
      </c>
      <c r="E970" s="30">
        <f t="shared" si="125"/>
        <v>1.2579575902230815E-5</v>
      </c>
      <c r="F970" s="30" t="str">
        <f t="shared" si="132"/>
        <v/>
      </c>
      <c r="G970" s="30" t="str">
        <f t="shared" si="132"/>
        <v/>
      </c>
      <c r="H970" s="30" t="str">
        <f t="shared" si="132"/>
        <v/>
      </c>
      <c r="I970" s="30" t="str">
        <f t="shared" si="133"/>
        <v/>
      </c>
    </row>
    <row r="971" spans="1:9" hidden="1" x14ac:dyDescent="0.25">
      <c r="A971" s="30">
        <f t="shared" si="126"/>
        <v>4.25</v>
      </c>
      <c r="B971" s="94">
        <f>INT((ROWS(B$11:B971)-1)/20)+40+0.05*MOD(ROWS(B$11:B971)-1,20)</f>
        <v>88</v>
      </c>
      <c r="C971" s="58" t="str">
        <f t="shared" si="127"/>
        <v/>
      </c>
      <c r="D971" s="58" t="str">
        <f t="shared" si="130"/>
        <v/>
      </c>
      <c r="E971" s="30">
        <f t="shared" ref="E971:E1034" si="134">_xlfn.NORM.DIST(B971,$F$1,$F$2,0)</f>
        <v>1.1929659135301238E-5</v>
      </c>
      <c r="F971" s="30" t="str">
        <f t="shared" ref="F971:H990" si="135">IF(AND($B971&gt;=F$7,$B971&lt;=F$8),E971,"")</f>
        <v/>
      </c>
      <c r="G971" s="30" t="str">
        <f t="shared" si="135"/>
        <v/>
      </c>
      <c r="H971" s="30" t="str">
        <f t="shared" si="135"/>
        <v/>
      </c>
      <c r="I971" s="30" t="str">
        <f t="shared" si="133"/>
        <v/>
      </c>
    </row>
    <row r="972" spans="1:9" hidden="1" x14ac:dyDescent="0.25">
      <c r="A972" s="30">
        <f t="shared" ref="A972:A1035" si="136">(INT(B972)-$F$1)/$F$2</f>
        <v>4.25</v>
      </c>
      <c r="B972" s="94">
        <f>INT((ROWS(B$11:B972)-1)/20)+40+0.05*MOD(ROWS(B$11:B972)-1,20)</f>
        <v>88.05</v>
      </c>
      <c r="C972" s="58" t="str">
        <f t="shared" ref="C972:C1035" si="137">IF(AND(A972&lt;&gt;A971,INT(A972)=A972),A972,"")</f>
        <v/>
      </c>
      <c r="D972" s="58" t="str">
        <f t="shared" si="130"/>
        <v/>
      </c>
      <c r="E972" s="30">
        <f t="shared" si="134"/>
        <v>1.1311552387196125E-5</v>
      </c>
      <c r="F972" s="30" t="str">
        <f t="shared" si="135"/>
        <v/>
      </c>
      <c r="G972" s="30" t="str">
        <f t="shared" si="135"/>
        <v/>
      </c>
      <c r="H972" s="30" t="str">
        <f t="shared" si="135"/>
        <v/>
      </c>
      <c r="I972" s="30" t="str">
        <f t="shared" si="133"/>
        <v/>
      </c>
    </row>
    <row r="973" spans="1:9" hidden="1" x14ac:dyDescent="0.25">
      <c r="A973" s="30">
        <f t="shared" si="136"/>
        <v>4.25</v>
      </c>
      <c r="B973" s="94">
        <f>INT((ROWS(B$11:B973)-1)/20)+40+0.05*MOD(ROWS(B$11:B973)-1,20)</f>
        <v>88.1</v>
      </c>
      <c r="C973" s="58" t="str">
        <f t="shared" si="137"/>
        <v/>
      </c>
      <c r="D973" s="58" t="str">
        <f t="shared" si="130"/>
        <v/>
      </c>
      <c r="E973" s="30">
        <f t="shared" si="134"/>
        <v>1.0723795637531877E-5</v>
      </c>
      <c r="F973" s="30" t="str">
        <f t="shared" si="135"/>
        <v/>
      </c>
      <c r="G973" s="30" t="str">
        <f t="shared" si="135"/>
        <v/>
      </c>
      <c r="H973" s="30" t="str">
        <f t="shared" si="135"/>
        <v/>
      </c>
      <c r="I973" s="30" t="str">
        <f t="shared" si="133"/>
        <v/>
      </c>
    </row>
    <row r="974" spans="1:9" hidden="1" x14ac:dyDescent="0.25">
      <c r="A974" s="30">
        <f t="shared" si="136"/>
        <v>4.25</v>
      </c>
      <c r="B974" s="94">
        <f>INT((ROWS(B$11:B974)-1)/20)+40+0.05*MOD(ROWS(B$11:B974)-1,20)</f>
        <v>88.15</v>
      </c>
      <c r="C974" s="58" t="str">
        <f t="shared" si="137"/>
        <v/>
      </c>
      <c r="D974" s="58" t="str">
        <f t="shared" si="130"/>
        <v/>
      </c>
      <c r="E974" s="30">
        <f t="shared" si="134"/>
        <v>1.0164990765705449E-5</v>
      </c>
      <c r="F974" s="30" t="str">
        <f t="shared" si="135"/>
        <v/>
      </c>
      <c r="G974" s="30" t="str">
        <f t="shared" si="135"/>
        <v/>
      </c>
      <c r="H974" s="30" t="str">
        <f t="shared" si="135"/>
        <v/>
      </c>
      <c r="I974" s="30" t="str">
        <f t="shared" si="133"/>
        <v/>
      </c>
    </row>
    <row r="975" spans="1:9" hidden="1" x14ac:dyDescent="0.25">
      <c r="A975" s="30">
        <f t="shared" si="136"/>
        <v>4.25</v>
      </c>
      <c r="B975" s="94">
        <f>INT((ROWS(B$11:B975)-1)/20)+40+0.05*MOD(ROWS(B$11:B975)-1,20)</f>
        <v>88.2</v>
      </c>
      <c r="C975" s="58" t="str">
        <f t="shared" si="137"/>
        <v/>
      </c>
      <c r="D975" s="58" t="str">
        <f t="shared" si="130"/>
        <v/>
      </c>
      <c r="E975" s="30">
        <f t="shared" si="134"/>
        <v>9.6337991855217485E-6</v>
      </c>
      <c r="F975" s="30" t="str">
        <f t="shared" si="135"/>
        <v/>
      </c>
      <c r="G975" s="30" t="str">
        <f t="shared" si="135"/>
        <v/>
      </c>
      <c r="H975" s="30" t="str">
        <f t="shared" si="135"/>
        <v/>
      </c>
      <c r="I975" s="30" t="str">
        <f t="shared" si="133"/>
        <v/>
      </c>
    </row>
    <row r="976" spans="1:9" hidden="1" x14ac:dyDescent="0.25">
      <c r="A976" s="30">
        <f t="shared" si="136"/>
        <v>4.25</v>
      </c>
      <c r="B976" s="94">
        <f>INT((ROWS(B$11:B976)-1)/20)+40+0.05*MOD(ROWS(B$11:B976)-1,20)</f>
        <v>88.25</v>
      </c>
      <c r="C976" s="58" t="str">
        <f t="shared" si="137"/>
        <v/>
      </c>
      <c r="D976" s="58" t="str">
        <f t="shared" si="130"/>
        <v/>
      </c>
      <c r="E976" s="30">
        <f t="shared" si="134"/>
        <v>9.128939557609321E-6</v>
      </c>
      <c r="F976" s="30" t="str">
        <f t="shared" si="135"/>
        <v/>
      </c>
      <c r="G976" s="30" t="str">
        <f t="shared" si="135"/>
        <v/>
      </c>
      <c r="H976" s="30" t="str">
        <f t="shared" si="135"/>
        <v/>
      </c>
      <c r="I976" s="30" t="str">
        <f t="shared" si="133"/>
        <v/>
      </c>
    </row>
    <row r="977" spans="1:9" hidden="1" x14ac:dyDescent="0.25">
      <c r="A977" s="30">
        <f t="shared" si="136"/>
        <v>4.25</v>
      </c>
      <c r="B977" s="94">
        <f>INT((ROWS(B$11:B977)-1)/20)+40+0.05*MOD(ROWS(B$11:B977)-1,20)</f>
        <v>88.3</v>
      </c>
      <c r="C977" s="58" t="str">
        <f t="shared" si="137"/>
        <v/>
      </c>
      <c r="D977" s="58" t="str">
        <f t="shared" si="130"/>
        <v/>
      </c>
      <c r="E977" s="30">
        <f t="shared" si="134"/>
        <v>8.6491855776622661E-6</v>
      </c>
      <c r="F977" s="30" t="str">
        <f t="shared" si="135"/>
        <v/>
      </c>
      <c r="G977" s="30" t="str">
        <f t="shared" si="135"/>
        <v/>
      </c>
      <c r="H977" s="30" t="str">
        <f t="shared" si="135"/>
        <v/>
      </c>
      <c r="I977" s="30" t="str">
        <f t="shared" si="133"/>
        <v/>
      </c>
    </row>
    <row r="978" spans="1:9" hidden="1" x14ac:dyDescent="0.25">
      <c r="A978" s="30">
        <f t="shared" si="136"/>
        <v>4.25</v>
      </c>
      <c r="B978" s="94">
        <f>INT((ROWS(B$11:B978)-1)/20)+40+0.05*MOD(ROWS(B$11:B978)-1,20)</f>
        <v>88.35</v>
      </c>
      <c r="C978" s="58" t="str">
        <f t="shared" si="137"/>
        <v/>
      </c>
      <c r="D978" s="58" t="str">
        <f t="shared" si="130"/>
        <v/>
      </c>
      <c r="E978" s="30">
        <f t="shared" si="134"/>
        <v>8.1933638385624778E-6</v>
      </c>
      <c r="F978" s="30" t="str">
        <f t="shared" si="135"/>
        <v/>
      </c>
      <c r="G978" s="30" t="str">
        <f t="shared" si="135"/>
        <v/>
      </c>
      <c r="H978" s="30" t="str">
        <f t="shared" si="135"/>
        <v/>
      </c>
      <c r="I978" s="30" t="str">
        <f t="shared" si="133"/>
        <v/>
      </c>
    </row>
    <row r="979" spans="1:9" hidden="1" x14ac:dyDescent="0.25">
      <c r="A979" s="30">
        <f t="shared" si="136"/>
        <v>4.25</v>
      </c>
      <c r="B979" s="94">
        <f>INT((ROWS(B$11:B979)-1)/20)+40+0.05*MOD(ROWS(B$11:B979)-1,20)</f>
        <v>88.4</v>
      </c>
      <c r="C979" s="58" t="str">
        <f t="shared" si="137"/>
        <v/>
      </c>
      <c r="D979" s="58" t="str">
        <f t="shared" si="130"/>
        <v/>
      </c>
      <c r="E979" s="30">
        <f t="shared" si="134"/>
        <v>7.7603517644624971E-6</v>
      </c>
      <c r="F979" s="30" t="str">
        <f t="shared" si="135"/>
        <v/>
      </c>
      <c r="G979" s="30" t="str">
        <f t="shared" si="135"/>
        <v/>
      </c>
      <c r="H979" s="30" t="str">
        <f t="shared" si="135"/>
        <v/>
      </c>
      <c r="I979" s="30" t="str">
        <f t="shared" si="133"/>
        <v/>
      </c>
    </row>
    <row r="980" spans="1:9" hidden="1" x14ac:dyDescent="0.25">
      <c r="A980" s="30">
        <f t="shared" si="136"/>
        <v>4.25</v>
      </c>
      <c r="B980" s="94">
        <f>INT((ROWS(B$11:B980)-1)/20)+40+0.05*MOD(ROWS(B$11:B980)-1,20)</f>
        <v>88.45</v>
      </c>
      <c r="C980" s="58" t="str">
        <f t="shared" si="137"/>
        <v/>
      </c>
      <c r="D980" s="58" t="str">
        <f t="shared" si="130"/>
        <v/>
      </c>
      <c r="E980" s="30">
        <f t="shared" si="134"/>
        <v>7.3490756149332638E-6</v>
      </c>
      <c r="F980" s="30" t="str">
        <f t="shared" si="135"/>
        <v/>
      </c>
      <c r="G980" s="30" t="str">
        <f t="shared" si="135"/>
        <v/>
      </c>
      <c r="H980" s="30" t="str">
        <f t="shared" si="135"/>
        <v/>
      </c>
      <c r="I980" s="30" t="str">
        <f t="shared" si="133"/>
        <v/>
      </c>
    </row>
    <row r="981" spans="1:9" hidden="1" x14ac:dyDescent="0.25">
      <c r="A981" s="30">
        <f t="shared" si="136"/>
        <v>4.25</v>
      </c>
      <c r="B981" s="94">
        <f>INT((ROWS(B$11:B981)-1)/20)+40+0.05*MOD(ROWS(B$11:B981)-1,20)</f>
        <v>88.5</v>
      </c>
      <c r="C981" s="58" t="str">
        <f t="shared" si="137"/>
        <v/>
      </c>
      <c r="D981" s="58" t="str">
        <f t="shared" si="130"/>
        <v/>
      </c>
      <c r="E981" s="30">
        <f t="shared" si="134"/>
        <v>6.9585085573037197E-6</v>
      </c>
      <c r="F981" s="30" t="str">
        <f t="shared" si="135"/>
        <v/>
      </c>
      <c r="G981" s="30" t="str">
        <f t="shared" si="135"/>
        <v/>
      </c>
      <c r="H981" s="30" t="str">
        <f t="shared" si="135"/>
        <v/>
      </c>
      <c r="I981" s="30" t="str">
        <f t="shared" si="133"/>
        <v/>
      </c>
    </row>
    <row r="982" spans="1:9" hidden="1" x14ac:dyDescent="0.25">
      <c r="A982" s="30">
        <f t="shared" si="136"/>
        <v>4.25</v>
      </c>
      <c r="B982" s="94">
        <f>INT((ROWS(B$11:B982)-1)/20)+40+0.05*MOD(ROWS(B$11:B982)-1,20)</f>
        <v>88.55</v>
      </c>
      <c r="C982" s="58" t="str">
        <f t="shared" si="137"/>
        <v/>
      </c>
      <c r="D982" s="58" t="str">
        <f t="shared" si="130"/>
        <v/>
      </c>
      <c r="E982" s="30">
        <f t="shared" si="134"/>
        <v>6.5876688053498795E-6</v>
      </c>
      <c r="F982" s="30" t="str">
        <f t="shared" si="135"/>
        <v/>
      </c>
      <c r="G982" s="30" t="str">
        <f t="shared" si="135"/>
        <v/>
      </c>
      <c r="H982" s="30" t="str">
        <f t="shared" si="135"/>
        <v/>
      </c>
      <c r="I982" s="30" t="str">
        <f t="shared" si="133"/>
        <v/>
      </c>
    </row>
    <row r="983" spans="1:9" hidden="1" x14ac:dyDescent="0.25">
      <c r="A983" s="30">
        <f t="shared" si="136"/>
        <v>4.25</v>
      </c>
      <c r="B983" s="94">
        <f>INT((ROWS(B$11:B983)-1)/20)+40+0.05*MOD(ROWS(B$11:B983)-1,20)</f>
        <v>88.6</v>
      </c>
      <c r="C983" s="58" t="str">
        <f t="shared" si="137"/>
        <v/>
      </c>
      <c r="D983" s="58" t="str">
        <f t="shared" si="130"/>
        <v/>
      </c>
      <c r="E983" s="30">
        <f t="shared" si="134"/>
        <v>6.2356178225134279E-6</v>
      </c>
      <c r="F983" s="30" t="str">
        <f t="shared" si="135"/>
        <v/>
      </c>
      <c r="G983" s="30" t="str">
        <f t="shared" si="135"/>
        <v/>
      </c>
      <c r="H983" s="30" t="str">
        <f t="shared" si="135"/>
        <v/>
      </c>
      <c r="I983" s="30" t="str">
        <f t="shared" si="133"/>
        <v/>
      </c>
    </row>
    <row r="984" spans="1:9" hidden="1" x14ac:dyDescent="0.25">
      <c r="A984" s="30">
        <f t="shared" si="136"/>
        <v>4.25</v>
      </c>
      <c r="B984" s="94">
        <f>INT((ROWS(B$11:B984)-1)/20)+40+0.05*MOD(ROWS(B$11:B984)-1,20)</f>
        <v>88.65</v>
      </c>
      <c r="C984" s="58" t="str">
        <f t="shared" si="137"/>
        <v/>
      </c>
      <c r="D984" s="58" t="str">
        <f t="shared" si="130"/>
        <v/>
      </c>
      <c r="E984" s="30">
        <f t="shared" si="134"/>
        <v>5.9014585878604626E-6</v>
      </c>
      <c r="F984" s="30" t="str">
        <f t="shared" si="135"/>
        <v/>
      </c>
      <c r="G984" s="30" t="str">
        <f t="shared" si="135"/>
        <v/>
      </c>
      <c r="H984" s="30" t="str">
        <f t="shared" si="135"/>
        <v/>
      </c>
      <c r="I984" s="30" t="str">
        <f t="shared" si="133"/>
        <v/>
      </c>
    </row>
    <row r="985" spans="1:9" hidden="1" x14ac:dyDescent="0.25">
      <c r="A985" s="30">
        <f t="shared" si="136"/>
        <v>4.25</v>
      </c>
      <c r="B985" s="94">
        <f>INT((ROWS(B$11:B985)-1)/20)+40+0.05*MOD(ROWS(B$11:B985)-1,20)</f>
        <v>88.7</v>
      </c>
      <c r="C985" s="58" t="str">
        <f t="shared" si="137"/>
        <v/>
      </c>
      <c r="D985" s="58" t="str">
        <f t="shared" si="130"/>
        <v/>
      </c>
      <c r="E985" s="30">
        <f t="shared" si="134"/>
        <v>5.5843339230189875E-6</v>
      </c>
      <c r="F985" s="30" t="str">
        <f t="shared" si="135"/>
        <v/>
      </c>
      <c r="G985" s="30" t="str">
        <f t="shared" si="135"/>
        <v/>
      </c>
      <c r="H985" s="30" t="str">
        <f t="shared" si="135"/>
        <v/>
      </c>
      <c r="I985" s="30" t="str">
        <f t="shared" si="133"/>
        <v/>
      </c>
    </row>
    <row r="986" spans="1:9" hidden="1" x14ac:dyDescent="0.25">
      <c r="A986" s="30">
        <f t="shared" si="136"/>
        <v>4.25</v>
      </c>
      <c r="B986" s="94">
        <f>INT((ROWS(B$11:B986)-1)/20)+40+0.05*MOD(ROWS(B$11:B986)-1,20)</f>
        <v>88.75</v>
      </c>
      <c r="C986" s="58" t="str">
        <f t="shared" si="137"/>
        <v/>
      </c>
      <c r="D986" s="58" t="str">
        <f t="shared" si="130"/>
        <v/>
      </c>
      <c r="E986" s="30">
        <f t="shared" si="134"/>
        <v>5.2834248783613687E-6</v>
      </c>
      <c r="F986" s="30" t="str">
        <f t="shared" si="135"/>
        <v/>
      </c>
      <c r="G986" s="30" t="str">
        <f t="shared" si="135"/>
        <v/>
      </c>
      <c r="H986" s="30" t="str">
        <f t="shared" si="135"/>
        <v/>
      </c>
      <c r="I986" s="30" t="str">
        <f t="shared" si="133"/>
        <v/>
      </c>
    </row>
    <row r="987" spans="1:9" hidden="1" x14ac:dyDescent="0.25">
      <c r="A987" s="30">
        <f t="shared" si="136"/>
        <v>4.25</v>
      </c>
      <c r="B987" s="94">
        <f>INT((ROWS(B$11:B987)-1)/20)+40+0.05*MOD(ROWS(B$11:B987)-1,20)</f>
        <v>88.8</v>
      </c>
      <c r="C987" s="58" t="str">
        <f t="shared" si="137"/>
        <v/>
      </c>
      <c r="D987" s="58" t="str">
        <f t="shared" si="130"/>
        <v/>
      </c>
      <c r="E987" s="30">
        <f t="shared" si="134"/>
        <v>4.9979491767307147E-6</v>
      </c>
      <c r="F987" s="30" t="str">
        <f t="shared" si="135"/>
        <v/>
      </c>
      <c r="G987" s="30" t="str">
        <f t="shared" si="135"/>
        <v/>
      </c>
      <c r="H987" s="30" t="str">
        <f t="shared" si="135"/>
        <v/>
      </c>
      <c r="I987" s="30" t="str">
        <f t="shared" si="133"/>
        <v/>
      </c>
    </row>
    <row r="988" spans="1:9" hidden="1" x14ac:dyDescent="0.25">
      <c r="A988" s="30">
        <f t="shared" si="136"/>
        <v>4.25</v>
      </c>
      <c r="B988" s="94">
        <f>INT((ROWS(B$11:B988)-1)/20)+40+0.05*MOD(ROWS(B$11:B988)-1,20)</f>
        <v>88.85</v>
      </c>
      <c r="C988" s="58" t="str">
        <f t="shared" si="137"/>
        <v/>
      </c>
      <c r="D988" s="58" t="str">
        <f t="shared" si="130"/>
        <v/>
      </c>
      <c r="E988" s="30">
        <f t="shared" si="134"/>
        <v>4.7271597130369629E-6</v>
      </c>
      <c r="F988" s="30" t="str">
        <f t="shared" si="135"/>
        <v/>
      </c>
      <c r="G988" s="30" t="str">
        <f t="shared" si="135"/>
        <v/>
      </c>
      <c r="H988" s="30" t="str">
        <f t="shared" si="135"/>
        <v/>
      </c>
      <c r="I988" s="30" t="str">
        <f t="shared" si="133"/>
        <v/>
      </c>
    </row>
    <row r="989" spans="1:9" hidden="1" x14ac:dyDescent="0.25">
      <c r="A989" s="30">
        <f t="shared" si="136"/>
        <v>4.25</v>
      </c>
      <c r="B989" s="94">
        <f>INT((ROWS(B$11:B989)-1)/20)+40+0.05*MOD(ROWS(B$11:B989)-1,20)</f>
        <v>88.9</v>
      </c>
      <c r="C989" s="58" t="str">
        <f t="shared" si="137"/>
        <v/>
      </c>
      <c r="D989" s="58" t="str">
        <f t="shared" si="130"/>
        <v/>
      </c>
      <c r="E989" s="30">
        <f t="shared" si="134"/>
        <v>4.4703431080810605E-6</v>
      </c>
      <c r="F989" s="30" t="str">
        <f t="shared" si="135"/>
        <v/>
      </c>
      <c r="G989" s="30" t="str">
        <f t="shared" si="135"/>
        <v/>
      </c>
      <c r="H989" s="30" t="str">
        <f t="shared" si="135"/>
        <v/>
      </c>
      <c r="I989" s="30" t="str">
        <f t="shared" si="133"/>
        <v/>
      </c>
    </row>
    <row r="990" spans="1:9" hidden="1" x14ac:dyDescent="0.25">
      <c r="A990" s="30">
        <f t="shared" si="136"/>
        <v>4.25</v>
      </c>
      <c r="B990" s="94">
        <f>INT((ROWS(B$11:B990)-1)/20)+40+0.05*MOD(ROWS(B$11:B990)-1,20)</f>
        <v>88.95</v>
      </c>
      <c r="C990" s="58" t="str">
        <f t="shared" si="137"/>
        <v/>
      </c>
      <c r="D990" s="58" t="str">
        <f t="shared" si="130"/>
        <v/>
      </c>
      <c r="E990" s="30">
        <f t="shared" si="134"/>
        <v>4.2268183149964225E-6</v>
      </c>
      <c r="F990" s="30" t="str">
        <f t="shared" si="135"/>
        <v/>
      </c>
      <c r="G990" s="30" t="str">
        <f t="shared" si="135"/>
        <v/>
      </c>
      <c r="H990" s="30" t="str">
        <f t="shared" si="135"/>
        <v/>
      </c>
      <c r="I990" s="30" t="str">
        <f t="shared" si="133"/>
        <v/>
      </c>
    </row>
    <row r="991" spans="1:9" hidden="1" x14ac:dyDescent="0.25">
      <c r="A991" s="30">
        <f t="shared" si="136"/>
        <v>4.5</v>
      </c>
      <c r="B991" s="94">
        <f>INT((ROWS(B$11:B991)-1)/20)+40+0.05*MOD(ROWS(B$11:B991)-1,20)</f>
        <v>89</v>
      </c>
      <c r="C991" s="58" t="str">
        <f t="shared" si="137"/>
        <v/>
      </c>
      <c r="D991" s="58" t="str">
        <f t="shared" si="130"/>
        <v/>
      </c>
      <c r="E991" s="30">
        <f t="shared" si="134"/>
        <v>3.9959352767263687E-6</v>
      </c>
      <c r="F991" s="30" t="str">
        <f t="shared" ref="F991:H1010" si="138">IF(AND($B991&gt;=F$7,$B991&lt;=F$8),E991,"")</f>
        <v/>
      </c>
      <c r="G991" s="30" t="str">
        <f t="shared" si="138"/>
        <v/>
      </c>
      <c r="H991" s="30" t="str">
        <f t="shared" si="138"/>
        <v/>
      </c>
      <c r="I991" s="30" t="str">
        <f t="shared" si="133"/>
        <v/>
      </c>
    </row>
    <row r="992" spans="1:9" hidden="1" x14ac:dyDescent="0.25">
      <c r="A992" s="30">
        <f t="shared" si="136"/>
        <v>4.5</v>
      </c>
      <c r="B992" s="94">
        <f>INT((ROWS(B$11:B992)-1)/20)+40+0.05*MOD(ROWS(B$11:B992)-1,20)</f>
        <v>89.05</v>
      </c>
      <c r="C992" s="58" t="str">
        <f t="shared" si="137"/>
        <v/>
      </c>
      <c r="D992" s="58" t="str">
        <f t="shared" si="130"/>
        <v/>
      </c>
      <c r="E992" s="30">
        <f t="shared" si="134"/>
        <v>3.7770736329905143E-6</v>
      </c>
      <c r="F992" s="30" t="str">
        <f t="shared" si="138"/>
        <v/>
      </c>
      <c r="G992" s="30" t="str">
        <f t="shared" si="138"/>
        <v/>
      </c>
      <c r="H992" s="30" t="str">
        <f t="shared" si="138"/>
        <v/>
      </c>
      <c r="I992" s="30" t="str">
        <f t="shared" si="133"/>
        <v/>
      </c>
    </row>
    <row r="993" spans="1:9" hidden="1" x14ac:dyDescent="0.25">
      <c r="A993" s="30">
        <f t="shared" si="136"/>
        <v>4.5</v>
      </c>
      <c r="B993" s="94">
        <f>INT((ROWS(B$11:B993)-1)/20)+40+0.05*MOD(ROWS(B$11:B993)-1,20)</f>
        <v>89.1</v>
      </c>
      <c r="C993" s="58" t="str">
        <f t="shared" si="137"/>
        <v/>
      </c>
      <c r="D993" s="58" t="str">
        <f t="shared" si="130"/>
        <v/>
      </c>
      <c r="E993" s="30">
        <f t="shared" si="134"/>
        <v>3.569641475221975E-6</v>
      </c>
      <c r="F993" s="30" t="str">
        <f t="shared" si="138"/>
        <v/>
      </c>
      <c r="G993" s="30" t="str">
        <f t="shared" si="138"/>
        <v/>
      </c>
      <c r="H993" s="30" t="str">
        <f t="shared" si="138"/>
        <v/>
      </c>
      <c r="I993" s="30" t="str">
        <f t="shared" si="133"/>
        <v/>
      </c>
    </row>
    <row r="994" spans="1:9" hidden="1" x14ac:dyDescent="0.25">
      <c r="A994" s="30">
        <f t="shared" si="136"/>
        <v>4.5</v>
      </c>
      <c r="B994" s="94">
        <f>INT((ROWS(B$11:B994)-1)/20)+40+0.05*MOD(ROWS(B$11:B994)-1,20)</f>
        <v>89.15</v>
      </c>
      <c r="C994" s="58" t="str">
        <f t="shared" si="137"/>
        <v/>
      </c>
      <c r="D994" s="58" t="str">
        <f t="shared" si="130"/>
        <v/>
      </c>
      <c r="E994" s="30">
        <f t="shared" si="134"/>
        <v>3.3730741479905054E-6</v>
      </c>
      <c r="F994" s="30" t="str">
        <f t="shared" si="138"/>
        <v/>
      </c>
      <c r="G994" s="30" t="str">
        <f t="shared" si="138"/>
        <v/>
      </c>
      <c r="H994" s="30" t="str">
        <f t="shared" si="138"/>
        <v/>
      </c>
      <c r="I994" s="30" t="str">
        <f t="shared" si="133"/>
        <v/>
      </c>
    </row>
    <row r="995" spans="1:9" hidden="1" x14ac:dyDescent="0.25">
      <c r="A995" s="30">
        <f t="shared" si="136"/>
        <v>4.5</v>
      </c>
      <c r="B995" s="94">
        <f>INT((ROWS(B$11:B995)-1)/20)+40+0.05*MOD(ROWS(B$11:B995)-1,20)</f>
        <v>89.2</v>
      </c>
      <c r="C995" s="58" t="str">
        <f t="shared" si="137"/>
        <v/>
      </c>
      <c r="D995" s="58" t="str">
        <f t="shared" si="130"/>
        <v/>
      </c>
      <c r="E995" s="30">
        <f t="shared" si="134"/>
        <v>3.186833095458349E-6</v>
      </c>
      <c r="F995" s="30" t="str">
        <f t="shared" si="138"/>
        <v/>
      </c>
      <c r="G995" s="30" t="str">
        <f t="shared" si="138"/>
        <v/>
      </c>
      <c r="H995" s="30" t="str">
        <f t="shared" si="138"/>
        <v/>
      </c>
      <c r="I995" s="30" t="str">
        <f t="shared" si="133"/>
        <v/>
      </c>
    </row>
    <row r="996" spans="1:9" hidden="1" x14ac:dyDescent="0.25">
      <c r="A996" s="30">
        <f t="shared" si="136"/>
        <v>4.5</v>
      </c>
      <c r="B996" s="94">
        <f>INT((ROWS(B$11:B996)-1)/20)+40+0.05*MOD(ROWS(B$11:B996)-1,20)</f>
        <v>89.25</v>
      </c>
      <c r="C996" s="58" t="str">
        <f t="shared" si="137"/>
        <v/>
      </c>
      <c r="D996" s="58" t="str">
        <f t="shared" si="130"/>
        <v/>
      </c>
      <c r="E996" s="30">
        <f t="shared" si="134"/>
        <v>3.0104047514463741E-6</v>
      </c>
      <c r="F996" s="30" t="str">
        <f t="shared" si="138"/>
        <v/>
      </c>
      <c r="G996" s="30" t="str">
        <f t="shared" si="138"/>
        <v/>
      </c>
      <c r="H996" s="30" t="str">
        <f t="shared" si="138"/>
        <v/>
      </c>
      <c r="I996" s="30" t="str">
        <f t="shared" si="133"/>
        <v/>
      </c>
    </row>
    <row r="997" spans="1:9" hidden="1" x14ac:dyDescent="0.25">
      <c r="A997" s="30">
        <f t="shared" si="136"/>
        <v>4.5</v>
      </c>
      <c r="B997" s="94">
        <f>INT((ROWS(B$11:B997)-1)/20)+40+0.05*MOD(ROWS(B$11:B997)-1,20)</f>
        <v>89.3</v>
      </c>
      <c r="C997" s="58" t="str">
        <f t="shared" si="137"/>
        <v/>
      </c>
      <c r="D997" s="58" t="str">
        <f t="shared" si="130"/>
        <v/>
      </c>
      <c r="E997" s="30">
        <f t="shared" si="134"/>
        <v>2.8432994717216791E-6</v>
      </c>
      <c r="F997" s="30" t="str">
        <f t="shared" si="138"/>
        <v/>
      </c>
      <c r="G997" s="30" t="str">
        <f t="shared" si="138"/>
        <v/>
      </c>
      <c r="H997" s="30" t="str">
        <f t="shared" si="138"/>
        <v/>
      </c>
      <c r="I997" s="30" t="str">
        <f t="shared" si="133"/>
        <v/>
      </c>
    </row>
    <row r="998" spans="1:9" hidden="1" x14ac:dyDescent="0.25">
      <c r="A998" s="30">
        <f t="shared" si="136"/>
        <v>4.5</v>
      </c>
      <c r="B998" s="94">
        <f>INT((ROWS(B$11:B998)-1)/20)+40+0.05*MOD(ROWS(B$11:B998)-1,20)</f>
        <v>89.35</v>
      </c>
      <c r="C998" s="58" t="str">
        <f t="shared" si="137"/>
        <v/>
      </c>
      <c r="D998" s="58" t="str">
        <f t="shared" si="130"/>
        <v/>
      </c>
      <c r="E998" s="30">
        <f t="shared" si="134"/>
        <v>2.6850505071478526E-6</v>
      </c>
      <c r="F998" s="30" t="str">
        <f t="shared" si="138"/>
        <v/>
      </c>
      <c r="G998" s="30" t="str">
        <f t="shared" si="138"/>
        <v/>
      </c>
      <c r="H998" s="30" t="str">
        <f t="shared" si="138"/>
        <v/>
      </c>
      <c r="I998" s="30" t="str">
        <f t="shared" si="133"/>
        <v/>
      </c>
    </row>
    <row r="999" spans="1:9" hidden="1" x14ac:dyDescent="0.25">
      <c r="A999" s="30">
        <f t="shared" si="136"/>
        <v>4.5</v>
      </c>
      <c r="B999" s="94">
        <f>INT((ROWS(B$11:B999)-1)/20)+40+0.05*MOD(ROWS(B$11:B999)-1,20)</f>
        <v>89.4</v>
      </c>
      <c r="C999" s="58" t="str">
        <f t="shared" si="137"/>
        <v/>
      </c>
      <c r="D999" s="58" t="str">
        <f t="shared" si="130"/>
        <v/>
      </c>
      <c r="E999" s="30">
        <f t="shared" si="134"/>
        <v>2.5352130163716676E-6</v>
      </c>
      <c r="F999" s="30" t="str">
        <f t="shared" si="138"/>
        <v/>
      </c>
      <c r="G999" s="30" t="str">
        <f t="shared" si="138"/>
        <v/>
      </c>
      <c r="H999" s="30" t="str">
        <f t="shared" si="138"/>
        <v/>
      </c>
      <c r="I999" s="30" t="str">
        <f t="shared" si="133"/>
        <v/>
      </c>
    </row>
    <row r="1000" spans="1:9" hidden="1" x14ac:dyDescent="0.25">
      <c r="A1000" s="30">
        <f t="shared" si="136"/>
        <v>4.5</v>
      </c>
      <c r="B1000" s="94">
        <f>INT((ROWS(B$11:B1000)-1)/20)+40+0.05*MOD(ROWS(B$11:B1000)-1,20)</f>
        <v>89.45</v>
      </c>
      <c r="C1000" s="58" t="str">
        <f t="shared" si="137"/>
        <v/>
      </c>
      <c r="D1000" s="58" t="str">
        <f t="shared" si="130"/>
        <v/>
      </c>
      <c r="E1000" s="30">
        <f t="shared" si="134"/>
        <v>2.3933631167514417E-6</v>
      </c>
      <c r="F1000" s="30" t="str">
        <f t="shared" si="138"/>
        <v/>
      </c>
      <c r="G1000" s="30" t="str">
        <f t="shared" si="138"/>
        <v/>
      </c>
      <c r="H1000" s="30" t="str">
        <f t="shared" si="138"/>
        <v/>
      </c>
      <c r="I1000" s="30" t="str">
        <f t="shared" si="133"/>
        <v/>
      </c>
    </row>
    <row r="1001" spans="1:9" hidden="1" x14ac:dyDescent="0.25">
      <c r="A1001" s="30">
        <f t="shared" si="136"/>
        <v>4.5</v>
      </c>
      <c r="B1001" s="94">
        <f>INT((ROWS(B$11:B1001)-1)/20)+40+0.05*MOD(ROWS(B$11:B1001)-1,20)</f>
        <v>89.5</v>
      </c>
      <c r="C1001" s="58" t="str">
        <f t="shared" si="137"/>
        <v/>
      </c>
      <c r="D1001" s="58" t="str">
        <f t="shared" si="130"/>
        <v/>
      </c>
      <c r="E1001" s="30">
        <f t="shared" si="134"/>
        <v>2.2590969722628434E-6</v>
      </c>
      <c r="F1001" s="30" t="str">
        <f t="shared" si="138"/>
        <v/>
      </c>
      <c r="G1001" s="30" t="str">
        <f t="shared" si="138"/>
        <v/>
      </c>
      <c r="H1001" s="30" t="str">
        <f t="shared" si="138"/>
        <v/>
      </c>
      <c r="I1001" s="30" t="str">
        <f t="shared" si="133"/>
        <v/>
      </c>
    </row>
    <row r="1002" spans="1:9" hidden="1" x14ac:dyDescent="0.25">
      <c r="A1002" s="30">
        <f t="shared" si="136"/>
        <v>4.5</v>
      </c>
      <c r="B1002" s="94">
        <f>INT((ROWS(B$11:B1002)-1)/20)+40+0.05*MOD(ROWS(B$11:B1002)-1,20)</f>
        <v>89.55</v>
      </c>
      <c r="C1002" s="58" t="str">
        <f t="shared" si="137"/>
        <v/>
      </c>
      <c r="D1002" s="58" t="str">
        <f t="shared" si="130"/>
        <v/>
      </c>
      <c r="E1002" s="30">
        <f t="shared" si="134"/>
        <v>2.1320299171505017E-6</v>
      </c>
      <c r="F1002" s="30" t="str">
        <f t="shared" si="138"/>
        <v/>
      </c>
      <c r="G1002" s="30" t="str">
        <f t="shared" si="138"/>
        <v/>
      </c>
      <c r="H1002" s="30" t="str">
        <f t="shared" si="138"/>
        <v/>
      </c>
      <c r="I1002" s="30" t="str">
        <f t="shared" si="133"/>
        <v/>
      </c>
    </row>
    <row r="1003" spans="1:9" hidden="1" x14ac:dyDescent="0.25">
      <c r="A1003" s="30">
        <f t="shared" si="136"/>
        <v>4.5</v>
      </c>
      <c r="B1003" s="94">
        <f>INT((ROWS(B$11:B1003)-1)/20)+40+0.05*MOD(ROWS(B$11:B1003)-1,20)</f>
        <v>89.6</v>
      </c>
      <c r="C1003" s="58" t="str">
        <f t="shared" si="137"/>
        <v/>
      </c>
      <c r="D1003" s="58" t="str">
        <f t="shared" si="130"/>
        <v/>
      </c>
      <c r="E1003" s="30">
        <f t="shared" si="134"/>
        <v>2.0117956141230878E-6</v>
      </c>
      <c r="F1003" s="30" t="str">
        <f t="shared" si="138"/>
        <v/>
      </c>
      <c r="G1003" s="30" t="str">
        <f t="shared" si="138"/>
        <v/>
      </c>
      <c r="H1003" s="30" t="str">
        <f t="shared" si="138"/>
        <v/>
      </c>
      <c r="I1003" s="30" t="str">
        <f t="shared" si="133"/>
        <v/>
      </c>
    </row>
    <row r="1004" spans="1:9" hidden="1" x14ac:dyDescent="0.25">
      <c r="A1004" s="30">
        <f t="shared" si="136"/>
        <v>4.5</v>
      </c>
      <c r="B1004" s="94">
        <f>INT((ROWS(B$11:B1004)-1)/20)+40+0.05*MOD(ROWS(B$11:B1004)-1,20)</f>
        <v>89.65</v>
      </c>
      <c r="C1004" s="58" t="str">
        <f t="shared" si="137"/>
        <v/>
      </c>
      <c r="D1004" s="58" t="str">
        <f t="shared" si="130"/>
        <v/>
      </c>
      <c r="E1004" s="30">
        <f t="shared" si="134"/>
        <v>1.8980452459211293E-6</v>
      </c>
      <c r="F1004" s="30" t="str">
        <f t="shared" si="138"/>
        <v/>
      </c>
      <c r="G1004" s="30" t="str">
        <f t="shared" si="138"/>
        <v/>
      </c>
      <c r="H1004" s="30" t="str">
        <f t="shared" si="138"/>
        <v/>
      </c>
      <c r="I1004" s="30" t="str">
        <f t="shared" si="133"/>
        <v/>
      </c>
    </row>
    <row r="1005" spans="1:9" hidden="1" x14ac:dyDescent="0.25">
      <c r="A1005" s="30">
        <f t="shared" si="136"/>
        <v>4.5</v>
      </c>
      <c r="B1005" s="94">
        <f>INT((ROWS(B$11:B1005)-1)/20)+40+0.05*MOD(ROWS(B$11:B1005)-1,20)</f>
        <v>89.7</v>
      </c>
      <c r="C1005" s="58" t="str">
        <f t="shared" si="137"/>
        <v/>
      </c>
      <c r="D1005" s="58" t="str">
        <f t="shared" ref="D1005:D1068" si="139">IF(ISNUMBER(MATCH(B1005,$K$2:$K$8,0)),TEXT(B1005,"0\""")&amp;CHAR(10)&amp;TEXT((B1005-$F$1)/$F$2," 0 z"),"")</f>
        <v/>
      </c>
      <c r="E1005" s="30">
        <f t="shared" si="134"/>
        <v>1.7904467391169753E-6</v>
      </c>
      <c r="F1005" s="30" t="str">
        <f t="shared" si="138"/>
        <v/>
      </c>
      <c r="G1005" s="30" t="str">
        <f t="shared" si="138"/>
        <v/>
      </c>
      <c r="H1005" s="30" t="str">
        <f t="shared" si="138"/>
        <v/>
      </c>
      <c r="I1005" s="30" t="str">
        <f t="shared" si="133"/>
        <v/>
      </c>
    </row>
    <row r="1006" spans="1:9" hidden="1" x14ac:dyDescent="0.25">
      <c r="A1006" s="30">
        <f t="shared" si="136"/>
        <v>4.5</v>
      </c>
      <c r="B1006" s="94">
        <f>INT((ROWS(B$11:B1006)-1)/20)+40+0.05*MOD(ROWS(B$11:B1006)-1,20)</f>
        <v>89.75</v>
      </c>
      <c r="C1006" s="58" t="str">
        <f t="shared" si="137"/>
        <v/>
      </c>
      <c r="D1006" s="58" t="str">
        <f t="shared" si="139"/>
        <v/>
      </c>
      <c r="E1006" s="30">
        <f t="shared" si="134"/>
        <v>1.688684019035739E-6</v>
      </c>
      <c r="F1006" s="30" t="str">
        <f t="shared" si="138"/>
        <v/>
      </c>
      <c r="G1006" s="30" t="str">
        <f t="shared" si="138"/>
        <v/>
      </c>
      <c r="H1006" s="30" t="str">
        <f t="shared" si="138"/>
        <v/>
      </c>
      <c r="I1006" s="30" t="str">
        <f t="shared" si="133"/>
        <v/>
      </c>
    </row>
    <row r="1007" spans="1:9" hidden="1" x14ac:dyDescent="0.25">
      <c r="A1007" s="30">
        <f t="shared" si="136"/>
        <v>4.5</v>
      </c>
      <c r="B1007" s="94">
        <f>INT((ROWS(B$11:B1007)-1)/20)+40+0.05*MOD(ROWS(B$11:B1007)-1,20)</f>
        <v>89.8</v>
      </c>
      <c r="C1007" s="58" t="str">
        <f t="shared" si="137"/>
        <v/>
      </c>
      <c r="D1007" s="58" t="str">
        <f t="shared" si="139"/>
        <v/>
      </c>
      <c r="E1007" s="30">
        <f t="shared" si="134"/>
        <v>1.5924562947167809E-6</v>
      </c>
      <c r="F1007" s="30" t="str">
        <f t="shared" si="138"/>
        <v/>
      </c>
      <c r="G1007" s="30" t="str">
        <f t="shared" si="138"/>
        <v/>
      </c>
      <c r="H1007" s="30" t="str">
        <f t="shared" si="138"/>
        <v/>
      </c>
      <c r="I1007" s="30" t="str">
        <f t="shared" si="133"/>
        <v/>
      </c>
    </row>
    <row r="1008" spans="1:9" hidden="1" x14ac:dyDescent="0.25">
      <c r="A1008" s="30">
        <f t="shared" si="136"/>
        <v>4.5</v>
      </c>
      <c r="B1008" s="94">
        <f>INT((ROWS(B$11:B1008)-1)/20)+40+0.05*MOD(ROWS(B$11:B1008)-1,20)</f>
        <v>89.85</v>
      </c>
      <c r="C1008" s="58" t="str">
        <f t="shared" si="137"/>
        <v/>
      </c>
      <c r="D1008" s="58" t="str">
        <f t="shared" si="139"/>
        <v/>
      </c>
      <c r="E1008" s="30">
        <f t="shared" si="134"/>
        <v>1.5014773728634967E-6</v>
      </c>
      <c r="F1008" s="30" t="str">
        <f t="shared" si="138"/>
        <v/>
      </c>
      <c r="G1008" s="30" t="str">
        <f t="shared" si="138"/>
        <v/>
      </c>
      <c r="H1008" s="30" t="str">
        <f t="shared" si="138"/>
        <v/>
      </c>
      <c r="I1008" s="30" t="str">
        <f t="shared" si="133"/>
        <v/>
      </c>
    </row>
    <row r="1009" spans="1:9" hidden="1" x14ac:dyDescent="0.25">
      <c r="A1009" s="30">
        <f t="shared" si="136"/>
        <v>4.5</v>
      </c>
      <c r="B1009" s="94">
        <f>INT((ROWS(B$11:B1009)-1)/20)+40+0.05*MOD(ROWS(B$11:B1009)-1,20)</f>
        <v>89.9</v>
      </c>
      <c r="C1009" s="58" t="str">
        <f t="shared" si="137"/>
        <v/>
      </c>
      <c r="D1009" s="58" t="str">
        <f t="shared" si="139"/>
        <v/>
      </c>
      <c r="E1009" s="30">
        <f t="shared" si="134"/>
        <v>1.4154749997587021E-6</v>
      </c>
      <c r="F1009" s="30" t="str">
        <f t="shared" si="138"/>
        <v/>
      </c>
      <c r="G1009" s="30" t="str">
        <f t="shared" si="138"/>
        <v/>
      </c>
      <c r="H1009" s="30" t="str">
        <f t="shared" si="138"/>
        <v/>
      </c>
      <c r="I1009" s="30" t="str">
        <f t="shared" si="133"/>
        <v/>
      </c>
    </row>
    <row r="1010" spans="1:9" hidden="1" x14ac:dyDescent="0.25">
      <c r="A1010" s="30">
        <f t="shared" si="136"/>
        <v>4.5</v>
      </c>
      <c r="B1010" s="94">
        <f>INT((ROWS(B$11:B1010)-1)/20)+40+0.05*MOD(ROWS(B$11:B1010)-1,20)</f>
        <v>89.95</v>
      </c>
      <c r="C1010" s="58" t="str">
        <f t="shared" si="137"/>
        <v/>
      </c>
      <c r="D1010" s="58" t="str">
        <f t="shared" si="139"/>
        <v/>
      </c>
      <c r="E1010" s="30">
        <f t="shared" si="134"/>
        <v>1.3341902301513758E-6</v>
      </c>
      <c r="F1010" s="30" t="str">
        <f t="shared" si="138"/>
        <v/>
      </c>
      <c r="G1010" s="30" t="str">
        <f t="shared" si="138"/>
        <v/>
      </c>
      <c r="H1010" s="30" t="str">
        <f t="shared" si="138"/>
        <v/>
      </c>
      <c r="I1010" s="30" t="str">
        <f t="shared" si="133"/>
        <v/>
      </c>
    </row>
    <row r="1011" spans="1:9" hidden="1" x14ac:dyDescent="0.25">
      <c r="A1011" s="30">
        <f t="shared" si="136"/>
        <v>4.75</v>
      </c>
      <c r="B1011" s="94">
        <f>INT((ROWS(B$11:B1011)-1)/20)+40+0.05*MOD(ROWS(B$11:B1011)-1,20)</f>
        <v>90</v>
      </c>
      <c r="C1011" s="58" t="str">
        <f t="shared" si="137"/>
        <v/>
      </c>
      <c r="D1011" s="58" t="str">
        <f t="shared" si="139"/>
        <v/>
      </c>
      <c r="E1011" s="30">
        <f t="shared" si="134"/>
        <v>1.2573768221481113E-6</v>
      </c>
      <c r="F1011" s="30" t="str">
        <f t="shared" ref="F1011:H1030" si="140">IF(AND($B1011&gt;=F$7,$B1011&lt;=F$8),E1011,"")</f>
        <v/>
      </c>
      <c r="G1011" s="30" t="str">
        <f t="shared" si="140"/>
        <v/>
      </c>
      <c r="H1011" s="30" t="str">
        <f t="shared" si="140"/>
        <v/>
      </c>
      <c r="I1011" s="30" t="str">
        <f t="shared" si="133"/>
        <v/>
      </c>
    </row>
    <row r="1012" spans="1:9" hidden="1" x14ac:dyDescent="0.25">
      <c r="A1012" s="30">
        <f t="shared" si="136"/>
        <v>4.75</v>
      </c>
      <c r="B1012" s="94">
        <f>INT((ROWS(B$11:B1012)-1)/20)+40+0.05*MOD(ROWS(B$11:B1012)-1,20)</f>
        <v>90.05</v>
      </c>
      <c r="C1012" s="58" t="str">
        <f t="shared" si="137"/>
        <v/>
      </c>
      <c r="D1012" s="58" t="str">
        <f t="shared" si="139"/>
        <v/>
      </c>
      <c r="E1012" s="30">
        <f t="shared" si="134"/>
        <v>1.1848006571711384E-6</v>
      </c>
      <c r="F1012" s="30" t="str">
        <f t="shared" si="140"/>
        <v/>
      </c>
      <c r="G1012" s="30" t="str">
        <f t="shared" si="140"/>
        <v/>
      </c>
      <c r="H1012" s="30" t="str">
        <f t="shared" si="140"/>
        <v/>
      </c>
      <c r="I1012" s="30" t="str">
        <f t="shared" si="133"/>
        <v/>
      </c>
    </row>
    <row r="1013" spans="1:9" hidden="1" x14ac:dyDescent="0.25">
      <c r="A1013" s="30">
        <f t="shared" si="136"/>
        <v>4.75</v>
      </c>
      <c r="B1013" s="94">
        <f>INT((ROWS(B$11:B1013)-1)/20)+40+0.05*MOD(ROWS(B$11:B1013)-1,20)</f>
        <v>90.1</v>
      </c>
      <c r="C1013" s="58" t="str">
        <f t="shared" si="137"/>
        <v/>
      </c>
      <c r="D1013" s="58" t="str">
        <f t="shared" si="139"/>
        <v/>
      </c>
      <c r="E1013" s="30">
        <f t="shared" si="134"/>
        <v>1.1162391840711678E-6</v>
      </c>
      <c r="F1013" s="30" t="str">
        <f t="shared" si="140"/>
        <v/>
      </c>
      <c r="G1013" s="30" t="str">
        <f t="shared" si="140"/>
        <v/>
      </c>
      <c r="H1013" s="30" t="str">
        <f t="shared" si="140"/>
        <v/>
      </c>
      <c r="I1013" s="30" t="str">
        <f t="shared" si="133"/>
        <v/>
      </c>
    </row>
    <row r="1014" spans="1:9" hidden="1" x14ac:dyDescent="0.25">
      <c r="A1014" s="30">
        <f t="shared" si="136"/>
        <v>4.75</v>
      </c>
      <c r="B1014" s="94">
        <f>INT((ROWS(B$11:B1014)-1)/20)+40+0.05*MOD(ROWS(B$11:B1014)-1,20)</f>
        <v>90.15</v>
      </c>
      <c r="C1014" s="58" t="str">
        <f t="shared" si="137"/>
        <v/>
      </c>
      <c r="D1014" s="58" t="str">
        <f t="shared" si="139"/>
        <v/>
      </c>
      <c r="E1014" s="30">
        <f t="shared" si="134"/>
        <v>1.0514808865104787E-6</v>
      </c>
      <c r="F1014" s="30" t="str">
        <f t="shared" si="140"/>
        <v/>
      </c>
      <c r="G1014" s="30" t="str">
        <f t="shared" si="140"/>
        <v/>
      </c>
      <c r="H1014" s="30" t="str">
        <f t="shared" si="140"/>
        <v/>
      </c>
      <c r="I1014" s="30" t="str">
        <f t="shared" si="133"/>
        <v/>
      </c>
    </row>
    <row r="1015" spans="1:9" hidden="1" x14ac:dyDescent="0.25">
      <c r="A1015" s="30">
        <f t="shared" si="136"/>
        <v>4.75</v>
      </c>
      <c r="B1015" s="94">
        <f>INT((ROWS(B$11:B1015)-1)/20)+40+0.05*MOD(ROWS(B$11:B1015)-1,20)</f>
        <v>90.2</v>
      </c>
      <c r="C1015" s="58" t="str">
        <f t="shared" si="137"/>
        <v/>
      </c>
      <c r="D1015" s="58" t="str">
        <f t="shared" si="139"/>
        <v/>
      </c>
      <c r="E1015" s="30">
        <f t="shared" si="134"/>
        <v>9.9032477275801523E-7</v>
      </c>
      <c r="F1015" s="30" t="str">
        <f t="shared" si="140"/>
        <v/>
      </c>
      <c r="G1015" s="30" t="str">
        <f t="shared" si="140"/>
        <v/>
      </c>
      <c r="H1015" s="30" t="str">
        <f t="shared" si="140"/>
        <v/>
      </c>
      <c r="I1015" s="30" t="str">
        <f t="shared" si="133"/>
        <v/>
      </c>
    </row>
    <row r="1016" spans="1:9" hidden="1" x14ac:dyDescent="0.25">
      <c r="A1016" s="30">
        <f t="shared" si="136"/>
        <v>4.75</v>
      </c>
      <c r="B1016" s="94">
        <f>INT((ROWS(B$11:B1016)-1)/20)+40+0.05*MOD(ROWS(B$11:B1016)-1,20)</f>
        <v>90.25</v>
      </c>
      <c r="C1016" s="58" t="str">
        <f t="shared" si="137"/>
        <v/>
      </c>
      <c r="D1016" s="58" t="str">
        <f t="shared" si="139"/>
        <v/>
      </c>
      <c r="E1016" s="30">
        <f t="shared" si="134"/>
        <v>9.3257988706362347E-7</v>
      </c>
      <c r="F1016" s="30" t="str">
        <f t="shared" si="140"/>
        <v/>
      </c>
      <c r="G1016" s="30" t="str">
        <f t="shared" si="140"/>
        <v/>
      </c>
      <c r="H1016" s="30" t="str">
        <f t="shared" si="140"/>
        <v/>
      </c>
      <c r="I1016" s="30" t="str">
        <f t="shared" si="133"/>
        <v/>
      </c>
    </row>
    <row r="1017" spans="1:9" hidden="1" x14ac:dyDescent="0.25">
      <c r="A1017" s="30">
        <f t="shared" si="136"/>
        <v>4.75</v>
      </c>
      <c r="B1017" s="94">
        <f>INT((ROWS(B$11:B1017)-1)/20)+40+0.05*MOD(ROWS(B$11:B1017)-1,20)</f>
        <v>90.3</v>
      </c>
      <c r="C1017" s="58" t="str">
        <f t="shared" si="137"/>
        <v/>
      </c>
      <c r="D1017" s="58" t="str">
        <f t="shared" si="139"/>
        <v/>
      </c>
      <c r="E1017" s="30">
        <f t="shared" si="134"/>
        <v>8.780648418045741E-7</v>
      </c>
      <c r="F1017" s="30" t="str">
        <f t="shared" si="140"/>
        <v/>
      </c>
      <c r="G1017" s="30" t="str">
        <f t="shared" si="140"/>
        <v/>
      </c>
      <c r="H1017" s="30" t="str">
        <f t="shared" si="140"/>
        <v/>
      </c>
      <c r="I1017" s="30" t="str">
        <f t="shared" si="133"/>
        <v/>
      </c>
    </row>
    <row r="1018" spans="1:9" hidden="1" x14ac:dyDescent="0.25">
      <c r="A1018" s="30">
        <f t="shared" si="136"/>
        <v>4.75</v>
      </c>
      <c r="B1018" s="94">
        <f>INT((ROWS(B$11:B1018)-1)/20)+40+0.05*MOD(ROWS(B$11:B1018)-1,20)</f>
        <v>90.35</v>
      </c>
      <c r="C1018" s="58" t="str">
        <f t="shared" si="137"/>
        <v/>
      </c>
      <c r="D1018" s="58" t="str">
        <f t="shared" si="139"/>
        <v/>
      </c>
      <c r="E1018" s="30">
        <f t="shared" si="134"/>
        <v>8.2660736962170641E-7</v>
      </c>
      <c r="F1018" s="30" t="str">
        <f t="shared" si="140"/>
        <v/>
      </c>
      <c r="G1018" s="30" t="str">
        <f t="shared" si="140"/>
        <v/>
      </c>
      <c r="H1018" s="30" t="str">
        <f t="shared" si="140"/>
        <v/>
      </c>
      <c r="I1018" s="30" t="str">
        <f t="shared" si="133"/>
        <v/>
      </c>
    </row>
    <row r="1019" spans="1:9" hidden="1" x14ac:dyDescent="0.25">
      <c r="A1019" s="30">
        <f t="shared" si="136"/>
        <v>4.75</v>
      </c>
      <c r="B1019" s="94">
        <f>INT((ROWS(B$11:B1019)-1)/20)+40+0.05*MOD(ROWS(B$11:B1019)-1,20)</f>
        <v>90.4</v>
      </c>
      <c r="C1019" s="58" t="str">
        <f t="shared" si="137"/>
        <v/>
      </c>
      <c r="D1019" s="58" t="str">
        <f t="shared" si="139"/>
        <v/>
      </c>
      <c r="E1019" s="30">
        <f t="shared" si="134"/>
        <v>7.7804389478722923E-7</v>
      </c>
      <c r="F1019" s="30" t="str">
        <f t="shared" si="140"/>
        <v/>
      </c>
      <c r="G1019" s="30" t="str">
        <f t="shared" si="140"/>
        <v/>
      </c>
      <c r="H1019" s="30" t="str">
        <f t="shared" si="140"/>
        <v/>
      </c>
      <c r="I1019" s="30" t="str">
        <f t="shared" si="133"/>
        <v/>
      </c>
    </row>
    <row r="1020" spans="1:9" hidden="1" x14ac:dyDescent="0.25">
      <c r="A1020" s="30">
        <f t="shared" si="136"/>
        <v>4.75</v>
      </c>
      <c r="B1020" s="94">
        <f>INT((ROWS(B$11:B1020)-1)/20)+40+0.05*MOD(ROWS(B$11:B1020)-1,20)</f>
        <v>90.45</v>
      </c>
      <c r="C1020" s="58" t="str">
        <f t="shared" si="137"/>
        <v/>
      </c>
      <c r="D1020" s="58" t="str">
        <f t="shared" si="139"/>
        <v/>
      </c>
      <c r="E1020" s="30">
        <f t="shared" si="134"/>
        <v>7.322191230700425E-7</v>
      </c>
      <c r="F1020" s="30" t="str">
        <f t="shared" si="140"/>
        <v/>
      </c>
      <c r="G1020" s="30" t="str">
        <f t="shared" si="140"/>
        <v/>
      </c>
      <c r="H1020" s="30" t="str">
        <f t="shared" si="140"/>
        <v/>
      </c>
      <c r="I1020" s="30" t="str">
        <f t="shared" si="133"/>
        <v/>
      </c>
    </row>
    <row r="1021" spans="1:9" hidden="1" x14ac:dyDescent="0.25">
      <c r="A1021" s="30">
        <f t="shared" si="136"/>
        <v>4.75</v>
      </c>
      <c r="B1021" s="94">
        <f>INT((ROWS(B$11:B1021)-1)/20)+40+0.05*MOD(ROWS(B$11:B1021)-1,20)</f>
        <v>90.5</v>
      </c>
      <c r="C1021" s="58" t="str">
        <f t="shared" si="137"/>
        <v/>
      </c>
      <c r="D1021" s="58" t="str">
        <f t="shared" si="139"/>
        <v/>
      </c>
      <c r="E1021" s="30">
        <f t="shared" si="134"/>
        <v>6.8898564938749303E-7</v>
      </c>
      <c r="F1021" s="30" t="str">
        <f t="shared" si="140"/>
        <v/>
      </c>
      <c r="G1021" s="30" t="str">
        <f t="shared" si="140"/>
        <v/>
      </c>
      <c r="H1021" s="30" t="str">
        <f t="shared" si="140"/>
        <v/>
      </c>
      <c r="I1021" s="30" t="str">
        <f t="shared" si="133"/>
        <v/>
      </c>
    </row>
    <row r="1022" spans="1:9" hidden="1" x14ac:dyDescent="0.25">
      <c r="A1022" s="30">
        <f t="shared" si="136"/>
        <v>4.75</v>
      </c>
      <c r="B1022" s="94">
        <f>INT((ROWS(B$11:B1022)-1)/20)+40+0.05*MOD(ROWS(B$11:B1022)-1,20)</f>
        <v>90.55</v>
      </c>
      <c r="C1022" s="58" t="str">
        <f t="shared" si="137"/>
        <v/>
      </c>
      <c r="D1022" s="58" t="str">
        <f t="shared" si="139"/>
        <v/>
      </c>
      <c r="E1022" s="30">
        <f t="shared" si="134"/>
        <v>6.4820358255581748E-7</v>
      </c>
      <c r="F1022" s="30" t="str">
        <f t="shared" si="140"/>
        <v/>
      </c>
      <c r="G1022" s="30" t="str">
        <f t="shared" si="140"/>
        <v/>
      </c>
      <c r="H1022" s="30" t="str">
        <f t="shared" si="140"/>
        <v/>
      </c>
      <c r="I1022" s="30" t="str">
        <f t="shared" si="133"/>
        <v/>
      </c>
    </row>
    <row r="1023" spans="1:9" hidden="1" x14ac:dyDescent="0.25">
      <c r="A1023" s="30">
        <f t="shared" si="136"/>
        <v>4.75</v>
      </c>
      <c r="B1023" s="94">
        <f>INT((ROWS(B$11:B1023)-1)/20)+40+0.05*MOD(ROWS(B$11:B1023)-1,20)</f>
        <v>90.6</v>
      </c>
      <c r="C1023" s="58" t="str">
        <f t="shared" si="137"/>
        <v/>
      </c>
      <c r="D1023" s="58" t="str">
        <f t="shared" si="139"/>
        <v/>
      </c>
      <c r="E1023" s="30">
        <f t="shared" si="134"/>
        <v>6.0974018647334344E-7</v>
      </c>
      <c r="F1023" s="30" t="str">
        <f t="shared" si="140"/>
        <v/>
      </c>
      <c r="G1023" s="30" t="str">
        <f t="shared" si="140"/>
        <v/>
      </c>
      <c r="H1023" s="30" t="str">
        <f t="shared" si="140"/>
        <v/>
      </c>
      <c r="I1023" s="30" t="str">
        <f t="shared" si="133"/>
        <v/>
      </c>
    </row>
    <row r="1024" spans="1:9" hidden="1" x14ac:dyDescent="0.25">
      <c r="A1024" s="30">
        <f t="shared" si="136"/>
        <v>4.75</v>
      </c>
      <c r="B1024" s="94">
        <f>INT((ROWS(B$11:B1024)-1)/20)+40+0.05*MOD(ROWS(B$11:B1024)-1,20)</f>
        <v>90.65</v>
      </c>
      <c r="C1024" s="58" t="str">
        <f t="shared" si="137"/>
        <v/>
      </c>
      <c r="D1024" s="58" t="str">
        <f t="shared" si="139"/>
        <v/>
      </c>
      <c r="E1024" s="30">
        <f t="shared" si="134"/>
        <v>5.7346953709264616E-7</v>
      </c>
      <c r="F1024" s="30" t="str">
        <f t="shared" si="140"/>
        <v/>
      </c>
      <c r="G1024" s="30" t="str">
        <f t="shared" si="140"/>
        <v/>
      </c>
      <c r="H1024" s="30" t="str">
        <f t="shared" si="140"/>
        <v/>
      </c>
      <c r="I1024" s="30" t="str">
        <f t="shared" si="133"/>
        <v/>
      </c>
    </row>
    <row r="1025" spans="1:9" hidden="1" x14ac:dyDescent="0.25">
      <c r="A1025" s="30">
        <f t="shared" si="136"/>
        <v>4.75</v>
      </c>
      <c r="B1025" s="94">
        <f>INT((ROWS(B$11:B1025)-1)/20)+40+0.05*MOD(ROWS(B$11:B1025)-1,20)</f>
        <v>90.7</v>
      </c>
      <c r="C1025" s="58" t="str">
        <f t="shared" si="137"/>
        <v/>
      </c>
      <c r="D1025" s="58" t="str">
        <f t="shared" si="139"/>
        <v/>
      </c>
      <c r="E1025" s="30">
        <f t="shared" si="134"/>
        <v>5.3927219455910993E-7</v>
      </c>
      <c r="F1025" s="30" t="str">
        <f t="shared" si="140"/>
        <v/>
      </c>
      <c r="G1025" s="30" t="str">
        <f t="shared" si="140"/>
        <v/>
      </c>
      <c r="H1025" s="30" t="str">
        <f t="shared" si="140"/>
        <v/>
      </c>
      <c r="I1025" s="30" t="str">
        <f t="shared" ref="I1025:I1088" si="141">IF(AND(B1025&gt;=$F$1-0.1,B1025&lt;=$F$1+0.1),E1025,"")</f>
        <v/>
      </c>
    </row>
    <row r="1026" spans="1:9" hidden="1" x14ac:dyDescent="0.25">
      <c r="A1026" s="30">
        <f t="shared" si="136"/>
        <v>4.75</v>
      </c>
      <c r="B1026" s="94">
        <f>INT((ROWS(B$11:B1026)-1)/20)+40+0.05*MOD(ROWS(B$11:B1026)-1,20)</f>
        <v>90.75</v>
      </c>
      <c r="C1026" s="58" t="str">
        <f t="shared" si="137"/>
        <v/>
      </c>
      <c r="D1026" s="58" t="str">
        <f t="shared" si="139"/>
        <v/>
      </c>
      <c r="E1026" s="30">
        <f t="shared" si="134"/>
        <v>5.0703488991399102E-7</v>
      </c>
      <c r="F1026" s="30" t="str">
        <f t="shared" si="140"/>
        <v/>
      </c>
      <c r="G1026" s="30" t="str">
        <f t="shared" si="140"/>
        <v/>
      </c>
      <c r="H1026" s="30" t="str">
        <f t="shared" si="140"/>
        <v/>
      </c>
      <c r="I1026" s="30" t="str">
        <f t="shared" si="141"/>
        <v/>
      </c>
    </row>
    <row r="1027" spans="1:9" hidden="1" x14ac:dyDescent="0.25">
      <c r="A1027" s="30">
        <f t="shared" si="136"/>
        <v>4.75</v>
      </c>
      <c r="B1027" s="94">
        <f>INT((ROWS(B$11:B1027)-1)/20)+40+0.05*MOD(ROWS(B$11:B1027)-1,20)</f>
        <v>90.8</v>
      </c>
      <c r="C1027" s="58" t="str">
        <f t="shared" si="137"/>
        <v/>
      </c>
      <c r="D1027" s="58" t="str">
        <f t="shared" si="139"/>
        <v/>
      </c>
      <c r="E1027" s="30">
        <f t="shared" si="134"/>
        <v>4.7665022578070438E-7</v>
      </c>
      <c r="F1027" s="30" t="str">
        <f t="shared" si="140"/>
        <v/>
      </c>
      <c r="G1027" s="30" t="str">
        <f t="shared" si="140"/>
        <v/>
      </c>
      <c r="H1027" s="30" t="str">
        <f t="shared" si="140"/>
        <v/>
      </c>
      <c r="I1027" s="30" t="str">
        <f t="shared" si="141"/>
        <v/>
      </c>
    </row>
    <row r="1028" spans="1:9" hidden="1" x14ac:dyDescent="0.25">
      <c r="A1028" s="30">
        <f t="shared" si="136"/>
        <v>4.75</v>
      </c>
      <c r="B1028" s="94">
        <f>INT((ROWS(B$11:B1028)-1)/20)+40+0.05*MOD(ROWS(B$11:B1028)-1,20)</f>
        <v>90.85</v>
      </c>
      <c r="C1028" s="58" t="str">
        <f t="shared" si="137"/>
        <v/>
      </c>
      <c r="D1028" s="58" t="str">
        <f t="shared" si="139"/>
        <v/>
      </c>
      <c r="E1028" s="30">
        <f t="shared" si="134"/>
        <v>4.4801639047250054E-7</v>
      </c>
      <c r="F1028" s="30" t="str">
        <f t="shared" si="140"/>
        <v/>
      </c>
      <c r="G1028" s="30" t="str">
        <f t="shared" si="140"/>
        <v/>
      </c>
      <c r="H1028" s="30" t="str">
        <f t="shared" si="140"/>
        <v/>
      </c>
      <c r="I1028" s="30" t="str">
        <f t="shared" si="141"/>
        <v/>
      </c>
    </row>
    <row r="1029" spans="1:9" hidden="1" x14ac:dyDescent="0.25">
      <c r="A1029" s="30">
        <f t="shared" si="136"/>
        <v>4.75</v>
      </c>
      <c r="B1029" s="94">
        <f>INT((ROWS(B$11:B1029)-1)/20)+40+0.05*MOD(ROWS(B$11:B1029)-1,20)</f>
        <v>90.9</v>
      </c>
      <c r="C1029" s="58" t="str">
        <f t="shared" si="137"/>
        <v/>
      </c>
      <c r="D1029" s="58" t="str">
        <f t="shared" si="139"/>
        <v/>
      </c>
      <c r="E1029" s="30">
        <f t="shared" si="134"/>
        <v>4.2103688497921587E-7</v>
      </c>
      <c r="F1029" s="30" t="str">
        <f t="shared" si="140"/>
        <v/>
      </c>
      <c r="G1029" s="30" t="str">
        <f t="shared" si="140"/>
        <v/>
      </c>
      <c r="H1029" s="30" t="str">
        <f t="shared" si="140"/>
        <v/>
      </c>
      <c r="I1029" s="30" t="str">
        <f t="shared" si="141"/>
        <v/>
      </c>
    </row>
    <row r="1030" spans="1:9" hidden="1" x14ac:dyDescent="0.25">
      <c r="A1030" s="30">
        <f t="shared" si="136"/>
        <v>4.75</v>
      </c>
      <c r="B1030" s="94">
        <f>INT((ROWS(B$11:B1030)-1)/20)+40+0.05*MOD(ROWS(B$11:B1030)-1,20)</f>
        <v>90.95</v>
      </c>
      <c r="C1030" s="58" t="str">
        <f t="shared" si="137"/>
        <v/>
      </c>
      <c r="D1030" s="58" t="str">
        <f t="shared" si="139"/>
        <v/>
      </c>
      <c r="E1030" s="30">
        <f t="shared" si="134"/>
        <v>3.9562026230956422E-7</v>
      </c>
      <c r="F1030" s="30" t="str">
        <f t="shared" si="140"/>
        <v/>
      </c>
      <c r="G1030" s="30" t="str">
        <f t="shared" si="140"/>
        <v/>
      </c>
      <c r="H1030" s="30" t="str">
        <f t="shared" si="140"/>
        <v/>
      </c>
      <c r="I1030" s="30" t="str">
        <f t="shared" si="141"/>
        <v/>
      </c>
    </row>
    <row r="1031" spans="1:9" hidden="1" x14ac:dyDescent="0.25">
      <c r="A1031" s="30">
        <f t="shared" si="136"/>
        <v>5</v>
      </c>
      <c r="B1031" s="94">
        <f>INT((ROWS(B$11:B1031)-1)/20)+40+0.05*MOD(ROWS(B$11:B1031)-1,20)</f>
        <v>91</v>
      </c>
      <c r="C1031" s="58">
        <f t="shared" si="137"/>
        <v>5</v>
      </c>
      <c r="D1031" s="58" t="str">
        <f t="shared" si="139"/>
        <v/>
      </c>
      <c r="E1031" s="30">
        <f t="shared" si="134"/>
        <v>3.7167987868357442E-7</v>
      </c>
      <c r="F1031" s="30" t="str">
        <f t="shared" ref="F1031:H1050" si="142">IF(AND($B1031&gt;=F$7,$B1031&lt;=F$8),E1031,"")</f>
        <v/>
      </c>
      <c r="G1031" s="30" t="str">
        <f t="shared" si="142"/>
        <v/>
      </c>
      <c r="H1031" s="30" t="str">
        <f t="shared" si="142"/>
        <v/>
      </c>
      <c r="I1031" s="30" t="str">
        <f t="shared" si="141"/>
        <v/>
      </c>
    </row>
    <row r="1032" spans="1:9" hidden="1" x14ac:dyDescent="0.25">
      <c r="A1032" s="30">
        <f t="shared" si="136"/>
        <v>5</v>
      </c>
      <c r="B1032" s="94">
        <f>INT((ROWS(B$11:B1032)-1)/20)+40+0.05*MOD(ROWS(B$11:B1032)-1,20)</f>
        <v>91.05</v>
      </c>
      <c r="C1032" s="58" t="str">
        <f t="shared" si="137"/>
        <v/>
      </c>
      <c r="D1032" s="58" t="str">
        <f t="shared" si="139"/>
        <v/>
      </c>
      <c r="E1032" s="30">
        <f t="shared" si="134"/>
        <v>3.4913365608789807E-7</v>
      </c>
      <c r="F1032" s="30" t="str">
        <f t="shared" si="142"/>
        <v/>
      </c>
      <c r="G1032" s="30" t="str">
        <f t="shared" si="142"/>
        <v/>
      </c>
      <c r="H1032" s="30" t="str">
        <f t="shared" si="142"/>
        <v/>
      </c>
      <c r="I1032" s="30" t="str">
        <f t="shared" si="141"/>
        <v/>
      </c>
    </row>
    <row r="1033" spans="1:9" hidden="1" x14ac:dyDescent="0.25">
      <c r="A1033" s="30">
        <f t="shared" si="136"/>
        <v>5</v>
      </c>
      <c r="B1033" s="94">
        <f>INT((ROWS(B$11:B1033)-1)/20)+40+0.05*MOD(ROWS(B$11:B1033)-1,20)</f>
        <v>91.1</v>
      </c>
      <c r="C1033" s="58" t="str">
        <f t="shared" si="137"/>
        <v/>
      </c>
      <c r="D1033" s="58" t="str">
        <f t="shared" si="139"/>
        <v/>
      </c>
      <c r="E1033" s="30">
        <f t="shared" si="134"/>
        <v>3.27903855723763E-7</v>
      </c>
      <c r="F1033" s="30" t="str">
        <f t="shared" si="142"/>
        <v/>
      </c>
      <c r="G1033" s="30" t="str">
        <f t="shared" si="142"/>
        <v/>
      </c>
      <c r="H1033" s="30" t="str">
        <f t="shared" si="142"/>
        <v/>
      </c>
      <c r="I1033" s="30" t="str">
        <f t="shared" si="141"/>
        <v/>
      </c>
    </row>
    <row r="1034" spans="1:9" hidden="1" x14ac:dyDescent="0.25">
      <c r="A1034" s="30">
        <f t="shared" si="136"/>
        <v>5</v>
      </c>
      <c r="B1034" s="94">
        <f>INT((ROWS(B$11:B1034)-1)/20)+40+0.05*MOD(ROWS(B$11:B1034)-1,20)</f>
        <v>91.15</v>
      </c>
      <c r="C1034" s="58" t="str">
        <f t="shared" si="137"/>
        <v/>
      </c>
      <c r="D1034" s="58" t="str">
        <f t="shared" si="139"/>
        <v/>
      </c>
      <c r="E1034" s="30">
        <f t="shared" si="134"/>
        <v>3.0791686189437512E-7</v>
      </c>
      <c r="F1034" s="30" t="str">
        <f t="shared" si="142"/>
        <v/>
      </c>
      <c r="G1034" s="30" t="str">
        <f t="shared" si="142"/>
        <v/>
      </c>
      <c r="H1034" s="30" t="str">
        <f t="shared" si="142"/>
        <v/>
      </c>
      <c r="I1034" s="30" t="str">
        <f t="shared" si="141"/>
        <v/>
      </c>
    </row>
    <row r="1035" spans="1:9" hidden="1" x14ac:dyDescent="0.25">
      <c r="A1035" s="30">
        <f t="shared" si="136"/>
        <v>5</v>
      </c>
      <c r="B1035" s="94">
        <f>INT((ROWS(B$11:B1035)-1)/20)+40+0.05*MOD(ROWS(B$11:B1035)-1,20)</f>
        <v>91.2</v>
      </c>
      <c r="C1035" s="58" t="str">
        <f t="shared" si="137"/>
        <v/>
      </c>
      <c r="D1035" s="58" t="str">
        <f t="shared" si="139"/>
        <v/>
      </c>
      <c r="E1035" s="30">
        <f t="shared" ref="E1035:E1098" si="143">_xlfn.NORM.DIST(B1035,$F$1,$F$2,0)</f>
        <v>2.8910297589494426E-7</v>
      </c>
      <c r="F1035" s="30" t="str">
        <f t="shared" si="142"/>
        <v/>
      </c>
      <c r="G1035" s="30" t="str">
        <f t="shared" si="142"/>
        <v/>
      </c>
      <c r="H1035" s="30" t="str">
        <f t="shared" si="142"/>
        <v/>
      </c>
      <c r="I1035" s="30" t="str">
        <f t="shared" si="141"/>
        <v/>
      </c>
    </row>
    <row r="1036" spans="1:9" hidden="1" x14ac:dyDescent="0.25">
      <c r="A1036" s="30">
        <f t="shared" ref="A1036:A1099" si="144">(INT(B1036)-$F$1)/$F$2</f>
        <v>5</v>
      </c>
      <c r="B1036" s="94">
        <f>INT((ROWS(B$11:B1036)-1)/20)+40+0.05*MOD(ROWS(B$11:B1036)-1,20)</f>
        <v>91.25</v>
      </c>
      <c r="C1036" s="58" t="str">
        <f t="shared" ref="C1036:C1099" si="145">IF(AND(A1036&lt;&gt;A1035,INT(A1036)=A1036),A1036,"")</f>
        <v/>
      </c>
      <c r="D1036" s="58" t="str">
        <f t="shared" si="139"/>
        <v/>
      </c>
      <c r="E1036" s="30">
        <f t="shared" si="143"/>
        <v>2.713962194843318E-7</v>
      </c>
      <c r="F1036" s="30" t="str">
        <f t="shared" si="142"/>
        <v/>
      </c>
      <c r="G1036" s="30" t="str">
        <f t="shared" si="142"/>
        <v/>
      </c>
      <c r="H1036" s="30" t="str">
        <f t="shared" si="142"/>
        <v/>
      </c>
      <c r="I1036" s="30" t="str">
        <f t="shared" si="141"/>
        <v/>
      </c>
    </row>
    <row r="1037" spans="1:9" hidden="1" x14ac:dyDescent="0.25">
      <c r="A1037" s="30">
        <f t="shared" si="144"/>
        <v>5</v>
      </c>
      <c r="B1037" s="94">
        <f>INT((ROWS(B$11:B1037)-1)/20)+40+0.05*MOD(ROWS(B$11:B1037)-1,20)</f>
        <v>91.3</v>
      </c>
      <c r="C1037" s="58" t="str">
        <f t="shared" si="145"/>
        <v/>
      </c>
      <c r="D1037" s="58" t="str">
        <f t="shared" si="139"/>
        <v/>
      </c>
      <c r="E1037" s="30">
        <f t="shared" si="143"/>
        <v>2.5473414753297035E-7</v>
      </c>
      <c r="F1037" s="30" t="str">
        <f t="shared" si="142"/>
        <v/>
      </c>
      <c r="G1037" s="30" t="str">
        <f t="shared" si="142"/>
        <v/>
      </c>
      <c r="H1037" s="30" t="str">
        <f t="shared" si="142"/>
        <v/>
      </c>
      <c r="I1037" s="30" t="str">
        <f t="shared" si="141"/>
        <v/>
      </c>
    </row>
    <row r="1038" spans="1:9" hidden="1" x14ac:dyDescent="0.25">
      <c r="A1038" s="30">
        <f t="shared" si="144"/>
        <v>5</v>
      </c>
      <c r="B1038" s="94">
        <f>INT((ROWS(B$11:B1038)-1)/20)+40+0.05*MOD(ROWS(B$11:B1038)-1,20)</f>
        <v>91.35</v>
      </c>
      <c r="C1038" s="58" t="str">
        <f t="shared" si="145"/>
        <v/>
      </c>
      <c r="D1038" s="58" t="str">
        <f t="shared" si="139"/>
        <v/>
      </c>
      <c r="E1038" s="30">
        <f t="shared" si="143"/>
        <v>2.3905766945654312E-7</v>
      </c>
      <c r="F1038" s="30" t="str">
        <f t="shared" si="142"/>
        <v/>
      </c>
      <c r="G1038" s="30" t="str">
        <f t="shared" si="142"/>
        <v/>
      </c>
      <c r="H1038" s="30" t="str">
        <f t="shared" si="142"/>
        <v/>
      </c>
      <c r="I1038" s="30" t="str">
        <f t="shared" si="141"/>
        <v/>
      </c>
    </row>
    <row r="1039" spans="1:9" hidden="1" x14ac:dyDescent="0.25">
      <c r="A1039" s="30">
        <f t="shared" si="144"/>
        <v>5</v>
      </c>
      <c r="B1039" s="94">
        <f>INT((ROWS(B$11:B1039)-1)/20)+40+0.05*MOD(ROWS(B$11:B1039)-1,20)</f>
        <v>91.4</v>
      </c>
      <c r="C1039" s="58" t="str">
        <f t="shared" si="145"/>
        <v/>
      </c>
      <c r="D1039" s="58" t="str">
        <f t="shared" si="139"/>
        <v/>
      </c>
      <c r="E1039" s="30">
        <f t="shared" si="143"/>
        <v>2.2431087905958145E-7</v>
      </c>
      <c r="F1039" s="30" t="str">
        <f t="shared" si="142"/>
        <v/>
      </c>
      <c r="G1039" s="30" t="str">
        <f t="shared" si="142"/>
        <v/>
      </c>
      <c r="H1039" s="30" t="str">
        <f t="shared" si="142"/>
        <v/>
      </c>
      <c r="I1039" s="30" t="str">
        <f t="shared" si="141"/>
        <v/>
      </c>
    </row>
    <row r="1040" spans="1:9" hidden="1" x14ac:dyDescent="0.25">
      <c r="A1040" s="30">
        <f t="shared" si="144"/>
        <v>5</v>
      </c>
      <c r="B1040" s="94">
        <f>INT((ROWS(B$11:B1040)-1)/20)+40+0.05*MOD(ROWS(B$11:B1040)-1,20)</f>
        <v>91.45</v>
      </c>
      <c r="C1040" s="58" t="str">
        <f t="shared" si="145"/>
        <v/>
      </c>
      <c r="D1040" s="58" t="str">
        <f t="shared" si="139"/>
        <v/>
      </c>
      <c r="E1040" s="30">
        <f t="shared" si="143"/>
        <v>2.104408924272664E-7</v>
      </c>
      <c r="F1040" s="30" t="str">
        <f t="shared" si="142"/>
        <v/>
      </c>
      <c r="G1040" s="30" t="str">
        <f t="shared" si="142"/>
        <v/>
      </c>
      <c r="H1040" s="30" t="str">
        <f t="shared" si="142"/>
        <v/>
      </c>
      <c r="I1040" s="30" t="str">
        <f t="shared" si="141"/>
        <v/>
      </c>
    </row>
    <row r="1041" spans="1:9" hidden="1" x14ac:dyDescent="0.25">
      <c r="A1041" s="30">
        <f t="shared" si="144"/>
        <v>5</v>
      </c>
      <c r="B1041" s="94">
        <f>INT((ROWS(B$11:B1041)-1)/20)+40+0.05*MOD(ROWS(B$11:B1041)-1,20)</f>
        <v>91.5</v>
      </c>
      <c r="C1041" s="58" t="str">
        <f t="shared" si="145"/>
        <v/>
      </c>
      <c r="D1041" s="58" t="str">
        <f t="shared" si="139"/>
        <v/>
      </c>
      <c r="E1041" s="30">
        <f t="shared" si="143"/>
        <v>1.9739769351734986E-7</v>
      </c>
      <c r="F1041" s="30" t="str">
        <f t="shared" si="142"/>
        <v/>
      </c>
      <c r="G1041" s="30" t="str">
        <f t="shared" si="142"/>
        <v/>
      </c>
      <c r="H1041" s="30" t="str">
        <f t="shared" si="142"/>
        <v/>
      </c>
      <c r="I1041" s="30" t="str">
        <f t="shared" si="141"/>
        <v/>
      </c>
    </row>
    <row r="1042" spans="1:9" hidden="1" x14ac:dyDescent="0.25">
      <c r="A1042" s="30">
        <f t="shared" si="144"/>
        <v>5</v>
      </c>
      <c r="B1042" s="94">
        <f>INT((ROWS(B$11:B1042)-1)/20)+40+0.05*MOD(ROWS(B$11:B1042)-1,20)</f>
        <v>91.55</v>
      </c>
      <c r="C1042" s="58" t="str">
        <f t="shared" si="145"/>
        <v/>
      </c>
      <c r="D1042" s="58" t="str">
        <f t="shared" si="139"/>
        <v/>
      </c>
      <c r="E1042" s="30">
        <f t="shared" si="143"/>
        <v>1.8513398711753675E-7</v>
      </c>
      <c r="F1042" s="30" t="str">
        <f t="shared" si="142"/>
        <v/>
      </c>
      <c r="G1042" s="30" t="str">
        <f t="shared" si="142"/>
        <v/>
      </c>
      <c r="H1042" s="30" t="str">
        <f t="shared" si="142"/>
        <v/>
      </c>
      <c r="I1042" s="30" t="str">
        <f t="shared" si="141"/>
        <v/>
      </c>
    </row>
    <row r="1043" spans="1:9" hidden="1" x14ac:dyDescent="0.25">
      <c r="A1043" s="30">
        <f t="shared" si="144"/>
        <v>5</v>
      </c>
      <c r="B1043" s="94">
        <f>INT((ROWS(B$11:B1043)-1)/20)+40+0.05*MOD(ROWS(B$11:B1043)-1,20)</f>
        <v>91.6</v>
      </c>
      <c r="C1043" s="58" t="str">
        <f t="shared" si="145"/>
        <v/>
      </c>
      <c r="D1043" s="58" t="str">
        <f t="shared" si="139"/>
        <v/>
      </c>
      <c r="E1043" s="30">
        <f t="shared" si="143"/>
        <v>1.7360505884638502E-7</v>
      </c>
      <c r="F1043" s="30" t="str">
        <f t="shared" si="142"/>
        <v/>
      </c>
      <c r="G1043" s="30" t="str">
        <f t="shared" si="142"/>
        <v/>
      </c>
      <c r="H1043" s="30" t="str">
        <f t="shared" si="142"/>
        <v/>
      </c>
      <c r="I1043" s="30" t="str">
        <f t="shared" si="141"/>
        <v/>
      </c>
    </row>
    <row r="1044" spans="1:9" hidden="1" x14ac:dyDescent="0.25">
      <c r="A1044" s="30">
        <f t="shared" si="144"/>
        <v>5</v>
      </c>
      <c r="B1044" s="94">
        <f>INT((ROWS(B$11:B1044)-1)/20)+40+0.05*MOD(ROWS(B$11:B1044)-1,20)</f>
        <v>91.65</v>
      </c>
      <c r="C1044" s="58" t="str">
        <f t="shared" si="145"/>
        <v/>
      </c>
      <c r="D1044" s="58" t="str">
        <f t="shared" si="139"/>
        <v/>
      </c>
      <c r="E1044" s="30">
        <f t="shared" si="143"/>
        <v>1.6276864188834032E-7</v>
      </c>
      <c r="F1044" s="30" t="str">
        <f t="shared" si="142"/>
        <v/>
      </c>
      <c r="G1044" s="30" t="str">
        <f t="shared" si="142"/>
        <v/>
      </c>
      <c r="H1044" s="30" t="str">
        <f t="shared" si="142"/>
        <v/>
      </c>
      <c r="I1044" s="30" t="str">
        <f t="shared" si="141"/>
        <v/>
      </c>
    </row>
    <row r="1045" spans="1:9" hidden="1" x14ac:dyDescent="0.25">
      <c r="A1045" s="30">
        <f t="shared" si="144"/>
        <v>5</v>
      </c>
      <c r="B1045" s="94">
        <f>INT((ROWS(B$11:B1045)-1)/20)+40+0.05*MOD(ROWS(B$11:B1045)-1,20)</f>
        <v>91.7</v>
      </c>
      <c r="C1045" s="58" t="str">
        <f t="shared" si="145"/>
        <v/>
      </c>
      <c r="D1045" s="58" t="str">
        <f t="shared" si="139"/>
        <v/>
      </c>
      <c r="E1045" s="30">
        <f t="shared" si="143"/>
        <v>1.5258479016557103E-7</v>
      </c>
      <c r="F1045" s="30" t="str">
        <f t="shared" si="142"/>
        <v/>
      </c>
      <c r="G1045" s="30" t="str">
        <f t="shared" si="142"/>
        <v/>
      </c>
      <c r="H1045" s="30" t="str">
        <f t="shared" si="142"/>
        <v/>
      </c>
      <c r="I1045" s="30" t="str">
        <f t="shared" si="141"/>
        <v/>
      </c>
    </row>
    <row r="1046" spans="1:9" hidden="1" x14ac:dyDescent="0.25">
      <c r="A1046" s="30">
        <f t="shared" si="144"/>
        <v>5</v>
      </c>
      <c r="B1046" s="94">
        <f>INT((ROWS(B$11:B1046)-1)/20)+40+0.05*MOD(ROWS(B$11:B1046)-1,20)</f>
        <v>91.75</v>
      </c>
      <c r="C1046" s="58" t="str">
        <f t="shared" si="145"/>
        <v/>
      </c>
      <c r="D1046" s="58" t="str">
        <f t="shared" si="139"/>
        <v/>
      </c>
      <c r="E1046" s="30">
        <f t="shared" si="143"/>
        <v>1.430157576608891E-7</v>
      </c>
      <c r="F1046" s="30" t="str">
        <f t="shared" si="142"/>
        <v/>
      </c>
      <c r="G1046" s="30" t="str">
        <f t="shared" si="142"/>
        <v/>
      </c>
      <c r="H1046" s="30" t="str">
        <f t="shared" si="142"/>
        <v/>
      </c>
      <c r="I1046" s="30" t="str">
        <f t="shared" si="141"/>
        <v/>
      </c>
    </row>
    <row r="1047" spans="1:9" hidden="1" x14ac:dyDescent="0.25">
      <c r="A1047" s="30">
        <f t="shared" si="144"/>
        <v>5</v>
      </c>
      <c r="B1047" s="94">
        <f>INT((ROWS(B$11:B1047)-1)/20)+40+0.05*MOD(ROWS(B$11:B1047)-1,20)</f>
        <v>91.8</v>
      </c>
      <c r="C1047" s="58" t="str">
        <f t="shared" si="145"/>
        <v/>
      </c>
      <c r="D1047" s="58" t="str">
        <f t="shared" si="139"/>
        <v/>
      </c>
      <c r="E1047" s="30">
        <f t="shared" si="143"/>
        <v>1.3402588361744105E-7</v>
      </c>
      <c r="F1047" s="30" t="str">
        <f t="shared" si="142"/>
        <v/>
      </c>
      <c r="G1047" s="30" t="str">
        <f t="shared" si="142"/>
        <v/>
      </c>
      <c r="H1047" s="30" t="str">
        <f t="shared" si="142"/>
        <v/>
      </c>
      <c r="I1047" s="30" t="str">
        <f t="shared" si="141"/>
        <v/>
      </c>
    </row>
    <row r="1048" spans="1:9" hidden="1" x14ac:dyDescent="0.25">
      <c r="A1048" s="30">
        <f t="shared" si="144"/>
        <v>5</v>
      </c>
      <c r="B1048" s="94">
        <f>INT((ROWS(B$11:B1048)-1)/20)+40+0.05*MOD(ROWS(B$11:B1048)-1,20)</f>
        <v>91.85</v>
      </c>
      <c r="C1048" s="58" t="str">
        <f t="shared" si="145"/>
        <v/>
      </c>
      <c r="D1048" s="58" t="str">
        <f t="shared" si="139"/>
        <v/>
      </c>
      <c r="E1048" s="30">
        <f t="shared" si="143"/>
        <v>1.2558148335167E-7</v>
      </c>
      <c r="F1048" s="30" t="str">
        <f t="shared" si="142"/>
        <v/>
      </c>
      <c r="G1048" s="30" t="str">
        <f t="shared" si="142"/>
        <v/>
      </c>
      <c r="H1048" s="30" t="str">
        <f t="shared" si="142"/>
        <v/>
      </c>
      <c r="I1048" s="30" t="str">
        <f t="shared" si="141"/>
        <v/>
      </c>
    </row>
    <row r="1049" spans="1:9" hidden="1" x14ac:dyDescent="0.25">
      <c r="A1049" s="30">
        <f t="shared" si="144"/>
        <v>5</v>
      </c>
      <c r="B1049" s="94">
        <f>INT((ROWS(B$11:B1049)-1)/20)+40+0.05*MOD(ROWS(B$11:B1049)-1,20)</f>
        <v>91.9</v>
      </c>
      <c r="C1049" s="58" t="str">
        <f t="shared" si="145"/>
        <v/>
      </c>
      <c r="D1049" s="58" t="str">
        <f t="shared" si="139"/>
        <v/>
      </c>
      <c r="E1049" s="30">
        <f t="shared" si="143"/>
        <v>1.1765074442666755E-7</v>
      </c>
      <c r="F1049" s="30" t="str">
        <f t="shared" si="142"/>
        <v/>
      </c>
      <c r="G1049" s="30" t="str">
        <f t="shared" si="142"/>
        <v/>
      </c>
      <c r="H1049" s="30" t="str">
        <f t="shared" si="142"/>
        <v/>
      </c>
      <c r="I1049" s="30" t="str">
        <f t="shared" si="141"/>
        <v/>
      </c>
    </row>
    <row r="1050" spans="1:9" hidden="1" x14ac:dyDescent="0.25">
      <c r="A1050" s="30">
        <f t="shared" si="144"/>
        <v>5</v>
      </c>
      <c r="B1050" s="94">
        <f>INT((ROWS(B$11:B1050)-1)/20)+40+0.05*MOD(ROWS(B$11:B1050)-1,20)</f>
        <v>91.95</v>
      </c>
      <c r="C1050" s="58" t="str">
        <f t="shared" si="145"/>
        <v/>
      </c>
      <c r="D1050" s="58" t="str">
        <f t="shared" si="139"/>
        <v/>
      </c>
      <c r="E1050" s="30">
        <f t="shared" si="143"/>
        <v>1.1020362794323108E-7</v>
      </c>
      <c r="F1050" s="30" t="str">
        <f t="shared" si="142"/>
        <v/>
      </c>
      <c r="G1050" s="30" t="str">
        <f t="shared" si="142"/>
        <v/>
      </c>
      <c r="H1050" s="30" t="str">
        <f t="shared" si="142"/>
        <v/>
      </c>
      <c r="I1050" s="30" t="str">
        <f t="shared" si="141"/>
        <v/>
      </c>
    </row>
    <row r="1051" spans="1:9" hidden="1" x14ac:dyDescent="0.25">
      <c r="A1051" s="30">
        <f t="shared" si="144"/>
        <v>5.25</v>
      </c>
      <c r="B1051" s="94">
        <f>INT((ROWS(B$11:B1051)-1)/20)+40+0.05*MOD(ROWS(B$11:B1051)-1,20)</f>
        <v>92</v>
      </c>
      <c r="C1051" s="58" t="str">
        <f t="shared" si="145"/>
        <v/>
      </c>
      <c r="D1051" s="58" t="str">
        <f t="shared" si="139"/>
        <v/>
      </c>
      <c r="E1051" s="30">
        <f t="shared" si="143"/>
        <v>1.0321177471574996E-7</v>
      </c>
      <c r="F1051" s="30" t="str">
        <f t="shared" ref="F1051:H1070" si="146">IF(AND($B1051&gt;=F$7,$B1051&lt;=F$8),E1051,"")</f>
        <v/>
      </c>
      <c r="G1051" s="30" t="str">
        <f t="shared" si="146"/>
        <v/>
      </c>
      <c r="H1051" s="30" t="str">
        <f t="shared" si="146"/>
        <v/>
      </c>
      <c r="I1051" s="30" t="str">
        <f t="shared" si="141"/>
        <v/>
      </c>
    </row>
    <row r="1052" spans="1:9" hidden="1" x14ac:dyDescent="0.25">
      <c r="A1052" s="30">
        <f t="shared" si="144"/>
        <v>5.25</v>
      </c>
      <c r="B1052" s="94">
        <f>INT((ROWS(B$11:B1052)-1)/20)+40+0.05*MOD(ROWS(B$11:B1052)-1,20)</f>
        <v>92.05</v>
      </c>
      <c r="C1052" s="58" t="str">
        <f t="shared" si="145"/>
        <v/>
      </c>
      <c r="D1052" s="58" t="str">
        <f t="shared" si="139"/>
        <v/>
      </c>
      <c r="E1052" s="30">
        <f t="shared" si="143"/>
        <v>9.6648416109638376E-8</v>
      </c>
      <c r="F1052" s="30" t="str">
        <f t="shared" si="146"/>
        <v/>
      </c>
      <c r="G1052" s="30" t="str">
        <f t="shared" si="146"/>
        <v/>
      </c>
      <c r="H1052" s="30" t="str">
        <f t="shared" si="146"/>
        <v/>
      </c>
      <c r="I1052" s="30" t="str">
        <f t="shared" si="141"/>
        <v/>
      </c>
    </row>
    <row r="1053" spans="1:9" hidden="1" x14ac:dyDescent="0.25">
      <c r="A1053" s="30">
        <f t="shared" si="144"/>
        <v>5.25</v>
      </c>
      <c r="B1053" s="94">
        <f>INT((ROWS(B$11:B1053)-1)/20)+40+0.05*MOD(ROWS(B$11:B1053)-1,20)</f>
        <v>92.1</v>
      </c>
      <c r="C1053" s="58" t="str">
        <f t="shared" si="145"/>
        <v/>
      </c>
      <c r="D1053" s="58" t="str">
        <f t="shared" si="139"/>
        <v/>
      </c>
      <c r="E1053" s="30">
        <f t="shared" si="143"/>
        <v>9.048828932614003E-8</v>
      </c>
      <c r="F1053" s="30" t="str">
        <f t="shared" si="146"/>
        <v/>
      </c>
      <c r="G1053" s="30" t="str">
        <f t="shared" si="146"/>
        <v/>
      </c>
      <c r="H1053" s="30" t="str">
        <f t="shared" si="146"/>
        <v/>
      </c>
      <c r="I1053" s="30" t="str">
        <f t="shared" si="141"/>
        <v/>
      </c>
    </row>
    <row r="1054" spans="1:9" hidden="1" x14ac:dyDescent="0.25">
      <c r="A1054" s="30">
        <f t="shared" si="144"/>
        <v>5.25</v>
      </c>
      <c r="B1054" s="94">
        <f>INT((ROWS(B$11:B1054)-1)/20)+40+0.05*MOD(ROWS(B$11:B1054)-1,20)</f>
        <v>92.15</v>
      </c>
      <c r="C1054" s="58" t="str">
        <f t="shared" si="145"/>
        <v/>
      </c>
      <c r="D1054" s="58" t="str">
        <f t="shared" si="139"/>
        <v/>
      </c>
      <c r="E1054" s="30">
        <f t="shared" si="143"/>
        <v>8.4707556929230954E-8</v>
      </c>
      <c r="F1054" s="30" t="str">
        <f t="shared" si="146"/>
        <v/>
      </c>
      <c r="G1054" s="30" t="str">
        <f t="shared" si="146"/>
        <v/>
      </c>
      <c r="H1054" s="30" t="str">
        <f t="shared" si="146"/>
        <v/>
      </c>
      <c r="I1054" s="30" t="str">
        <f t="shared" si="141"/>
        <v/>
      </c>
    </row>
    <row r="1055" spans="1:9" hidden="1" x14ac:dyDescent="0.25">
      <c r="A1055" s="30">
        <f t="shared" si="144"/>
        <v>5.25</v>
      </c>
      <c r="B1055" s="94">
        <f>INT((ROWS(B$11:B1055)-1)/20)+40+0.05*MOD(ROWS(B$11:B1055)-1,20)</f>
        <v>92.2</v>
      </c>
      <c r="C1055" s="58" t="str">
        <f t="shared" si="145"/>
        <v/>
      </c>
      <c r="D1055" s="58" t="str">
        <f t="shared" si="139"/>
        <v/>
      </c>
      <c r="E1055" s="30">
        <f t="shared" si="143"/>
        <v>7.9283730417899107E-8</v>
      </c>
      <c r="F1055" s="30" t="str">
        <f t="shared" si="146"/>
        <v/>
      </c>
      <c r="G1055" s="30" t="str">
        <f t="shared" si="146"/>
        <v/>
      </c>
      <c r="H1055" s="30" t="str">
        <f t="shared" si="146"/>
        <v/>
      </c>
      <c r="I1055" s="30" t="str">
        <f t="shared" si="141"/>
        <v/>
      </c>
    </row>
    <row r="1056" spans="1:9" hidden="1" x14ac:dyDescent="0.25">
      <c r="A1056" s="30">
        <f t="shared" si="144"/>
        <v>5.25</v>
      </c>
      <c r="B1056" s="94">
        <f>INT((ROWS(B$11:B1056)-1)/20)+40+0.05*MOD(ROWS(B$11:B1056)-1,20)</f>
        <v>92.25</v>
      </c>
      <c r="C1056" s="58" t="str">
        <f t="shared" si="145"/>
        <v/>
      </c>
      <c r="D1056" s="58" t="str">
        <f t="shared" si="139"/>
        <v/>
      </c>
      <c r="E1056" s="30">
        <f t="shared" si="143"/>
        <v>7.4195597655282137E-8</v>
      </c>
      <c r="F1056" s="30" t="str">
        <f t="shared" si="146"/>
        <v/>
      </c>
      <c r="G1056" s="30" t="str">
        <f t="shared" si="146"/>
        <v/>
      </c>
      <c r="H1056" s="30" t="str">
        <f t="shared" si="146"/>
        <v/>
      </c>
      <c r="I1056" s="30" t="str">
        <f t="shared" si="141"/>
        <v/>
      </c>
    </row>
    <row r="1057" spans="1:9" hidden="1" x14ac:dyDescent="0.25">
      <c r="A1057" s="30">
        <f t="shared" si="144"/>
        <v>5.25</v>
      </c>
      <c r="B1057" s="94">
        <f>INT((ROWS(B$11:B1057)-1)/20)+40+0.05*MOD(ROWS(B$11:B1057)-1,20)</f>
        <v>92.3</v>
      </c>
      <c r="C1057" s="58" t="str">
        <f t="shared" si="145"/>
        <v/>
      </c>
      <c r="D1057" s="58" t="str">
        <f t="shared" si="139"/>
        <v/>
      </c>
      <c r="E1057" s="30">
        <f t="shared" si="143"/>
        <v>6.9423153974151058E-8</v>
      </c>
      <c r="F1057" s="30" t="str">
        <f t="shared" si="146"/>
        <v/>
      </c>
      <c r="G1057" s="30" t="str">
        <f t="shared" si="146"/>
        <v/>
      </c>
      <c r="H1057" s="30" t="str">
        <f t="shared" si="146"/>
        <v/>
      </c>
      <c r="I1057" s="30" t="str">
        <f t="shared" si="141"/>
        <v/>
      </c>
    </row>
    <row r="1058" spans="1:9" hidden="1" x14ac:dyDescent="0.25">
      <c r="A1058" s="30">
        <f t="shared" si="144"/>
        <v>5.25</v>
      </c>
      <c r="B1058" s="94">
        <f>INT((ROWS(B$11:B1058)-1)/20)+40+0.05*MOD(ROWS(B$11:B1058)-1,20)</f>
        <v>92.35</v>
      </c>
      <c r="C1058" s="58" t="str">
        <f t="shared" si="145"/>
        <v/>
      </c>
      <c r="D1058" s="58" t="str">
        <f t="shared" si="139"/>
        <v/>
      </c>
      <c r="E1058" s="30">
        <f t="shared" si="143"/>
        <v>6.4947536785825372E-8</v>
      </c>
      <c r="F1058" s="30" t="str">
        <f t="shared" si="146"/>
        <v/>
      </c>
      <c r="G1058" s="30" t="str">
        <f t="shared" si="146"/>
        <v/>
      </c>
      <c r="H1058" s="30" t="str">
        <f t="shared" si="146"/>
        <v/>
      </c>
      <c r="I1058" s="30" t="str">
        <f t="shared" si="141"/>
        <v/>
      </c>
    </row>
    <row r="1059" spans="1:9" hidden="1" x14ac:dyDescent="0.25">
      <c r="A1059" s="30">
        <f t="shared" si="144"/>
        <v>5.25</v>
      </c>
      <c r="B1059" s="94">
        <f>INT((ROWS(B$11:B1059)-1)/20)+40+0.05*MOD(ROWS(B$11:B1059)-1,20)</f>
        <v>92.4</v>
      </c>
      <c r="C1059" s="58" t="str">
        <f t="shared" si="145"/>
        <v/>
      </c>
      <c r="D1059" s="58" t="str">
        <f t="shared" si="139"/>
        <v/>
      </c>
      <c r="E1059" s="30">
        <f t="shared" si="143"/>
        <v>6.075096352701274E-8</v>
      </c>
      <c r="F1059" s="30" t="str">
        <f t="shared" si="146"/>
        <v/>
      </c>
      <c r="G1059" s="30" t="str">
        <f t="shared" si="146"/>
        <v/>
      </c>
      <c r="H1059" s="30" t="str">
        <f t="shared" si="146"/>
        <v/>
      </c>
      <c r="I1059" s="30" t="str">
        <f t="shared" si="141"/>
        <v/>
      </c>
    </row>
    <row r="1060" spans="1:9" hidden="1" x14ac:dyDescent="0.25">
      <c r="A1060" s="30">
        <f t="shared" si="144"/>
        <v>5.25</v>
      </c>
      <c r="B1060" s="94">
        <f>INT((ROWS(B$11:B1060)-1)/20)+40+0.05*MOD(ROWS(B$11:B1060)-1,20)</f>
        <v>92.45</v>
      </c>
      <c r="C1060" s="58" t="str">
        <f t="shared" si="145"/>
        <v/>
      </c>
      <c r="D1060" s="58" t="str">
        <f t="shared" si="139"/>
        <v/>
      </c>
      <c r="E1060" s="30">
        <f t="shared" si="143"/>
        <v>5.6816672786165246E-8</v>
      </c>
      <c r="F1060" s="30" t="str">
        <f t="shared" si="146"/>
        <v/>
      </c>
      <c r="G1060" s="30" t="str">
        <f t="shared" si="146"/>
        <v/>
      </c>
      <c r="H1060" s="30" t="str">
        <f t="shared" si="146"/>
        <v/>
      </c>
      <c r="I1060" s="30" t="str">
        <f t="shared" si="141"/>
        <v/>
      </c>
    </row>
    <row r="1061" spans="1:9" hidden="1" x14ac:dyDescent="0.25">
      <c r="A1061" s="30">
        <f t="shared" si="144"/>
        <v>5.25</v>
      </c>
      <c r="B1061" s="94">
        <f>INT((ROWS(B$11:B1061)-1)/20)+40+0.05*MOD(ROWS(B$11:B1061)-1,20)</f>
        <v>92.5</v>
      </c>
      <c r="C1061" s="58" t="str">
        <f t="shared" si="145"/>
        <v/>
      </c>
      <c r="D1061" s="58" t="str">
        <f t="shared" si="139"/>
        <v/>
      </c>
      <c r="E1061" s="30">
        <f t="shared" si="143"/>
        <v>5.3128868457757201E-8</v>
      </c>
      <c r="F1061" s="30" t="str">
        <f t="shared" si="146"/>
        <v/>
      </c>
      <c r="G1061" s="30" t="str">
        <f t="shared" si="146"/>
        <v/>
      </c>
      <c r="H1061" s="30" t="str">
        <f t="shared" si="146"/>
        <v/>
      </c>
      <c r="I1061" s="30" t="str">
        <f t="shared" si="141"/>
        <v/>
      </c>
    </row>
    <row r="1062" spans="1:9" hidden="1" x14ac:dyDescent="0.25">
      <c r="A1062" s="30">
        <f t="shared" si="144"/>
        <v>5.25</v>
      </c>
      <c r="B1062" s="94">
        <f>INT((ROWS(B$11:B1062)-1)/20)+40+0.05*MOD(ROWS(B$11:B1062)-1,20)</f>
        <v>92.55</v>
      </c>
      <c r="C1062" s="58" t="str">
        <f t="shared" si="145"/>
        <v/>
      </c>
      <c r="D1062" s="58" t="str">
        <f t="shared" si="139"/>
        <v/>
      </c>
      <c r="E1062" s="30">
        <f t="shared" si="143"/>
        <v>4.9672666779510853E-8</v>
      </c>
      <c r="F1062" s="30" t="str">
        <f t="shared" si="146"/>
        <v/>
      </c>
      <c r="G1062" s="30" t="str">
        <f t="shared" si="146"/>
        <v/>
      </c>
      <c r="H1062" s="30" t="str">
        <f t="shared" si="146"/>
        <v/>
      </c>
      <c r="I1062" s="30" t="str">
        <f t="shared" si="141"/>
        <v/>
      </c>
    </row>
    <row r="1063" spans="1:9" hidden="1" x14ac:dyDescent="0.25">
      <c r="A1063" s="30">
        <f t="shared" si="144"/>
        <v>5.25</v>
      </c>
      <c r="B1063" s="94">
        <f>INT((ROWS(B$11:B1063)-1)/20)+40+0.05*MOD(ROWS(B$11:B1063)-1,20)</f>
        <v>92.6</v>
      </c>
      <c r="C1063" s="58" t="str">
        <f t="shared" si="145"/>
        <v/>
      </c>
      <c r="D1063" s="58" t="str">
        <f t="shared" si="139"/>
        <v/>
      </c>
      <c r="E1063" s="30">
        <f t="shared" si="143"/>
        <v>4.6434046113882652E-8</v>
      </c>
      <c r="F1063" s="30" t="str">
        <f t="shared" si="146"/>
        <v/>
      </c>
      <c r="G1063" s="30" t="str">
        <f t="shared" si="146"/>
        <v/>
      </c>
      <c r="H1063" s="30" t="str">
        <f t="shared" si="146"/>
        <v/>
      </c>
      <c r="I1063" s="30" t="str">
        <f t="shared" si="141"/>
        <v/>
      </c>
    </row>
    <row r="1064" spans="1:9" hidden="1" x14ac:dyDescent="0.25">
      <c r="A1064" s="30">
        <f t="shared" si="144"/>
        <v>5.25</v>
      </c>
      <c r="B1064" s="94">
        <f>INT((ROWS(B$11:B1064)-1)/20)+40+0.05*MOD(ROWS(B$11:B1064)-1,20)</f>
        <v>92.65</v>
      </c>
      <c r="C1064" s="58" t="str">
        <f t="shared" si="145"/>
        <v/>
      </c>
      <c r="D1064" s="58" t="str">
        <f t="shared" si="139"/>
        <v/>
      </c>
      <c r="E1064" s="30">
        <f t="shared" si="143"/>
        <v>4.3399799341235736E-8</v>
      </c>
      <c r="F1064" s="30" t="str">
        <f t="shared" si="146"/>
        <v/>
      </c>
      <c r="G1064" s="30" t="str">
        <f t="shared" si="146"/>
        <v/>
      </c>
      <c r="H1064" s="30" t="str">
        <f t="shared" si="146"/>
        <v/>
      </c>
      <c r="I1064" s="30" t="str">
        <f t="shared" si="141"/>
        <v/>
      </c>
    </row>
    <row r="1065" spans="1:9" hidden="1" x14ac:dyDescent="0.25">
      <c r="A1065" s="30">
        <f t="shared" si="144"/>
        <v>5.25</v>
      </c>
      <c r="B1065" s="94">
        <f>INT((ROWS(B$11:B1065)-1)/20)+40+0.05*MOD(ROWS(B$11:B1065)-1,20)</f>
        <v>92.7</v>
      </c>
      <c r="C1065" s="58" t="str">
        <f t="shared" si="145"/>
        <v/>
      </c>
      <c r="D1065" s="58" t="str">
        <f t="shared" si="139"/>
        <v/>
      </c>
      <c r="E1065" s="30">
        <f t="shared" si="143"/>
        <v>4.0557488737971758E-8</v>
      </c>
      <c r="F1065" s="30" t="str">
        <f t="shared" si="146"/>
        <v/>
      </c>
      <c r="G1065" s="30" t="str">
        <f t="shared" si="146"/>
        <v/>
      </c>
      <c r="H1065" s="30" t="str">
        <f t="shared" si="146"/>
        <v/>
      </c>
      <c r="I1065" s="30" t="str">
        <f t="shared" si="141"/>
        <v/>
      </c>
    </row>
    <row r="1066" spans="1:9" hidden="1" x14ac:dyDescent="0.25">
      <c r="A1066" s="30">
        <f t="shared" si="144"/>
        <v>5.25</v>
      </c>
      <c r="B1066" s="94">
        <f>INT((ROWS(B$11:B1066)-1)/20)+40+0.05*MOD(ROWS(B$11:B1066)-1,20)</f>
        <v>92.75</v>
      </c>
      <c r="C1066" s="58" t="str">
        <f t="shared" si="145"/>
        <v/>
      </c>
      <c r="D1066" s="58" t="str">
        <f t="shared" si="139"/>
        <v/>
      </c>
      <c r="E1066" s="30">
        <f t="shared" si="143"/>
        <v>3.789540321850612E-8</v>
      </c>
      <c r="F1066" s="30" t="str">
        <f t="shared" si="146"/>
        <v/>
      </c>
      <c r="G1066" s="30" t="str">
        <f t="shared" si="146"/>
        <v/>
      </c>
      <c r="H1066" s="30" t="str">
        <f t="shared" si="146"/>
        <v/>
      </c>
      <c r="I1066" s="30" t="str">
        <f t="shared" si="141"/>
        <v/>
      </c>
    </row>
    <row r="1067" spans="1:9" hidden="1" x14ac:dyDescent="0.25">
      <c r="A1067" s="30">
        <f t="shared" si="144"/>
        <v>5.25</v>
      </c>
      <c r="B1067" s="94">
        <f>INT((ROWS(B$11:B1067)-1)/20)+40+0.05*MOD(ROWS(B$11:B1067)-1,20)</f>
        <v>92.8</v>
      </c>
      <c r="C1067" s="58" t="str">
        <f t="shared" si="145"/>
        <v/>
      </c>
      <c r="D1067" s="58" t="str">
        <f t="shared" si="139"/>
        <v/>
      </c>
      <c r="E1067" s="30">
        <f t="shared" si="143"/>
        <v>3.5402517825403065E-8</v>
      </c>
      <c r="F1067" s="30" t="str">
        <f t="shared" si="146"/>
        <v/>
      </c>
      <c r="G1067" s="30" t="str">
        <f t="shared" si="146"/>
        <v/>
      </c>
      <c r="H1067" s="30" t="str">
        <f t="shared" si="146"/>
        <v/>
      </c>
      <c r="I1067" s="30" t="str">
        <f t="shared" si="141"/>
        <v/>
      </c>
    </row>
    <row r="1068" spans="1:9" hidden="1" x14ac:dyDescent="0.25">
      <c r="A1068" s="30">
        <f t="shared" si="144"/>
        <v>5.25</v>
      </c>
      <c r="B1068" s="94">
        <f>INT((ROWS(B$11:B1068)-1)/20)+40+0.05*MOD(ROWS(B$11:B1068)-1,20)</f>
        <v>92.85</v>
      </c>
      <c r="C1068" s="58" t="str">
        <f t="shared" si="145"/>
        <v/>
      </c>
      <c r="D1068" s="58" t="str">
        <f t="shared" si="139"/>
        <v/>
      </c>
      <c r="E1068" s="30">
        <f t="shared" si="143"/>
        <v>3.3068455357148013E-8</v>
      </c>
      <c r="F1068" s="30" t="str">
        <f t="shared" si="146"/>
        <v/>
      </c>
      <c r="G1068" s="30" t="str">
        <f t="shared" si="146"/>
        <v/>
      </c>
      <c r="H1068" s="30" t="str">
        <f t="shared" si="146"/>
        <v/>
      </c>
      <c r="I1068" s="30" t="str">
        <f t="shared" si="141"/>
        <v/>
      </c>
    </row>
    <row r="1069" spans="1:9" hidden="1" x14ac:dyDescent="0.25">
      <c r="A1069" s="30">
        <f t="shared" si="144"/>
        <v>5.25</v>
      </c>
      <c r="B1069" s="94">
        <f>INT((ROWS(B$11:B1069)-1)/20)+40+0.05*MOD(ROWS(B$11:B1069)-1,20)</f>
        <v>92.9</v>
      </c>
      <c r="C1069" s="58" t="str">
        <f t="shared" si="145"/>
        <v/>
      </c>
      <c r="D1069" s="58" t="str">
        <f t="shared" ref="D1069:D1132" si="147">IF(ISNUMBER(MATCH(B1069,$K$2:$K$8,0)),TEXT(B1069,"0\""")&amp;CHAR(10)&amp;TEXT((B1069-$F$1)/$F$2," 0 z"),"")</f>
        <v/>
      </c>
      <c r="E1069" s="30">
        <f t="shared" si="143"/>
        <v>3.0883450028037986E-8</v>
      </c>
      <c r="F1069" s="30" t="str">
        <f t="shared" si="146"/>
        <v/>
      </c>
      <c r="G1069" s="30" t="str">
        <f t="shared" si="146"/>
        <v/>
      </c>
      <c r="H1069" s="30" t="str">
        <f t="shared" si="146"/>
        <v/>
      </c>
      <c r="I1069" s="30" t="str">
        <f t="shared" si="141"/>
        <v/>
      </c>
    </row>
    <row r="1070" spans="1:9" hidden="1" x14ac:dyDescent="0.25">
      <c r="A1070" s="30">
        <f t="shared" si="144"/>
        <v>5.25</v>
      </c>
      <c r="B1070" s="94">
        <f>INT((ROWS(B$11:B1070)-1)/20)+40+0.05*MOD(ROWS(B$11:B1070)-1,20)</f>
        <v>92.95</v>
      </c>
      <c r="C1070" s="58" t="str">
        <f t="shared" si="145"/>
        <v/>
      </c>
      <c r="D1070" s="58" t="str">
        <f t="shared" si="147"/>
        <v/>
      </c>
      <c r="E1070" s="30">
        <f t="shared" si="143"/>
        <v>2.883831305945406E-8</v>
      </c>
      <c r="F1070" s="30" t="str">
        <f t="shared" si="146"/>
        <v/>
      </c>
      <c r="G1070" s="30" t="str">
        <f t="shared" si="146"/>
        <v/>
      </c>
      <c r="H1070" s="30" t="str">
        <f t="shared" si="146"/>
        <v/>
      </c>
      <c r="I1070" s="30" t="str">
        <f t="shared" si="141"/>
        <v/>
      </c>
    </row>
    <row r="1071" spans="1:9" hidden="1" x14ac:dyDescent="0.25">
      <c r="A1071" s="30">
        <f t="shared" si="144"/>
        <v>5.5</v>
      </c>
      <c r="B1071" s="94">
        <f>INT((ROWS(B$11:B1071)-1)/20)+40+0.05*MOD(ROWS(B$11:B1071)-1,20)</f>
        <v>93</v>
      </c>
      <c r="C1071" s="58" t="str">
        <f t="shared" si="145"/>
        <v/>
      </c>
      <c r="D1071" s="58" t="str">
        <f t="shared" si="147"/>
        <v/>
      </c>
      <c r="E1071" s="30">
        <f t="shared" si="143"/>
        <v>2.692440010635819E-8</v>
      </c>
      <c r="F1071" s="30" t="str">
        <f t="shared" ref="F1071:H1090" si="148">IF(AND($B1071&gt;=F$7,$B1071&lt;=F$8),E1071,"")</f>
        <v/>
      </c>
      <c r="G1071" s="30" t="str">
        <f t="shared" si="148"/>
        <v/>
      </c>
      <c r="H1071" s="30" t="str">
        <f t="shared" si="148"/>
        <v/>
      </c>
      <c r="I1071" s="30" t="str">
        <f t="shared" si="141"/>
        <v/>
      </c>
    </row>
    <row r="1072" spans="1:9" hidden="1" x14ac:dyDescent="0.25">
      <c r="A1072" s="30">
        <f t="shared" si="144"/>
        <v>5.5</v>
      </c>
      <c r="B1072" s="94">
        <f>INT((ROWS(B$11:B1072)-1)/20)+40+0.05*MOD(ROWS(B$11:B1072)-1,20)</f>
        <v>93.05</v>
      </c>
      <c r="C1072" s="58" t="str">
        <f t="shared" si="145"/>
        <v/>
      </c>
      <c r="D1072" s="58" t="str">
        <f t="shared" si="147"/>
        <v/>
      </c>
      <c r="E1072" s="30">
        <f t="shared" si="143"/>
        <v>2.5133580427286042E-8</v>
      </c>
      <c r="F1072" s="30" t="str">
        <f t="shared" si="148"/>
        <v/>
      </c>
      <c r="G1072" s="30" t="str">
        <f t="shared" si="148"/>
        <v/>
      </c>
      <c r="H1072" s="30" t="str">
        <f t="shared" si="148"/>
        <v/>
      </c>
      <c r="I1072" s="30" t="str">
        <f t="shared" si="141"/>
        <v/>
      </c>
    </row>
    <row r="1073" spans="1:9" hidden="1" x14ac:dyDescent="0.25">
      <c r="A1073" s="30">
        <f t="shared" si="144"/>
        <v>5.5</v>
      </c>
      <c r="B1073" s="94">
        <f>INT((ROWS(B$11:B1073)-1)/20)+40+0.05*MOD(ROWS(B$11:B1073)-1,20)</f>
        <v>93.1</v>
      </c>
      <c r="C1073" s="58" t="str">
        <f t="shared" si="145"/>
        <v/>
      </c>
      <c r="D1073" s="58" t="str">
        <f t="shared" si="147"/>
        <v/>
      </c>
      <c r="E1073" s="30">
        <f t="shared" si="143"/>
        <v>2.3458207710309393E-8</v>
      </c>
      <c r="F1073" s="30" t="str">
        <f t="shared" si="148"/>
        <v/>
      </c>
      <c r="G1073" s="30" t="str">
        <f t="shared" si="148"/>
        <v/>
      </c>
      <c r="H1073" s="30" t="str">
        <f t="shared" si="148"/>
        <v/>
      </c>
      <c r="I1073" s="30" t="str">
        <f t="shared" si="141"/>
        <v/>
      </c>
    </row>
    <row r="1074" spans="1:9" hidden="1" x14ac:dyDescent="0.25">
      <c r="A1074" s="30">
        <f t="shared" si="144"/>
        <v>5.5</v>
      </c>
      <c r="B1074" s="94">
        <f>INT((ROWS(B$11:B1074)-1)/20)+40+0.05*MOD(ROWS(B$11:B1074)-1,20)</f>
        <v>93.15</v>
      </c>
      <c r="C1074" s="58" t="str">
        <f t="shared" si="145"/>
        <v/>
      </c>
      <c r="D1074" s="58" t="str">
        <f t="shared" si="147"/>
        <v/>
      </c>
      <c r="E1074" s="30">
        <f t="shared" si="143"/>
        <v>2.1891092471506207E-8</v>
      </c>
      <c r="F1074" s="30" t="str">
        <f t="shared" si="148"/>
        <v/>
      </c>
      <c r="G1074" s="30" t="str">
        <f t="shared" si="148"/>
        <v/>
      </c>
      <c r="H1074" s="30" t="str">
        <f t="shared" si="148"/>
        <v/>
      </c>
      <c r="I1074" s="30" t="str">
        <f t="shared" si="141"/>
        <v/>
      </c>
    </row>
    <row r="1075" spans="1:9" hidden="1" x14ac:dyDescent="0.25">
      <c r="A1075" s="30">
        <f t="shared" si="144"/>
        <v>5.5</v>
      </c>
      <c r="B1075" s="94">
        <f>INT((ROWS(B$11:B1075)-1)/20)+40+0.05*MOD(ROWS(B$11:B1075)-1,20)</f>
        <v>93.2</v>
      </c>
      <c r="C1075" s="58" t="str">
        <f t="shared" si="145"/>
        <v/>
      </c>
      <c r="D1075" s="58" t="str">
        <f t="shared" si="147"/>
        <v/>
      </c>
      <c r="E1075" s="30">
        <f t="shared" si="143"/>
        <v>2.0425475946357938E-8</v>
      </c>
      <c r="F1075" s="30" t="str">
        <f t="shared" si="148"/>
        <v/>
      </c>
      <c r="G1075" s="30" t="str">
        <f t="shared" si="148"/>
        <v/>
      </c>
      <c r="H1075" s="30" t="str">
        <f t="shared" si="148"/>
        <v/>
      </c>
      <c r="I1075" s="30" t="str">
        <f t="shared" si="141"/>
        <v/>
      </c>
    </row>
    <row r="1076" spans="1:9" hidden="1" x14ac:dyDescent="0.25">
      <c r="A1076" s="30">
        <f t="shared" si="144"/>
        <v>5.5</v>
      </c>
      <c r="B1076" s="94">
        <f>INT((ROWS(B$11:B1076)-1)/20)+40+0.05*MOD(ROWS(B$11:B1076)-1,20)</f>
        <v>93.25</v>
      </c>
      <c r="C1076" s="58" t="str">
        <f t="shared" si="145"/>
        <v/>
      </c>
      <c r="D1076" s="58" t="str">
        <f t="shared" si="147"/>
        <v/>
      </c>
      <c r="E1076" s="30">
        <f t="shared" si="143"/>
        <v>1.905500539820651E-8</v>
      </c>
      <c r="F1076" s="30" t="str">
        <f t="shared" si="148"/>
        <v/>
      </c>
      <c r="G1076" s="30" t="str">
        <f t="shared" si="148"/>
        <v/>
      </c>
      <c r="H1076" s="30" t="str">
        <f t="shared" si="148"/>
        <v/>
      </c>
      <c r="I1076" s="30" t="str">
        <f t="shared" si="141"/>
        <v/>
      </c>
    </row>
    <row r="1077" spans="1:9" hidden="1" x14ac:dyDescent="0.25">
      <c r="A1077" s="30">
        <f t="shared" si="144"/>
        <v>5.5</v>
      </c>
      <c r="B1077" s="94">
        <f>INT((ROWS(B$11:B1077)-1)/20)+40+0.05*MOD(ROWS(B$11:B1077)-1,20)</f>
        <v>93.3</v>
      </c>
      <c r="C1077" s="58" t="str">
        <f t="shared" si="145"/>
        <v/>
      </c>
      <c r="D1077" s="58" t="str">
        <f t="shared" si="147"/>
        <v/>
      </c>
      <c r="E1077" s="30">
        <f t="shared" si="143"/>
        <v>1.7773710771482453E-8</v>
      </c>
      <c r="F1077" s="30" t="str">
        <f t="shared" si="148"/>
        <v/>
      </c>
      <c r="G1077" s="30" t="str">
        <f t="shared" si="148"/>
        <v/>
      </c>
      <c r="H1077" s="30" t="str">
        <f t="shared" si="148"/>
        <v/>
      </c>
      <c r="I1077" s="30" t="str">
        <f t="shared" si="141"/>
        <v/>
      </c>
    </row>
    <row r="1078" spans="1:9" hidden="1" x14ac:dyDescent="0.25">
      <c r="A1078" s="30">
        <f t="shared" si="144"/>
        <v>5.5</v>
      </c>
      <c r="B1078" s="94">
        <f>INT((ROWS(B$11:B1078)-1)/20)+40+0.05*MOD(ROWS(B$11:B1078)-1,20)</f>
        <v>93.35</v>
      </c>
      <c r="C1078" s="58" t="str">
        <f t="shared" si="145"/>
        <v/>
      </c>
      <c r="D1078" s="58" t="str">
        <f t="shared" si="147"/>
        <v/>
      </c>
      <c r="E1078" s="30">
        <f t="shared" si="143"/>
        <v>1.6575982620815434E-8</v>
      </c>
      <c r="F1078" s="30" t="str">
        <f t="shared" si="148"/>
        <v/>
      </c>
      <c r="G1078" s="30" t="str">
        <f t="shared" si="148"/>
        <v/>
      </c>
      <c r="H1078" s="30" t="str">
        <f t="shared" si="148"/>
        <v/>
      </c>
      <c r="I1078" s="30" t="str">
        <f t="shared" si="141"/>
        <v/>
      </c>
    </row>
    <row r="1079" spans="1:9" hidden="1" x14ac:dyDescent="0.25">
      <c r="A1079" s="30">
        <f t="shared" si="144"/>
        <v>5.5</v>
      </c>
      <c r="B1079" s="94">
        <f>INT((ROWS(B$11:B1079)-1)/20)+40+0.05*MOD(ROWS(B$11:B1079)-1,20)</f>
        <v>93.4</v>
      </c>
      <c r="C1079" s="58" t="str">
        <f t="shared" si="145"/>
        <v/>
      </c>
      <c r="D1079" s="58" t="str">
        <f t="shared" si="147"/>
        <v/>
      </c>
      <c r="E1079" s="30">
        <f t="shared" si="143"/>
        <v>1.5456551250414478E-8</v>
      </c>
      <c r="F1079" s="30" t="str">
        <f t="shared" si="148"/>
        <v/>
      </c>
      <c r="G1079" s="30" t="str">
        <f t="shared" si="148"/>
        <v/>
      </c>
      <c r="H1079" s="30" t="str">
        <f t="shared" si="148"/>
        <v/>
      </c>
      <c r="I1079" s="30" t="str">
        <f t="shared" si="141"/>
        <v/>
      </c>
    </row>
    <row r="1080" spans="1:9" hidden="1" x14ac:dyDescent="0.25">
      <c r="A1080" s="30">
        <f t="shared" si="144"/>
        <v>5.5</v>
      </c>
      <c r="B1080" s="94">
        <f>INT((ROWS(B$11:B1080)-1)/20)+40+0.05*MOD(ROWS(B$11:B1080)-1,20)</f>
        <v>93.45</v>
      </c>
      <c r="C1080" s="58" t="str">
        <f t="shared" si="145"/>
        <v/>
      </c>
      <c r="D1080" s="58" t="str">
        <f t="shared" si="147"/>
        <v/>
      </c>
      <c r="E1080" s="30">
        <f t="shared" si="143"/>
        <v>1.4410467001233217E-8</v>
      </c>
      <c r="F1080" s="30" t="str">
        <f t="shared" si="148"/>
        <v/>
      </c>
      <c r="G1080" s="30" t="str">
        <f t="shared" si="148"/>
        <v/>
      </c>
      <c r="H1080" s="30" t="str">
        <f t="shared" si="148"/>
        <v/>
      </c>
      <c r="I1080" s="30" t="str">
        <f t="shared" si="141"/>
        <v/>
      </c>
    </row>
    <row r="1081" spans="1:9" hidden="1" x14ac:dyDescent="0.25">
      <c r="A1081" s="30">
        <f t="shared" si="144"/>
        <v>5.5</v>
      </c>
      <c r="B1081" s="94">
        <f>INT((ROWS(B$11:B1081)-1)/20)+40+0.05*MOD(ROWS(B$11:B1081)-1,20)</f>
        <v>93.5</v>
      </c>
      <c r="C1081" s="58" t="str">
        <f t="shared" si="145"/>
        <v/>
      </c>
      <c r="D1081" s="58" t="str">
        <f t="shared" si="147"/>
        <v/>
      </c>
      <c r="E1081" s="30">
        <f t="shared" si="143"/>
        <v>1.3433081626422875E-8</v>
      </c>
      <c r="F1081" s="30" t="str">
        <f t="shared" si="148"/>
        <v/>
      </c>
      <c r="G1081" s="30" t="str">
        <f t="shared" si="148"/>
        <v/>
      </c>
      <c r="H1081" s="30" t="str">
        <f t="shared" si="148"/>
        <v/>
      </c>
      <c r="I1081" s="30" t="str">
        <f t="shared" si="141"/>
        <v/>
      </c>
    </row>
    <row r="1082" spans="1:9" hidden="1" x14ac:dyDescent="0.25">
      <c r="A1082" s="30">
        <f t="shared" si="144"/>
        <v>5.5</v>
      </c>
      <c r="B1082" s="94">
        <f>INT((ROWS(B$11:B1082)-1)/20)+40+0.05*MOD(ROWS(B$11:B1082)-1,20)</f>
        <v>93.55</v>
      </c>
      <c r="C1082" s="58" t="str">
        <f t="shared" si="145"/>
        <v/>
      </c>
      <c r="D1082" s="58" t="str">
        <f t="shared" si="147"/>
        <v/>
      </c>
      <c r="E1082" s="30">
        <f t="shared" si="143"/>
        <v>1.2520030698450372E-8</v>
      </c>
      <c r="F1082" s="30" t="str">
        <f t="shared" si="148"/>
        <v/>
      </c>
      <c r="G1082" s="30" t="str">
        <f t="shared" si="148"/>
        <v/>
      </c>
      <c r="H1082" s="30" t="str">
        <f t="shared" si="148"/>
        <v/>
      </c>
      <c r="I1082" s="30" t="str">
        <f t="shared" si="141"/>
        <v/>
      </c>
    </row>
    <row r="1083" spans="1:9" hidden="1" x14ac:dyDescent="0.25">
      <c r="A1083" s="30">
        <f t="shared" si="144"/>
        <v>5.5</v>
      </c>
      <c r="B1083" s="94">
        <f>INT((ROWS(B$11:B1083)-1)/20)+40+0.05*MOD(ROWS(B$11:B1083)-1,20)</f>
        <v>93.6</v>
      </c>
      <c r="C1083" s="58" t="str">
        <f t="shared" si="145"/>
        <v/>
      </c>
      <c r="D1083" s="58" t="str">
        <f t="shared" si="147"/>
        <v/>
      </c>
      <c r="E1083" s="30">
        <f t="shared" si="143"/>
        <v>1.1667216993985744E-8</v>
      </c>
      <c r="F1083" s="30" t="str">
        <f t="shared" si="148"/>
        <v/>
      </c>
      <c r="G1083" s="30" t="str">
        <f t="shared" si="148"/>
        <v/>
      </c>
      <c r="H1083" s="30" t="str">
        <f t="shared" si="148"/>
        <v/>
      </c>
      <c r="I1083" s="30" t="str">
        <f t="shared" si="141"/>
        <v/>
      </c>
    </row>
    <row r="1084" spans="1:9" hidden="1" x14ac:dyDescent="0.25">
      <c r="A1084" s="30">
        <f t="shared" si="144"/>
        <v>5.5</v>
      </c>
      <c r="B1084" s="94">
        <f>INT((ROWS(B$11:B1084)-1)/20)+40+0.05*MOD(ROWS(B$11:B1084)-1,20)</f>
        <v>93.65</v>
      </c>
      <c r="C1084" s="58" t="str">
        <f t="shared" si="145"/>
        <v/>
      </c>
      <c r="D1084" s="58" t="str">
        <f t="shared" si="147"/>
        <v/>
      </c>
      <c r="E1084" s="30">
        <f t="shared" si="143"/>
        <v>1.0870794805288736E-8</v>
      </c>
      <c r="F1084" s="30" t="str">
        <f t="shared" si="148"/>
        <v/>
      </c>
      <c r="G1084" s="30" t="str">
        <f t="shared" si="148"/>
        <v/>
      </c>
      <c r="H1084" s="30" t="str">
        <f t="shared" si="148"/>
        <v/>
      </c>
      <c r="I1084" s="30" t="str">
        <f t="shared" si="141"/>
        <v/>
      </c>
    </row>
    <row r="1085" spans="1:9" hidden="1" x14ac:dyDescent="0.25">
      <c r="A1085" s="30">
        <f t="shared" si="144"/>
        <v>5.5</v>
      </c>
      <c r="B1085" s="94">
        <f>INT((ROWS(B$11:B1085)-1)/20)+40+0.05*MOD(ROWS(B$11:B1085)-1,20)</f>
        <v>93.7</v>
      </c>
      <c r="C1085" s="58" t="str">
        <f t="shared" si="145"/>
        <v/>
      </c>
      <c r="D1085" s="58" t="str">
        <f t="shared" si="147"/>
        <v/>
      </c>
      <c r="E1085" s="30">
        <f t="shared" si="143"/>
        <v>1.0127155129325634E-8</v>
      </c>
      <c r="F1085" s="30" t="str">
        <f t="shared" si="148"/>
        <v/>
      </c>
      <c r="G1085" s="30" t="str">
        <f t="shared" si="148"/>
        <v/>
      </c>
      <c r="H1085" s="30" t="str">
        <f t="shared" si="148"/>
        <v/>
      </c>
      <c r="I1085" s="30" t="str">
        <f t="shared" si="141"/>
        <v/>
      </c>
    </row>
    <row r="1086" spans="1:9" hidden="1" x14ac:dyDescent="0.25">
      <c r="A1086" s="30">
        <f t="shared" si="144"/>
        <v>5.5</v>
      </c>
      <c r="B1086" s="94">
        <f>INT((ROWS(B$11:B1086)-1)/20)+40+0.05*MOD(ROWS(B$11:B1086)-1,20)</f>
        <v>93.75</v>
      </c>
      <c r="C1086" s="58" t="str">
        <f t="shared" si="145"/>
        <v/>
      </c>
      <c r="D1086" s="58" t="str">
        <f t="shared" si="147"/>
        <v/>
      </c>
      <c r="E1086" s="30">
        <f t="shared" si="143"/>
        <v>9.4329116882347148E-9</v>
      </c>
      <c r="F1086" s="30" t="str">
        <f t="shared" si="148"/>
        <v/>
      </c>
      <c r="G1086" s="30" t="str">
        <f t="shared" si="148"/>
        <v/>
      </c>
      <c r="H1086" s="30" t="str">
        <f t="shared" si="148"/>
        <v/>
      </c>
      <c r="I1086" s="30" t="str">
        <f t="shared" si="141"/>
        <v/>
      </c>
    </row>
    <row r="1087" spans="1:9" hidden="1" x14ac:dyDescent="0.25">
      <c r="A1087" s="30">
        <f t="shared" si="144"/>
        <v>5.5</v>
      </c>
      <c r="B1087" s="94">
        <f>INT((ROWS(B$11:B1087)-1)/20)+40+0.05*MOD(ROWS(B$11:B1087)-1,20)</f>
        <v>93.8</v>
      </c>
      <c r="C1087" s="58" t="str">
        <f t="shared" si="145"/>
        <v/>
      </c>
      <c r="D1087" s="58" t="str">
        <f t="shared" si="147"/>
        <v/>
      </c>
      <c r="E1087" s="30">
        <f t="shared" si="143"/>
        <v>8.7848877370511165E-9</v>
      </c>
      <c r="F1087" s="30" t="str">
        <f t="shared" si="148"/>
        <v/>
      </c>
      <c r="G1087" s="30" t="str">
        <f t="shared" si="148"/>
        <v/>
      </c>
      <c r="H1087" s="30" t="str">
        <f t="shared" si="148"/>
        <v/>
      </c>
      <c r="I1087" s="30" t="str">
        <f t="shared" si="141"/>
        <v/>
      </c>
    </row>
    <row r="1088" spans="1:9" hidden="1" x14ac:dyDescent="0.25">
      <c r="A1088" s="30">
        <f t="shared" si="144"/>
        <v>5.5</v>
      </c>
      <c r="B1088" s="94">
        <f>INT((ROWS(B$11:B1088)-1)/20)+40+0.05*MOD(ROWS(B$11:B1088)-1,20)</f>
        <v>93.85</v>
      </c>
      <c r="C1088" s="58" t="str">
        <f t="shared" si="145"/>
        <v/>
      </c>
      <c r="D1088" s="58" t="str">
        <f t="shared" si="147"/>
        <v/>
      </c>
      <c r="E1088" s="30">
        <f t="shared" si="143"/>
        <v>8.1801036167751594E-9</v>
      </c>
      <c r="F1088" s="30" t="str">
        <f t="shared" si="148"/>
        <v/>
      </c>
      <c r="G1088" s="30" t="str">
        <f t="shared" si="148"/>
        <v/>
      </c>
      <c r="H1088" s="30" t="str">
        <f t="shared" si="148"/>
        <v/>
      </c>
      <c r="I1088" s="30" t="str">
        <f t="shared" si="141"/>
        <v/>
      </c>
    </row>
    <row r="1089" spans="1:9" hidden="1" x14ac:dyDescent="0.25">
      <c r="A1089" s="30">
        <f t="shared" si="144"/>
        <v>5.5</v>
      </c>
      <c r="B1089" s="94">
        <f>INT((ROWS(B$11:B1089)-1)/20)+40+0.05*MOD(ROWS(B$11:B1089)-1,20)</f>
        <v>93.9</v>
      </c>
      <c r="C1089" s="58" t="str">
        <f t="shared" si="145"/>
        <v/>
      </c>
      <c r="D1089" s="58" t="str">
        <f t="shared" si="147"/>
        <v/>
      </c>
      <c r="E1089" s="30">
        <f t="shared" si="143"/>
        <v>7.6157650129564721E-9</v>
      </c>
      <c r="F1089" s="30" t="str">
        <f t="shared" si="148"/>
        <v/>
      </c>
      <c r="G1089" s="30" t="str">
        <f t="shared" si="148"/>
        <v/>
      </c>
      <c r="H1089" s="30" t="str">
        <f t="shared" si="148"/>
        <v/>
      </c>
      <c r="I1089" s="30" t="str">
        <f t="shared" ref="I1089:I1152" si="149">IF(AND(B1089&gt;=$F$1-0.1,B1089&lt;=$F$1+0.1),E1089,"")</f>
        <v/>
      </c>
    </row>
    <row r="1090" spans="1:9" hidden="1" x14ac:dyDescent="0.25">
      <c r="A1090" s="30">
        <f t="shared" si="144"/>
        <v>5.5</v>
      </c>
      <c r="B1090" s="94">
        <f>INT((ROWS(B$11:B1090)-1)/20)+40+0.05*MOD(ROWS(B$11:B1090)-1,20)</f>
        <v>93.95</v>
      </c>
      <c r="C1090" s="58" t="str">
        <f t="shared" si="145"/>
        <v/>
      </c>
      <c r="D1090" s="58" t="str">
        <f t="shared" si="147"/>
        <v/>
      </c>
      <c r="E1090" s="30">
        <f t="shared" si="143"/>
        <v>7.0892518819541582E-9</v>
      </c>
      <c r="F1090" s="30" t="str">
        <f t="shared" si="148"/>
        <v/>
      </c>
      <c r="G1090" s="30" t="str">
        <f t="shared" si="148"/>
        <v/>
      </c>
      <c r="H1090" s="30" t="str">
        <f t="shared" si="148"/>
        <v/>
      </c>
      <c r="I1090" s="30" t="str">
        <f t="shared" si="149"/>
        <v/>
      </c>
    </row>
    <row r="1091" spans="1:9" hidden="1" x14ac:dyDescent="0.25">
      <c r="A1091" s="30">
        <f t="shared" si="144"/>
        <v>5.75</v>
      </c>
      <c r="B1091" s="94">
        <f>INT((ROWS(B$11:B1091)-1)/20)+40+0.05*MOD(ROWS(B$11:B1091)-1,20)</f>
        <v>94</v>
      </c>
      <c r="C1091" s="58" t="str">
        <f t="shared" si="145"/>
        <v/>
      </c>
      <c r="D1091" s="58" t="str">
        <f t="shared" si="147"/>
        <v/>
      </c>
      <c r="E1091" s="30">
        <f t="shared" si="143"/>
        <v>6.5981080089264338E-9</v>
      </c>
      <c r="F1091" s="30" t="str">
        <f t="shared" ref="F1091:H1110" si="150">IF(AND($B1091&gt;=F$7,$B1091&lt;=F$8),E1091,"")</f>
        <v/>
      </c>
      <c r="G1091" s="30" t="str">
        <f t="shared" si="150"/>
        <v/>
      </c>
      <c r="H1091" s="30" t="str">
        <f t="shared" si="150"/>
        <v/>
      </c>
      <c r="I1091" s="30" t="str">
        <f t="shared" si="149"/>
        <v/>
      </c>
    </row>
    <row r="1092" spans="1:9" hidden="1" x14ac:dyDescent="0.25">
      <c r="A1092" s="30">
        <f t="shared" si="144"/>
        <v>5.75</v>
      </c>
      <c r="B1092" s="94">
        <f>INT((ROWS(B$11:B1092)-1)/20)+40+0.05*MOD(ROWS(B$11:B1092)-1,20)</f>
        <v>94.05</v>
      </c>
      <c r="C1092" s="58" t="str">
        <f t="shared" si="145"/>
        <v/>
      </c>
      <c r="D1092" s="58" t="str">
        <f t="shared" si="147"/>
        <v/>
      </c>
      <c r="E1092" s="30">
        <f t="shared" si="143"/>
        <v>6.1400311634206769E-9</v>
      </c>
      <c r="F1092" s="30" t="str">
        <f t="shared" si="150"/>
        <v/>
      </c>
      <c r="G1092" s="30" t="str">
        <f t="shared" si="150"/>
        <v/>
      </c>
      <c r="H1092" s="30" t="str">
        <f t="shared" si="150"/>
        <v/>
      </c>
      <c r="I1092" s="30" t="str">
        <f t="shared" si="149"/>
        <v/>
      </c>
    </row>
    <row r="1093" spans="1:9" hidden="1" x14ac:dyDescent="0.25">
      <c r="A1093" s="30">
        <f t="shared" si="144"/>
        <v>5.75</v>
      </c>
      <c r="B1093" s="94">
        <f>INT((ROWS(B$11:B1093)-1)/20)+40+0.05*MOD(ROWS(B$11:B1093)-1,20)</f>
        <v>94.1</v>
      </c>
      <c r="C1093" s="58" t="str">
        <f t="shared" si="145"/>
        <v/>
      </c>
      <c r="D1093" s="58" t="str">
        <f t="shared" si="147"/>
        <v/>
      </c>
      <c r="E1093" s="30">
        <f t="shared" si="143"/>
        <v>5.7128638201538239E-9</v>
      </c>
      <c r="F1093" s="30" t="str">
        <f t="shared" si="150"/>
        <v/>
      </c>
      <c r="G1093" s="30" t="str">
        <f t="shared" si="150"/>
        <v/>
      </c>
      <c r="H1093" s="30" t="str">
        <f t="shared" si="150"/>
        <v/>
      </c>
      <c r="I1093" s="30" t="str">
        <f t="shared" si="149"/>
        <v/>
      </c>
    </row>
    <row r="1094" spans="1:9" hidden="1" x14ac:dyDescent="0.25">
      <c r="A1094" s="30">
        <f t="shared" si="144"/>
        <v>5.75</v>
      </c>
      <c r="B1094" s="94">
        <f>INT((ROWS(B$11:B1094)-1)/20)+40+0.05*MOD(ROWS(B$11:B1094)-1,20)</f>
        <v>94.15</v>
      </c>
      <c r="C1094" s="58" t="str">
        <f t="shared" si="145"/>
        <v/>
      </c>
      <c r="D1094" s="58" t="str">
        <f t="shared" si="147"/>
        <v/>
      </c>
      <c r="E1094" s="30">
        <f t="shared" si="143"/>
        <v>5.3145844142238477E-9</v>
      </c>
      <c r="F1094" s="30" t="str">
        <f t="shared" si="150"/>
        <v/>
      </c>
      <c r="G1094" s="30" t="str">
        <f t="shared" si="150"/>
        <v/>
      </c>
      <c r="H1094" s="30" t="str">
        <f t="shared" si="150"/>
        <v/>
      </c>
      <c r="I1094" s="30" t="str">
        <f t="shared" si="149"/>
        <v/>
      </c>
    </row>
    <row r="1095" spans="1:9" hidden="1" x14ac:dyDescent="0.25">
      <c r="A1095" s="30">
        <f t="shared" si="144"/>
        <v>5.75</v>
      </c>
      <c r="B1095" s="94">
        <f>INT((ROWS(B$11:B1095)-1)/20)+40+0.05*MOD(ROWS(B$11:B1095)-1,20)</f>
        <v>94.2</v>
      </c>
      <c r="C1095" s="58" t="str">
        <f t="shared" si="145"/>
        <v/>
      </c>
      <c r="D1095" s="58" t="str">
        <f t="shared" si="147"/>
        <v/>
      </c>
      <c r="E1095" s="30">
        <f t="shared" si="143"/>
        <v>4.9432991015611506E-9</v>
      </c>
      <c r="F1095" s="30" t="str">
        <f t="shared" si="150"/>
        <v/>
      </c>
      <c r="G1095" s="30" t="str">
        <f t="shared" si="150"/>
        <v/>
      </c>
      <c r="H1095" s="30" t="str">
        <f t="shared" si="150"/>
        <v/>
      </c>
      <c r="I1095" s="30" t="str">
        <f t="shared" si="149"/>
        <v/>
      </c>
    </row>
    <row r="1096" spans="1:9" hidden="1" x14ac:dyDescent="0.25">
      <c r="A1096" s="30">
        <f t="shared" si="144"/>
        <v>5.75</v>
      </c>
      <c r="B1096" s="94">
        <f>INT((ROWS(B$11:B1096)-1)/20)+40+0.05*MOD(ROWS(B$11:B1096)-1,20)</f>
        <v>94.25</v>
      </c>
      <c r="C1096" s="58" t="str">
        <f t="shared" si="145"/>
        <v/>
      </c>
      <c r="D1096" s="58" t="str">
        <f t="shared" si="147"/>
        <v/>
      </c>
      <c r="E1096" s="30">
        <f t="shared" si="143"/>
        <v>4.597233996922553E-9</v>
      </c>
      <c r="F1096" s="30" t="str">
        <f t="shared" si="150"/>
        <v/>
      </c>
      <c r="G1096" s="30" t="str">
        <f t="shared" si="150"/>
        <v/>
      </c>
      <c r="H1096" s="30" t="str">
        <f t="shared" si="150"/>
        <v/>
      </c>
      <c r="I1096" s="30" t="str">
        <f t="shared" si="149"/>
        <v/>
      </c>
    </row>
    <row r="1097" spans="1:9" hidden="1" x14ac:dyDescent="0.25">
      <c r="A1097" s="30">
        <f t="shared" si="144"/>
        <v>5.75</v>
      </c>
      <c r="B1097" s="94">
        <f>INT((ROWS(B$11:B1097)-1)/20)+40+0.05*MOD(ROWS(B$11:B1097)-1,20)</f>
        <v>94.3</v>
      </c>
      <c r="C1097" s="58" t="str">
        <f t="shared" si="145"/>
        <v/>
      </c>
      <c r="D1097" s="58" t="str">
        <f t="shared" si="147"/>
        <v/>
      </c>
      <c r="E1097" s="30">
        <f t="shared" si="143"/>
        <v>4.2747278631587994E-9</v>
      </c>
      <c r="F1097" s="30" t="str">
        <f t="shared" si="150"/>
        <v/>
      </c>
      <c r="G1097" s="30" t="str">
        <f t="shared" si="150"/>
        <v/>
      </c>
      <c r="H1097" s="30" t="str">
        <f t="shared" si="150"/>
        <v/>
      </c>
      <c r="I1097" s="30" t="str">
        <f t="shared" si="149"/>
        <v/>
      </c>
    </row>
    <row r="1098" spans="1:9" hidden="1" x14ac:dyDescent="0.25">
      <c r="A1098" s="30">
        <f t="shared" si="144"/>
        <v>5.75</v>
      </c>
      <c r="B1098" s="94">
        <f>INT((ROWS(B$11:B1098)-1)/20)+40+0.05*MOD(ROWS(B$11:B1098)-1,20)</f>
        <v>94.35</v>
      </c>
      <c r="C1098" s="58" t="str">
        <f t="shared" si="145"/>
        <v/>
      </c>
      <c r="D1098" s="58" t="str">
        <f t="shared" si="147"/>
        <v/>
      </c>
      <c r="E1098" s="30">
        <f t="shared" si="143"/>
        <v>3.9742252268402609E-9</v>
      </c>
      <c r="F1098" s="30" t="str">
        <f t="shared" si="150"/>
        <v/>
      </c>
      <c r="G1098" s="30" t="str">
        <f t="shared" si="150"/>
        <v/>
      </c>
      <c r="H1098" s="30" t="str">
        <f t="shared" si="150"/>
        <v/>
      </c>
      <c r="I1098" s="30" t="str">
        <f t="shared" si="149"/>
        <v/>
      </c>
    </row>
    <row r="1099" spans="1:9" hidden="1" x14ac:dyDescent="0.25">
      <c r="A1099" s="30">
        <f t="shared" si="144"/>
        <v>5.75</v>
      </c>
      <c r="B1099" s="94">
        <f>INT((ROWS(B$11:B1099)-1)/20)+40+0.05*MOD(ROWS(B$11:B1099)-1,20)</f>
        <v>94.4</v>
      </c>
      <c r="C1099" s="58" t="str">
        <f t="shared" si="145"/>
        <v/>
      </c>
      <c r="D1099" s="58" t="str">
        <f t="shared" si="147"/>
        <v/>
      </c>
      <c r="E1099" s="30">
        <f t="shared" ref="E1099:E1162" si="151">_xlfn.NORM.DIST(B1099,$F$1,$F$2,0)</f>
        <v>3.6942698966199744E-9</v>
      </c>
      <c r="F1099" s="30" t="str">
        <f t="shared" si="150"/>
        <v/>
      </c>
      <c r="G1099" s="30" t="str">
        <f t="shared" si="150"/>
        <v/>
      </c>
      <c r="H1099" s="30" t="str">
        <f t="shared" si="150"/>
        <v/>
      </c>
      <c r="I1099" s="30" t="str">
        <f t="shared" si="149"/>
        <v/>
      </c>
    </row>
    <row r="1100" spans="1:9" hidden="1" x14ac:dyDescent="0.25">
      <c r="A1100" s="30">
        <f t="shared" ref="A1100:A1163" si="152">(INT(B1100)-$F$1)/$F$2</f>
        <v>5.75</v>
      </c>
      <c r="B1100" s="94">
        <f>INT((ROWS(B$11:B1100)-1)/20)+40+0.05*MOD(ROWS(B$11:B1100)-1,20)</f>
        <v>94.45</v>
      </c>
      <c r="C1100" s="58" t="str">
        <f t="shared" ref="C1100:C1163" si="153">IF(AND(A1100&lt;&gt;A1099,INT(A1100)=A1100),A1100,"")</f>
        <v/>
      </c>
      <c r="D1100" s="58" t="str">
        <f t="shared" si="147"/>
        <v/>
      </c>
      <c r="E1100" s="30">
        <f t="shared" si="151"/>
        <v>3.4334988619434353E-9</v>
      </c>
      <c r="F1100" s="30" t="str">
        <f t="shared" si="150"/>
        <v/>
      </c>
      <c r="G1100" s="30" t="str">
        <f t="shared" si="150"/>
        <v/>
      </c>
      <c r="H1100" s="30" t="str">
        <f t="shared" si="150"/>
        <v/>
      </c>
      <c r="I1100" s="30" t="str">
        <f t="shared" si="149"/>
        <v/>
      </c>
    </row>
    <row r="1101" spans="1:9" hidden="1" x14ac:dyDescent="0.25">
      <c r="A1101" s="30">
        <f t="shared" si="152"/>
        <v>5.75</v>
      </c>
      <c r="B1101" s="94">
        <f>INT((ROWS(B$11:B1101)-1)/20)+40+0.05*MOD(ROWS(B$11:B1101)-1,20)</f>
        <v>94.5</v>
      </c>
      <c r="C1101" s="58" t="str">
        <f t="shared" si="153"/>
        <v/>
      </c>
      <c r="D1101" s="58" t="str">
        <f t="shared" si="147"/>
        <v/>
      </c>
      <c r="E1101" s="30">
        <f t="shared" si="151"/>
        <v>3.1906365508841103E-9</v>
      </c>
      <c r="F1101" s="30" t="str">
        <f t="shared" si="150"/>
        <v/>
      </c>
      <c r="G1101" s="30" t="str">
        <f t="shared" si="150"/>
        <v/>
      </c>
      <c r="H1101" s="30" t="str">
        <f t="shared" si="150"/>
        <v/>
      </c>
      <c r="I1101" s="30" t="str">
        <f t="shared" si="149"/>
        <v/>
      </c>
    </row>
    <row r="1102" spans="1:9" hidden="1" x14ac:dyDescent="0.25">
      <c r="A1102" s="30">
        <f t="shared" si="152"/>
        <v>5.75</v>
      </c>
      <c r="B1102" s="94">
        <f>INT((ROWS(B$11:B1102)-1)/20)+40+0.05*MOD(ROWS(B$11:B1102)-1,20)</f>
        <v>94.55</v>
      </c>
      <c r="C1102" s="58" t="str">
        <f t="shared" si="153"/>
        <v/>
      </c>
      <c r="D1102" s="58" t="str">
        <f t="shared" si="147"/>
        <v/>
      </c>
      <c r="E1102" s="30">
        <f t="shared" si="151"/>
        <v>2.9644894270008479E-9</v>
      </c>
      <c r="F1102" s="30" t="str">
        <f t="shared" si="150"/>
        <v/>
      </c>
      <c r="G1102" s="30" t="str">
        <f t="shared" si="150"/>
        <v/>
      </c>
      <c r="H1102" s="30" t="str">
        <f t="shared" si="150"/>
        <v/>
      </c>
      <c r="I1102" s="30" t="str">
        <f t="shared" si="149"/>
        <v/>
      </c>
    </row>
    <row r="1103" spans="1:9" hidden="1" x14ac:dyDescent="0.25">
      <c r="A1103" s="30">
        <f t="shared" si="152"/>
        <v>5.75</v>
      </c>
      <c r="B1103" s="94">
        <f>INT((ROWS(B$11:B1103)-1)/20)+40+0.05*MOD(ROWS(B$11:B1103)-1,20)</f>
        <v>94.6</v>
      </c>
      <c r="C1103" s="58" t="str">
        <f t="shared" si="153"/>
        <v/>
      </c>
      <c r="D1103" s="58" t="str">
        <f t="shared" si="147"/>
        <v/>
      </c>
      <c r="E1103" s="30">
        <f t="shared" si="151"/>
        <v>2.7539409061706065E-9</v>
      </c>
      <c r="F1103" s="30" t="str">
        <f t="shared" si="150"/>
        <v/>
      </c>
      <c r="G1103" s="30" t="str">
        <f t="shared" si="150"/>
        <v/>
      </c>
      <c r="H1103" s="30" t="str">
        <f t="shared" si="150"/>
        <v/>
      </c>
      <c r="I1103" s="30" t="str">
        <f t="shared" si="149"/>
        <v/>
      </c>
    </row>
    <row r="1104" spans="1:9" hidden="1" x14ac:dyDescent="0.25">
      <c r="A1104" s="30">
        <f t="shared" si="152"/>
        <v>5.75</v>
      </c>
      <c r="B1104" s="94">
        <f>INT((ROWS(B$11:B1104)-1)/20)+40+0.05*MOD(ROWS(B$11:B1104)-1,20)</f>
        <v>94.65</v>
      </c>
      <c r="C1104" s="58" t="str">
        <f t="shared" si="153"/>
        <v/>
      </c>
      <c r="D1104" s="58" t="str">
        <f t="shared" si="147"/>
        <v/>
      </c>
      <c r="E1104" s="30">
        <f t="shared" si="151"/>
        <v>2.5579465753598595E-9</v>
      </c>
      <c r="F1104" s="30" t="str">
        <f t="shared" si="150"/>
        <v/>
      </c>
      <c r="G1104" s="30" t="str">
        <f t="shared" si="150"/>
        <v/>
      </c>
      <c r="H1104" s="30" t="str">
        <f t="shared" si="150"/>
        <v/>
      </c>
      <c r="I1104" s="30" t="str">
        <f t="shared" si="149"/>
        <v/>
      </c>
    </row>
    <row r="1105" spans="1:9" hidden="1" x14ac:dyDescent="0.25">
      <c r="A1105" s="30">
        <f t="shared" si="152"/>
        <v>5.75</v>
      </c>
      <c r="B1105" s="94">
        <f>INT((ROWS(B$11:B1105)-1)/20)+40+0.05*MOD(ROWS(B$11:B1105)-1,20)</f>
        <v>94.7</v>
      </c>
      <c r="C1105" s="58" t="str">
        <f t="shared" si="153"/>
        <v/>
      </c>
      <c r="D1105" s="58" t="str">
        <f t="shared" si="147"/>
        <v/>
      </c>
      <c r="E1105" s="30">
        <f t="shared" si="151"/>
        <v>2.3755296962564877E-9</v>
      </c>
      <c r="F1105" s="30" t="str">
        <f t="shared" si="150"/>
        <v/>
      </c>
      <c r="G1105" s="30" t="str">
        <f t="shared" si="150"/>
        <v/>
      </c>
      <c r="H1105" s="30" t="str">
        <f t="shared" si="150"/>
        <v/>
      </c>
      <c r="I1105" s="30" t="str">
        <f t="shared" si="149"/>
        <v/>
      </c>
    </row>
    <row r="1106" spans="1:9" hidden="1" x14ac:dyDescent="0.25">
      <c r="A1106" s="30">
        <f t="shared" si="152"/>
        <v>5.75</v>
      </c>
      <c r="B1106" s="94">
        <f>INT((ROWS(B$11:B1106)-1)/20)+40+0.05*MOD(ROWS(B$11:B1106)-1,20)</f>
        <v>94.75</v>
      </c>
      <c r="C1106" s="58" t="str">
        <f t="shared" si="153"/>
        <v/>
      </c>
      <c r="D1106" s="58" t="str">
        <f t="shared" si="147"/>
        <v/>
      </c>
      <c r="E1106" s="30">
        <f t="shared" si="151"/>
        <v>2.2057769775942552E-9</v>
      </c>
      <c r="F1106" s="30" t="str">
        <f t="shared" si="150"/>
        <v/>
      </c>
      <c r="G1106" s="30" t="str">
        <f t="shared" si="150"/>
        <v/>
      </c>
      <c r="H1106" s="30" t="str">
        <f t="shared" si="150"/>
        <v/>
      </c>
      <c r="I1106" s="30" t="str">
        <f t="shared" si="149"/>
        <v/>
      </c>
    </row>
    <row r="1107" spans="1:9" hidden="1" x14ac:dyDescent="0.25">
      <c r="A1107" s="30">
        <f t="shared" si="152"/>
        <v>5.75</v>
      </c>
      <c r="B1107" s="94">
        <f>INT((ROWS(B$11:B1107)-1)/20)+40+0.05*MOD(ROWS(B$11:B1107)-1,20)</f>
        <v>94.8</v>
      </c>
      <c r="C1107" s="58" t="str">
        <f t="shared" si="153"/>
        <v/>
      </c>
      <c r="D1107" s="58" t="str">
        <f t="shared" si="147"/>
        <v/>
      </c>
      <c r="E1107" s="30">
        <f t="shared" si="151"/>
        <v>2.0478346008698079E-9</v>
      </c>
      <c r="F1107" s="30" t="str">
        <f t="shared" si="150"/>
        <v/>
      </c>
      <c r="G1107" s="30" t="str">
        <f t="shared" si="150"/>
        <v/>
      </c>
      <c r="H1107" s="30" t="str">
        <f t="shared" si="150"/>
        <v/>
      </c>
      <c r="I1107" s="30" t="str">
        <f t="shared" si="149"/>
        <v/>
      </c>
    </row>
    <row r="1108" spans="1:9" hidden="1" x14ac:dyDescent="0.25">
      <c r="A1108" s="30">
        <f t="shared" si="152"/>
        <v>5.75</v>
      </c>
      <c r="B1108" s="94">
        <f>INT((ROWS(B$11:B1108)-1)/20)+40+0.05*MOD(ROWS(B$11:B1108)-1,20)</f>
        <v>94.85</v>
      </c>
      <c r="C1108" s="58" t="str">
        <f t="shared" si="153"/>
        <v/>
      </c>
      <c r="D1108" s="58" t="str">
        <f t="shared" si="147"/>
        <v/>
      </c>
      <c r="E1108" s="30">
        <f t="shared" si="151"/>
        <v>1.9009044849733242E-9</v>
      </c>
      <c r="F1108" s="30" t="str">
        <f t="shared" si="150"/>
        <v/>
      </c>
      <c r="G1108" s="30" t="str">
        <f t="shared" si="150"/>
        <v/>
      </c>
      <c r="H1108" s="30" t="str">
        <f t="shared" si="150"/>
        <v/>
      </c>
      <c r="I1108" s="30" t="str">
        <f t="shared" si="149"/>
        <v/>
      </c>
    </row>
    <row r="1109" spans="1:9" hidden="1" x14ac:dyDescent="0.25">
      <c r="A1109" s="30">
        <f t="shared" si="152"/>
        <v>5.75</v>
      </c>
      <c r="B1109" s="94">
        <f>INT((ROWS(B$11:B1109)-1)/20)+40+0.05*MOD(ROWS(B$11:B1109)-1,20)</f>
        <v>94.9</v>
      </c>
      <c r="C1109" s="58" t="str">
        <f t="shared" si="153"/>
        <v/>
      </c>
      <c r="D1109" s="58" t="str">
        <f t="shared" si="147"/>
        <v/>
      </c>
      <c r="E1109" s="30">
        <f t="shared" si="151"/>
        <v>1.7642407760364808E-9</v>
      </c>
      <c r="F1109" s="30" t="str">
        <f t="shared" si="150"/>
        <v/>
      </c>
      <c r="G1109" s="30" t="str">
        <f t="shared" si="150"/>
        <v/>
      </c>
      <c r="H1109" s="30" t="str">
        <f t="shared" si="150"/>
        <v/>
      </c>
      <c r="I1109" s="30" t="str">
        <f t="shared" si="149"/>
        <v/>
      </c>
    </row>
    <row r="1110" spans="1:9" hidden="1" x14ac:dyDescent="0.25">
      <c r="A1110" s="30">
        <f t="shared" si="152"/>
        <v>5.75</v>
      </c>
      <c r="B1110" s="94">
        <f>INT((ROWS(B$11:B1110)-1)/20)+40+0.05*MOD(ROWS(B$11:B1110)-1,20)</f>
        <v>94.95</v>
      </c>
      <c r="C1110" s="58" t="str">
        <f t="shared" si="153"/>
        <v/>
      </c>
      <c r="D1110" s="58" t="str">
        <f t="shared" si="147"/>
        <v/>
      </c>
      <c r="E1110" s="30">
        <f t="shared" si="151"/>
        <v>1.637146549543569E-9</v>
      </c>
      <c r="F1110" s="30" t="str">
        <f t="shared" si="150"/>
        <v/>
      </c>
      <c r="G1110" s="30" t="str">
        <f t="shared" si="150"/>
        <v/>
      </c>
      <c r="H1110" s="30" t="str">
        <f t="shared" si="150"/>
        <v/>
      </c>
      <c r="I1110" s="30" t="str">
        <f t="shared" si="149"/>
        <v/>
      </c>
    </row>
    <row r="1111" spans="1:9" hidden="1" x14ac:dyDescent="0.25">
      <c r="A1111" s="30">
        <f t="shared" si="152"/>
        <v>6</v>
      </c>
      <c r="B1111" s="94">
        <f>INT((ROWS(B$11:B1111)-1)/20)+40+0.05*MOD(ROWS(B$11:B1111)-1,20)</f>
        <v>95</v>
      </c>
      <c r="C1111" s="58">
        <f t="shared" si="153"/>
        <v>6</v>
      </c>
      <c r="D1111" s="58" t="str">
        <f t="shared" si="147"/>
        <v/>
      </c>
      <c r="E1111" s="30">
        <f t="shared" si="151"/>
        <v>1.5189707124558215E-9</v>
      </c>
      <c r="F1111" s="30" t="str">
        <f t="shared" ref="F1111:H1130" si="154">IF(AND($B1111&gt;=F$7,$B1111&lt;=F$8),E1111,"")</f>
        <v/>
      </c>
      <c r="G1111" s="30" t="str">
        <f t="shared" si="154"/>
        <v/>
      </c>
      <c r="H1111" s="30" t="str">
        <f t="shared" si="154"/>
        <v/>
      </c>
      <c r="I1111" s="30" t="str">
        <f t="shared" si="149"/>
        <v/>
      </c>
    </row>
    <row r="1112" spans="1:9" hidden="1" x14ac:dyDescent="0.25">
      <c r="A1112" s="30">
        <f t="shared" si="152"/>
        <v>6</v>
      </c>
      <c r="B1112" s="94">
        <f>INT((ROWS(B$11:B1112)-1)/20)+40+0.05*MOD(ROWS(B$11:B1112)-1,20)</f>
        <v>95.05</v>
      </c>
      <c r="C1112" s="58" t="str">
        <f t="shared" si="153"/>
        <v/>
      </c>
      <c r="D1112" s="58" t="str">
        <f t="shared" si="147"/>
        <v/>
      </c>
      <c r="E1112" s="30">
        <f t="shared" si="151"/>
        <v>1.4091050937689231E-9</v>
      </c>
      <c r="F1112" s="30" t="str">
        <f t="shared" si="154"/>
        <v/>
      </c>
      <c r="G1112" s="30" t="str">
        <f t="shared" si="154"/>
        <v/>
      </c>
      <c r="H1112" s="30" t="str">
        <f t="shared" si="154"/>
        <v/>
      </c>
      <c r="I1112" s="30" t="str">
        <f t="shared" si="149"/>
        <v/>
      </c>
    </row>
    <row r="1113" spans="1:9" hidden="1" x14ac:dyDescent="0.25">
      <c r="A1113" s="30">
        <f t="shared" si="152"/>
        <v>6</v>
      </c>
      <c r="B1113" s="94">
        <f>INT((ROWS(B$11:B1113)-1)/20)+40+0.05*MOD(ROWS(B$11:B1113)-1,20)</f>
        <v>95.1</v>
      </c>
      <c r="C1113" s="58" t="str">
        <f t="shared" si="153"/>
        <v/>
      </c>
      <c r="D1113" s="58" t="str">
        <f t="shared" si="147"/>
        <v/>
      </c>
      <c r="E1113" s="30">
        <f t="shared" si="151"/>
        <v>1.3069817125575011E-9</v>
      </c>
      <c r="F1113" s="30" t="str">
        <f t="shared" si="154"/>
        <v/>
      </c>
      <c r="G1113" s="30" t="str">
        <f t="shared" si="154"/>
        <v/>
      </c>
      <c r="H1113" s="30" t="str">
        <f t="shared" si="154"/>
        <v/>
      </c>
      <c r="I1113" s="30" t="str">
        <f t="shared" si="149"/>
        <v/>
      </c>
    </row>
    <row r="1114" spans="1:9" hidden="1" x14ac:dyDescent="0.25">
      <c r="A1114" s="30">
        <f t="shared" si="152"/>
        <v>6</v>
      </c>
      <c r="B1114" s="94">
        <f>INT((ROWS(B$11:B1114)-1)/20)+40+0.05*MOD(ROWS(B$11:B1114)-1,20)</f>
        <v>95.15</v>
      </c>
      <c r="C1114" s="58" t="str">
        <f t="shared" si="153"/>
        <v/>
      </c>
      <c r="D1114" s="58" t="str">
        <f t="shared" si="147"/>
        <v/>
      </c>
      <c r="E1114" s="30">
        <f t="shared" si="151"/>
        <v>1.2120702131630589E-9</v>
      </c>
      <c r="F1114" s="30" t="str">
        <f t="shared" si="154"/>
        <v/>
      </c>
      <c r="G1114" s="30" t="str">
        <f t="shared" si="154"/>
        <v/>
      </c>
      <c r="H1114" s="30" t="str">
        <f t="shared" si="154"/>
        <v/>
      </c>
      <c r="I1114" s="30" t="str">
        <f t="shared" si="149"/>
        <v/>
      </c>
    </row>
    <row r="1115" spans="1:9" hidden="1" x14ac:dyDescent="0.25">
      <c r="A1115" s="30">
        <f t="shared" si="152"/>
        <v>6</v>
      </c>
      <c r="B1115" s="94">
        <f>INT((ROWS(B$11:B1115)-1)/20)+40+0.05*MOD(ROWS(B$11:B1115)-1,20)</f>
        <v>95.2</v>
      </c>
      <c r="C1115" s="58" t="str">
        <f t="shared" si="153"/>
        <v/>
      </c>
      <c r="D1115" s="58" t="str">
        <f t="shared" si="147"/>
        <v/>
      </c>
      <c r="E1115" s="30">
        <f t="shared" si="151"/>
        <v>1.1238754577533072E-9</v>
      </c>
      <c r="F1115" s="30" t="str">
        <f t="shared" si="154"/>
        <v/>
      </c>
      <c r="G1115" s="30" t="str">
        <f t="shared" si="154"/>
        <v/>
      </c>
      <c r="H1115" s="30" t="str">
        <f t="shared" si="154"/>
        <v/>
      </c>
      <c r="I1115" s="30" t="str">
        <f t="shared" si="149"/>
        <v/>
      </c>
    </row>
    <row r="1116" spans="1:9" hidden="1" x14ac:dyDescent="0.25">
      <c r="A1116" s="30">
        <f t="shared" si="152"/>
        <v>6</v>
      </c>
      <c r="B1116" s="94">
        <f>INT((ROWS(B$11:B1116)-1)/20)+40+0.05*MOD(ROWS(B$11:B1116)-1,20)</f>
        <v>95.25</v>
      </c>
      <c r="C1116" s="58" t="str">
        <f t="shared" si="153"/>
        <v/>
      </c>
      <c r="D1116" s="58" t="str">
        <f t="shared" si="147"/>
        <v/>
      </c>
      <c r="E1116" s="30">
        <f t="shared" si="151"/>
        <v>1.0419352670216928E-9</v>
      </c>
      <c r="F1116" s="30" t="str">
        <f t="shared" si="154"/>
        <v/>
      </c>
      <c r="G1116" s="30" t="str">
        <f t="shared" si="154"/>
        <v/>
      </c>
      <c r="H1116" s="30" t="str">
        <f t="shared" si="154"/>
        <v/>
      </c>
      <c r="I1116" s="30" t="str">
        <f t="shared" si="149"/>
        <v/>
      </c>
    </row>
    <row r="1117" spans="1:9" hidden="1" x14ac:dyDescent="0.25">
      <c r="A1117" s="30">
        <f t="shared" si="152"/>
        <v>6</v>
      </c>
      <c r="B1117" s="94">
        <f>INT((ROWS(B$11:B1117)-1)/20)+40+0.05*MOD(ROWS(B$11:B1117)-1,20)</f>
        <v>95.3</v>
      </c>
      <c r="C1117" s="58" t="str">
        <f t="shared" si="153"/>
        <v/>
      </c>
      <c r="D1117" s="58" t="str">
        <f t="shared" si="147"/>
        <v/>
      </c>
      <c r="E1117" s="30">
        <f t="shared" si="151"/>
        <v>9.6581830031069726E-10</v>
      </c>
      <c r="F1117" s="30" t="str">
        <f t="shared" si="154"/>
        <v/>
      </c>
      <c r="G1117" s="30" t="str">
        <f t="shared" si="154"/>
        <v/>
      </c>
      <c r="H1117" s="30" t="str">
        <f t="shared" si="154"/>
        <v/>
      </c>
      <c r="I1117" s="30" t="str">
        <f t="shared" si="149"/>
        <v/>
      </c>
    </row>
    <row r="1118" spans="1:9" hidden="1" x14ac:dyDescent="0.25">
      <c r="A1118" s="30">
        <f t="shared" si="152"/>
        <v>6</v>
      </c>
      <c r="B1118" s="94">
        <f>INT((ROWS(B$11:B1118)-1)/20)+40+0.05*MOD(ROWS(B$11:B1118)-1,20)</f>
        <v>95.35</v>
      </c>
      <c r="C1118" s="58" t="str">
        <f t="shared" si="153"/>
        <v/>
      </c>
      <c r="D1118" s="58" t="str">
        <f t="shared" si="147"/>
        <v/>
      </c>
      <c r="E1118" s="30">
        <f t="shared" si="151"/>
        <v>8.9512206692803269E-10</v>
      </c>
      <c r="F1118" s="30" t="str">
        <f t="shared" si="154"/>
        <v/>
      </c>
      <c r="G1118" s="30" t="str">
        <f t="shared" si="154"/>
        <v/>
      </c>
      <c r="H1118" s="30" t="str">
        <f t="shared" si="154"/>
        <v/>
      </c>
      <c r="I1118" s="30" t="str">
        <f t="shared" si="149"/>
        <v/>
      </c>
    </row>
    <row r="1119" spans="1:9" hidden="1" x14ac:dyDescent="0.25">
      <c r="A1119" s="30">
        <f t="shared" si="152"/>
        <v>6</v>
      </c>
      <c r="B1119" s="94">
        <f>INT((ROWS(B$11:B1119)-1)/20)+40+0.05*MOD(ROWS(B$11:B1119)-1,20)</f>
        <v>95.4</v>
      </c>
      <c r="C1119" s="58" t="str">
        <f t="shared" si="153"/>
        <v/>
      </c>
      <c r="D1119" s="58" t="str">
        <f t="shared" si="147"/>
        <v/>
      </c>
      <c r="E1119" s="30">
        <f t="shared" si="151"/>
        <v>8.2947106088681744E-10</v>
      </c>
      <c r="F1119" s="30" t="str">
        <f t="shared" si="154"/>
        <v/>
      </c>
      <c r="G1119" s="30" t="str">
        <f t="shared" si="154"/>
        <v/>
      </c>
      <c r="H1119" s="30" t="str">
        <f t="shared" si="154"/>
        <v/>
      </c>
      <c r="I1119" s="30" t="str">
        <f t="shared" si="149"/>
        <v/>
      </c>
    </row>
    <row r="1120" spans="1:9" hidden="1" x14ac:dyDescent="0.25">
      <c r="A1120" s="30">
        <f t="shared" si="152"/>
        <v>6</v>
      </c>
      <c r="B1120" s="94">
        <f>INT((ROWS(B$11:B1120)-1)/20)+40+0.05*MOD(ROWS(B$11:B1120)-1,20)</f>
        <v>95.45</v>
      </c>
      <c r="C1120" s="58" t="str">
        <f t="shared" si="153"/>
        <v/>
      </c>
      <c r="D1120" s="58" t="str">
        <f t="shared" si="147"/>
        <v/>
      </c>
      <c r="E1120" s="30">
        <f t="shared" si="151"/>
        <v>7.6851501173768287E-10</v>
      </c>
      <c r="F1120" s="30" t="str">
        <f t="shared" si="154"/>
        <v/>
      </c>
      <c r="G1120" s="30" t="str">
        <f t="shared" si="154"/>
        <v/>
      </c>
      <c r="H1120" s="30" t="str">
        <f t="shared" si="154"/>
        <v/>
      </c>
      <c r="I1120" s="30" t="str">
        <f t="shared" si="149"/>
        <v/>
      </c>
    </row>
    <row r="1121" spans="1:9" hidden="1" x14ac:dyDescent="0.25">
      <c r="A1121" s="30">
        <f t="shared" si="152"/>
        <v>6</v>
      </c>
      <c r="B1121" s="94">
        <f>INT((ROWS(B$11:B1121)-1)/20)+40+0.05*MOD(ROWS(B$11:B1121)-1,20)</f>
        <v>95.5</v>
      </c>
      <c r="C1121" s="58" t="str">
        <f t="shared" si="153"/>
        <v/>
      </c>
      <c r="D1121" s="58" t="str">
        <f t="shared" si="147"/>
        <v/>
      </c>
      <c r="E1121" s="30">
        <f t="shared" si="151"/>
        <v>7.1192724457420534E-10</v>
      </c>
      <c r="F1121" s="30" t="str">
        <f t="shared" si="154"/>
        <v/>
      </c>
      <c r="G1121" s="30" t="str">
        <f t="shared" si="154"/>
        <v/>
      </c>
      <c r="H1121" s="30" t="str">
        <f t="shared" si="154"/>
        <v/>
      </c>
      <c r="I1121" s="30" t="str">
        <f t="shared" si="149"/>
        <v/>
      </c>
    </row>
    <row r="1122" spans="1:9" hidden="1" x14ac:dyDescent="0.25">
      <c r="A1122" s="30">
        <f t="shared" si="152"/>
        <v>6</v>
      </c>
      <c r="B1122" s="94">
        <f>INT((ROWS(B$11:B1122)-1)/20)+40+0.05*MOD(ROWS(B$11:B1122)-1,20)</f>
        <v>95.55</v>
      </c>
      <c r="C1122" s="58" t="str">
        <f t="shared" si="153"/>
        <v/>
      </c>
      <c r="D1122" s="58" t="str">
        <f t="shared" si="147"/>
        <v/>
      </c>
      <c r="E1122" s="30">
        <f t="shared" si="151"/>
        <v>6.5940314268570557E-10</v>
      </c>
      <c r="F1122" s="30" t="str">
        <f t="shared" si="154"/>
        <v/>
      </c>
      <c r="G1122" s="30" t="str">
        <f t="shared" si="154"/>
        <v/>
      </c>
      <c r="H1122" s="30" t="str">
        <f t="shared" si="154"/>
        <v/>
      </c>
      <c r="I1122" s="30" t="str">
        <f t="shared" si="149"/>
        <v/>
      </c>
    </row>
    <row r="1123" spans="1:9" hidden="1" x14ac:dyDescent="0.25">
      <c r="A1123" s="30">
        <f t="shared" si="152"/>
        <v>6</v>
      </c>
      <c r="B1123" s="94">
        <f>INT((ROWS(B$11:B1123)-1)/20)+40+0.05*MOD(ROWS(B$11:B1123)-1,20)</f>
        <v>95.6</v>
      </c>
      <c r="C1123" s="58" t="str">
        <f t="shared" si="153"/>
        <v/>
      </c>
      <c r="D1123" s="58" t="str">
        <f t="shared" si="147"/>
        <v/>
      </c>
      <c r="E1123" s="30">
        <f t="shared" si="151"/>
        <v>6.1065870670176752E-10</v>
      </c>
      <c r="F1123" s="30" t="str">
        <f t="shared" si="154"/>
        <v/>
      </c>
      <c r="G1123" s="30" t="str">
        <f t="shared" si="154"/>
        <v/>
      </c>
      <c r="H1123" s="30" t="str">
        <f t="shared" si="154"/>
        <v/>
      </c>
      <c r="I1123" s="30" t="str">
        <f t="shared" si="149"/>
        <v/>
      </c>
    </row>
    <row r="1124" spans="1:9" hidden="1" x14ac:dyDescent="0.25">
      <c r="A1124" s="30">
        <f t="shared" si="152"/>
        <v>6</v>
      </c>
      <c r="B1124" s="94">
        <f>INT((ROWS(B$11:B1124)-1)/20)+40+0.05*MOD(ROWS(B$11:B1124)-1,20)</f>
        <v>95.65</v>
      </c>
      <c r="C1124" s="58" t="str">
        <f t="shared" si="153"/>
        <v/>
      </c>
      <c r="D1124" s="58" t="str">
        <f t="shared" si="147"/>
        <v/>
      </c>
      <c r="E1124" s="30">
        <f t="shared" si="151"/>
        <v>5.6542920442438978E-10</v>
      </c>
      <c r="F1124" s="30" t="str">
        <f t="shared" si="154"/>
        <v/>
      </c>
      <c r="G1124" s="30" t="str">
        <f t="shared" si="154"/>
        <v/>
      </c>
      <c r="H1124" s="30" t="str">
        <f t="shared" si="154"/>
        <v/>
      </c>
      <c r="I1124" s="30" t="str">
        <f t="shared" si="149"/>
        <v/>
      </c>
    </row>
    <row r="1125" spans="1:9" hidden="1" x14ac:dyDescent="0.25">
      <c r="A1125" s="30">
        <f t="shared" si="152"/>
        <v>6</v>
      </c>
      <c r="B1125" s="94">
        <f>INT((ROWS(B$11:B1125)-1)/20)+40+0.05*MOD(ROWS(B$11:B1125)-1,20)</f>
        <v>95.7</v>
      </c>
      <c r="C1125" s="58" t="str">
        <f t="shared" si="153"/>
        <v/>
      </c>
      <c r="D1125" s="58" t="str">
        <f t="shared" si="147"/>
        <v/>
      </c>
      <c r="E1125" s="30">
        <f t="shared" si="151"/>
        <v>5.2346790587592371E-10</v>
      </c>
      <c r="F1125" s="30" t="str">
        <f t="shared" si="154"/>
        <v/>
      </c>
      <c r="G1125" s="30" t="str">
        <f t="shared" si="154"/>
        <v/>
      </c>
      <c r="H1125" s="30" t="str">
        <f t="shared" si="154"/>
        <v/>
      </c>
      <c r="I1125" s="30" t="str">
        <f t="shared" si="149"/>
        <v/>
      </c>
    </row>
    <row r="1126" spans="1:9" hidden="1" x14ac:dyDescent="0.25">
      <c r="A1126" s="30">
        <f t="shared" si="152"/>
        <v>6</v>
      </c>
      <c r="B1126" s="94">
        <f>INT((ROWS(B$11:B1126)-1)/20)+40+0.05*MOD(ROWS(B$11:B1126)-1,20)</f>
        <v>95.75</v>
      </c>
      <c r="C1126" s="58" t="str">
        <f t="shared" si="153"/>
        <v/>
      </c>
      <c r="D1126" s="58" t="str">
        <f t="shared" si="147"/>
        <v/>
      </c>
      <c r="E1126" s="30">
        <f t="shared" si="151"/>
        <v>4.8454489840507736E-10</v>
      </c>
      <c r="F1126" s="30" t="str">
        <f t="shared" si="154"/>
        <v/>
      </c>
      <c r="G1126" s="30" t="str">
        <f t="shared" si="154"/>
        <v/>
      </c>
      <c r="H1126" s="30" t="str">
        <f t="shared" si="154"/>
        <v/>
      </c>
      <c r="I1126" s="30" t="str">
        <f t="shared" si="149"/>
        <v/>
      </c>
    </row>
    <row r="1127" spans="1:9" hidden="1" x14ac:dyDescent="0.25">
      <c r="A1127" s="30">
        <f t="shared" si="152"/>
        <v>6</v>
      </c>
      <c r="B1127" s="94">
        <f>INT((ROWS(B$11:B1127)-1)/20)+40+0.05*MOD(ROWS(B$11:B1127)-1,20)</f>
        <v>95.8</v>
      </c>
      <c r="C1127" s="58" t="str">
        <f t="shared" si="153"/>
        <v/>
      </c>
      <c r="D1127" s="58" t="str">
        <f t="shared" si="147"/>
        <v/>
      </c>
      <c r="E1127" s="30">
        <f t="shared" si="151"/>
        <v>4.4844597699102306E-10</v>
      </c>
      <c r="F1127" s="30" t="str">
        <f t="shared" si="154"/>
        <v/>
      </c>
      <c r="G1127" s="30" t="str">
        <f t="shared" si="154"/>
        <v/>
      </c>
      <c r="H1127" s="30" t="str">
        <f t="shared" si="154"/>
        <v/>
      </c>
      <c r="I1127" s="30" t="str">
        <f t="shared" si="149"/>
        <v/>
      </c>
    </row>
    <row r="1128" spans="1:9" hidden="1" x14ac:dyDescent="0.25">
      <c r="A1128" s="30">
        <f t="shared" si="152"/>
        <v>6</v>
      </c>
      <c r="B1128" s="94">
        <f>INT((ROWS(B$11:B1128)-1)/20)+40+0.05*MOD(ROWS(B$11:B1128)-1,20)</f>
        <v>95.85</v>
      </c>
      <c r="C1128" s="58" t="str">
        <f t="shared" si="153"/>
        <v/>
      </c>
      <c r="D1128" s="58" t="str">
        <f t="shared" si="147"/>
        <v/>
      </c>
      <c r="E1128" s="30">
        <f t="shared" si="151"/>
        <v>4.1497160516636777E-10</v>
      </c>
      <c r="F1128" s="30" t="str">
        <f t="shared" si="154"/>
        <v/>
      </c>
      <c r="G1128" s="30" t="str">
        <f t="shared" si="154"/>
        <v/>
      </c>
      <c r="H1128" s="30" t="str">
        <f t="shared" si="154"/>
        <v/>
      </c>
      <c r="I1128" s="30" t="str">
        <f t="shared" si="149"/>
        <v/>
      </c>
    </row>
    <row r="1129" spans="1:9" hidden="1" x14ac:dyDescent="0.25">
      <c r="A1129" s="30">
        <f t="shared" si="152"/>
        <v>6</v>
      </c>
      <c r="B1129" s="94">
        <f>INT((ROWS(B$11:B1129)-1)/20)+40+0.05*MOD(ROWS(B$11:B1129)-1,20)</f>
        <v>95.9</v>
      </c>
      <c r="C1129" s="58" t="str">
        <f t="shared" si="153"/>
        <v/>
      </c>
      <c r="D1129" s="58" t="str">
        <f t="shared" si="147"/>
        <v/>
      </c>
      <c r="E1129" s="30">
        <f t="shared" si="151"/>
        <v>3.8393594224579679E-10</v>
      </c>
      <c r="F1129" s="30" t="str">
        <f t="shared" si="154"/>
        <v/>
      </c>
      <c r="G1129" s="30" t="str">
        <f t="shared" si="154"/>
        <v/>
      </c>
      <c r="H1129" s="30" t="str">
        <f t="shared" si="154"/>
        <v/>
      </c>
      <c r="I1129" s="30" t="str">
        <f t="shared" si="149"/>
        <v/>
      </c>
    </row>
    <row r="1130" spans="1:9" hidden="1" x14ac:dyDescent="0.25">
      <c r="A1130" s="30">
        <f t="shared" si="152"/>
        <v>6</v>
      </c>
      <c r="B1130" s="94">
        <f>INT((ROWS(B$11:B1130)-1)/20)+40+0.05*MOD(ROWS(B$11:B1130)-1,20)</f>
        <v>95.95</v>
      </c>
      <c r="C1130" s="58" t="str">
        <f t="shared" si="153"/>
        <v/>
      </c>
      <c r="D1130" s="58" t="str">
        <f t="shared" si="147"/>
        <v/>
      </c>
      <c r="E1130" s="30">
        <f t="shared" si="151"/>
        <v>3.5516593279841032E-10</v>
      </c>
      <c r="F1130" s="30" t="str">
        <f t="shared" si="154"/>
        <v/>
      </c>
      <c r="G1130" s="30" t="str">
        <f t="shared" si="154"/>
        <v/>
      </c>
      <c r="H1130" s="30" t="str">
        <f t="shared" si="154"/>
        <v/>
      </c>
      <c r="I1130" s="30" t="str">
        <f t="shared" si="149"/>
        <v/>
      </c>
    </row>
    <row r="1131" spans="1:9" hidden="1" x14ac:dyDescent="0.25">
      <c r="A1131" s="30">
        <f t="shared" si="152"/>
        <v>6.25</v>
      </c>
      <c r="B1131" s="94">
        <f>INT((ROWS(B$11:B1131)-1)/20)+40+0.05*MOD(ROWS(B$11:B1131)-1,20)</f>
        <v>96</v>
      </c>
      <c r="C1131" s="58" t="str">
        <f t="shared" si="153"/>
        <v/>
      </c>
      <c r="D1131" s="58" t="str">
        <f t="shared" si="147"/>
        <v/>
      </c>
      <c r="E1131" s="30">
        <f t="shared" si="151"/>
        <v>3.28500454538971E-10</v>
      </c>
      <c r="F1131" s="30" t="str">
        <f t="shared" ref="F1131:H1150" si="155">IF(AND($B1131&gt;=F$7,$B1131&lt;=F$8),E1131,"")</f>
        <v/>
      </c>
      <c r="G1131" s="30" t="str">
        <f t="shared" si="155"/>
        <v/>
      </c>
      <c r="H1131" s="30" t="str">
        <f t="shared" si="155"/>
        <v/>
      </c>
      <c r="I1131" s="30" t="str">
        <f t="shared" si="149"/>
        <v/>
      </c>
    </row>
    <row r="1132" spans="1:9" hidden="1" x14ac:dyDescent="0.25">
      <c r="A1132" s="30">
        <f t="shared" si="152"/>
        <v>6.25</v>
      </c>
      <c r="B1132" s="94">
        <f>INT((ROWS(B$11:B1132)-1)/20)+40+0.05*MOD(ROWS(B$11:B1132)-1,20)</f>
        <v>96.05</v>
      </c>
      <c r="C1132" s="58" t="str">
        <f t="shared" si="153"/>
        <v/>
      </c>
      <c r="D1132" s="58" t="str">
        <f t="shared" si="147"/>
        <v/>
      </c>
      <c r="E1132" s="30">
        <f t="shared" si="151"/>
        <v>3.0378952103790552E-10</v>
      </c>
      <c r="F1132" s="30" t="str">
        <f t="shared" si="155"/>
        <v/>
      </c>
      <c r="G1132" s="30" t="str">
        <f t="shared" si="155"/>
        <v/>
      </c>
      <c r="H1132" s="30" t="str">
        <f t="shared" si="155"/>
        <v/>
      </c>
      <c r="I1132" s="30" t="str">
        <f t="shared" si="149"/>
        <v/>
      </c>
    </row>
    <row r="1133" spans="1:9" hidden="1" x14ac:dyDescent="0.25">
      <c r="A1133" s="30">
        <f t="shared" si="152"/>
        <v>6.25</v>
      </c>
      <c r="B1133" s="94">
        <f>INT((ROWS(B$11:B1133)-1)/20)+40+0.05*MOD(ROWS(B$11:B1133)-1,20)</f>
        <v>96.1</v>
      </c>
      <c r="C1133" s="58" t="str">
        <f t="shared" si="153"/>
        <v/>
      </c>
      <c r="D1133" s="58" t="str">
        <f t="shared" ref="D1133:D1196" si="156">IF(ISNUMBER(MATCH(B1133,$K$2:$K$8,0)),TEXT(B1133,"0\""")&amp;CHAR(10)&amp;TEXT((B1133-$F$1)/$F$2," 0 z"),"")</f>
        <v/>
      </c>
      <c r="E1133" s="30">
        <f t="shared" si="151"/>
        <v>2.8089353586138513E-10</v>
      </c>
      <c r="F1133" s="30" t="str">
        <f t="shared" si="155"/>
        <v/>
      </c>
      <c r="G1133" s="30" t="str">
        <f t="shared" si="155"/>
        <v/>
      </c>
      <c r="H1133" s="30" t="str">
        <f t="shared" si="155"/>
        <v/>
      </c>
      <c r="I1133" s="30" t="str">
        <f t="shared" si="149"/>
        <v/>
      </c>
    </row>
    <row r="1134" spans="1:9" hidden="1" x14ac:dyDescent="0.25">
      <c r="A1134" s="30">
        <f t="shared" si="152"/>
        <v>6.25</v>
      </c>
      <c r="B1134" s="94">
        <f>INT((ROWS(B$11:B1134)-1)/20)+40+0.05*MOD(ROWS(B$11:B1134)-1,20)</f>
        <v>96.15</v>
      </c>
      <c r="C1134" s="58" t="str">
        <f t="shared" si="153"/>
        <v/>
      </c>
      <c r="D1134" s="58" t="str">
        <f t="shared" si="156"/>
        <v/>
      </c>
      <c r="E1134" s="30">
        <f t="shared" si="151"/>
        <v>2.5968259495305823E-10</v>
      </c>
      <c r="F1134" s="30" t="str">
        <f t="shared" si="155"/>
        <v/>
      </c>
      <c r="G1134" s="30" t="str">
        <f t="shared" si="155"/>
        <v/>
      </c>
      <c r="H1134" s="30" t="str">
        <f t="shared" si="155"/>
        <v/>
      </c>
      <c r="I1134" s="30" t="str">
        <f t="shared" si="149"/>
        <v/>
      </c>
    </row>
    <row r="1135" spans="1:9" hidden="1" x14ac:dyDescent="0.25">
      <c r="A1135" s="30">
        <f t="shared" si="152"/>
        <v>6.25</v>
      </c>
      <c r="B1135" s="94">
        <f>INT((ROWS(B$11:B1135)-1)/20)+40+0.05*MOD(ROWS(B$11:B1135)-1,20)</f>
        <v>96.2</v>
      </c>
      <c r="C1135" s="58" t="str">
        <f t="shared" si="153"/>
        <v/>
      </c>
      <c r="D1135" s="58" t="str">
        <f t="shared" si="156"/>
        <v/>
      </c>
      <c r="E1135" s="30">
        <f t="shared" si="151"/>
        <v>2.4003583425780665E-10</v>
      </c>
      <c r="F1135" s="30" t="str">
        <f t="shared" si="155"/>
        <v/>
      </c>
      <c r="G1135" s="30" t="str">
        <f t="shared" si="155"/>
        <v/>
      </c>
      <c r="H1135" s="30" t="str">
        <f t="shared" si="155"/>
        <v/>
      </c>
      <c r="I1135" s="30" t="str">
        <f t="shared" si="149"/>
        <v/>
      </c>
    </row>
    <row r="1136" spans="1:9" hidden="1" x14ac:dyDescent="0.25">
      <c r="A1136" s="30">
        <f t="shared" si="152"/>
        <v>6.25</v>
      </c>
      <c r="B1136" s="94">
        <f>INT((ROWS(B$11:B1136)-1)/20)+40+0.05*MOD(ROWS(B$11:B1136)-1,20)</f>
        <v>96.25</v>
      </c>
      <c r="C1136" s="58" t="str">
        <f t="shared" si="153"/>
        <v/>
      </c>
      <c r="D1136" s="58" t="str">
        <f t="shared" si="156"/>
        <v/>
      </c>
      <c r="E1136" s="30">
        <f t="shared" si="151"/>
        <v>2.2184081976608184E-10</v>
      </c>
      <c r="F1136" s="30" t="str">
        <f t="shared" si="155"/>
        <v/>
      </c>
      <c r="G1136" s="30" t="str">
        <f t="shared" si="155"/>
        <v/>
      </c>
      <c r="H1136" s="30" t="str">
        <f t="shared" si="155"/>
        <v/>
      </c>
      <c r="I1136" s="30" t="str">
        <f t="shared" si="149"/>
        <v/>
      </c>
    </row>
    <row r="1137" spans="1:9" hidden="1" x14ac:dyDescent="0.25">
      <c r="A1137" s="30">
        <f t="shared" si="152"/>
        <v>6.25</v>
      </c>
      <c r="B1137" s="94">
        <f>INT((ROWS(B$11:B1137)-1)/20)+40+0.05*MOD(ROWS(B$11:B1137)-1,20)</f>
        <v>96.3</v>
      </c>
      <c r="C1137" s="58" t="str">
        <f t="shared" si="153"/>
        <v/>
      </c>
      <c r="D1137" s="58" t="str">
        <f t="shared" si="156"/>
        <v/>
      </c>
      <c r="E1137" s="30">
        <f t="shared" si="151"/>
        <v>2.0499297732573492E-10</v>
      </c>
      <c r="F1137" s="30" t="str">
        <f t="shared" si="155"/>
        <v/>
      </c>
      <c r="G1137" s="30" t="str">
        <f t="shared" si="155"/>
        <v/>
      </c>
      <c r="H1137" s="30" t="str">
        <f t="shared" si="155"/>
        <v/>
      </c>
      <c r="I1137" s="30" t="str">
        <f t="shared" si="149"/>
        <v/>
      </c>
    </row>
    <row r="1138" spans="1:9" hidden="1" x14ac:dyDescent="0.25">
      <c r="A1138" s="30">
        <f t="shared" si="152"/>
        <v>6.25</v>
      </c>
      <c r="B1138" s="94">
        <f>INT((ROWS(B$11:B1138)-1)/20)+40+0.05*MOD(ROWS(B$11:B1138)-1,20)</f>
        <v>96.35</v>
      </c>
      <c r="C1138" s="58" t="str">
        <f t="shared" si="153"/>
        <v/>
      </c>
      <c r="D1138" s="58" t="str">
        <f t="shared" si="156"/>
        <v/>
      </c>
      <c r="E1138" s="30">
        <f t="shared" si="151"/>
        <v>1.893950597268035E-10</v>
      </c>
      <c r="F1138" s="30" t="str">
        <f t="shared" si="155"/>
        <v/>
      </c>
      <c r="G1138" s="30" t="str">
        <f t="shared" si="155"/>
        <v/>
      </c>
      <c r="H1138" s="30" t="str">
        <f t="shared" si="155"/>
        <v/>
      </c>
      <c r="I1138" s="30" t="str">
        <f t="shared" si="149"/>
        <v/>
      </c>
    </row>
    <row r="1139" spans="1:9" hidden="1" x14ac:dyDescent="0.25">
      <c r="A1139" s="30">
        <f t="shared" si="152"/>
        <v>6.25</v>
      </c>
      <c r="B1139" s="94">
        <f>INT((ROWS(B$11:B1139)-1)/20)+40+0.05*MOD(ROWS(B$11:B1139)-1,20)</f>
        <v>96.4</v>
      </c>
      <c r="C1139" s="58" t="str">
        <f t="shared" si="153"/>
        <v/>
      </c>
      <c r="D1139" s="58" t="str">
        <f t="shared" si="156"/>
        <v/>
      </c>
      <c r="E1139" s="30">
        <f t="shared" si="151"/>
        <v>1.7495664871449324E-10</v>
      </c>
      <c r="F1139" s="30" t="str">
        <f t="shared" si="155"/>
        <v/>
      </c>
      <c r="G1139" s="30" t="str">
        <f t="shared" si="155"/>
        <v/>
      </c>
      <c r="H1139" s="30" t="str">
        <f t="shared" si="155"/>
        <v/>
      </c>
      <c r="I1139" s="30" t="str">
        <f t="shared" si="149"/>
        <v/>
      </c>
    </row>
    <row r="1140" spans="1:9" hidden="1" x14ac:dyDescent="0.25">
      <c r="A1140" s="30">
        <f t="shared" si="152"/>
        <v>6.25</v>
      </c>
      <c r="B1140" s="94">
        <f>INT((ROWS(B$11:B1140)-1)/20)+40+0.05*MOD(ROWS(B$11:B1140)-1,20)</f>
        <v>96.45</v>
      </c>
      <c r="C1140" s="58" t="str">
        <f t="shared" si="153"/>
        <v/>
      </c>
      <c r="D1140" s="58" t="str">
        <f t="shared" si="156"/>
        <v/>
      </c>
      <c r="E1140" s="30">
        <f t="shared" si="151"/>
        <v>1.6159368972675232E-10</v>
      </c>
      <c r="F1140" s="30" t="str">
        <f t="shared" si="155"/>
        <v/>
      </c>
      <c r="G1140" s="30" t="str">
        <f t="shared" si="155"/>
        <v/>
      </c>
      <c r="H1140" s="30" t="str">
        <f t="shared" si="155"/>
        <v/>
      </c>
      <c r="I1140" s="30" t="str">
        <f t="shared" si="149"/>
        <v/>
      </c>
    </row>
    <row r="1141" spans="1:9" hidden="1" x14ac:dyDescent="0.25">
      <c r="A1141" s="30">
        <f t="shared" si="152"/>
        <v>6.25</v>
      </c>
      <c r="B1141" s="94">
        <f>INT((ROWS(B$11:B1141)-1)/20)+40+0.05*MOD(ROWS(B$11:B1141)-1,20)</f>
        <v>96.5</v>
      </c>
      <c r="C1141" s="58" t="str">
        <f t="shared" si="153"/>
        <v/>
      </c>
      <c r="D1141" s="58" t="str">
        <f t="shared" si="156"/>
        <v/>
      </c>
      <c r="E1141" s="30">
        <f t="shared" si="151"/>
        <v>1.4922805728585808E-10</v>
      </c>
      <c r="F1141" s="30" t="str">
        <f t="shared" si="155"/>
        <v/>
      </c>
      <c r="G1141" s="30" t="str">
        <f t="shared" si="155"/>
        <v/>
      </c>
      <c r="H1141" s="30" t="str">
        <f t="shared" si="155"/>
        <v/>
      </c>
      <c r="I1141" s="30" t="str">
        <f t="shared" si="149"/>
        <v/>
      </c>
    </row>
    <row r="1142" spans="1:9" hidden="1" x14ac:dyDescent="0.25">
      <c r="A1142" s="30">
        <f t="shared" si="152"/>
        <v>6.25</v>
      </c>
      <c r="B1142" s="94">
        <f>INT((ROWS(B$11:B1142)-1)/20)+40+0.05*MOD(ROWS(B$11:B1142)-1,20)</f>
        <v>96.55</v>
      </c>
      <c r="C1142" s="58" t="str">
        <f t="shared" si="153"/>
        <v/>
      </c>
      <c r="D1142" s="58" t="str">
        <f t="shared" si="156"/>
        <v/>
      </c>
      <c r="E1142" s="30">
        <f t="shared" si="151"/>
        <v>1.3778714909902598E-10</v>
      </c>
      <c r="F1142" s="30" t="str">
        <f t="shared" si="155"/>
        <v/>
      </c>
      <c r="G1142" s="30" t="str">
        <f t="shared" si="155"/>
        <v/>
      </c>
      <c r="H1142" s="30" t="str">
        <f t="shared" si="155"/>
        <v/>
      </c>
      <c r="I1142" s="30" t="str">
        <f t="shared" si="149"/>
        <v/>
      </c>
    </row>
    <row r="1143" spans="1:9" hidden="1" x14ac:dyDescent="0.25">
      <c r="A1143" s="30">
        <f t="shared" si="152"/>
        <v>6.25</v>
      </c>
      <c r="B1143" s="94">
        <f>INT((ROWS(B$11:B1143)-1)/20)+40+0.05*MOD(ROWS(B$11:B1143)-1,20)</f>
        <v>96.6</v>
      </c>
      <c r="C1143" s="58" t="str">
        <f t="shared" si="153"/>
        <v/>
      </c>
      <c r="D1143" s="58" t="str">
        <f t="shared" si="156"/>
        <v/>
      </c>
      <c r="E1143" s="30">
        <f t="shared" si="151"/>
        <v>1.2720350704112776E-10</v>
      </c>
      <c r="F1143" s="30" t="str">
        <f t="shared" si="155"/>
        <v/>
      </c>
      <c r="G1143" s="30" t="str">
        <f t="shared" si="155"/>
        <v/>
      </c>
      <c r="H1143" s="30" t="str">
        <f t="shared" si="155"/>
        <v/>
      </c>
      <c r="I1143" s="30" t="str">
        <f t="shared" si="149"/>
        <v/>
      </c>
    </row>
    <row r="1144" spans="1:9" hidden="1" x14ac:dyDescent="0.25">
      <c r="A1144" s="30">
        <f t="shared" si="152"/>
        <v>6.25</v>
      </c>
      <c r="B1144" s="94">
        <f>INT((ROWS(B$11:B1144)-1)/20)+40+0.05*MOD(ROWS(B$11:B1144)-1,20)</f>
        <v>96.65</v>
      </c>
      <c r="C1144" s="58" t="str">
        <f t="shared" si="153"/>
        <v/>
      </c>
      <c r="D1144" s="58" t="str">
        <f t="shared" si="156"/>
        <v/>
      </c>
      <c r="E1144" s="30">
        <f t="shared" si="151"/>
        <v>1.1741446330409502E-10</v>
      </c>
      <c r="F1144" s="30" t="str">
        <f t="shared" si="155"/>
        <v/>
      </c>
      <c r="G1144" s="30" t="str">
        <f t="shared" si="155"/>
        <v/>
      </c>
      <c r="H1144" s="30" t="str">
        <f t="shared" si="155"/>
        <v/>
      </c>
      <c r="I1144" s="30" t="str">
        <f t="shared" si="149"/>
        <v/>
      </c>
    </row>
    <row r="1145" spans="1:9" hidden="1" x14ac:dyDescent="0.25">
      <c r="A1145" s="30">
        <f t="shared" si="152"/>
        <v>6.25</v>
      </c>
      <c r="B1145" s="94">
        <f>INT((ROWS(B$11:B1145)-1)/20)+40+0.05*MOD(ROWS(B$11:B1145)-1,20)</f>
        <v>96.7</v>
      </c>
      <c r="C1145" s="58" t="str">
        <f t="shared" si="153"/>
        <v/>
      </c>
      <c r="D1145" s="58" t="str">
        <f t="shared" si="156"/>
        <v/>
      </c>
      <c r="E1145" s="30">
        <f t="shared" si="151"/>
        <v>1.0836181010250301E-10</v>
      </c>
      <c r="F1145" s="30" t="str">
        <f t="shared" si="155"/>
        <v/>
      </c>
      <c r="G1145" s="30" t="str">
        <f t="shared" si="155"/>
        <v/>
      </c>
      <c r="H1145" s="30" t="str">
        <f t="shared" si="155"/>
        <v/>
      </c>
      <c r="I1145" s="30" t="str">
        <f t="shared" si="149"/>
        <v/>
      </c>
    </row>
    <row r="1146" spans="1:9" hidden="1" x14ac:dyDescent="0.25">
      <c r="A1146" s="30">
        <f t="shared" si="152"/>
        <v>6.25</v>
      </c>
      <c r="B1146" s="94">
        <f>INT((ROWS(B$11:B1146)-1)/20)+40+0.05*MOD(ROWS(B$11:B1146)-1,20)</f>
        <v>96.75</v>
      </c>
      <c r="C1146" s="58" t="str">
        <f t="shared" si="153"/>
        <v/>
      </c>
      <c r="D1146" s="58" t="str">
        <f t="shared" si="156"/>
        <v/>
      </c>
      <c r="E1146" s="30">
        <f t="shared" si="151"/>
        <v>9.9991491423589249E-11</v>
      </c>
      <c r="F1146" s="30" t="str">
        <f t="shared" si="155"/>
        <v/>
      </c>
      <c r="G1146" s="30" t="str">
        <f t="shared" si="155"/>
        <v/>
      </c>
      <c r="H1146" s="30" t="str">
        <f t="shared" si="155"/>
        <v/>
      </c>
      <c r="I1146" s="30" t="str">
        <f t="shared" si="149"/>
        <v/>
      </c>
    </row>
    <row r="1147" spans="1:9" hidden="1" x14ac:dyDescent="0.25">
      <c r="A1147" s="30">
        <f t="shared" si="152"/>
        <v>6.25</v>
      </c>
      <c r="B1147" s="94">
        <f>INT((ROWS(B$11:B1147)-1)/20)+40+0.05*MOD(ROWS(B$11:B1147)-1,20)</f>
        <v>96.8</v>
      </c>
      <c r="C1147" s="58" t="str">
        <f t="shared" si="153"/>
        <v/>
      </c>
      <c r="D1147" s="58" t="str">
        <f t="shared" si="156"/>
        <v/>
      </c>
      <c r="E1147" s="30">
        <f t="shared" si="151"/>
        <v>9.2253315403114515E-11</v>
      </c>
      <c r="F1147" s="30" t="str">
        <f t="shared" si="155"/>
        <v/>
      </c>
      <c r="G1147" s="30" t="str">
        <f t="shared" si="155"/>
        <v/>
      </c>
      <c r="H1147" s="30" t="str">
        <f t="shared" si="155"/>
        <v/>
      </c>
      <c r="I1147" s="30" t="str">
        <f t="shared" si="149"/>
        <v/>
      </c>
    </row>
    <row r="1148" spans="1:9" hidden="1" x14ac:dyDescent="0.25">
      <c r="A1148" s="30">
        <f t="shared" si="152"/>
        <v>6.25</v>
      </c>
      <c r="B1148" s="94">
        <f>INT((ROWS(B$11:B1148)-1)/20)+40+0.05*MOD(ROWS(B$11:B1148)-1,20)</f>
        <v>96.85</v>
      </c>
      <c r="C1148" s="58" t="str">
        <f t="shared" si="153"/>
        <v/>
      </c>
      <c r="D1148" s="58" t="str">
        <f t="shared" si="156"/>
        <v/>
      </c>
      <c r="E1148" s="30">
        <f t="shared" si="151"/>
        <v>8.5100685995963867E-11</v>
      </c>
      <c r="F1148" s="30" t="str">
        <f t="shared" si="155"/>
        <v/>
      </c>
      <c r="G1148" s="30" t="str">
        <f t="shared" si="155"/>
        <v/>
      </c>
      <c r="H1148" s="30" t="str">
        <f t="shared" si="155"/>
        <v/>
      </c>
      <c r="I1148" s="30" t="str">
        <f t="shared" si="149"/>
        <v/>
      </c>
    </row>
    <row r="1149" spans="1:9" hidden="1" x14ac:dyDescent="0.25">
      <c r="A1149" s="30">
        <f t="shared" si="152"/>
        <v>6.25</v>
      </c>
      <c r="B1149" s="94">
        <f>INT((ROWS(B$11:B1149)-1)/20)+40+0.05*MOD(ROWS(B$11:B1149)-1,20)</f>
        <v>96.9</v>
      </c>
      <c r="C1149" s="58" t="str">
        <f t="shared" si="153"/>
        <v/>
      </c>
      <c r="D1149" s="58" t="str">
        <f t="shared" si="156"/>
        <v/>
      </c>
      <c r="E1149" s="30">
        <f t="shared" si="151"/>
        <v>7.8490352692880164E-11</v>
      </c>
      <c r="F1149" s="30" t="str">
        <f t="shared" si="155"/>
        <v/>
      </c>
      <c r="G1149" s="30" t="str">
        <f t="shared" si="155"/>
        <v/>
      </c>
      <c r="H1149" s="30" t="str">
        <f t="shared" si="155"/>
        <v/>
      </c>
      <c r="I1149" s="30" t="str">
        <f t="shared" si="149"/>
        <v/>
      </c>
    </row>
    <row r="1150" spans="1:9" hidden="1" x14ac:dyDescent="0.25">
      <c r="A1150" s="30">
        <f t="shared" si="152"/>
        <v>6.25</v>
      </c>
      <c r="B1150" s="94">
        <f>INT((ROWS(B$11:B1150)-1)/20)+40+0.05*MOD(ROWS(B$11:B1150)-1,20)</f>
        <v>96.95</v>
      </c>
      <c r="C1150" s="58" t="str">
        <f t="shared" si="153"/>
        <v/>
      </c>
      <c r="D1150" s="58" t="str">
        <f t="shared" si="156"/>
        <v/>
      </c>
      <c r="E1150" s="30">
        <f t="shared" si="151"/>
        <v>7.2382177112283574E-11</v>
      </c>
      <c r="F1150" s="30" t="str">
        <f t="shared" si="155"/>
        <v/>
      </c>
      <c r="G1150" s="30" t="str">
        <f t="shared" si="155"/>
        <v/>
      </c>
      <c r="H1150" s="30" t="str">
        <f t="shared" si="155"/>
        <v/>
      </c>
      <c r="I1150" s="30" t="str">
        <f t="shared" si="149"/>
        <v/>
      </c>
    </row>
    <row r="1151" spans="1:9" hidden="1" x14ac:dyDescent="0.25">
      <c r="A1151" s="30">
        <f t="shared" si="152"/>
        <v>6.5</v>
      </c>
      <c r="B1151" s="94">
        <f>INT((ROWS(B$11:B1151)-1)/20)+40+0.05*MOD(ROWS(B$11:B1151)-1,20)</f>
        <v>97</v>
      </c>
      <c r="C1151" s="58" t="str">
        <f t="shared" si="153"/>
        <v/>
      </c>
      <c r="D1151" s="58" t="str">
        <f t="shared" si="156"/>
        <v/>
      </c>
      <c r="E1151" s="30">
        <f t="shared" si="151"/>
        <v>6.6738915369071298E-11</v>
      </c>
      <c r="F1151" s="30" t="str">
        <f t="shared" ref="F1151:H1170" si="157">IF(AND($B1151&gt;=F$7,$B1151&lt;=F$8),E1151,"")</f>
        <v/>
      </c>
      <c r="G1151" s="30" t="str">
        <f t="shared" si="157"/>
        <v/>
      </c>
      <c r="H1151" s="30" t="str">
        <f t="shared" si="157"/>
        <v/>
      </c>
      <c r="I1151" s="30" t="str">
        <f t="shared" si="149"/>
        <v/>
      </c>
    </row>
    <row r="1152" spans="1:9" hidden="1" x14ac:dyDescent="0.25">
      <c r="A1152" s="30">
        <f t="shared" si="152"/>
        <v>6.5</v>
      </c>
      <c r="B1152" s="94">
        <f>INT((ROWS(B$11:B1152)-1)/20)+40+0.05*MOD(ROWS(B$11:B1152)-1,20)</f>
        <v>97.05</v>
      </c>
      <c r="C1152" s="58" t="str">
        <f t="shared" si="153"/>
        <v/>
      </c>
      <c r="D1152" s="58" t="str">
        <f t="shared" si="156"/>
        <v/>
      </c>
      <c r="E1152" s="30">
        <f t="shared" si="151"/>
        <v>6.1526015190986142E-11</v>
      </c>
      <c r="F1152" s="30" t="str">
        <f t="shared" si="157"/>
        <v/>
      </c>
      <c r="G1152" s="30" t="str">
        <f t="shared" si="157"/>
        <v/>
      </c>
      <c r="H1152" s="30" t="str">
        <f t="shared" si="157"/>
        <v/>
      </c>
      <c r="I1152" s="30" t="str">
        <f t="shared" si="149"/>
        <v/>
      </c>
    </row>
    <row r="1153" spans="1:9" hidden="1" x14ac:dyDescent="0.25">
      <c r="A1153" s="30">
        <f t="shared" si="152"/>
        <v>6.5</v>
      </c>
      <c r="B1153" s="94">
        <f>INT((ROWS(B$11:B1153)-1)/20)+40+0.05*MOD(ROWS(B$11:B1153)-1,20)</f>
        <v>97.1</v>
      </c>
      <c r="C1153" s="58" t="str">
        <f t="shared" si="153"/>
        <v/>
      </c>
      <c r="D1153" s="58" t="str">
        <f t="shared" si="156"/>
        <v/>
      </c>
      <c r="E1153" s="30">
        <f t="shared" si="151"/>
        <v>5.6711426817620647E-11</v>
      </c>
      <c r="F1153" s="30" t="str">
        <f t="shared" si="157"/>
        <v/>
      </c>
      <c r="G1153" s="30" t="str">
        <f t="shared" si="157"/>
        <v/>
      </c>
      <c r="H1153" s="30" t="str">
        <f t="shared" si="157"/>
        <v/>
      </c>
      <c r="I1153" s="30" t="str">
        <f t="shared" ref="I1153:I1216" si="158">IF(AND(B1153&gt;=$F$1-0.1,B1153&lt;=$F$1+0.1),E1153,"")</f>
        <v/>
      </c>
    </row>
    <row r="1154" spans="1:9" hidden="1" x14ac:dyDescent="0.25">
      <c r="A1154" s="30">
        <f t="shared" si="152"/>
        <v>6.5</v>
      </c>
      <c r="B1154" s="94">
        <f>INT((ROWS(B$11:B1154)-1)/20)+40+0.05*MOD(ROWS(B$11:B1154)-1,20)</f>
        <v>97.15</v>
      </c>
      <c r="C1154" s="58" t="str">
        <f t="shared" si="153"/>
        <v/>
      </c>
      <c r="D1154" s="58" t="str">
        <f t="shared" si="156"/>
        <v/>
      </c>
      <c r="E1154" s="30">
        <f t="shared" si="151"/>
        <v>5.2265426777835373E-11</v>
      </c>
      <c r="F1154" s="30" t="str">
        <f t="shared" si="157"/>
        <v/>
      </c>
      <c r="G1154" s="30" t="str">
        <f t="shared" si="157"/>
        <v/>
      </c>
      <c r="H1154" s="30" t="str">
        <f t="shared" si="157"/>
        <v/>
      </c>
      <c r="I1154" s="30" t="str">
        <f t="shared" si="158"/>
        <v/>
      </c>
    </row>
    <row r="1155" spans="1:9" hidden="1" x14ac:dyDescent="0.25">
      <c r="A1155" s="30">
        <f t="shared" si="152"/>
        <v>6.5</v>
      </c>
      <c r="B1155" s="94">
        <f>INT((ROWS(B$11:B1155)-1)/20)+40+0.05*MOD(ROWS(B$11:B1155)-1,20)</f>
        <v>97.2</v>
      </c>
      <c r="C1155" s="58" t="str">
        <f t="shared" si="153"/>
        <v/>
      </c>
      <c r="D1155" s="58" t="str">
        <f t="shared" si="156"/>
        <v/>
      </c>
      <c r="E1155" s="30">
        <f t="shared" si="151"/>
        <v>4.8160453698397478E-11</v>
      </c>
      <c r="F1155" s="30" t="str">
        <f t="shared" si="157"/>
        <v/>
      </c>
      <c r="G1155" s="30" t="str">
        <f t="shared" si="157"/>
        <v/>
      </c>
      <c r="H1155" s="30" t="str">
        <f t="shared" si="157"/>
        <v/>
      </c>
      <c r="I1155" s="30" t="str">
        <f t="shared" si="158"/>
        <v/>
      </c>
    </row>
    <row r="1156" spans="1:9" hidden="1" x14ac:dyDescent="0.25">
      <c r="A1156" s="30">
        <f t="shared" si="152"/>
        <v>6.5</v>
      </c>
      <c r="B1156" s="94">
        <f>INT((ROWS(B$11:B1156)-1)/20)+40+0.05*MOD(ROWS(B$11:B1156)-1,20)</f>
        <v>97.25</v>
      </c>
      <c r="C1156" s="58" t="str">
        <f t="shared" si="153"/>
        <v/>
      </c>
      <c r="D1156" s="58" t="str">
        <f t="shared" si="156"/>
        <v/>
      </c>
      <c r="E1156" s="30">
        <f t="shared" si="151"/>
        <v>4.4370955350213097E-11</v>
      </c>
      <c r="F1156" s="30" t="str">
        <f t="shared" si="157"/>
        <v/>
      </c>
      <c r="G1156" s="30" t="str">
        <f t="shared" si="157"/>
        <v/>
      </c>
      <c r="H1156" s="30" t="str">
        <f t="shared" si="157"/>
        <v/>
      </c>
      <c r="I1156" s="30" t="str">
        <f t="shared" si="158"/>
        <v/>
      </c>
    </row>
    <row r="1157" spans="1:9" hidden="1" x14ac:dyDescent="0.25">
      <c r="A1157" s="30">
        <f t="shared" si="152"/>
        <v>6.5</v>
      </c>
      <c r="B1157" s="94">
        <f>INT((ROWS(B$11:B1157)-1)/20)+40+0.05*MOD(ROWS(B$11:B1157)-1,20)</f>
        <v>97.3</v>
      </c>
      <c r="C1157" s="58" t="str">
        <f t="shared" si="153"/>
        <v/>
      </c>
      <c r="D1157" s="58" t="str">
        <f t="shared" si="156"/>
        <v/>
      </c>
      <c r="E1157" s="30">
        <f t="shared" si="151"/>
        <v>4.0873246188927357E-11</v>
      </c>
      <c r="F1157" s="30" t="str">
        <f t="shared" si="157"/>
        <v/>
      </c>
      <c r="G1157" s="30" t="str">
        <f t="shared" si="157"/>
        <v/>
      </c>
      <c r="H1157" s="30" t="str">
        <f t="shared" si="157"/>
        <v/>
      </c>
      <c r="I1157" s="30" t="str">
        <f t="shared" si="158"/>
        <v/>
      </c>
    </row>
    <row r="1158" spans="1:9" hidden="1" x14ac:dyDescent="0.25">
      <c r="A1158" s="30">
        <f t="shared" si="152"/>
        <v>6.5</v>
      </c>
      <c r="B1158" s="94">
        <f>INT((ROWS(B$11:B1158)-1)/20)+40+0.05*MOD(ROWS(B$11:B1158)-1,20)</f>
        <v>97.35</v>
      </c>
      <c r="C1158" s="58" t="str">
        <f t="shared" si="153"/>
        <v/>
      </c>
      <c r="D1158" s="58" t="str">
        <f t="shared" si="156"/>
        <v/>
      </c>
      <c r="E1158" s="30">
        <f t="shared" si="151"/>
        <v>3.7645374693915133E-11</v>
      </c>
      <c r="F1158" s="30" t="str">
        <f t="shared" si="157"/>
        <v/>
      </c>
      <c r="G1158" s="30" t="str">
        <f t="shared" si="157"/>
        <v/>
      </c>
      <c r="H1158" s="30" t="str">
        <f t="shared" si="157"/>
        <v/>
      </c>
      <c r="I1158" s="30" t="str">
        <f t="shared" si="158"/>
        <v/>
      </c>
    </row>
    <row r="1159" spans="1:9" hidden="1" x14ac:dyDescent="0.25">
      <c r="A1159" s="30">
        <f t="shared" si="152"/>
        <v>6.5</v>
      </c>
      <c r="B1159" s="94">
        <f>INT((ROWS(B$11:B1159)-1)/20)+40+0.05*MOD(ROWS(B$11:B1159)-1,20)</f>
        <v>97.4</v>
      </c>
      <c r="C1159" s="58" t="str">
        <f t="shared" si="153"/>
        <v/>
      </c>
      <c r="D1159" s="58" t="str">
        <f t="shared" si="156"/>
        <v/>
      </c>
      <c r="E1159" s="30">
        <f t="shared" si="151"/>
        <v>3.4666999854132562E-11</v>
      </c>
      <c r="F1159" s="30" t="str">
        <f t="shared" si="157"/>
        <v/>
      </c>
      <c r="G1159" s="30" t="str">
        <f t="shared" si="157"/>
        <v/>
      </c>
      <c r="H1159" s="30" t="str">
        <f t="shared" si="157"/>
        <v/>
      </c>
      <c r="I1159" s="30" t="str">
        <f t="shared" si="158"/>
        <v/>
      </c>
    </row>
    <row r="1160" spans="1:9" hidden="1" x14ac:dyDescent="0.25">
      <c r="A1160" s="30">
        <f t="shared" si="152"/>
        <v>6.5</v>
      </c>
      <c r="B1160" s="94">
        <f>INT((ROWS(B$11:B1160)-1)/20)+40+0.05*MOD(ROWS(B$11:B1160)-1,20)</f>
        <v>97.45</v>
      </c>
      <c r="C1160" s="58" t="str">
        <f t="shared" si="153"/>
        <v/>
      </c>
      <c r="D1160" s="58" t="str">
        <f t="shared" si="156"/>
        <v/>
      </c>
      <c r="E1160" s="30">
        <f t="shared" si="151"/>
        <v>3.1919276191000644E-11</v>
      </c>
      <c r="F1160" s="30" t="str">
        <f t="shared" si="157"/>
        <v/>
      </c>
      <c r="G1160" s="30" t="str">
        <f t="shared" si="157"/>
        <v/>
      </c>
      <c r="H1160" s="30" t="str">
        <f t="shared" si="157"/>
        <v/>
      </c>
      <c r="I1160" s="30" t="str">
        <f t="shared" si="158"/>
        <v/>
      </c>
    </row>
    <row r="1161" spans="1:9" hidden="1" x14ac:dyDescent="0.25">
      <c r="A1161" s="30">
        <f t="shared" si="152"/>
        <v>6.5</v>
      </c>
      <c r="B1161" s="94">
        <f>INT((ROWS(B$11:B1161)-1)/20)+40+0.05*MOD(ROWS(B$11:B1161)-1,20)</f>
        <v>97.5</v>
      </c>
      <c r="C1161" s="58" t="str">
        <f t="shared" si="153"/>
        <v/>
      </c>
      <c r="D1161" s="58" t="str">
        <f t="shared" si="156"/>
        <v/>
      </c>
      <c r="E1161" s="30">
        <f t="shared" si="151"/>
        <v>2.9384746747625741E-11</v>
      </c>
      <c r="F1161" s="30" t="str">
        <f t="shared" si="157"/>
        <v/>
      </c>
      <c r="G1161" s="30" t="str">
        <f t="shared" si="157"/>
        <v/>
      </c>
      <c r="H1161" s="30" t="str">
        <f t="shared" si="157"/>
        <v/>
      </c>
      <c r="I1161" s="30" t="str">
        <f t="shared" si="158"/>
        <v/>
      </c>
    </row>
    <row r="1162" spans="1:9" hidden="1" x14ac:dyDescent="0.25">
      <c r="A1162" s="30">
        <f t="shared" si="152"/>
        <v>6.5</v>
      </c>
      <c r="B1162" s="94">
        <f>INT((ROWS(B$11:B1162)-1)/20)+40+0.05*MOD(ROWS(B$11:B1162)-1,20)</f>
        <v>97.55</v>
      </c>
      <c r="C1162" s="58" t="str">
        <f t="shared" si="153"/>
        <v/>
      </c>
      <c r="D1162" s="58" t="str">
        <f t="shared" si="156"/>
        <v/>
      </c>
      <c r="E1162" s="30">
        <f t="shared" si="151"/>
        <v>2.7047243510433589E-11</v>
      </c>
      <c r="F1162" s="30" t="str">
        <f t="shared" si="157"/>
        <v/>
      </c>
      <c r="G1162" s="30" t="str">
        <f t="shared" si="157"/>
        <v/>
      </c>
      <c r="H1162" s="30" t="str">
        <f t="shared" si="157"/>
        <v/>
      </c>
      <c r="I1162" s="30" t="str">
        <f t="shared" si="158"/>
        <v/>
      </c>
    </row>
    <row r="1163" spans="1:9" hidden="1" x14ac:dyDescent="0.25">
      <c r="A1163" s="30">
        <f t="shared" si="152"/>
        <v>6.5</v>
      </c>
      <c r="B1163" s="94">
        <f>INT((ROWS(B$11:B1163)-1)/20)+40+0.05*MOD(ROWS(B$11:B1163)-1,20)</f>
        <v>97.6</v>
      </c>
      <c r="C1163" s="58" t="str">
        <f t="shared" si="153"/>
        <v/>
      </c>
      <c r="D1163" s="58" t="str">
        <f t="shared" si="156"/>
        <v/>
      </c>
      <c r="E1163" s="30">
        <f t="shared" ref="E1163:E1230" si="159">_xlfn.NORM.DIST(B1163,$F$1,$F$2,0)</f>
        <v>2.4891794763742773E-11</v>
      </c>
      <c r="F1163" s="30" t="str">
        <f t="shared" si="157"/>
        <v/>
      </c>
      <c r="G1163" s="30" t="str">
        <f t="shared" si="157"/>
        <v/>
      </c>
      <c r="H1163" s="30" t="str">
        <f t="shared" si="157"/>
        <v/>
      </c>
      <c r="I1163" s="30" t="str">
        <f t="shared" si="158"/>
        <v/>
      </c>
    </row>
    <row r="1164" spans="1:9" hidden="1" x14ac:dyDescent="0.25">
      <c r="A1164" s="30">
        <f t="shared" ref="A1164:A1227" si="160">(INT(B1164)-$F$1)/$F$2</f>
        <v>6.5</v>
      </c>
      <c r="B1164" s="94">
        <f>INT((ROWS(B$11:B1164)-1)/20)+40+0.05*MOD(ROWS(B$11:B1164)-1,20)</f>
        <v>97.65</v>
      </c>
      <c r="C1164" s="58" t="str">
        <f t="shared" ref="C1164:C1227" si="161">IF(AND(A1164&lt;&gt;A1163,INT(A1164)=A1164),A1164,"")</f>
        <v/>
      </c>
      <c r="D1164" s="58" t="str">
        <f t="shared" si="156"/>
        <v/>
      </c>
      <c r="E1164" s="30">
        <f t="shared" si="159"/>
        <v>2.2904538910162059E-11</v>
      </c>
      <c r="F1164" s="30" t="str">
        <f t="shared" si="157"/>
        <v/>
      </c>
      <c r="G1164" s="30" t="str">
        <f t="shared" si="157"/>
        <v/>
      </c>
      <c r="H1164" s="30" t="str">
        <f t="shared" si="157"/>
        <v/>
      </c>
      <c r="I1164" s="30" t="str">
        <f t="shared" si="158"/>
        <v/>
      </c>
    </row>
    <row r="1165" spans="1:9" hidden="1" x14ac:dyDescent="0.25">
      <c r="A1165" s="30">
        <f t="shared" si="160"/>
        <v>6.5</v>
      </c>
      <c r="B1165" s="94">
        <f>INT((ROWS(B$11:B1165)-1)/20)+40+0.05*MOD(ROWS(B$11:B1165)-1,20)</f>
        <v>97.7</v>
      </c>
      <c r="C1165" s="58" t="str">
        <f t="shared" si="161"/>
        <v/>
      </c>
      <c r="D1165" s="58" t="str">
        <f t="shared" si="156"/>
        <v/>
      </c>
      <c r="E1165" s="30">
        <f t="shared" si="159"/>
        <v>2.1072644320030117E-11</v>
      </c>
      <c r="F1165" s="30" t="str">
        <f t="shared" si="157"/>
        <v/>
      </c>
      <c r="G1165" s="30" t="str">
        <f t="shared" si="157"/>
        <v/>
      </c>
      <c r="H1165" s="30" t="str">
        <f t="shared" si="157"/>
        <v/>
      </c>
      <c r="I1165" s="30" t="str">
        <f t="shared" si="158"/>
        <v/>
      </c>
    </row>
    <row r="1166" spans="1:9" hidden="1" x14ac:dyDescent="0.25">
      <c r="A1166" s="30">
        <f t="shared" si="160"/>
        <v>6.5</v>
      </c>
      <c r="B1166" s="94">
        <f>INT((ROWS(B$11:B1166)-1)/20)+40+0.05*MOD(ROWS(B$11:B1166)-1,20)</f>
        <v>97.75</v>
      </c>
      <c r="C1166" s="58" t="str">
        <f t="shared" si="161"/>
        <v/>
      </c>
      <c r="D1166" s="58" t="str">
        <f t="shared" si="156"/>
        <v/>
      </c>
      <c r="E1166" s="30">
        <f t="shared" si="159"/>
        <v>1.9384234801553995E-11</v>
      </c>
      <c r="F1166" s="30" t="str">
        <f t="shared" si="157"/>
        <v/>
      </c>
      <c r="G1166" s="30" t="str">
        <f t="shared" si="157"/>
        <v/>
      </c>
      <c r="H1166" s="30" t="str">
        <f t="shared" si="157"/>
        <v/>
      </c>
      <c r="I1166" s="30" t="str">
        <f t="shared" si="158"/>
        <v/>
      </c>
    </row>
    <row r="1167" spans="1:9" hidden="1" x14ac:dyDescent="0.25">
      <c r="A1167" s="30">
        <f t="shared" si="160"/>
        <v>6.5</v>
      </c>
      <c r="B1167" s="94">
        <f>INT((ROWS(B$11:B1167)-1)/20)+40+0.05*MOD(ROWS(B$11:B1167)-1,20)</f>
        <v>97.8</v>
      </c>
      <c r="C1167" s="58" t="str">
        <f t="shared" si="161"/>
        <v/>
      </c>
      <c r="D1167" s="58" t="str">
        <f t="shared" si="156"/>
        <v/>
      </c>
      <c r="E1167" s="30">
        <f t="shared" si="159"/>
        <v>1.7828320309990252E-11</v>
      </c>
      <c r="F1167" s="30" t="str">
        <f t="shared" si="157"/>
        <v/>
      </c>
      <c r="G1167" s="30" t="str">
        <f t="shared" si="157"/>
        <v/>
      </c>
      <c r="H1167" s="30" t="str">
        <f t="shared" si="157"/>
        <v/>
      </c>
      <c r="I1167" s="30" t="str">
        <f t="shared" si="158"/>
        <v/>
      </c>
    </row>
    <row r="1168" spans="1:9" hidden="1" x14ac:dyDescent="0.25">
      <c r="A1168" s="30">
        <f t="shared" si="160"/>
        <v>6.5</v>
      </c>
      <c r="B1168" s="94">
        <f>INT((ROWS(B$11:B1168)-1)/20)+40+0.05*MOD(ROWS(B$11:B1168)-1,20)</f>
        <v>97.85</v>
      </c>
      <c r="C1168" s="58" t="str">
        <f t="shared" si="161"/>
        <v/>
      </c>
      <c r="D1168" s="58" t="str">
        <f t="shared" si="156"/>
        <v/>
      </c>
      <c r="E1168" s="30">
        <f t="shared" si="159"/>
        <v>1.6394732539191196E-11</v>
      </c>
      <c r="F1168" s="30" t="str">
        <f t="shared" si="157"/>
        <v/>
      </c>
      <c r="G1168" s="30" t="str">
        <f t="shared" si="157"/>
        <v/>
      </c>
      <c r="H1168" s="30" t="str">
        <f t="shared" si="157"/>
        <v/>
      </c>
      <c r="I1168" s="30" t="str">
        <f t="shared" si="158"/>
        <v/>
      </c>
    </row>
    <row r="1169" spans="1:9" hidden="1" x14ac:dyDescent="0.25">
      <c r="A1169" s="30">
        <f t="shared" si="160"/>
        <v>6.5</v>
      </c>
      <c r="B1169" s="94">
        <f>INT((ROWS(B$11:B1169)-1)/20)+40+0.05*MOD(ROWS(B$11:B1169)-1,20)</f>
        <v>97.9</v>
      </c>
      <c r="C1169" s="58" t="str">
        <f t="shared" si="161"/>
        <v/>
      </c>
      <c r="D1169" s="58" t="str">
        <f t="shared" si="156"/>
        <v/>
      </c>
      <c r="E1169" s="30">
        <f t="shared" si="159"/>
        <v>1.5074065062278367E-11</v>
      </c>
      <c r="F1169" s="30" t="str">
        <f t="shared" si="157"/>
        <v/>
      </c>
      <c r="G1169" s="30" t="str">
        <f t="shared" si="157"/>
        <v/>
      </c>
      <c r="H1169" s="30" t="str">
        <f t="shared" si="157"/>
        <v/>
      </c>
      <c r="I1169" s="30" t="str">
        <f t="shared" si="158"/>
        <v/>
      </c>
    </row>
    <row r="1170" spans="1:9" hidden="1" x14ac:dyDescent="0.25">
      <c r="A1170" s="30">
        <f t="shared" si="160"/>
        <v>6.5</v>
      </c>
      <c r="B1170" s="94">
        <f>INT((ROWS(B$11:B1170)-1)/20)+40+0.05*MOD(ROWS(B$11:B1170)-1,20)</f>
        <v>97.95</v>
      </c>
      <c r="C1170" s="58" t="str">
        <f t="shared" si="161"/>
        <v/>
      </c>
      <c r="D1170" s="58" t="str">
        <f t="shared" si="156"/>
        <v/>
      </c>
      <c r="E1170" s="30">
        <f t="shared" si="159"/>
        <v>1.3857617710153517E-11</v>
      </c>
      <c r="F1170" s="30" t="str">
        <f t="shared" si="157"/>
        <v/>
      </c>
      <c r="G1170" s="30" t="str">
        <f t="shared" si="157"/>
        <v/>
      </c>
      <c r="H1170" s="30" t="str">
        <f t="shared" si="157"/>
        <v/>
      </c>
      <c r="I1170" s="30" t="str">
        <f t="shared" si="158"/>
        <v/>
      </c>
    </row>
    <row r="1171" spans="1:9" hidden="1" x14ac:dyDescent="0.25">
      <c r="A1171" s="30">
        <f t="shared" si="160"/>
        <v>6.75</v>
      </c>
      <c r="B1171" s="94">
        <f>INT((ROWS(B$11:B1171)-1)/20)+40+0.05*MOD(ROWS(B$11:B1171)-1,20)</f>
        <v>98</v>
      </c>
      <c r="C1171" s="58" t="str">
        <f t="shared" si="161"/>
        <v/>
      </c>
      <c r="D1171" s="58" t="str">
        <f t="shared" si="156"/>
        <v/>
      </c>
      <c r="E1171" s="30">
        <f t="shared" si="159"/>
        <v>1.273734489710921E-11</v>
      </c>
      <c r="F1171" s="30" t="str">
        <f t="shared" ref="F1171:H1190" si="162">IF(AND($B1171&gt;=F$7,$B1171&lt;=F$8),E1171,"")</f>
        <v/>
      </c>
      <c r="G1171" s="30" t="str">
        <f t="shared" si="162"/>
        <v/>
      </c>
      <c r="H1171" s="30" t="str">
        <f t="shared" si="162"/>
        <v/>
      </c>
      <c r="I1171" s="30" t="str">
        <f t="shared" si="158"/>
        <v/>
      </c>
    </row>
    <row r="1172" spans="1:9" hidden="1" x14ac:dyDescent="0.25">
      <c r="A1172" s="30">
        <f t="shared" si="160"/>
        <v>6.75</v>
      </c>
      <c r="B1172" s="94">
        <f>INT((ROWS(B$11:B1172)-1)/20)+40+0.05*MOD(ROWS(B$11:B1172)-1,20)</f>
        <v>98.05</v>
      </c>
      <c r="C1172" s="58" t="str">
        <f t="shared" si="161"/>
        <v/>
      </c>
      <c r="D1172" s="58" t="str">
        <f t="shared" si="156"/>
        <v/>
      </c>
      <c r="E1172" s="30">
        <f t="shared" si="159"/>
        <v>1.1705807622074238E-11</v>
      </c>
      <c r="F1172" s="30" t="str">
        <f t="shared" si="162"/>
        <v/>
      </c>
      <c r="G1172" s="30" t="str">
        <f t="shared" si="162"/>
        <v/>
      </c>
      <c r="H1172" s="30" t="str">
        <f t="shared" si="162"/>
        <v/>
      </c>
      <c r="I1172" s="30" t="str">
        <f t="shared" si="158"/>
        <v/>
      </c>
    </row>
    <row r="1173" spans="1:9" hidden="1" x14ac:dyDescent="0.25">
      <c r="A1173" s="30">
        <f t="shared" si="160"/>
        <v>6.75</v>
      </c>
      <c r="B1173" s="94">
        <f>INT((ROWS(B$11:B1173)-1)/20)+40+0.05*MOD(ROWS(B$11:B1173)-1,20)</f>
        <v>98.1</v>
      </c>
      <c r="C1173" s="58" t="str">
        <f t="shared" si="161"/>
        <v/>
      </c>
      <c r="D1173" s="58" t="str">
        <f t="shared" si="156"/>
        <v/>
      </c>
      <c r="E1173" s="30">
        <f t="shared" si="159"/>
        <v>1.075612889204323E-11</v>
      </c>
      <c r="F1173" s="30" t="str">
        <f t="shared" si="162"/>
        <v/>
      </c>
      <c r="G1173" s="30" t="str">
        <f t="shared" si="162"/>
        <v/>
      </c>
      <c r="H1173" s="30" t="str">
        <f t="shared" si="162"/>
        <v/>
      </c>
      <c r="I1173" s="30" t="str">
        <f t="shared" si="158"/>
        <v/>
      </c>
    </row>
    <row r="1174" spans="1:9" hidden="1" x14ac:dyDescent="0.25">
      <c r="A1174" s="30">
        <f t="shared" si="160"/>
        <v>6.75</v>
      </c>
      <c r="B1174" s="94">
        <f>INT((ROWS(B$11:B1174)-1)/20)+40+0.05*MOD(ROWS(B$11:B1174)-1,20)</f>
        <v>98.15</v>
      </c>
      <c r="C1174" s="58" t="str">
        <f t="shared" si="161"/>
        <v/>
      </c>
      <c r="D1174" s="58" t="str">
        <f t="shared" si="156"/>
        <v/>
      </c>
      <c r="E1174" s="30">
        <f t="shared" si="159"/>
        <v>9.8819523311298616E-12</v>
      </c>
      <c r="F1174" s="30" t="str">
        <f t="shared" si="162"/>
        <v/>
      </c>
      <c r="G1174" s="30" t="str">
        <f t="shared" si="162"/>
        <v/>
      </c>
      <c r="H1174" s="30" t="str">
        <f t="shared" si="162"/>
        <v/>
      </c>
      <c r="I1174" s="30" t="str">
        <f t="shared" si="158"/>
        <v/>
      </c>
    </row>
    <row r="1175" spans="1:9" hidden="1" x14ac:dyDescent="0.25">
      <c r="A1175" s="30">
        <f t="shared" si="160"/>
        <v>6.75</v>
      </c>
      <c r="B1175" s="94">
        <f>INT((ROWS(B$11:B1175)-1)/20)+40+0.05*MOD(ROWS(B$11:B1175)-1,20)</f>
        <v>98.2</v>
      </c>
      <c r="C1175" s="58" t="str">
        <f t="shared" si="161"/>
        <v/>
      </c>
      <c r="D1175" s="58" t="str">
        <f t="shared" si="156"/>
        <v/>
      </c>
      <c r="E1175" s="30">
        <f t="shared" si="159"/>
        <v>9.0774037544794381E-12</v>
      </c>
      <c r="F1175" s="30" t="str">
        <f t="shared" si="162"/>
        <v/>
      </c>
      <c r="G1175" s="30" t="str">
        <f t="shared" si="162"/>
        <v/>
      </c>
      <c r="H1175" s="30" t="str">
        <f t="shared" si="162"/>
        <v/>
      </c>
      <c r="I1175" s="30" t="str">
        <f t="shared" si="158"/>
        <v/>
      </c>
    </row>
    <row r="1176" spans="1:9" hidden="1" x14ac:dyDescent="0.25">
      <c r="A1176" s="30">
        <f t="shared" si="160"/>
        <v>6.75</v>
      </c>
      <c r="B1176" s="94">
        <f>INT((ROWS(B$11:B1176)-1)/20)+40+0.05*MOD(ROWS(B$11:B1176)-1,20)</f>
        <v>98.25</v>
      </c>
      <c r="C1176" s="58" t="str">
        <f t="shared" si="161"/>
        <v/>
      </c>
      <c r="D1176" s="58" t="str">
        <f t="shared" si="156"/>
        <v/>
      </c>
      <c r="E1176" s="30">
        <f t="shared" si="159"/>
        <v>8.3370555010569561E-12</v>
      </c>
      <c r="F1176" s="30" t="str">
        <f t="shared" si="162"/>
        <v/>
      </c>
      <c r="G1176" s="30" t="str">
        <f t="shared" si="162"/>
        <v/>
      </c>
      <c r="H1176" s="30" t="str">
        <f t="shared" si="162"/>
        <v/>
      </c>
      <c r="I1176" s="30" t="str">
        <f t="shared" si="158"/>
        <v/>
      </c>
    </row>
    <row r="1177" spans="1:9" hidden="1" x14ac:dyDescent="0.25">
      <c r="A1177" s="30">
        <f t="shared" si="160"/>
        <v>6.75</v>
      </c>
      <c r="B1177" s="94">
        <f>INT((ROWS(B$11:B1177)-1)/20)+40+0.05*MOD(ROWS(B$11:B1177)-1,20)</f>
        <v>98.3</v>
      </c>
      <c r="C1177" s="58" t="str">
        <f t="shared" si="161"/>
        <v/>
      </c>
      <c r="D1177" s="58" t="str">
        <f t="shared" si="156"/>
        <v/>
      </c>
      <c r="E1177" s="30">
        <f t="shared" si="159"/>
        <v>7.655893333165815E-12</v>
      </c>
      <c r="F1177" s="30" t="str">
        <f t="shared" si="162"/>
        <v/>
      </c>
      <c r="G1177" s="30" t="str">
        <f t="shared" si="162"/>
        <v/>
      </c>
      <c r="H1177" s="30" t="str">
        <f t="shared" si="162"/>
        <v/>
      </c>
      <c r="I1177" s="30" t="str">
        <f t="shared" si="158"/>
        <v/>
      </c>
    </row>
    <row r="1178" spans="1:9" hidden="1" x14ac:dyDescent="0.25">
      <c r="A1178" s="30">
        <f t="shared" si="160"/>
        <v>6.75</v>
      </c>
      <c r="B1178" s="94">
        <f>INT((ROWS(B$11:B1178)-1)/20)+40+0.05*MOD(ROWS(B$11:B1178)-1,20)</f>
        <v>98.35</v>
      </c>
      <c r="C1178" s="58" t="str">
        <f t="shared" si="161"/>
        <v/>
      </c>
      <c r="D1178" s="58" t="str">
        <f t="shared" si="156"/>
        <v/>
      </c>
      <c r="E1178" s="30">
        <f t="shared" si="159"/>
        <v>7.029285723482543E-12</v>
      </c>
      <c r="F1178" s="30" t="str">
        <f t="shared" si="162"/>
        <v/>
      </c>
      <c r="G1178" s="30" t="str">
        <f t="shared" si="162"/>
        <v/>
      </c>
      <c r="H1178" s="30" t="str">
        <f t="shared" si="162"/>
        <v/>
      </c>
      <c r="I1178" s="30" t="str">
        <f t="shared" si="158"/>
        <v/>
      </c>
    </row>
    <row r="1179" spans="1:9" hidden="1" x14ac:dyDescent="0.25">
      <c r="A1179" s="30">
        <f t="shared" si="160"/>
        <v>6.75</v>
      </c>
      <c r="B1179" s="94">
        <f>INT((ROWS(B$11:B1179)-1)/20)+40+0.05*MOD(ROWS(B$11:B1179)-1,20)</f>
        <v>98.4</v>
      </c>
      <c r="C1179" s="58" t="str">
        <f t="shared" si="161"/>
        <v/>
      </c>
      <c r="D1179" s="58" t="str">
        <f t="shared" si="156"/>
        <v/>
      </c>
      <c r="E1179" s="30">
        <f t="shared" si="159"/>
        <v>6.4529553624965901E-12</v>
      </c>
      <c r="F1179" s="30" t="str">
        <f t="shared" si="162"/>
        <v/>
      </c>
      <c r="G1179" s="30" t="str">
        <f t="shared" si="162"/>
        <v/>
      </c>
      <c r="H1179" s="30" t="str">
        <f t="shared" si="162"/>
        <v/>
      </c>
      <c r="I1179" s="30" t="str">
        <f t="shared" si="158"/>
        <v/>
      </c>
    </row>
    <row r="1180" spans="1:9" hidden="1" x14ac:dyDescent="0.25">
      <c r="A1180" s="30">
        <f t="shared" si="160"/>
        <v>6.75</v>
      </c>
      <c r="B1180" s="94">
        <f>INT((ROWS(B$11:B1180)-1)/20)+40+0.05*MOD(ROWS(B$11:B1180)-1,20)</f>
        <v>98.45</v>
      </c>
      <c r="C1180" s="58" t="str">
        <f t="shared" si="161"/>
        <v/>
      </c>
      <c r="D1180" s="58" t="str">
        <f t="shared" si="156"/>
        <v/>
      </c>
      <c r="E1180" s="30">
        <f t="shared" si="159"/>
        <v>5.9229527305567262E-12</v>
      </c>
      <c r="F1180" s="30" t="str">
        <f t="shared" si="162"/>
        <v/>
      </c>
      <c r="G1180" s="30" t="str">
        <f t="shared" si="162"/>
        <v/>
      </c>
      <c r="H1180" s="30" t="str">
        <f t="shared" si="162"/>
        <v/>
      </c>
      <c r="I1180" s="30" t="str">
        <f t="shared" si="158"/>
        <v/>
      </c>
    </row>
    <row r="1181" spans="1:9" hidden="1" x14ac:dyDescent="0.25">
      <c r="A1181" s="30">
        <f t="shared" si="160"/>
        <v>6.75</v>
      </c>
      <c r="B1181" s="94">
        <f>INT((ROWS(B$11:B1181)-1)/20)+40+0.05*MOD(ROWS(B$11:B1181)-1,20)</f>
        <v>98.5</v>
      </c>
      <c r="C1181" s="58" t="str">
        <f t="shared" si="161"/>
        <v/>
      </c>
      <c r="D1181" s="58" t="str">
        <f t="shared" si="156"/>
        <v/>
      </c>
      <c r="E1181" s="30">
        <f t="shared" si="159"/>
        <v>5.4356315892974175E-12</v>
      </c>
      <c r="F1181" s="30" t="str">
        <f t="shared" si="162"/>
        <v/>
      </c>
      <c r="G1181" s="30" t="str">
        <f t="shared" si="162"/>
        <v/>
      </c>
      <c r="H1181" s="30" t="str">
        <f t="shared" si="162"/>
        <v/>
      </c>
      <c r="I1181" s="30" t="str">
        <f t="shared" si="158"/>
        <v/>
      </c>
    </row>
    <row r="1182" spans="1:9" hidden="1" x14ac:dyDescent="0.25">
      <c r="A1182" s="30">
        <f t="shared" si="160"/>
        <v>6.75</v>
      </c>
      <c r="B1182" s="94">
        <f>INT((ROWS(B$11:B1182)-1)/20)+40+0.05*MOD(ROWS(B$11:B1182)-1,20)</f>
        <v>98.55</v>
      </c>
      <c r="C1182" s="58" t="str">
        <f t="shared" si="161"/>
        <v/>
      </c>
      <c r="D1182" s="58" t="str">
        <f t="shared" si="156"/>
        <v/>
      </c>
      <c r="E1182" s="30">
        <f t="shared" si="159"/>
        <v>4.9876262571082466E-12</v>
      </c>
      <c r="F1182" s="30" t="str">
        <f t="shared" si="162"/>
        <v/>
      </c>
      <c r="G1182" s="30" t="str">
        <f t="shared" si="162"/>
        <v/>
      </c>
      <c r="H1182" s="30" t="str">
        <f t="shared" si="162"/>
        <v/>
      </c>
      <c r="I1182" s="30" t="str">
        <f t="shared" si="158"/>
        <v/>
      </c>
    </row>
    <row r="1183" spans="1:9" hidden="1" x14ac:dyDescent="0.25">
      <c r="A1183" s="30">
        <f t="shared" si="160"/>
        <v>6.75</v>
      </c>
      <c r="B1183" s="94">
        <f>INT((ROWS(B$11:B1183)-1)/20)+40+0.05*MOD(ROWS(B$11:B1183)-1,20)</f>
        <v>98.6</v>
      </c>
      <c r="C1183" s="58" t="str">
        <f t="shared" si="161"/>
        <v/>
      </c>
      <c r="D1183" s="58" t="str">
        <f t="shared" si="156"/>
        <v/>
      </c>
      <c r="E1183" s="30">
        <f t="shared" si="159"/>
        <v>4.5758305425389939E-12</v>
      </c>
      <c r="F1183" s="30" t="str">
        <f t="shared" si="162"/>
        <v/>
      </c>
      <c r="G1183" s="30" t="str">
        <f t="shared" si="162"/>
        <v/>
      </c>
      <c r="H1183" s="30" t="str">
        <f t="shared" si="162"/>
        <v/>
      </c>
      <c r="I1183" s="30" t="str">
        <f t="shared" si="158"/>
        <v/>
      </c>
    </row>
    <row r="1184" spans="1:9" hidden="1" x14ac:dyDescent="0.25">
      <c r="A1184" s="30">
        <f t="shared" si="160"/>
        <v>6.75</v>
      </c>
      <c r="B1184" s="94">
        <f>INT((ROWS(B$11:B1184)-1)/20)+40+0.05*MOD(ROWS(B$11:B1184)-1,20)</f>
        <v>98.65</v>
      </c>
      <c r="C1184" s="58" t="str">
        <f t="shared" si="161"/>
        <v/>
      </c>
      <c r="D1184" s="58" t="str">
        <f t="shared" si="156"/>
        <v/>
      </c>
      <c r="E1184" s="30">
        <f t="shared" si="159"/>
        <v>4.197378218164628E-12</v>
      </c>
      <c r="F1184" s="30" t="str">
        <f t="shared" si="162"/>
        <v/>
      </c>
      <c r="G1184" s="30" t="str">
        <f t="shared" si="162"/>
        <v/>
      </c>
      <c r="H1184" s="30" t="str">
        <f t="shared" si="162"/>
        <v/>
      </c>
      <c r="I1184" s="30" t="str">
        <f t="shared" si="158"/>
        <v/>
      </c>
    </row>
    <row r="1185" spans="1:9" hidden="1" x14ac:dyDescent="0.25">
      <c r="A1185" s="30">
        <f t="shared" si="160"/>
        <v>6.75</v>
      </c>
      <c r="B1185" s="94">
        <f>INT((ROWS(B$11:B1185)-1)/20)+40+0.05*MOD(ROWS(B$11:B1185)-1,20)</f>
        <v>98.7</v>
      </c>
      <c r="C1185" s="58" t="str">
        <f t="shared" si="161"/>
        <v/>
      </c>
      <c r="D1185" s="58" t="str">
        <f t="shared" si="156"/>
        <v/>
      </c>
      <c r="E1185" s="30">
        <f t="shared" si="159"/>
        <v>3.8496249254929333E-12</v>
      </c>
      <c r="F1185" s="30" t="str">
        <f t="shared" si="162"/>
        <v/>
      </c>
      <c r="G1185" s="30" t="str">
        <f t="shared" si="162"/>
        <v/>
      </c>
      <c r="H1185" s="30" t="str">
        <f t="shared" si="162"/>
        <v/>
      </c>
      <c r="I1185" s="30" t="str">
        <f t="shared" si="158"/>
        <v/>
      </c>
    </row>
    <row r="1186" spans="1:9" hidden="1" x14ac:dyDescent="0.25">
      <c r="A1186" s="30">
        <f t="shared" si="160"/>
        <v>6.75</v>
      </c>
      <c r="B1186" s="94">
        <f>INT((ROWS(B$11:B1186)-1)/20)+40+0.05*MOD(ROWS(B$11:B1186)-1,20)</f>
        <v>98.75</v>
      </c>
      <c r="C1186" s="58" t="str">
        <f t="shared" si="161"/>
        <v/>
      </c>
      <c r="D1186" s="58" t="str">
        <f t="shared" si="156"/>
        <v/>
      </c>
      <c r="E1186" s="30">
        <f t="shared" si="159"/>
        <v>3.5301314090213703E-12</v>
      </c>
      <c r="F1186" s="30" t="str">
        <f t="shared" si="162"/>
        <v/>
      </c>
      <c r="G1186" s="30" t="str">
        <f t="shared" si="162"/>
        <v/>
      </c>
      <c r="H1186" s="30" t="str">
        <f t="shared" si="162"/>
        <v/>
      </c>
      <c r="I1186" s="30" t="str">
        <f t="shared" si="158"/>
        <v/>
      </c>
    </row>
    <row r="1187" spans="1:9" hidden="1" x14ac:dyDescent="0.25">
      <c r="A1187" s="30">
        <f t="shared" si="160"/>
        <v>6.75</v>
      </c>
      <c r="B1187" s="94">
        <f>INT((ROWS(B$11:B1187)-1)/20)+40+0.05*MOD(ROWS(B$11:B1187)-1,20)</f>
        <v>98.8</v>
      </c>
      <c r="C1187" s="58" t="str">
        <f t="shared" si="161"/>
        <v/>
      </c>
      <c r="D1187" s="58" t="str">
        <f t="shared" si="156"/>
        <v/>
      </c>
      <c r="E1187" s="30">
        <f t="shared" si="159"/>
        <v>3.2366479845798166E-12</v>
      </c>
      <c r="F1187" s="30" t="str">
        <f t="shared" si="162"/>
        <v/>
      </c>
      <c r="G1187" s="30" t="str">
        <f t="shared" si="162"/>
        <v/>
      </c>
      <c r="H1187" s="30" t="str">
        <f t="shared" si="162"/>
        <v/>
      </c>
      <c r="I1187" s="30" t="str">
        <f t="shared" si="158"/>
        <v/>
      </c>
    </row>
    <row r="1188" spans="1:9" hidden="1" x14ac:dyDescent="0.25">
      <c r="A1188" s="30">
        <f t="shared" si="160"/>
        <v>6.75</v>
      </c>
      <c r="B1188" s="94">
        <f>INT((ROWS(B$11:B1188)-1)/20)+40+0.05*MOD(ROWS(B$11:B1188)-1,20)</f>
        <v>98.85</v>
      </c>
      <c r="C1188" s="58" t="str">
        <f t="shared" si="161"/>
        <v/>
      </c>
      <c r="D1188" s="58" t="str">
        <f t="shared" si="156"/>
        <v/>
      </c>
      <c r="E1188" s="30">
        <f t="shared" si="159"/>
        <v>2.9671001536515301E-12</v>
      </c>
      <c r="F1188" s="30" t="str">
        <f t="shared" si="162"/>
        <v/>
      </c>
      <c r="G1188" s="30" t="str">
        <f t="shared" si="162"/>
        <v/>
      </c>
      <c r="H1188" s="30" t="str">
        <f t="shared" si="162"/>
        <v/>
      </c>
      <c r="I1188" s="30" t="str">
        <f t="shared" si="158"/>
        <v/>
      </c>
    </row>
    <row r="1189" spans="1:9" hidden="1" x14ac:dyDescent="0.25">
      <c r="A1189" s="30">
        <f t="shared" si="160"/>
        <v>6.75</v>
      </c>
      <c r="B1189" s="94">
        <f>INT((ROWS(B$11:B1189)-1)/20)+40+0.05*MOD(ROWS(B$11:B1189)-1,20)</f>
        <v>98.9</v>
      </c>
      <c r="C1189" s="58" t="str">
        <f t="shared" si="161"/>
        <v/>
      </c>
      <c r="D1189" s="58" t="str">
        <f t="shared" si="156"/>
        <v/>
      </c>
      <c r="E1189" s="30">
        <f t="shared" si="159"/>
        <v>2.7195752814879177E-12</v>
      </c>
      <c r="F1189" s="30" t="str">
        <f t="shared" si="162"/>
        <v/>
      </c>
      <c r="G1189" s="30" t="str">
        <f t="shared" si="162"/>
        <v/>
      </c>
      <c r="H1189" s="30" t="str">
        <f t="shared" si="162"/>
        <v/>
      </c>
      <c r="I1189" s="30" t="str">
        <f t="shared" si="158"/>
        <v/>
      </c>
    </row>
    <row r="1190" spans="1:9" hidden="1" x14ac:dyDescent="0.25">
      <c r="A1190" s="30">
        <f t="shared" si="160"/>
        <v>6.75</v>
      </c>
      <c r="B1190" s="94">
        <f>INT((ROWS(B$11:B1190)-1)/20)+40+0.05*MOD(ROWS(B$11:B1190)-1,20)</f>
        <v>98.95</v>
      </c>
      <c r="C1190" s="58" t="str">
        <f t="shared" si="161"/>
        <v/>
      </c>
      <c r="D1190" s="58" t="str">
        <f t="shared" si="156"/>
        <v/>
      </c>
      <c r="E1190" s="30">
        <f t="shared" si="159"/>
        <v>2.4923102625442708E-12</v>
      </c>
      <c r="F1190" s="30" t="str">
        <f t="shared" si="162"/>
        <v/>
      </c>
      <c r="G1190" s="30" t="str">
        <f t="shared" si="162"/>
        <v/>
      </c>
      <c r="H1190" s="30" t="str">
        <f t="shared" si="162"/>
        <v/>
      </c>
      <c r="I1190" s="30" t="str">
        <f t="shared" si="158"/>
        <v/>
      </c>
    </row>
    <row r="1191" spans="1:9" hidden="1" x14ac:dyDescent="0.25">
      <c r="A1191" s="30">
        <f t="shared" si="160"/>
        <v>7</v>
      </c>
      <c r="B1191" s="94">
        <f>INT((ROWS(B$11:B1191)-1)/20)+40+0.05*MOD(ROWS(B$11:B1191)-1,20)</f>
        <v>99</v>
      </c>
      <c r="C1191" s="58">
        <f t="shared" si="161"/>
        <v>7</v>
      </c>
      <c r="D1191" s="58" t="str">
        <f t="shared" si="156"/>
        <v/>
      </c>
      <c r="E1191" s="30">
        <f t="shared" si="159"/>
        <v>2.2836801020911484E-12</v>
      </c>
      <c r="F1191" s="30" t="str">
        <f t="shared" ref="F1191:H1210" si="163">IF(AND($B1191&gt;=F$7,$B1191&lt;=F$8),E1191,"")</f>
        <v/>
      </c>
      <c r="G1191" s="30" t="str">
        <f t="shared" si="163"/>
        <v/>
      </c>
      <c r="H1191" s="30" t="str">
        <f t="shared" si="163"/>
        <v/>
      </c>
      <c r="I1191" s="30" t="str">
        <f t="shared" si="158"/>
        <v/>
      </c>
    </row>
    <row r="1192" spans="1:9" hidden="1" x14ac:dyDescent="0.25">
      <c r="A1192" s="30">
        <f t="shared" si="160"/>
        <v>7</v>
      </c>
      <c r="B1192" s="94">
        <f>INT((ROWS(B$11:B1192)-1)/20)+40+0.05*MOD(ROWS(B$11:B1192)-1,20)</f>
        <v>99.05</v>
      </c>
      <c r="C1192" s="58" t="str">
        <f t="shared" si="161"/>
        <v/>
      </c>
      <c r="D1192" s="58" t="str">
        <f t="shared" si="156"/>
        <v/>
      </c>
      <c r="E1192" s="30">
        <f t="shared" si="159"/>
        <v>2.0921873478279553E-12</v>
      </c>
      <c r="F1192" s="30" t="str">
        <f t="shared" si="163"/>
        <v/>
      </c>
      <c r="G1192" s="30" t="str">
        <f t="shared" si="163"/>
        <v/>
      </c>
      <c r="H1192" s="30" t="str">
        <f t="shared" si="163"/>
        <v/>
      </c>
      <c r="I1192" s="30" t="str">
        <f t="shared" si="158"/>
        <v/>
      </c>
    </row>
    <row r="1193" spans="1:9" hidden="1" x14ac:dyDescent="0.25">
      <c r="A1193" s="30">
        <f t="shared" si="160"/>
        <v>7</v>
      </c>
      <c r="B1193" s="94">
        <f>INT((ROWS(B$11:B1193)-1)/20)+40+0.05*MOD(ROWS(B$11:B1193)-1,20)</f>
        <v>99.1</v>
      </c>
      <c r="C1193" s="58" t="str">
        <f t="shared" si="161"/>
        <v/>
      </c>
      <c r="D1193" s="58" t="str">
        <f t="shared" si="156"/>
        <v/>
      </c>
      <c r="E1193" s="30">
        <f t="shared" si="159"/>
        <v>1.9164523099579913E-12</v>
      </c>
      <c r="F1193" s="30" t="str">
        <f t="shared" si="163"/>
        <v/>
      </c>
      <c r="G1193" s="30" t="str">
        <f t="shared" si="163"/>
        <v/>
      </c>
      <c r="H1193" s="30" t="str">
        <f t="shared" si="163"/>
        <v/>
      </c>
      <c r="I1193" s="30" t="str">
        <f t="shared" si="158"/>
        <v/>
      </c>
    </row>
    <row r="1194" spans="1:9" hidden="1" x14ac:dyDescent="0.25">
      <c r="A1194" s="30">
        <f t="shared" si="160"/>
        <v>7</v>
      </c>
      <c r="B1194" s="94">
        <f>INT((ROWS(B$11:B1194)-1)/20)+40+0.05*MOD(ROWS(B$11:B1194)-1,20)</f>
        <v>99.15</v>
      </c>
      <c r="C1194" s="58" t="str">
        <f t="shared" si="161"/>
        <v/>
      </c>
      <c r="D1194" s="58" t="str">
        <f t="shared" si="156"/>
        <v/>
      </c>
      <c r="E1194" s="30">
        <f t="shared" si="159"/>
        <v>1.7552040125061291E-12</v>
      </c>
      <c r="F1194" s="30" t="str">
        <f t="shared" si="163"/>
        <v/>
      </c>
      <c r="G1194" s="30" t="str">
        <f t="shared" si="163"/>
        <v/>
      </c>
      <c r="H1194" s="30" t="str">
        <f t="shared" si="163"/>
        <v/>
      </c>
      <c r="I1194" s="30" t="str">
        <f t="shared" si="158"/>
        <v/>
      </c>
    </row>
    <row r="1195" spans="1:9" hidden="1" x14ac:dyDescent="0.25">
      <c r="A1195" s="30">
        <f t="shared" si="160"/>
        <v>7</v>
      </c>
      <c r="B1195" s="94">
        <f>INT((ROWS(B$11:B1195)-1)/20)+40+0.05*MOD(ROWS(B$11:B1195)-1,20)</f>
        <v>99.2</v>
      </c>
      <c r="C1195" s="58" t="str">
        <f t="shared" si="161"/>
        <v/>
      </c>
      <c r="D1195" s="58" t="str">
        <f t="shared" si="156"/>
        <v/>
      </c>
      <c r="E1195" s="30">
        <f t="shared" si="159"/>
        <v>1.6072718226884059E-12</v>
      </c>
      <c r="F1195" s="30" t="str">
        <f t="shared" si="163"/>
        <v/>
      </c>
      <c r="G1195" s="30" t="str">
        <f t="shared" si="163"/>
        <v/>
      </c>
      <c r="H1195" s="30" t="str">
        <f t="shared" si="163"/>
        <v/>
      </c>
      <c r="I1195" s="30" t="str">
        <f t="shared" si="158"/>
        <v/>
      </c>
    </row>
    <row r="1196" spans="1:9" hidden="1" x14ac:dyDescent="0.25">
      <c r="A1196" s="30">
        <f t="shared" si="160"/>
        <v>7</v>
      </c>
      <c r="B1196" s="94">
        <f>INT((ROWS(B$11:B1196)-1)/20)+40+0.05*MOD(ROWS(B$11:B1196)-1,20)</f>
        <v>99.25</v>
      </c>
      <c r="C1196" s="58" t="str">
        <f t="shared" si="161"/>
        <v/>
      </c>
      <c r="D1196" s="58" t="str">
        <f t="shared" si="156"/>
        <v/>
      </c>
      <c r="E1196" s="30">
        <f t="shared" si="159"/>
        <v>1.4715777088951868E-12</v>
      </c>
      <c r="F1196" s="30" t="str">
        <f t="shared" si="163"/>
        <v/>
      </c>
      <c r="G1196" s="30" t="str">
        <f t="shared" si="163"/>
        <v/>
      </c>
      <c r="H1196" s="30" t="str">
        <f t="shared" si="163"/>
        <v/>
      </c>
      <c r="I1196" s="30" t="str">
        <f t="shared" si="158"/>
        <v/>
      </c>
    </row>
    <row r="1197" spans="1:9" hidden="1" x14ac:dyDescent="0.25">
      <c r="A1197" s="30">
        <f t="shared" si="160"/>
        <v>7</v>
      </c>
      <c r="B1197" s="94">
        <f>INT((ROWS(B$11:B1197)-1)/20)+40+0.05*MOD(ROWS(B$11:B1197)-1,20)</f>
        <v>99.3</v>
      </c>
      <c r="C1197" s="58" t="str">
        <f t="shared" si="161"/>
        <v/>
      </c>
      <c r="D1197" s="58" t="str">
        <f t="shared" ref="D1197:D1230" si="164">IF(ISNUMBER(MATCH(B1197,$K$2:$K$8,0)),TEXT(B1197,"0\""")&amp;CHAR(10)&amp;TEXT((B1197-$F$1)/$F$2," 0 z"),"")</f>
        <v/>
      </c>
      <c r="E1197" s="30">
        <f t="shared" si="159"/>
        <v>1.3471290813492094E-12</v>
      </c>
      <c r="F1197" s="30" t="str">
        <f t="shared" si="163"/>
        <v/>
      </c>
      <c r="G1197" s="30" t="str">
        <f t="shared" si="163"/>
        <v/>
      </c>
      <c r="H1197" s="30" t="str">
        <f t="shared" si="163"/>
        <v/>
      </c>
      <c r="I1197" s="30" t="str">
        <f t="shared" si="158"/>
        <v/>
      </c>
    </row>
    <row r="1198" spans="1:9" hidden="1" x14ac:dyDescent="0.25">
      <c r="A1198" s="30">
        <f t="shared" si="160"/>
        <v>7</v>
      </c>
      <c r="B1198" s="94">
        <f>INT((ROWS(B$11:B1198)-1)/20)+40+0.05*MOD(ROWS(B$11:B1198)-1,20)</f>
        <v>99.35</v>
      </c>
      <c r="C1198" s="58" t="str">
        <f t="shared" si="161"/>
        <v/>
      </c>
      <c r="D1198" s="58" t="str">
        <f t="shared" si="164"/>
        <v/>
      </c>
      <c r="E1198" s="30">
        <f t="shared" si="159"/>
        <v>1.2330121727561535E-12</v>
      </c>
      <c r="F1198" s="30" t="str">
        <f t="shared" si="163"/>
        <v/>
      </c>
      <c r="G1198" s="30" t="str">
        <f t="shared" si="163"/>
        <v/>
      </c>
      <c r="H1198" s="30" t="str">
        <f t="shared" si="163"/>
        <v/>
      </c>
      <c r="I1198" s="30" t="str">
        <f t="shared" si="158"/>
        <v/>
      </c>
    </row>
    <row r="1199" spans="1:9" hidden="1" x14ac:dyDescent="0.25">
      <c r="A1199" s="30">
        <f t="shared" si="160"/>
        <v>7</v>
      </c>
      <c r="B1199" s="94">
        <f>INT((ROWS(B$11:B1199)-1)/20)+40+0.05*MOD(ROWS(B$11:B1199)-1,20)</f>
        <v>99.4</v>
      </c>
      <c r="C1199" s="58" t="str">
        <f t="shared" si="161"/>
        <v/>
      </c>
      <c r="D1199" s="58" t="str">
        <f t="shared" si="164"/>
        <v/>
      </c>
      <c r="E1199" s="30">
        <f t="shared" si="159"/>
        <v>1.1283859193013672E-12</v>
      </c>
      <c r="F1199" s="30" t="str">
        <f t="shared" si="163"/>
        <v/>
      </c>
      <c r="G1199" s="30" t="str">
        <f t="shared" si="163"/>
        <v/>
      </c>
      <c r="H1199" s="30" t="str">
        <f t="shared" si="163"/>
        <v/>
      </c>
      <c r="I1199" s="30" t="str">
        <f t="shared" si="158"/>
        <v/>
      </c>
    </row>
    <row r="1200" spans="1:9" hidden="1" x14ac:dyDescent="0.25">
      <c r="A1200" s="30">
        <f t="shared" si="160"/>
        <v>7</v>
      </c>
      <c r="B1200" s="94">
        <f>INT((ROWS(B$11:B1200)-1)/20)+40+0.05*MOD(ROWS(B$11:B1200)-1,20)</f>
        <v>99.45</v>
      </c>
      <c r="C1200" s="58" t="str">
        <f t="shared" si="161"/>
        <v/>
      </c>
      <c r="D1200" s="58" t="str">
        <f t="shared" si="164"/>
        <v/>
      </c>
      <c r="E1200" s="30">
        <f t="shared" si="159"/>
        <v>1.0324763051722252E-12</v>
      </c>
      <c r="F1200" s="30" t="str">
        <f t="shared" si="163"/>
        <v/>
      </c>
      <c r="G1200" s="30" t="str">
        <f t="shared" si="163"/>
        <v/>
      </c>
      <c r="H1200" s="30" t="str">
        <f t="shared" si="163"/>
        <v/>
      </c>
      <c r="I1200" s="30" t="str">
        <f t="shared" si="158"/>
        <v/>
      </c>
    </row>
    <row r="1201" spans="1:9" hidden="1" x14ac:dyDescent="0.25">
      <c r="A1201" s="30">
        <f t="shared" si="160"/>
        <v>7</v>
      </c>
      <c r="B1201" s="94">
        <f>INT((ROWS(B$11:B1201)-1)/20)+40+0.05*MOD(ROWS(B$11:B1201)-1,20)</f>
        <v>99.5</v>
      </c>
      <c r="C1201" s="58" t="str">
        <f t="shared" si="161"/>
        <v/>
      </c>
      <c r="D1201" s="58" t="str">
        <f t="shared" si="164"/>
        <v/>
      </c>
      <c r="E1201" s="30">
        <f t="shared" si="159"/>
        <v>9.4457113641602255E-13</v>
      </c>
      <c r="F1201" s="30" t="str">
        <f t="shared" si="163"/>
        <v/>
      </c>
      <c r="G1201" s="30" t="str">
        <f t="shared" si="163"/>
        <v/>
      </c>
      <c r="H1201" s="30" t="str">
        <f t="shared" si="163"/>
        <v/>
      </c>
      <c r="I1201" s="30" t="str">
        <f t="shared" si="158"/>
        <v/>
      </c>
    </row>
    <row r="1202" spans="1:9" hidden="1" x14ac:dyDescent="0.25">
      <c r="A1202" s="30">
        <f t="shared" si="160"/>
        <v>7</v>
      </c>
      <c r="B1202" s="94">
        <f>INT((ROWS(B$11:B1202)-1)/20)+40+0.05*MOD(ROWS(B$11:B1202)-1,20)</f>
        <v>99.55</v>
      </c>
      <c r="C1202" s="58" t="str">
        <f t="shared" si="161"/>
        <v/>
      </c>
      <c r="D1202" s="58" t="str">
        <f t="shared" si="164"/>
        <v/>
      </c>
      <c r="E1202" s="30">
        <f t="shared" si="159"/>
        <v>8.6401521239362959E-13</v>
      </c>
      <c r="F1202" s="30" t="str">
        <f t="shared" si="163"/>
        <v/>
      </c>
      <c r="G1202" s="30" t="str">
        <f t="shared" si="163"/>
        <v/>
      </c>
      <c r="H1202" s="30" t="str">
        <f t="shared" si="163"/>
        <v/>
      </c>
      <c r="I1202" s="30" t="str">
        <f t="shared" si="158"/>
        <v/>
      </c>
    </row>
    <row r="1203" spans="1:9" hidden="1" x14ac:dyDescent="0.25">
      <c r="A1203" s="30">
        <f t="shared" si="160"/>
        <v>7</v>
      </c>
      <c r="B1203" s="94">
        <f>INT((ROWS(B$11:B1203)-1)/20)+40+0.05*MOD(ROWS(B$11:B1203)-1,20)</f>
        <v>99.6</v>
      </c>
      <c r="C1203" s="58" t="str">
        <f t="shared" si="161"/>
        <v/>
      </c>
      <c r="D1203" s="58" t="str">
        <f t="shared" si="164"/>
        <v/>
      </c>
      <c r="E1203" s="30">
        <f t="shared" si="159"/>
        <v>7.9020586536727443E-13</v>
      </c>
      <c r="F1203" s="30" t="str">
        <f t="shared" si="163"/>
        <v/>
      </c>
      <c r="G1203" s="30" t="str">
        <f t="shared" si="163"/>
        <v/>
      </c>
      <c r="H1203" s="30" t="str">
        <f t="shared" si="163"/>
        <v/>
      </c>
      <c r="I1203" s="30" t="str">
        <f t="shared" si="158"/>
        <v/>
      </c>
    </row>
    <row r="1204" spans="1:9" hidden="1" x14ac:dyDescent="0.25">
      <c r="A1204" s="30">
        <f t="shared" si="160"/>
        <v>7</v>
      </c>
      <c r="B1204" s="94">
        <f>INT((ROWS(B$11:B1204)-1)/20)+40+0.05*MOD(ROWS(B$11:B1204)-1,20)</f>
        <v>99.65</v>
      </c>
      <c r="C1204" s="58" t="str">
        <f t="shared" si="161"/>
        <v/>
      </c>
      <c r="D1204" s="58" t="str">
        <f t="shared" si="164"/>
        <v/>
      </c>
      <c r="E1204" s="30">
        <f t="shared" si="159"/>
        <v>7.2258884088228648E-13</v>
      </c>
      <c r="F1204" s="30" t="str">
        <f t="shared" si="163"/>
        <v/>
      </c>
      <c r="G1204" s="30" t="str">
        <f t="shared" si="163"/>
        <v/>
      </c>
      <c r="H1204" s="30" t="str">
        <f t="shared" si="163"/>
        <v/>
      </c>
      <c r="I1204" s="30" t="str">
        <f t="shared" si="158"/>
        <v/>
      </c>
    </row>
    <row r="1205" spans="1:9" hidden="1" x14ac:dyDescent="0.25">
      <c r="A1205" s="30">
        <f t="shared" si="160"/>
        <v>7</v>
      </c>
      <c r="B1205" s="94">
        <f>INT((ROWS(B$11:B1205)-1)/20)+40+0.05*MOD(ROWS(B$11:B1205)-1,20)</f>
        <v>99.7</v>
      </c>
      <c r="C1205" s="58" t="str">
        <f t="shared" si="161"/>
        <v/>
      </c>
      <c r="D1205" s="58" t="str">
        <f t="shared" si="164"/>
        <v/>
      </c>
      <c r="E1205" s="30">
        <f t="shared" si="159"/>
        <v>6.6065449357549174E-13</v>
      </c>
      <c r="F1205" s="30" t="str">
        <f t="shared" si="163"/>
        <v/>
      </c>
      <c r="G1205" s="30" t="str">
        <f t="shared" si="163"/>
        <v/>
      </c>
      <c r="H1205" s="30" t="str">
        <f t="shared" si="163"/>
        <v/>
      </c>
      <c r="I1205" s="30" t="str">
        <f t="shared" si="158"/>
        <v/>
      </c>
    </row>
    <row r="1206" spans="1:9" hidden="1" x14ac:dyDescent="0.25">
      <c r="A1206" s="30">
        <f t="shared" si="160"/>
        <v>7</v>
      </c>
      <c r="B1206" s="94">
        <f>INT((ROWS(B$11:B1206)-1)/20)+40+0.05*MOD(ROWS(B$11:B1206)-1,20)</f>
        <v>99.75</v>
      </c>
      <c r="C1206" s="58" t="str">
        <f t="shared" si="161"/>
        <v/>
      </c>
      <c r="D1206" s="58" t="str">
        <f t="shared" si="164"/>
        <v/>
      </c>
      <c r="E1206" s="30">
        <f t="shared" si="159"/>
        <v>6.0393427487763541E-13</v>
      </c>
      <c r="F1206" s="30" t="str">
        <f t="shared" si="163"/>
        <v/>
      </c>
      <c r="G1206" s="30" t="str">
        <f t="shared" si="163"/>
        <v/>
      </c>
      <c r="H1206" s="30" t="str">
        <f t="shared" si="163"/>
        <v/>
      </c>
      <c r="I1206" s="30" t="str">
        <f t="shared" si="158"/>
        <v/>
      </c>
    </row>
    <row r="1207" spans="1:9" hidden="1" x14ac:dyDescent="0.25">
      <c r="A1207" s="30">
        <f t="shared" si="160"/>
        <v>7</v>
      </c>
      <c r="B1207" s="94">
        <f>INT((ROWS(B$11:B1207)-1)/20)+40+0.05*MOD(ROWS(B$11:B1207)-1,20)</f>
        <v>99.8</v>
      </c>
      <c r="C1207" s="58" t="str">
        <f t="shared" si="161"/>
        <v/>
      </c>
      <c r="D1207" s="58" t="str">
        <f t="shared" si="164"/>
        <v/>
      </c>
      <c r="E1207" s="30">
        <f t="shared" si="159"/>
        <v>5.5199749078428875E-13</v>
      </c>
      <c r="F1207" s="30" t="str">
        <f t="shared" si="163"/>
        <v/>
      </c>
      <c r="G1207" s="30" t="str">
        <f t="shared" si="163"/>
        <v/>
      </c>
      <c r="H1207" s="30" t="str">
        <f t="shared" si="163"/>
        <v/>
      </c>
      <c r="I1207" s="30" t="str">
        <f t="shared" si="158"/>
        <v/>
      </c>
    </row>
    <row r="1208" spans="1:9" hidden="1" x14ac:dyDescent="0.25">
      <c r="A1208" s="30">
        <f t="shared" si="160"/>
        <v>7</v>
      </c>
      <c r="B1208" s="94">
        <f>INT((ROWS(B$11:B1208)-1)/20)+40+0.05*MOD(ROWS(B$11:B1208)-1,20)</f>
        <v>99.85</v>
      </c>
      <c r="C1208" s="58" t="str">
        <f t="shared" si="161"/>
        <v/>
      </c>
      <c r="D1208" s="58" t="str">
        <f t="shared" si="164"/>
        <v/>
      </c>
      <c r="E1208" s="30">
        <f t="shared" si="159"/>
        <v>5.0444830945556132E-13</v>
      </c>
      <c r="F1208" s="30" t="str">
        <f t="shared" si="163"/>
        <v/>
      </c>
      <c r="G1208" s="30" t="str">
        <f t="shared" si="163"/>
        <v/>
      </c>
      <c r="H1208" s="30" t="str">
        <f t="shared" si="163"/>
        <v/>
      </c>
      <c r="I1208" s="30" t="str">
        <f t="shared" si="158"/>
        <v/>
      </c>
    </row>
    <row r="1209" spans="1:9" hidden="1" x14ac:dyDescent="0.25">
      <c r="A1209" s="30">
        <f t="shared" si="160"/>
        <v>7</v>
      </c>
      <c r="B1209" s="94">
        <f>INT((ROWS(B$11:B1209)-1)/20)+40+0.05*MOD(ROWS(B$11:B1209)-1,20)</f>
        <v>99.9</v>
      </c>
      <c r="C1209" s="58" t="str">
        <f t="shared" si="161"/>
        <v/>
      </c>
      <c r="D1209" s="58" t="str">
        <f t="shared" si="164"/>
        <v/>
      </c>
      <c r="E1209" s="30">
        <f t="shared" si="159"/>
        <v>4.6092299988006369E-13</v>
      </c>
      <c r="F1209" s="30" t="str">
        <f t="shared" si="163"/>
        <v/>
      </c>
      <c r="G1209" s="30" t="str">
        <f t="shared" si="163"/>
        <v/>
      </c>
      <c r="H1209" s="30" t="str">
        <f t="shared" si="163"/>
        <v/>
      </c>
      <c r="I1209" s="30" t="str">
        <f t="shared" si="158"/>
        <v/>
      </c>
    </row>
    <row r="1210" spans="1:9" hidden="1" x14ac:dyDescent="0.25">
      <c r="A1210" s="30">
        <f t="shared" si="160"/>
        <v>7</v>
      </c>
      <c r="B1210" s="94">
        <f>INT((ROWS(B$11:B1210)-1)/20)+40+0.05*MOD(ROWS(B$11:B1210)-1,20)</f>
        <v>99.95</v>
      </c>
      <c r="C1210" s="58" t="str">
        <f t="shared" si="161"/>
        <v/>
      </c>
      <c r="D1210" s="58" t="str">
        <f t="shared" si="164"/>
        <v/>
      </c>
      <c r="E1210" s="30">
        <f t="shared" si="159"/>
        <v>4.2108738420910114E-13</v>
      </c>
      <c r="F1210" s="30" t="str">
        <f t="shared" si="163"/>
        <v/>
      </c>
      <c r="G1210" s="30" t="str">
        <f t="shared" si="163"/>
        <v/>
      </c>
      <c r="H1210" s="30" t="str">
        <f t="shared" si="163"/>
        <v/>
      </c>
      <c r="I1210" s="30" t="str">
        <f t="shared" si="158"/>
        <v/>
      </c>
    </row>
    <row r="1211" spans="1:9" hidden="1" x14ac:dyDescent="0.25">
      <c r="A1211" s="30">
        <f t="shared" si="160"/>
        <v>7.25</v>
      </c>
      <c r="B1211" s="94">
        <f>INT((ROWS(B$11:B1211)-1)/20)+40+0.05*MOD(ROWS(B$11:B1211)-1,20)</f>
        <v>100</v>
      </c>
      <c r="C1211" s="58" t="str">
        <f t="shared" si="161"/>
        <v/>
      </c>
      <c r="D1211" s="58" t="str">
        <f t="shared" si="164"/>
        <v/>
      </c>
      <c r="E1211" s="30">
        <f t="shared" si="159"/>
        <v>3.8463448764031875E-13</v>
      </c>
      <c r="F1211" s="30" t="str">
        <f t="shared" ref="F1211:H1230" si="165">IF(AND($B1211&gt;=F$7,$B1211&lt;=F$8),E1211,"")</f>
        <v/>
      </c>
      <c r="G1211" s="30" t="str">
        <f t="shared" si="165"/>
        <v/>
      </c>
      <c r="H1211" s="30" t="str">
        <f t="shared" si="165"/>
        <v/>
      </c>
      <c r="I1211" s="30" t="str">
        <f t="shared" si="158"/>
        <v/>
      </c>
    </row>
    <row r="1212" spans="1:9" hidden="1" x14ac:dyDescent="0.25">
      <c r="A1212" s="30">
        <f t="shared" si="160"/>
        <v>7.25</v>
      </c>
      <c r="B1212" s="94">
        <f>INT((ROWS(B$11:B1212)-1)/20)+40+0.05*MOD(ROWS(B$11:B1212)-1,20)</f>
        <v>100.05</v>
      </c>
      <c r="C1212" s="58" t="str">
        <f t="shared" si="161"/>
        <v/>
      </c>
      <c r="D1212" s="58" t="str">
        <f t="shared" si="164"/>
        <v/>
      </c>
      <c r="E1212" s="30">
        <f t="shared" si="159"/>
        <v>3.5128237091357995E-13</v>
      </c>
      <c r="F1212" s="30" t="str">
        <f t="shared" si="165"/>
        <v/>
      </c>
      <c r="G1212" s="30" t="str">
        <f t="shared" si="165"/>
        <v/>
      </c>
      <c r="H1212" s="30" t="str">
        <f t="shared" si="165"/>
        <v/>
      </c>
      <c r="I1212" s="30" t="str">
        <f t="shared" si="158"/>
        <v/>
      </c>
    </row>
    <row r="1213" spans="1:9" hidden="1" x14ac:dyDescent="0.25">
      <c r="A1213" s="30">
        <f t="shared" si="160"/>
        <v>7.25</v>
      </c>
      <c r="B1213" s="94">
        <f>INT((ROWS(B$11:B1213)-1)/20)+40+0.05*MOD(ROWS(B$11:B1213)-1,20)</f>
        <v>100.1</v>
      </c>
      <c r="C1213" s="58" t="str">
        <f t="shared" si="161"/>
        <v/>
      </c>
      <c r="D1213" s="58" t="str">
        <f t="shared" si="164"/>
        <v/>
      </c>
      <c r="E1213" s="30">
        <f t="shared" si="159"/>
        <v>3.2077213158023951E-13</v>
      </c>
      <c r="F1213" s="30" t="str">
        <f t="shared" si="165"/>
        <v/>
      </c>
      <c r="G1213" s="30" t="str">
        <f t="shared" si="165"/>
        <v/>
      </c>
      <c r="H1213" s="30" t="str">
        <f t="shared" si="165"/>
        <v/>
      </c>
      <c r="I1213" s="30" t="str">
        <f t="shared" si="158"/>
        <v/>
      </c>
    </row>
    <row r="1214" spans="1:9" hidden="1" x14ac:dyDescent="0.25">
      <c r="A1214" s="30">
        <f t="shared" si="160"/>
        <v>7.25</v>
      </c>
      <c r="B1214" s="94">
        <f>INT((ROWS(B$11:B1214)-1)/20)+40+0.05*MOD(ROWS(B$11:B1214)-1,20)</f>
        <v>100.15</v>
      </c>
      <c r="C1214" s="58" t="str">
        <f t="shared" si="161"/>
        <v/>
      </c>
      <c r="D1214" s="58" t="str">
        <f t="shared" si="164"/>
        <v/>
      </c>
      <c r="E1214" s="30">
        <f t="shared" si="159"/>
        <v>2.9286606122770584E-13</v>
      </c>
      <c r="F1214" s="30" t="str">
        <f t="shared" si="165"/>
        <v/>
      </c>
      <c r="G1214" s="30" t="str">
        <f t="shared" si="165"/>
        <v/>
      </c>
      <c r="H1214" s="30" t="str">
        <f t="shared" si="165"/>
        <v/>
      </c>
      <c r="I1214" s="30" t="str">
        <f t="shared" si="158"/>
        <v/>
      </c>
    </row>
    <row r="1215" spans="1:9" hidden="1" x14ac:dyDescent="0.25">
      <c r="A1215" s="30">
        <f t="shared" si="160"/>
        <v>7.25</v>
      </c>
      <c r="B1215" s="94">
        <f>INT((ROWS(B$11:B1215)-1)/20)+40+0.05*MOD(ROWS(B$11:B1215)-1,20)</f>
        <v>100.2</v>
      </c>
      <c r="C1215" s="58" t="str">
        <f t="shared" si="161"/>
        <v/>
      </c>
      <c r="D1215" s="58" t="str">
        <f t="shared" si="164"/>
        <v/>
      </c>
      <c r="E1215" s="30">
        <f t="shared" si="159"/>
        <v>2.6734594678853913E-13</v>
      </c>
      <c r="F1215" s="30" t="str">
        <f t="shared" si="165"/>
        <v/>
      </c>
      <c r="G1215" s="30" t="str">
        <f t="shared" si="165"/>
        <v/>
      </c>
      <c r="H1215" s="30" t="str">
        <f t="shared" si="165"/>
        <v/>
      </c>
      <c r="I1215" s="30" t="str">
        <f t="shared" si="158"/>
        <v/>
      </c>
    </row>
    <row r="1216" spans="1:9" hidden="1" x14ac:dyDescent="0.25">
      <c r="A1216" s="30">
        <f t="shared" si="160"/>
        <v>7.25</v>
      </c>
      <c r="B1216" s="94">
        <f>INT((ROWS(B$11:B1216)-1)/20)+40+0.05*MOD(ROWS(B$11:B1216)-1,20)</f>
        <v>100.25</v>
      </c>
      <c r="C1216" s="58" t="str">
        <f t="shared" si="161"/>
        <v/>
      </c>
      <c r="D1216" s="58" t="str">
        <f t="shared" si="164"/>
        <v/>
      </c>
      <c r="E1216" s="30">
        <f t="shared" si="159"/>
        <v>2.4401150494270107E-13</v>
      </c>
      <c r="F1216" s="30" t="str">
        <f t="shared" si="165"/>
        <v/>
      </c>
      <c r="G1216" s="30" t="str">
        <f t="shared" si="165"/>
        <v/>
      </c>
      <c r="H1216" s="30" t="str">
        <f t="shared" si="165"/>
        <v/>
      </c>
      <c r="I1216" s="30" t="str">
        <f t="shared" si="158"/>
        <v/>
      </c>
    </row>
    <row r="1217" spans="1:9" hidden="1" x14ac:dyDescent="0.25">
      <c r="A1217" s="30">
        <f t="shared" si="160"/>
        <v>7.25</v>
      </c>
      <c r="B1217" s="94">
        <f>INT((ROWS(B$11:B1217)-1)/20)+40+0.05*MOD(ROWS(B$11:B1217)-1,20)</f>
        <v>100.3</v>
      </c>
      <c r="C1217" s="58" t="str">
        <f t="shared" si="161"/>
        <v/>
      </c>
      <c r="D1217" s="58" t="str">
        <f t="shared" si="164"/>
        <v/>
      </c>
      <c r="E1217" s="30">
        <f t="shared" si="159"/>
        <v>2.2267893943799217E-13</v>
      </c>
      <c r="F1217" s="30" t="str">
        <f t="shared" si="165"/>
        <v/>
      </c>
      <c r="G1217" s="30" t="str">
        <f t="shared" si="165"/>
        <v/>
      </c>
      <c r="H1217" s="30" t="str">
        <f t="shared" si="165"/>
        <v/>
      </c>
      <c r="I1217" s="30" t="str">
        <f t="shared" ref="I1217:I1230" si="166">IF(AND(B1217&gt;=$F$1-0.1,B1217&lt;=$F$1+0.1),E1217,"")</f>
        <v/>
      </c>
    </row>
    <row r="1218" spans="1:9" hidden="1" x14ac:dyDescent="0.25">
      <c r="A1218" s="30">
        <f t="shared" si="160"/>
        <v>7.25</v>
      </c>
      <c r="B1218" s="94">
        <f>INT((ROWS(B$11:B1218)-1)/20)+40+0.05*MOD(ROWS(B$11:B1218)-1,20)</f>
        <v>100.35</v>
      </c>
      <c r="C1218" s="58" t="str">
        <f t="shared" si="161"/>
        <v/>
      </c>
      <c r="D1218" s="58" t="str">
        <f t="shared" si="164"/>
        <v/>
      </c>
      <c r="E1218" s="30">
        <f t="shared" si="159"/>
        <v>2.0317961191087161E-13</v>
      </c>
      <c r="F1218" s="30" t="str">
        <f t="shared" si="165"/>
        <v/>
      </c>
      <c r="G1218" s="30" t="str">
        <f t="shared" si="165"/>
        <v/>
      </c>
      <c r="H1218" s="30" t="str">
        <f t="shared" si="165"/>
        <v/>
      </c>
      <c r="I1218" s="30" t="str">
        <f t="shared" si="166"/>
        <v/>
      </c>
    </row>
    <row r="1219" spans="1:9" hidden="1" x14ac:dyDescent="0.25">
      <c r="A1219" s="30">
        <f t="shared" si="160"/>
        <v>7.25</v>
      </c>
      <c r="B1219" s="94">
        <f>INT((ROWS(B$11:B1219)-1)/20)+40+0.05*MOD(ROWS(B$11:B1219)-1,20)</f>
        <v>100.4</v>
      </c>
      <c r="C1219" s="58" t="str">
        <f t="shared" si="161"/>
        <v/>
      </c>
      <c r="D1219" s="58" t="str">
        <f t="shared" si="164"/>
        <v/>
      </c>
      <c r="E1219" s="30">
        <f t="shared" si="159"/>
        <v>1.8535881749260641E-13</v>
      </c>
      <c r="F1219" s="30" t="str">
        <f t="shared" si="165"/>
        <v/>
      </c>
      <c r="G1219" s="30" t="str">
        <f t="shared" si="165"/>
        <v/>
      </c>
      <c r="H1219" s="30" t="str">
        <f t="shared" si="165"/>
        <v/>
      </c>
      <c r="I1219" s="30" t="str">
        <f t="shared" si="166"/>
        <v/>
      </c>
    </row>
    <row r="1220" spans="1:9" hidden="1" x14ac:dyDescent="0.25">
      <c r="A1220" s="30">
        <f t="shared" si="160"/>
        <v>7.25</v>
      </c>
      <c r="B1220" s="94">
        <f>INT((ROWS(B$11:B1220)-1)/20)+40+0.05*MOD(ROWS(B$11:B1220)-1,20)</f>
        <v>100.45</v>
      </c>
      <c r="C1220" s="58" t="str">
        <f t="shared" si="161"/>
        <v/>
      </c>
      <c r="D1220" s="58" t="str">
        <f t="shared" si="164"/>
        <v/>
      </c>
      <c r="E1220" s="30">
        <f t="shared" si="159"/>
        <v>1.6907465713740136E-13</v>
      </c>
      <c r="F1220" s="30" t="str">
        <f t="shared" si="165"/>
        <v/>
      </c>
      <c r="G1220" s="30" t="str">
        <f t="shared" si="165"/>
        <v/>
      </c>
      <c r="H1220" s="30" t="str">
        <f t="shared" si="165"/>
        <v/>
      </c>
      <c r="I1220" s="30" t="str">
        <f t="shared" si="166"/>
        <v/>
      </c>
    </row>
    <row r="1221" spans="1:9" hidden="1" x14ac:dyDescent="0.25">
      <c r="A1221" s="30">
        <f t="shared" si="160"/>
        <v>7.25</v>
      </c>
      <c r="B1221" s="94">
        <f>INT((ROWS(B$11:B1221)-1)/20)+40+0.05*MOD(ROWS(B$11:B1221)-1,20)</f>
        <v>100.5</v>
      </c>
      <c r="C1221" s="58" t="str">
        <f t="shared" si="161"/>
        <v/>
      </c>
      <c r="D1221" s="58" t="str">
        <f t="shared" si="164"/>
        <v/>
      </c>
      <c r="E1221" s="30">
        <f t="shared" si="159"/>
        <v>1.5419699921345145E-13</v>
      </c>
      <c r="F1221" s="30" t="str">
        <f t="shared" si="165"/>
        <v/>
      </c>
      <c r="G1221" s="30" t="str">
        <f t="shared" si="165"/>
        <v/>
      </c>
      <c r="H1221" s="30" t="str">
        <f t="shared" si="165"/>
        <v/>
      </c>
      <c r="I1221" s="30" t="str">
        <f t="shared" si="166"/>
        <v/>
      </c>
    </row>
    <row r="1222" spans="1:9" hidden="1" x14ac:dyDescent="0.25">
      <c r="A1222" s="30">
        <f t="shared" si="160"/>
        <v>7.25</v>
      </c>
      <c r="B1222" s="94">
        <f>INT((ROWS(B$11:B1222)-1)/20)+40+0.05*MOD(ROWS(B$11:B1222)-1,20)</f>
        <v>100.55</v>
      </c>
      <c r="C1222" s="58" t="str">
        <f t="shared" si="161"/>
        <v/>
      </c>
      <c r="D1222" s="58" t="str">
        <f t="shared" si="164"/>
        <v/>
      </c>
      <c r="E1222" s="30">
        <f t="shared" si="159"/>
        <v>1.4060652345839503E-13</v>
      </c>
      <c r="F1222" s="30" t="str">
        <f t="shared" si="165"/>
        <v/>
      </c>
      <c r="G1222" s="30" t="str">
        <f t="shared" si="165"/>
        <v/>
      </c>
      <c r="H1222" s="30" t="str">
        <f t="shared" si="165"/>
        <v/>
      </c>
      <c r="I1222" s="30" t="str">
        <f t="shared" si="166"/>
        <v/>
      </c>
    </row>
    <row r="1223" spans="1:9" hidden="1" x14ac:dyDescent="0.25">
      <c r="A1223" s="30">
        <f t="shared" si="160"/>
        <v>7.25</v>
      </c>
      <c r="B1223" s="94">
        <f>INT((ROWS(B$11:B1223)-1)/20)+40+0.05*MOD(ROWS(B$11:B1223)-1,20)</f>
        <v>100.6</v>
      </c>
      <c r="C1223" s="58" t="str">
        <f t="shared" si="161"/>
        <v/>
      </c>
      <c r="D1223" s="58" t="str">
        <f t="shared" si="164"/>
        <v/>
      </c>
      <c r="E1223" s="30">
        <f t="shared" si="159"/>
        <v>1.2819384091991839E-13</v>
      </c>
      <c r="F1223" s="30" t="str">
        <f t="shared" si="165"/>
        <v/>
      </c>
      <c r="G1223" s="30" t="str">
        <f t="shared" si="165"/>
        <v/>
      </c>
      <c r="H1223" s="30" t="str">
        <f t="shared" si="165"/>
        <v/>
      </c>
      <c r="I1223" s="30" t="str">
        <f t="shared" si="166"/>
        <v/>
      </c>
    </row>
    <row r="1224" spans="1:9" hidden="1" x14ac:dyDescent="0.25">
      <c r="A1224" s="30">
        <f t="shared" si="160"/>
        <v>7.25</v>
      </c>
      <c r="B1224" s="94">
        <f>INT((ROWS(B$11:B1224)-1)/20)+40+0.05*MOD(ROWS(B$11:B1224)-1,20)</f>
        <v>100.65</v>
      </c>
      <c r="C1224" s="58" t="str">
        <f t="shared" si="161"/>
        <v/>
      </c>
      <c r="D1224" s="58" t="str">
        <f t="shared" si="164"/>
        <v/>
      </c>
      <c r="E1224" s="30">
        <f t="shared" si="159"/>
        <v>1.16858683983825E-13</v>
      </c>
      <c r="F1224" s="30" t="str">
        <f t="shared" si="165"/>
        <v/>
      </c>
      <c r="G1224" s="30" t="str">
        <f t="shared" si="165"/>
        <v/>
      </c>
      <c r="H1224" s="30" t="str">
        <f t="shared" si="165"/>
        <v/>
      </c>
      <c r="I1224" s="30" t="str">
        <f t="shared" si="166"/>
        <v/>
      </c>
    </row>
    <row r="1225" spans="1:9" hidden="1" x14ac:dyDescent="0.25">
      <c r="A1225" s="30">
        <f t="shared" si="160"/>
        <v>7.25</v>
      </c>
      <c r="B1225" s="94">
        <f>INT((ROWS(B$11:B1225)-1)/20)+40+0.05*MOD(ROWS(B$11:B1225)-1,20)</f>
        <v>100.7</v>
      </c>
      <c r="C1225" s="58" t="str">
        <f t="shared" si="161"/>
        <v/>
      </c>
      <c r="D1225" s="58" t="str">
        <f t="shared" si="164"/>
        <v/>
      </c>
      <c r="E1225" s="30">
        <f t="shared" si="159"/>
        <v>1.0650916103799159E-13</v>
      </c>
      <c r="F1225" s="30" t="str">
        <f t="shared" si="165"/>
        <v/>
      </c>
      <c r="G1225" s="30" t="str">
        <f t="shared" si="165"/>
        <v/>
      </c>
      <c r="H1225" s="30" t="str">
        <f t="shared" si="165"/>
        <v/>
      </c>
      <c r="I1225" s="30" t="str">
        <f t="shared" si="166"/>
        <v/>
      </c>
    </row>
    <row r="1226" spans="1:9" hidden="1" x14ac:dyDescent="0.25">
      <c r="A1226" s="30">
        <f t="shared" si="160"/>
        <v>7.25</v>
      </c>
      <c r="B1226" s="94">
        <f>INT((ROWS(B$11:B1226)-1)/20)+40+0.05*MOD(ROWS(B$11:B1226)-1,20)</f>
        <v>100.75</v>
      </c>
      <c r="C1226" s="58" t="str">
        <f t="shared" si="161"/>
        <v/>
      </c>
      <c r="D1226" s="58" t="str">
        <f t="shared" si="164"/>
        <v/>
      </c>
      <c r="E1226" s="30">
        <f t="shared" si="159"/>
        <v>9.706107073388052E-14</v>
      </c>
      <c r="F1226" s="30" t="str">
        <f t="shared" si="165"/>
        <v/>
      </c>
      <c r="G1226" s="30" t="str">
        <f t="shared" si="165"/>
        <v/>
      </c>
      <c r="H1226" s="30" t="str">
        <f t="shared" si="165"/>
        <v/>
      </c>
      <c r="I1226" s="30" t="str">
        <f t="shared" si="166"/>
        <v/>
      </c>
    </row>
    <row r="1227" spans="1:9" hidden="1" x14ac:dyDescent="0.25">
      <c r="A1227" s="30">
        <f t="shared" si="160"/>
        <v>7.25</v>
      </c>
      <c r="B1227" s="94">
        <f>INT((ROWS(B$11:B1227)-1)/20)+40+0.05*MOD(ROWS(B$11:B1227)-1,20)</f>
        <v>100.8</v>
      </c>
      <c r="C1227" s="58" t="str">
        <f t="shared" si="161"/>
        <v/>
      </c>
      <c r="D1227" s="58" t="str">
        <f t="shared" si="164"/>
        <v/>
      </c>
      <c r="E1227" s="30">
        <f t="shared" si="159"/>
        <v>8.8437271190247646E-14</v>
      </c>
      <c r="F1227" s="30" t="str">
        <f t="shared" si="165"/>
        <v/>
      </c>
      <c r="G1227" s="30" t="str">
        <f t="shared" si="165"/>
        <v/>
      </c>
      <c r="H1227" s="30" t="str">
        <f t="shared" si="165"/>
        <v/>
      </c>
      <c r="I1227" s="30" t="str">
        <f t="shared" si="166"/>
        <v/>
      </c>
    </row>
    <row r="1228" spans="1:9" hidden="1" x14ac:dyDescent="0.25">
      <c r="A1228" s="30">
        <f t="shared" ref="A1228:A1230" si="167">(INT(B1228)-$F$1)/$F$2</f>
        <v>7.25</v>
      </c>
      <c r="B1228" s="94">
        <f>INT((ROWS(B$11:B1228)-1)/20)+40+0.05*MOD(ROWS(B$11:B1228)-1,20)</f>
        <v>100.85</v>
      </c>
      <c r="C1228" s="58" t="str">
        <f t="shared" ref="C1228:C1230" si="168">IF(AND(A1228&lt;&gt;A1227,INT(A1228)=A1228),A1228,"")</f>
        <v/>
      </c>
      <c r="D1228" s="58" t="str">
        <f t="shared" si="164"/>
        <v/>
      </c>
      <c r="E1228" s="30">
        <f t="shared" si="159"/>
        <v>8.0567099838124186E-14</v>
      </c>
      <c r="F1228" s="30" t="str">
        <f t="shared" si="165"/>
        <v/>
      </c>
      <c r="G1228" s="30" t="str">
        <f t="shared" si="165"/>
        <v/>
      </c>
      <c r="H1228" s="30" t="str">
        <f t="shared" si="165"/>
        <v/>
      </c>
      <c r="I1228" s="30" t="str">
        <f t="shared" si="166"/>
        <v/>
      </c>
    </row>
    <row r="1229" spans="1:9" hidden="1" x14ac:dyDescent="0.25">
      <c r="A1229" s="30">
        <f t="shared" si="167"/>
        <v>7.25</v>
      </c>
      <c r="B1229" s="94">
        <f>INT((ROWS(B$11:B1229)-1)/20)+40+0.05*MOD(ROWS(B$11:B1229)-1,20)</f>
        <v>100.9</v>
      </c>
      <c r="C1229" s="58" t="str">
        <f t="shared" si="168"/>
        <v/>
      </c>
      <c r="D1229" s="58" t="str">
        <f t="shared" si="164"/>
        <v/>
      </c>
      <c r="E1229" s="30">
        <f t="shared" si="159"/>
        <v>7.3385839934508384E-14</v>
      </c>
      <c r="F1229" s="30" t="str">
        <f t="shared" si="165"/>
        <v/>
      </c>
      <c r="G1229" s="30" t="str">
        <f t="shared" si="165"/>
        <v/>
      </c>
      <c r="H1229" s="30" t="str">
        <f t="shared" si="165"/>
        <v/>
      </c>
      <c r="I1229" s="30" t="str">
        <f t="shared" si="166"/>
        <v/>
      </c>
    </row>
    <row r="1230" spans="1:9" hidden="1" x14ac:dyDescent="0.25">
      <c r="A1230" s="30">
        <f t="shared" si="167"/>
        <v>7.25</v>
      </c>
      <c r="B1230" s="94">
        <f>INT((ROWS(B$11:B1230)-1)/20)+40+0.05*MOD(ROWS(B$11:B1230)-1,20)</f>
        <v>100.95</v>
      </c>
      <c r="C1230" s="58" t="str">
        <f t="shared" si="168"/>
        <v/>
      </c>
      <c r="D1230" s="58" t="str">
        <f t="shared" si="164"/>
        <v/>
      </c>
      <c r="E1230" s="30">
        <f t="shared" si="159"/>
        <v>6.6834230076107444E-14</v>
      </c>
      <c r="F1230" s="30" t="str">
        <f t="shared" si="165"/>
        <v/>
      </c>
      <c r="G1230" s="30" t="str">
        <f t="shared" si="165"/>
        <v/>
      </c>
      <c r="H1230" s="30" t="str">
        <f t="shared" si="165"/>
        <v/>
      </c>
      <c r="I1230" s="30" t="str">
        <f t="shared" si="166"/>
        <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tabColor rgb="FFFF0000"/>
  </sheetPr>
  <dimension ref="A29:M113"/>
  <sheetViews>
    <sheetView zoomScale="70" zoomScaleNormal="70" workbookViewId="0">
      <selection activeCell="B38" sqref="B38"/>
    </sheetView>
  </sheetViews>
  <sheetFormatPr defaultRowHeight="15" x14ac:dyDescent="0.25"/>
  <cols>
    <col min="1" max="1" width="12.5703125" customWidth="1"/>
    <col min="13" max="13" width="12.28515625" bestFit="1" customWidth="1"/>
  </cols>
  <sheetData>
    <row r="29" spans="1:1" x14ac:dyDescent="0.25">
      <c r="A29" s="22" t="s">
        <v>647</v>
      </c>
    </row>
    <row r="30" spans="1:1" x14ac:dyDescent="0.25">
      <c r="A30" t="s">
        <v>1007</v>
      </c>
    </row>
    <row r="31" spans="1:1" x14ac:dyDescent="0.25">
      <c r="A31" t="s">
        <v>1008</v>
      </c>
    </row>
    <row r="32" spans="1:1" x14ac:dyDescent="0.25">
      <c r="A32" t="s">
        <v>1009</v>
      </c>
    </row>
    <row r="34" spans="1:11" x14ac:dyDescent="0.25">
      <c r="A34" s="61" t="s">
        <v>1006</v>
      </c>
      <c r="B34" s="256">
        <f>'z(3)'!B1</f>
        <v>71</v>
      </c>
      <c r="D34" t="s">
        <v>1021</v>
      </c>
    </row>
    <row r="35" spans="1:11" x14ac:dyDescent="0.25">
      <c r="A35" s="61" t="s">
        <v>641</v>
      </c>
      <c r="B35" s="256">
        <f>'z(3)'!B2</f>
        <v>4</v>
      </c>
    </row>
    <row r="36" spans="1:11" x14ac:dyDescent="0.25">
      <c r="A36" s="251" t="s">
        <v>1010</v>
      </c>
      <c r="B36" s="252"/>
      <c r="C36" s="252"/>
      <c r="D36" s="252"/>
      <c r="E36" s="252"/>
      <c r="F36" s="252"/>
      <c r="G36" s="252"/>
      <c r="H36" s="252"/>
      <c r="I36" s="253"/>
      <c r="J36">
        <v>0.68</v>
      </c>
      <c r="K36" t="s">
        <v>1013</v>
      </c>
    </row>
    <row r="37" spans="1:11" x14ac:dyDescent="0.25">
      <c r="A37" s="90" t="s">
        <v>633</v>
      </c>
      <c r="B37" s="250">
        <v>1</v>
      </c>
    </row>
    <row r="38" spans="1:11" x14ac:dyDescent="0.25">
      <c r="A38" s="61" t="s">
        <v>315</v>
      </c>
      <c r="B38" s="30">
        <f>B34-B37*B35</f>
        <v>67</v>
      </c>
    </row>
    <row r="39" spans="1:11" x14ac:dyDescent="0.25">
      <c r="A39" s="61" t="s">
        <v>316</v>
      </c>
      <c r="B39" s="30">
        <f>B34+B37*B35</f>
        <v>75</v>
      </c>
      <c r="C39" s="85" t="str">
        <f>IF(ISNUMBER(B39),"About "&amp;TEXT(J36,"0%")&amp;" of the "&amp;K36&amp;" will be between "&amp;TEXT(B38,"0\""")&amp;" and "&amp;TEXT(B39,"0\"""),"")</f>
        <v>About 68% of the heights will be between 67" and 75"</v>
      </c>
    </row>
    <row r="40" spans="1:11" x14ac:dyDescent="0.25">
      <c r="A40" s="251" t="s">
        <v>1011</v>
      </c>
      <c r="B40" s="252"/>
      <c r="C40" s="252"/>
      <c r="D40" s="252"/>
      <c r="E40" s="252"/>
      <c r="F40" s="252"/>
      <c r="G40" s="252"/>
      <c r="H40" s="252"/>
      <c r="I40" s="253"/>
      <c r="J40">
        <v>0.95</v>
      </c>
      <c r="K40" t="s">
        <v>1013</v>
      </c>
    </row>
    <row r="41" spans="1:11" x14ac:dyDescent="0.25">
      <c r="A41" s="90" t="s">
        <v>633</v>
      </c>
      <c r="B41" s="250">
        <v>2</v>
      </c>
    </row>
    <row r="42" spans="1:11" x14ac:dyDescent="0.25">
      <c r="A42" s="61" t="s">
        <v>315</v>
      </c>
      <c r="B42" s="30">
        <f>B34-B41*B35</f>
        <v>63</v>
      </c>
    </row>
    <row r="43" spans="1:11" x14ac:dyDescent="0.25">
      <c r="A43" s="61" t="s">
        <v>316</v>
      </c>
      <c r="B43" s="30">
        <f>B34+B41*B35</f>
        <v>79</v>
      </c>
      <c r="C43" s="85" t="str">
        <f>IF(ISNUMBER(B43),"About "&amp;TEXT(J40,"0%")&amp;" of the "&amp;K40&amp;" will be between "&amp;TEXT(B42,"0\""")&amp;" and "&amp;TEXT(B43,"0\"""),"")</f>
        <v>About 95% of the heights will be between 63" and 79"</v>
      </c>
    </row>
    <row r="44" spans="1:11" x14ac:dyDescent="0.25">
      <c r="A44" s="251" t="s">
        <v>1143</v>
      </c>
      <c r="B44" s="252"/>
      <c r="C44" s="252"/>
      <c r="D44" s="252"/>
      <c r="E44" s="252"/>
      <c r="F44" s="252"/>
      <c r="G44" s="252"/>
      <c r="H44" s="252"/>
      <c r="I44" s="253"/>
      <c r="J44">
        <v>0.99</v>
      </c>
      <c r="K44" t="s">
        <v>1013</v>
      </c>
    </row>
    <row r="45" spans="1:11" x14ac:dyDescent="0.25">
      <c r="A45" s="90" t="s">
        <v>633</v>
      </c>
      <c r="B45" s="250">
        <v>3</v>
      </c>
    </row>
    <row r="46" spans="1:11" x14ac:dyDescent="0.25">
      <c r="A46" s="61" t="s">
        <v>315</v>
      </c>
      <c r="B46" s="30">
        <f>B34-B45*B35</f>
        <v>59</v>
      </c>
    </row>
    <row r="47" spans="1:11" x14ac:dyDescent="0.25">
      <c r="A47" s="61" t="s">
        <v>316</v>
      </c>
      <c r="B47" s="30">
        <f>B34+B45*B35</f>
        <v>83</v>
      </c>
      <c r="C47" s="85" t="str">
        <f>IF(ISNUMBER(B47),"About "&amp;TEXT(J44,"0%")&amp;" of the "&amp;K44&amp;" will be between "&amp;TEXT(B46,"0\""")&amp;" and "&amp;TEXT(B47,"0\"""),"")</f>
        <v>About 99% of the heights will be between 59" and 83"</v>
      </c>
    </row>
    <row r="49" spans="1:11" x14ac:dyDescent="0.25">
      <c r="A49" s="22" t="s">
        <v>647</v>
      </c>
    </row>
    <row r="50" spans="1:11" x14ac:dyDescent="0.25">
      <c r="A50" t="s">
        <v>1007</v>
      </c>
    </row>
    <row r="51" spans="1:11" x14ac:dyDescent="0.25">
      <c r="A51" t="s">
        <v>1008</v>
      </c>
    </row>
    <row r="52" spans="1:11" x14ac:dyDescent="0.25">
      <c r="A52" t="s">
        <v>1009</v>
      </c>
    </row>
    <row r="54" spans="1:11" ht="30" x14ac:dyDescent="0.25">
      <c r="A54" s="61" t="s">
        <v>1012</v>
      </c>
      <c r="B54" s="34">
        <v>2.31</v>
      </c>
      <c r="D54" t="s">
        <v>1021</v>
      </c>
      <c r="I54" t="s">
        <v>1015</v>
      </c>
    </row>
    <row r="55" spans="1:11" x14ac:dyDescent="0.25">
      <c r="A55" s="61" t="s">
        <v>641</v>
      </c>
      <c r="B55" s="34">
        <v>0.12</v>
      </c>
    </row>
    <row r="56" spans="1:11" x14ac:dyDescent="0.25">
      <c r="A56" s="251" t="s">
        <v>1010</v>
      </c>
      <c r="B56" s="252"/>
      <c r="C56" s="252"/>
      <c r="D56" s="252"/>
      <c r="E56" s="252"/>
      <c r="F56" s="252"/>
      <c r="G56" s="252"/>
      <c r="H56" s="252"/>
      <c r="I56" s="253"/>
      <c r="J56">
        <v>0.68</v>
      </c>
      <c r="K56" t="s">
        <v>1014</v>
      </c>
    </row>
    <row r="57" spans="1:11" x14ac:dyDescent="0.25">
      <c r="A57" s="90" t="s">
        <v>633</v>
      </c>
      <c r="B57" s="250">
        <v>1</v>
      </c>
    </row>
    <row r="58" spans="1:11" x14ac:dyDescent="0.25">
      <c r="A58" s="61" t="s">
        <v>315</v>
      </c>
      <c r="B58" s="30">
        <f>$B$54-B57*$B$55</f>
        <v>2.19</v>
      </c>
    </row>
    <row r="59" spans="1:11" x14ac:dyDescent="0.25">
      <c r="A59" s="61" t="s">
        <v>316</v>
      </c>
      <c r="B59" s="30">
        <f>$B$54+B57*$B$55</f>
        <v>2.4300000000000002</v>
      </c>
      <c r="C59" s="85" t="str">
        <f>IF(ISNUMBER(B59),"About "&amp;TEXT(J56,"0%")&amp;" of the "&amp;K56&amp;" will be between "&amp;TEXT(B58,"$0.00")&amp;" and "&amp;TEXT(B59,"$0.00"),"")</f>
        <v>About 68% of the prices will be between $2.19 and $2.43</v>
      </c>
    </row>
    <row r="60" spans="1:11" x14ac:dyDescent="0.25">
      <c r="A60" s="251" t="s">
        <v>1011</v>
      </c>
      <c r="B60" s="252"/>
      <c r="C60" s="252"/>
      <c r="D60" s="252"/>
      <c r="E60" s="252"/>
      <c r="F60" s="252"/>
      <c r="G60" s="252"/>
      <c r="H60" s="252"/>
      <c r="I60" s="253"/>
      <c r="J60">
        <v>0.95</v>
      </c>
      <c r="K60" t="s">
        <v>1014</v>
      </c>
    </row>
    <row r="61" spans="1:11" x14ac:dyDescent="0.25">
      <c r="A61" s="90" t="s">
        <v>633</v>
      </c>
      <c r="B61" s="250">
        <v>2</v>
      </c>
    </row>
    <row r="62" spans="1:11" x14ac:dyDescent="0.25">
      <c r="A62" s="61" t="s">
        <v>315</v>
      </c>
      <c r="B62" s="30">
        <f>$B$54-B61*$B$55</f>
        <v>2.0700000000000003</v>
      </c>
    </row>
    <row r="63" spans="1:11" x14ac:dyDescent="0.25">
      <c r="A63" s="61" t="s">
        <v>316</v>
      </c>
      <c r="B63" s="30">
        <f>$B$54+B61*$B$55</f>
        <v>2.5499999999999998</v>
      </c>
      <c r="C63" s="85" t="str">
        <f>IF(ISNUMBER(B63),"About "&amp;TEXT(J60,"0%")&amp;" of the "&amp;K60&amp;" will be between "&amp;TEXT(B62,"$0.00")&amp;" and "&amp;TEXT(B63,"$0.00"),"")</f>
        <v>About 95% of the prices will be between $2.07 and $2.55</v>
      </c>
    </row>
    <row r="64" spans="1:11" x14ac:dyDescent="0.25">
      <c r="A64" s="251" t="s">
        <v>1143</v>
      </c>
      <c r="B64" s="252"/>
      <c r="C64" s="252"/>
      <c r="D64" s="252"/>
      <c r="E64" s="252"/>
      <c r="F64" s="252"/>
      <c r="G64" s="252"/>
      <c r="H64" s="252"/>
      <c r="I64" s="253"/>
      <c r="J64">
        <v>0.99</v>
      </c>
      <c r="K64" t="s">
        <v>1014</v>
      </c>
    </row>
    <row r="65" spans="1:11" x14ac:dyDescent="0.25">
      <c r="A65" s="90" t="s">
        <v>633</v>
      </c>
      <c r="B65" s="250">
        <v>3</v>
      </c>
    </row>
    <row r="66" spans="1:11" x14ac:dyDescent="0.25">
      <c r="A66" s="61" t="s">
        <v>315</v>
      </c>
      <c r="B66" s="30">
        <f>$B$54-B65*$B$55</f>
        <v>1.9500000000000002</v>
      </c>
    </row>
    <row r="67" spans="1:11" x14ac:dyDescent="0.25">
      <c r="A67" s="61" t="s">
        <v>316</v>
      </c>
      <c r="B67" s="30">
        <f>$B$54+B65*$B$55</f>
        <v>2.67</v>
      </c>
      <c r="C67" s="85" t="str">
        <f>IF(ISNUMBER(B67),"About "&amp;TEXT(J64,"0%")&amp;" of the "&amp;K64&amp;" will be between "&amp;TEXT(B66,"$0.00")&amp;" and "&amp;TEXT(B67,"$0.00"),"")</f>
        <v>About 99% of the prices will be between $1.95 and $2.67</v>
      </c>
    </row>
    <row r="69" spans="1:11" x14ac:dyDescent="0.25">
      <c r="A69" s="22" t="s">
        <v>647</v>
      </c>
    </row>
    <row r="70" spans="1:11" x14ac:dyDescent="0.25">
      <c r="A70" t="s">
        <v>1007</v>
      </c>
    </row>
    <row r="71" spans="1:11" x14ac:dyDescent="0.25">
      <c r="A71" t="s">
        <v>1008</v>
      </c>
    </row>
    <row r="72" spans="1:11" x14ac:dyDescent="0.25">
      <c r="A72" t="s">
        <v>1009</v>
      </c>
    </row>
    <row r="74" spans="1:11" ht="30" x14ac:dyDescent="0.25">
      <c r="A74" s="61" t="s">
        <v>1016</v>
      </c>
      <c r="B74" s="34">
        <v>32</v>
      </c>
      <c r="C74" t="s">
        <v>1025</v>
      </c>
      <c r="D74" t="s">
        <v>1021</v>
      </c>
      <c r="I74" t="s">
        <v>1018</v>
      </c>
    </row>
    <row r="75" spans="1:11" x14ac:dyDescent="0.25">
      <c r="A75" s="61" t="s">
        <v>641</v>
      </c>
      <c r="B75" s="34">
        <v>0.35</v>
      </c>
      <c r="C75" t="s">
        <v>1025</v>
      </c>
    </row>
    <row r="76" spans="1:11" x14ac:dyDescent="0.25">
      <c r="A76" s="251" t="s">
        <v>1010</v>
      </c>
      <c r="B76" s="252"/>
      <c r="C76" s="252"/>
      <c r="D76" s="252"/>
      <c r="E76" s="252"/>
      <c r="F76" s="252"/>
      <c r="G76" s="252"/>
      <c r="H76" s="252"/>
      <c r="I76" s="253"/>
      <c r="J76">
        <v>0.68</v>
      </c>
      <c r="K76" t="s">
        <v>1017</v>
      </c>
    </row>
    <row r="77" spans="1:11" x14ac:dyDescent="0.25">
      <c r="A77" s="90" t="s">
        <v>633</v>
      </c>
      <c r="B77" s="250">
        <v>1</v>
      </c>
    </row>
    <row r="78" spans="1:11" x14ac:dyDescent="0.25">
      <c r="A78" s="61" t="s">
        <v>315</v>
      </c>
      <c r="B78" s="30">
        <f>$B$74-B77*$B$75</f>
        <v>31.65</v>
      </c>
    </row>
    <row r="79" spans="1:11" x14ac:dyDescent="0.25">
      <c r="A79" s="61" t="s">
        <v>316</v>
      </c>
      <c r="B79" s="30">
        <f>$B$74+B77*$B$75</f>
        <v>32.35</v>
      </c>
      <c r="C79" s="85" t="str">
        <f>IF(ISNUMBER(B79),"About "&amp;TEXT(J76,"0%")&amp;" of the "&amp;K76&amp;" will be between "&amp;TEXT(B78,"0.00 oz.")&amp;" and "&amp;TEXT(B79,"0.00 oz."),"")</f>
        <v>About 68% of the weight will be between 31.65 oz. and 32.35 oz.</v>
      </c>
    </row>
    <row r="80" spans="1:11" x14ac:dyDescent="0.25">
      <c r="A80" s="251" t="s">
        <v>1011</v>
      </c>
      <c r="B80" s="252"/>
      <c r="C80" s="252"/>
      <c r="D80" s="252"/>
      <c r="E80" s="252"/>
      <c r="F80" s="252"/>
      <c r="G80" s="252"/>
      <c r="H80" s="252"/>
      <c r="I80" s="253"/>
      <c r="J80">
        <v>0.95</v>
      </c>
      <c r="K80" t="s">
        <v>1017</v>
      </c>
    </row>
    <row r="81" spans="1:11" x14ac:dyDescent="0.25">
      <c r="A81" s="90" t="s">
        <v>633</v>
      </c>
      <c r="B81" s="250">
        <v>2</v>
      </c>
    </row>
    <row r="82" spans="1:11" x14ac:dyDescent="0.25">
      <c r="A82" s="61" t="s">
        <v>315</v>
      </c>
      <c r="B82" s="30">
        <f>$B$74-B81*$B$75</f>
        <v>31.3</v>
      </c>
    </row>
    <row r="83" spans="1:11" x14ac:dyDescent="0.25">
      <c r="A83" s="61" t="s">
        <v>316</v>
      </c>
      <c r="B83" s="30">
        <f>$B$74+B81*$B$75</f>
        <v>32.700000000000003</v>
      </c>
      <c r="C83" s="85" t="str">
        <f>IF(ISNUMBER(B83),"About "&amp;TEXT(J80,"0%")&amp;" of the "&amp;K80&amp;" will be between "&amp;TEXT(B82,"0.00 oz.")&amp;" and "&amp;TEXT(B83,"0.00 oz."),"")</f>
        <v>About 95% of the weight will be between 31.30 oz. and 32.70 oz.</v>
      </c>
    </row>
    <row r="84" spans="1:11" x14ac:dyDescent="0.25">
      <c r="A84" s="251" t="s">
        <v>1011</v>
      </c>
      <c r="B84" s="252"/>
      <c r="C84" s="252"/>
      <c r="D84" s="252"/>
      <c r="E84" s="252"/>
      <c r="F84" s="252"/>
      <c r="G84" s="252"/>
      <c r="H84" s="252"/>
      <c r="I84" s="253"/>
      <c r="J84">
        <v>0.99</v>
      </c>
      <c r="K84" t="s">
        <v>1017</v>
      </c>
    </row>
    <row r="85" spans="1:11" x14ac:dyDescent="0.25">
      <c r="A85" s="90" t="s">
        <v>633</v>
      </c>
      <c r="B85" s="250">
        <v>3</v>
      </c>
    </row>
    <row r="86" spans="1:11" x14ac:dyDescent="0.25">
      <c r="A86" s="61" t="s">
        <v>315</v>
      </c>
      <c r="B86" s="30">
        <f>$B$74-B85*$B$75</f>
        <v>30.95</v>
      </c>
    </row>
    <row r="87" spans="1:11" x14ac:dyDescent="0.25">
      <c r="A87" s="61" t="s">
        <v>316</v>
      </c>
      <c r="B87" s="30">
        <f>$B$74+B85*$B$75</f>
        <v>33.049999999999997</v>
      </c>
      <c r="C87" s="85" t="str">
        <f>IF(ISNUMBER(B87),"About "&amp;TEXT(J84,"0%")&amp;" of the "&amp;K84&amp;" will be between "&amp;TEXT(B86,"0.00 oz.")&amp;" and "&amp;TEXT(B87,"0.00 oz."),"")</f>
        <v>About 99% of the weight will be between 30.95 oz. and 33.05 oz.</v>
      </c>
    </row>
    <row r="90" spans="1:11" x14ac:dyDescent="0.25">
      <c r="A90" s="22" t="s">
        <v>1019</v>
      </c>
    </row>
    <row r="91" spans="1:11" x14ac:dyDescent="0.25">
      <c r="A91" s="1" t="s">
        <v>641</v>
      </c>
      <c r="B91" s="1" t="s">
        <v>291</v>
      </c>
      <c r="C91" s="1" t="s">
        <v>648</v>
      </c>
    </row>
    <row r="92" spans="1:11" x14ac:dyDescent="0.25">
      <c r="A92" s="26" t="s">
        <v>651</v>
      </c>
      <c r="B92" s="34">
        <v>0.68</v>
      </c>
      <c r="C92" s="30">
        <f>B92/2</f>
        <v>0.34</v>
      </c>
    </row>
    <row r="93" spans="1:11" x14ac:dyDescent="0.25">
      <c r="A93" s="26" t="s">
        <v>650</v>
      </c>
      <c r="B93" s="34">
        <v>0.95</v>
      </c>
      <c r="C93" s="30">
        <f t="shared" ref="C93:C94" si="0">B93/2</f>
        <v>0.47499999999999998</v>
      </c>
    </row>
    <row r="94" spans="1:11" x14ac:dyDescent="0.25">
      <c r="A94" s="26" t="s">
        <v>649</v>
      </c>
      <c r="B94" s="34">
        <v>0.99</v>
      </c>
      <c r="C94" s="30">
        <f t="shared" si="0"/>
        <v>0.495</v>
      </c>
    </row>
    <row r="96" spans="1:11" ht="30" x14ac:dyDescent="0.25">
      <c r="A96" s="61" t="s">
        <v>1012</v>
      </c>
      <c r="B96" s="34">
        <v>2.31</v>
      </c>
    </row>
    <row r="97" spans="1:13" x14ac:dyDescent="0.25">
      <c r="A97" s="61" t="s">
        <v>641</v>
      </c>
      <c r="B97" s="34">
        <v>0.12</v>
      </c>
    </row>
    <row r="98" spans="1:13" x14ac:dyDescent="0.25">
      <c r="A98" s="251" t="str">
        <f>"What is the probability of getting a gas price between "&amp;DOLLAR(B99)&amp;" and "&amp;DOLLAR(B100)&amp;"?"</f>
        <v>What is the probability of getting a gas price between $2.31 and $2.55?</v>
      </c>
      <c r="B98" s="252"/>
      <c r="C98" s="252"/>
      <c r="D98" s="252"/>
      <c r="E98" s="252"/>
      <c r="F98" s="252"/>
      <c r="G98" s="252"/>
      <c r="H98" s="252"/>
      <c r="I98" s="253"/>
    </row>
    <row r="99" spans="1:13" x14ac:dyDescent="0.25">
      <c r="A99" s="61" t="s">
        <v>315</v>
      </c>
      <c r="B99" s="34">
        <v>2.31</v>
      </c>
    </row>
    <row r="100" spans="1:13" x14ac:dyDescent="0.25">
      <c r="A100" s="61" t="s">
        <v>316</v>
      </c>
      <c r="B100" s="34">
        <f>B96+B97*2</f>
        <v>2.5499999999999998</v>
      </c>
    </row>
    <row r="101" spans="1:13" x14ac:dyDescent="0.25">
      <c r="A101" s="61" t="str">
        <f>"z "&amp;A99</f>
        <v>z Lower</v>
      </c>
      <c r="B101" s="30">
        <f>(B99-$B$96)/$B$97</f>
        <v>0</v>
      </c>
    </row>
    <row r="102" spans="1:13" x14ac:dyDescent="0.25">
      <c r="A102" s="61" t="str">
        <f>"z "&amp;A100</f>
        <v>z Upper</v>
      </c>
      <c r="B102" s="30">
        <f>(B100-$B$96)/$B$97</f>
        <v>1.9999999999999982</v>
      </c>
      <c r="M102">
        <f>_xlfn.NORM.S.DIST(B102,1)-_xlfn.NORM.S.DIST(B101,1)</f>
        <v>0.47724986805182068</v>
      </c>
    </row>
    <row r="103" spans="1:13" x14ac:dyDescent="0.25">
      <c r="A103" s="61" t="s">
        <v>1020</v>
      </c>
      <c r="B103" s="30">
        <f>C93</f>
        <v>0.47499999999999998</v>
      </c>
      <c r="C103" s="85" t="str">
        <f>IF(ISNUMBER(B103),"The probability of getting a gas price between "&amp;DOLLAR(B99)&amp;" and "&amp;DOLLAR(B100)&amp;" is approximately "&amp;TEXT(B103,"0.0%"),"")</f>
        <v>The probability of getting a gas price between $2.31 and $2.55 is approximately 47.5%</v>
      </c>
    </row>
    <row r="104" spans="1:13" x14ac:dyDescent="0.25">
      <c r="A104" s="251" t="str">
        <f>"What is the probability of getting a gas price between "&amp;DOLLAR(B105)&amp;" and "&amp;DOLLAR(B106)&amp;"?"</f>
        <v>What is the probability of getting a gas price between $2.07 and $2.43?</v>
      </c>
      <c r="B104" s="252"/>
      <c r="C104" s="252"/>
      <c r="D104" s="252"/>
      <c r="E104" s="252"/>
      <c r="F104" s="252"/>
      <c r="G104" s="252"/>
      <c r="H104" s="252"/>
      <c r="I104" s="253"/>
    </row>
    <row r="105" spans="1:13" x14ac:dyDescent="0.25">
      <c r="A105" s="61" t="s">
        <v>315</v>
      </c>
      <c r="B105" s="34">
        <f>B96-B97*2</f>
        <v>2.0700000000000003</v>
      </c>
    </row>
    <row r="106" spans="1:13" x14ac:dyDescent="0.25">
      <c r="A106" s="61" t="s">
        <v>316</v>
      </c>
      <c r="B106" s="34">
        <f>B96+B97*1</f>
        <v>2.4300000000000002</v>
      </c>
    </row>
    <row r="107" spans="1:13" x14ac:dyDescent="0.25">
      <c r="A107" s="61" t="str">
        <f>"z "&amp;A105</f>
        <v>z Lower</v>
      </c>
      <c r="B107" s="30">
        <f>(B105-$B$96)/$B$97</f>
        <v>-1.9999999999999982</v>
      </c>
    </row>
    <row r="108" spans="1:13" x14ac:dyDescent="0.25">
      <c r="A108" s="61" t="str">
        <f>"z "&amp;A106</f>
        <v>z Upper</v>
      </c>
      <c r="B108" s="30">
        <f>(B106-$B$96)/$B$97</f>
        <v>1.0000000000000009</v>
      </c>
      <c r="M108">
        <f>_xlfn.NORM.S.DIST(B108,1)-_xlfn.NORM.S.DIST(B107,1)</f>
        <v>0.81859461412036394</v>
      </c>
    </row>
    <row r="109" spans="1:13" x14ac:dyDescent="0.25">
      <c r="A109" s="61" t="s">
        <v>1020</v>
      </c>
      <c r="B109" s="30">
        <f>C93+C92</f>
        <v>0.81499999999999995</v>
      </c>
      <c r="C109" s="85" t="str">
        <f>IF(ISNUMBER(B109),"The probability of getting a gas price between "&amp;DOLLAR(B105)&amp;" and "&amp;DOLLAR(B106)&amp;" is approximately "&amp;TEXT(B109,"0.0%"),"")</f>
        <v>The probability of getting a gas price between $2.07 and $2.43 is approximately 81.5%</v>
      </c>
    </row>
    <row r="110" spans="1:13" x14ac:dyDescent="0.25">
      <c r="A110" s="251" t="str">
        <f>"What is the probability of getting a gas price above "&amp;DOLLAR(B111)</f>
        <v>What is the probability of getting a gas price above $2.19</v>
      </c>
      <c r="B110" s="252"/>
      <c r="C110" s="252"/>
      <c r="D110" s="252"/>
      <c r="E110" s="252"/>
      <c r="F110" s="252"/>
      <c r="G110" s="252"/>
      <c r="H110" s="252"/>
      <c r="I110" s="253"/>
    </row>
    <row r="111" spans="1:13" x14ac:dyDescent="0.25">
      <c r="A111" s="61" t="s">
        <v>315</v>
      </c>
      <c r="B111" s="34">
        <f>B96-B97</f>
        <v>2.19</v>
      </c>
    </row>
    <row r="112" spans="1:13" x14ac:dyDescent="0.25">
      <c r="A112" s="61" t="str">
        <f>"z "&amp;A111</f>
        <v>z Lower</v>
      </c>
      <c r="B112" s="30">
        <f>(B111-B96)/B97</f>
        <v>-1.0000000000000009</v>
      </c>
      <c r="M112">
        <f>1-_xlfn.NORM.S.DIST(B112,1)</f>
        <v>0.84134474606854326</v>
      </c>
    </row>
    <row r="113" spans="1:3" x14ac:dyDescent="0.25">
      <c r="A113" s="61" t="s">
        <v>1020</v>
      </c>
      <c r="B113" s="30">
        <f>0.5+C92</f>
        <v>0.84000000000000008</v>
      </c>
      <c r="C113" s="85" t="str">
        <f>IF(ISNUMBER(B113),"The probability of getting a gas price above "&amp;DOLLAR(B111)&amp;" is approximately "&amp;TEXT(B113,"0.0%"),"")</f>
        <v>The probability of getting a gas price above $2.19 is approximately 84.0%</v>
      </c>
    </row>
  </sheetData>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tabColor rgb="FF0000FF"/>
  </sheetPr>
  <dimension ref="A1:G19"/>
  <sheetViews>
    <sheetView zoomScale="130" zoomScaleNormal="130" workbookViewId="0">
      <selection activeCell="A9" sqref="A9"/>
    </sheetView>
  </sheetViews>
  <sheetFormatPr defaultRowHeight="15" x14ac:dyDescent="0.25"/>
  <cols>
    <col min="1" max="1" width="12.85546875" bestFit="1" customWidth="1"/>
    <col min="3" max="3" width="3" bestFit="1" customWidth="1"/>
    <col min="257" max="257" width="12.85546875" bestFit="1" customWidth="1"/>
    <col min="259" max="259" width="3" bestFit="1" customWidth="1"/>
    <col min="513" max="513" width="12.85546875" bestFit="1" customWidth="1"/>
    <col min="515" max="515" width="3" bestFit="1" customWidth="1"/>
    <col min="769" max="769" width="12.85546875" bestFit="1" customWidth="1"/>
    <col min="771" max="771" width="3" bestFit="1" customWidth="1"/>
    <col min="1025" max="1025" width="12.85546875" bestFit="1" customWidth="1"/>
    <col min="1027" max="1027" width="3" bestFit="1" customWidth="1"/>
    <col min="1281" max="1281" width="12.85546875" bestFit="1" customWidth="1"/>
    <col min="1283" max="1283" width="3" bestFit="1" customWidth="1"/>
    <col min="1537" max="1537" width="12.85546875" bestFit="1" customWidth="1"/>
    <col min="1539" max="1539" width="3" bestFit="1" customWidth="1"/>
    <col min="1793" max="1793" width="12.85546875" bestFit="1" customWidth="1"/>
    <col min="1795" max="1795" width="3" bestFit="1" customWidth="1"/>
    <col min="2049" max="2049" width="12.85546875" bestFit="1" customWidth="1"/>
    <col min="2051" max="2051" width="3" bestFit="1" customWidth="1"/>
    <col min="2305" max="2305" width="12.85546875" bestFit="1" customWidth="1"/>
    <col min="2307" max="2307" width="3" bestFit="1" customWidth="1"/>
    <col min="2561" max="2561" width="12.85546875" bestFit="1" customWidth="1"/>
    <col min="2563" max="2563" width="3" bestFit="1" customWidth="1"/>
    <col min="2817" max="2817" width="12.85546875" bestFit="1" customWidth="1"/>
    <col min="2819" max="2819" width="3" bestFit="1" customWidth="1"/>
    <col min="3073" max="3073" width="12.85546875" bestFit="1" customWidth="1"/>
    <col min="3075" max="3075" width="3" bestFit="1" customWidth="1"/>
    <col min="3329" max="3329" width="12.85546875" bestFit="1" customWidth="1"/>
    <col min="3331" max="3331" width="3" bestFit="1" customWidth="1"/>
    <col min="3585" max="3585" width="12.85546875" bestFit="1" customWidth="1"/>
    <col min="3587" max="3587" width="3" bestFit="1" customWidth="1"/>
    <col min="3841" max="3841" width="12.85546875" bestFit="1" customWidth="1"/>
    <col min="3843" max="3843" width="3" bestFit="1" customWidth="1"/>
    <col min="4097" max="4097" width="12.85546875" bestFit="1" customWidth="1"/>
    <col min="4099" max="4099" width="3" bestFit="1" customWidth="1"/>
    <col min="4353" max="4353" width="12.85546875" bestFit="1" customWidth="1"/>
    <col min="4355" max="4355" width="3" bestFit="1" customWidth="1"/>
    <col min="4609" max="4609" width="12.85546875" bestFit="1" customWidth="1"/>
    <col min="4611" max="4611" width="3" bestFit="1" customWidth="1"/>
    <col min="4865" max="4865" width="12.85546875" bestFit="1" customWidth="1"/>
    <col min="4867" max="4867" width="3" bestFit="1" customWidth="1"/>
    <col min="5121" max="5121" width="12.85546875" bestFit="1" customWidth="1"/>
    <col min="5123" max="5123" width="3" bestFit="1" customWidth="1"/>
    <col min="5377" max="5377" width="12.85546875" bestFit="1" customWidth="1"/>
    <col min="5379" max="5379" width="3" bestFit="1" customWidth="1"/>
    <col min="5633" max="5633" width="12.85546875" bestFit="1" customWidth="1"/>
    <col min="5635" max="5635" width="3" bestFit="1" customWidth="1"/>
    <col min="5889" max="5889" width="12.85546875" bestFit="1" customWidth="1"/>
    <col min="5891" max="5891" width="3" bestFit="1" customWidth="1"/>
    <col min="6145" max="6145" width="12.85546875" bestFit="1" customWidth="1"/>
    <col min="6147" max="6147" width="3" bestFit="1" customWidth="1"/>
    <col min="6401" max="6401" width="12.85546875" bestFit="1" customWidth="1"/>
    <col min="6403" max="6403" width="3" bestFit="1" customWidth="1"/>
    <col min="6657" max="6657" width="12.85546875" bestFit="1" customWidth="1"/>
    <col min="6659" max="6659" width="3" bestFit="1" customWidth="1"/>
    <col min="6913" max="6913" width="12.85546875" bestFit="1" customWidth="1"/>
    <col min="6915" max="6915" width="3" bestFit="1" customWidth="1"/>
    <col min="7169" max="7169" width="12.85546875" bestFit="1" customWidth="1"/>
    <col min="7171" max="7171" width="3" bestFit="1" customWidth="1"/>
    <col min="7425" max="7425" width="12.85546875" bestFit="1" customWidth="1"/>
    <col min="7427" max="7427" width="3" bestFit="1" customWidth="1"/>
    <col min="7681" max="7681" width="12.85546875" bestFit="1" customWidth="1"/>
    <col min="7683" max="7683" width="3" bestFit="1" customWidth="1"/>
    <col min="7937" max="7937" width="12.85546875" bestFit="1" customWidth="1"/>
    <col min="7939" max="7939" width="3" bestFit="1" customWidth="1"/>
    <col min="8193" max="8193" width="12.85546875" bestFit="1" customWidth="1"/>
    <col min="8195" max="8195" width="3" bestFit="1" customWidth="1"/>
    <col min="8449" max="8449" width="12.85546875" bestFit="1" customWidth="1"/>
    <col min="8451" max="8451" width="3" bestFit="1" customWidth="1"/>
    <col min="8705" max="8705" width="12.85546875" bestFit="1" customWidth="1"/>
    <col min="8707" max="8707" width="3" bestFit="1" customWidth="1"/>
    <col min="8961" max="8961" width="12.85546875" bestFit="1" customWidth="1"/>
    <col min="8963" max="8963" width="3" bestFit="1" customWidth="1"/>
    <col min="9217" max="9217" width="12.85546875" bestFit="1" customWidth="1"/>
    <col min="9219" max="9219" width="3" bestFit="1" customWidth="1"/>
    <col min="9473" max="9473" width="12.85546875" bestFit="1" customWidth="1"/>
    <col min="9475" max="9475" width="3" bestFit="1" customWidth="1"/>
    <col min="9729" max="9729" width="12.85546875" bestFit="1" customWidth="1"/>
    <col min="9731" max="9731" width="3" bestFit="1" customWidth="1"/>
    <col min="9985" max="9985" width="12.85546875" bestFit="1" customWidth="1"/>
    <col min="9987" max="9987" width="3" bestFit="1" customWidth="1"/>
    <col min="10241" max="10241" width="12.85546875" bestFit="1" customWidth="1"/>
    <col min="10243" max="10243" width="3" bestFit="1" customWidth="1"/>
    <col min="10497" max="10497" width="12.85546875" bestFit="1" customWidth="1"/>
    <col min="10499" max="10499" width="3" bestFit="1" customWidth="1"/>
    <col min="10753" max="10753" width="12.85546875" bestFit="1" customWidth="1"/>
    <col min="10755" max="10755" width="3" bestFit="1" customWidth="1"/>
    <col min="11009" max="11009" width="12.85546875" bestFit="1" customWidth="1"/>
    <col min="11011" max="11011" width="3" bestFit="1" customWidth="1"/>
    <col min="11265" max="11265" width="12.85546875" bestFit="1" customWidth="1"/>
    <col min="11267" max="11267" width="3" bestFit="1" customWidth="1"/>
    <col min="11521" max="11521" width="12.85546875" bestFit="1" customWidth="1"/>
    <col min="11523" max="11523" width="3" bestFit="1" customWidth="1"/>
    <col min="11777" max="11777" width="12.85546875" bestFit="1" customWidth="1"/>
    <col min="11779" max="11779" width="3" bestFit="1" customWidth="1"/>
    <col min="12033" max="12033" width="12.85546875" bestFit="1" customWidth="1"/>
    <col min="12035" max="12035" width="3" bestFit="1" customWidth="1"/>
    <col min="12289" max="12289" width="12.85546875" bestFit="1" customWidth="1"/>
    <col min="12291" max="12291" width="3" bestFit="1" customWidth="1"/>
    <col min="12545" max="12545" width="12.85546875" bestFit="1" customWidth="1"/>
    <col min="12547" max="12547" width="3" bestFit="1" customWidth="1"/>
    <col min="12801" max="12801" width="12.85546875" bestFit="1" customWidth="1"/>
    <col min="12803" max="12803" width="3" bestFit="1" customWidth="1"/>
    <col min="13057" max="13057" width="12.85546875" bestFit="1" customWidth="1"/>
    <col min="13059" max="13059" width="3" bestFit="1" customWidth="1"/>
    <col min="13313" max="13313" width="12.85546875" bestFit="1" customWidth="1"/>
    <col min="13315" max="13315" width="3" bestFit="1" customWidth="1"/>
    <col min="13569" max="13569" width="12.85546875" bestFit="1" customWidth="1"/>
    <col min="13571" max="13571" width="3" bestFit="1" customWidth="1"/>
    <col min="13825" max="13825" width="12.85546875" bestFit="1" customWidth="1"/>
    <col min="13827" max="13827" width="3" bestFit="1" customWidth="1"/>
    <col min="14081" max="14081" width="12.85546875" bestFit="1" customWidth="1"/>
    <col min="14083" max="14083" width="3" bestFit="1" customWidth="1"/>
    <col min="14337" max="14337" width="12.85546875" bestFit="1" customWidth="1"/>
    <col min="14339" max="14339" width="3" bestFit="1" customWidth="1"/>
    <col min="14593" max="14593" width="12.85546875" bestFit="1" customWidth="1"/>
    <col min="14595" max="14595" width="3" bestFit="1" customWidth="1"/>
    <col min="14849" max="14849" width="12.85546875" bestFit="1" customWidth="1"/>
    <col min="14851" max="14851" width="3" bestFit="1" customWidth="1"/>
    <col min="15105" max="15105" width="12.85546875" bestFit="1" customWidth="1"/>
    <col min="15107" max="15107" width="3" bestFit="1" customWidth="1"/>
    <col min="15361" max="15361" width="12.85546875" bestFit="1" customWidth="1"/>
    <col min="15363" max="15363" width="3" bestFit="1" customWidth="1"/>
    <col min="15617" max="15617" width="12.85546875" bestFit="1" customWidth="1"/>
    <col min="15619" max="15619" width="3" bestFit="1" customWidth="1"/>
    <col min="15873" max="15873" width="12.85546875" bestFit="1" customWidth="1"/>
    <col min="15875" max="15875" width="3" bestFit="1" customWidth="1"/>
    <col min="16129" max="16129" width="12.85546875" bestFit="1" customWidth="1"/>
    <col min="16131" max="16131" width="3" bestFit="1" customWidth="1"/>
  </cols>
  <sheetData>
    <row r="1" spans="1:7" ht="72" x14ac:dyDescent="0.25">
      <c r="A1" s="168" t="s">
        <v>658</v>
      </c>
      <c r="B1" s="168"/>
      <c r="C1" s="168"/>
      <c r="D1" s="168"/>
      <c r="E1" s="168"/>
      <c r="F1" s="168"/>
      <c r="G1" s="168"/>
    </row>
    <row r="2" spans="1:7" ht="2.25" customHeight="1" x14ac:dyDescent="0.25"/>
    <row r="3" spans="1:7" x14ac:dyDescent="0.25">
      <c r="A3" s="26" t="s">
        <v>85</v>
      </c>
      <c r="B3" s="26">
        <v>13</v>
      </c>
      <c r="C3" s="26" t="s">
        <v>657</v>
      </c>
    </row>
    <row r="4" spans="1:7" x14ac:dyDescent="0.25">
      <c r="A4" s="26" t="s">
        <v>641</v>
      </c>
      <c r="B4" s="26">
        <v>0.1</v>
      </c>
      <c r="C4" s="26" t="s">
        <v>657</v>
      </c>
    </row>
    <row r="5" spans="1:7" x14ac:dyDescent="0.25">
      <c r="A5" s="26" t="s">
        <v>656</v>
      </c>
      <c r="B5" s="26">
        <v>2</v>
      </c>
    </row>
    <row r="6" spans="1:7" x14ac:dyDescent="0.25">
      <c r="A6" s="26" t="s">
        <v>655</v>
      </c>
      <c r="B6" s="86">
        <v>0.95</v>
      </c>
      <c r="D6" t="s">
        <v>103</v>
      </c>
    </row>
    <row r="7" spans="1:7" x14ac:dyDescent="0.25">
      <c r="A7" s="26" t="s">
        <v>654</v>
      </c>
      <c r="B7" s="30"/>
    </row>
    <row r="8" spans="1:7" x14ac:dyDescent="0.25">
      <c r="A8" s="26" t="s">
        <v>653</v>
      </c>
      <c r="B8" s="30"/>
    </row>
    <row r="9" spans="1:7" x14ac:dyDescent="0.25">
      <c r="A9" s="173" t="str">
        <f>IF(B8="","","Because the distribution is bell shaped, we can say that approximately "&amp;TEXT(B6,"0.00%")&amp;" of the values should lie between "&amp;B8&amp;" oz. and "&amp;B7&amp;" oz.")</f>
        <v/>
      </c>
      <c r="B9" s="172"/>
      <c r="C9" s="172"/>
      <c r="D9" s="172"/>
      <c r="E9" s="172"/>
      <c r="F9" s="171"/>
    </row>
    <row r="11" spans="1:7" x14ac:dyDescent="0.25">
      <c r="A11" s="26" t="s">
        <v>85</v>
      </c>
      <c r="B11" s="26">
        <v>13</v>
      </c>
      <c r="C11" s="26" t="s">
        <v>657</v>
      </c>
    </row>
    <row r="12" spans="1:7" x14ac:dyDescent="0.25">
      <c r="A12" s="26" t="s">
        <v>641</v>
      </c>
      <c r="B12" s="26">
        <v>0.1</v>
      </c>
      <c r="C12" s="26" t="s">
        <v>657</v>
      </c>
    </row>
    <row r="13" spans="1:7" x14ac:dyDescent="0.25">
      <c r="A13" s="26" t="s">
        <v>656</v>
      </c>
      <c r="B13" s="26">
        <v>2</v>
      </c>
    </row>
    <row r="14" spans="1:7" x14ac:dyDescent="0.25">
      <c r="A14" s="26" t="s">
        <v>655</v>
      </c>
      <c r="B14" s="86">
        <v>0.75</v>
      </c>
      <c r="D14" t="s">
        <v>636</v>
      </c>
      <c r="G14">
        <f>1-1/B13^2</f>
        <v>0.75</v>
      </c>
    </row>
    <row r="15" spans="1:7" x14ac:dyDescent="0.25">
      <c r="A15" s="26" t="s">
        <v>654</v>
      </c>
      <c r="B15" s="30"/>
    </row>
    <row r="16" spans="1:7" x14ac:dyDescent="0.25">
      <c r="A16" s="26" t="s">
        <v>653</v>
      </c>
      <c r="B16" s="30"/>
    </row>
    <row r="17" spans="1:6" x14ac:dyDescent="0.25">
      <c r="A17" s="173" t="str">
        <f>IF(B16="","","Because the distribution is not bell shaped, we can say that approximately "&amp;TEXT(B14,"0.00%")&amp;" of the values should lie between "&amp;B16&amp;" oz. and "&amp;B15&amp;" oz.")</f>
        <v/>
      </c>
      <c r="B17" s="172"/>
      <c r="C17" s="172"/>
      <c r="D17" s="172"/>
      <c r="E17" s="172"/>
      <c r="F17" s="171"/>
    </row>
    <row r="19" spans="1:6" x14ac:dyDescent="0.25">
      <c r="A19" t="s">
        <v>652</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tabColor rgb="FFFF0000"/>
  </sheetPr>
  <dimension ref="A1:G19"/>
  <sheetViews>
    <sheetView zoomScale="130" zoomScaleNormal="130" workbookViewId="0">
      <selection activeCell="A18" sqref="A18"/>
    </sheetView>
  </sheetViews>
  <sheetFormatPr defaultRowHeight="15" x14ac:dyDescent="0.25"/>
  <cols>
    <col min="1" max="1" width="12.85546875" bestFit="1" customWidth="1"/>
    <col min="3" max="3" width="3" bestFit="1" customWidth="1"/>
    <col min="257" max="257" width="12.85546875" bestFit="1" customWidth="1"/>
    <col min="259" max="259" width="3" bestFit="1" customWidth="1"/>
    <col min="513" max="513" width="12.85546875" bestFit="1" customWidth="1"/>
    <col min="515" max="515" width="3" bestFit="1" customWidth="1"/>
    <col min="769" max="769" width="12.85546875" bestFit="1" customWidth="1"/>
    <col min="771" max="771" width="3" bestFit="1" customWidth="1"/>
    <col min="1025" max="1025" width="12.85546875" bestFit="1" customWidth="1"/>
    <col min="1027" max="1027" width="3" bestFit="1" customWidth="1"/>
    <col min="1281" max="1281" width="12.85546875" bestFit="1" customWidth="1"/>
    <col min="1283" max="1283" width="3" bestFit="1" customWidth="1"/>
    <col min="1537" max="1537" width="12.85546875" bestFit="1" customWidth="1"/>
    <col min="1539" max="1539" width="3" bestFit="1" customWidth="1"/>
    <col min="1793" max="1793" width="12.85546875" bestFit="1" customWidth="1"/>
    <col min="1795" max="1795" width="3" bestFit="1" customWidth="1"/>
    <col min="2049" max="2049" width="12.85546875" bestFit="1" customWidth="1"/>
    <col min="2051" max="2051" width="3" bestFit="1" customWidth="1"/>
    <col min="2305" max="2305" width="12.85546875" bestFit="1" customWidth="1"/>
    <col min="2307" max="2307" width="3" bestFit="1" customWidth="1"/>
    <col min="2561" max="2561" width="12.85546875" bestFit="1" customWidth="1"/>
    <col min="2563" max="2563" width="3" bestFit="1" customWidth="1"/>
    <col min="2817" max="2817" width="12.85546875" bestFit="1" customWidth="1"/>
    <col min="2819" max="2819" width="3" bestFit="1" customWidth="1"/>
    <col min="3073" max="3073" width="12.85546875" bestFit="1" customWidth="1"/>
    <col min="3075" max="3075" width="3" bestFit="1" customWidth="1"/>
    <col min="3329" max="3329" width="12.85546875" bestFit="1" customWidth="1"/>
    <col min="3331" max="3331" width="3" bestFit="1" customWidth="1"/>
    <col min="3585" max="3585" width="12.85546875" bestFit="1" customWidth="1"/>
    <col min="3587" max="3587" width="3" bestFit="1" customWidth="1"/>
    <col min="3841" max="3841" width="12.85546875" bestFit="1" customWidth="1"/>
    <col min="3843" max="3843" width="3" bestFit="1" customWidth="1"/>
    <col min="4097" max="4097" width="12.85546875" bestFit="1" customWidth="1"/>
    <col min="4099" max="4099" width="3" bestFit="1" customWidth="1"/>
    <col min="4353" max="4353" width="12.85546875" bestFit="1" customWidth="1"/>
    <col min="4355" max="4355" width="3" bestFit="1" customWidth="1"/>
    <col min="4609" max="4609" width="12.85546875" bestFit="1" customWidth="1"/>
    <col min="4611" max="4611" width="3" bestFit="1" customWidth="1"/>
    <col min="4865" max="4865" width="12.85546875" bestFit="1" customWidth="1"/>
    <col min="4867" max="4867" width="3" bestFit="1" customWidth="1"/>
    <col min="5121" max="5121" width="12.85546875" bestFit="1" customWidth="1"/>
    <col min="5123" max="5123" width="3" bestFit="1" customWidth="1"/>
    <col min="5377" max="5377" width="12.85546875" bestFit="1" customWidth="1"/>
    <col min="5379" max="5379" width="3" bestFit="1" customWidth="1"/>
    <col min="5633" max="5633" width="12.85546875" bestFit="1" customWidth="1"/>
    <col min="5635" max="5635" width="3" bestFit="1" customWidth="1"/>
    <col min="5889" max="5889" width="12.85546875" bestFit="1" customWidth="1"/>
    <col min="5891" max="5891" width="3" bestFit="1" customWidth="1"/>
    <col min="6145" max="6145" width="12.85546875" bestFit="1" customWidth="1"/>
    <col min="6147" max="6147" width="3" bestFit="1" customWidth="1"/>
    <col min="6401" max="6401" width="12.85546875" bestFit="1" customWidth="1"/>
    <col min="6403" max="6403" width="3" bestFit="1" customWidth="1"/>
    <col min="6657" max="6657" width="12.85546875" bestFit="1" customWidth="1"/>
    <col min="6659" max="6659" width="3" bestFit="1" customWidth="1"/>
    <col min="6913" max="6913" width="12.85546875" bestFit="1" customWidth="1"/>
    <col min="6915" max="6915" width="3" bestFit="1" customWidth="1"/>
    <col min="7169" max="7169" width="12.85546875" bestFit="1" customWidth="1"/>
    <col min="7171" max="7171" width="3" bestFit="1" customWidth="1"/>
    <col min="7425" max="7425" width="12.85546875" bestFit="1" customWidth="1"/>
    <col min="7427" max="7427" width="3" bestFit="1" customWidth="1"/>
    <col min="7681" max="7681" width="12.85546875" bestFit="1" customWidth="1"/>
    <col min="7683" max="7683" width="3" bestFit="1" customWidth="1"/>
    <col min="7937" max="7937" width="12.85546875" bestFit="1" customWidth="1"/>
    <col min="7939" max="7939" width="3" bestFit="1" customWidth="1"/>
    <col min="8193" max="8193" width="12.85546875" bestFit="1" customWidth="1"/>
    <col min="8195" max="8195" width="3" bestFit="1" customWidth="1"/>
    <col min="8449" max="8449" width="12.85546875" bestFit="1" customWidth="1"/>
    <col min="8451" max="8451" width="3" bestFit="1" customWidth="1"/>
    <col min="8705" max="8705" width="12.85546875" bestFit="1" customWidth="1"/>
    <col min="8707" max="8707" width="3" bestFit="1" customWidth="1"/>
    <col min="8961" max="8961" width="12.85546875" bestFit="1" customWidth="1"/>
    <col min="8963" max="8963" width="3" bestFit="1" customWidth="1"/>
    <col min="9217" max="9217" width="12.85546875" bestFit="1" customWidth="1"/>
    <col min="9219" max="9219" width="3" bestFit="1" customWidth="1"/>
    <col min="9473" max="9473" width="12.85546875" bestFit="1" customWidth="1"/>
    <col min="9475" max="9475" width="3" bestFit="1" customWidth="1"/>
    <col min="9729" max="9729" width="12.85546875" bestFit="1" customWidth="1"/>
    <col min="9731" max="9731" width="3" bestFit="1" customWidth="1"/>
    <col min="9985" max="9985" width="12.85546875" bestFit="1" customWidth="1"/>
    <col min="9987" max="9987" width="3" bestFit="1" customWidth="1"/>
    <col min="10241" max="10241" width="12.85546875" bestFit="1" customWidth="1"/>
    <col min="10243" max="10243" width="3" bestFit="1" customWidth="1"/>
    <col min="10497" max="10497" width="12.85546875" bestFit="1" customWidth="1"/>
    <col min="10499" max="10499" width="3" bestFit="1" customWidth="1"/>
    <col min="10753" max="10753" width="12.85546875" bestFit="1" customWidth="1"/>
    <col min="10755" max="10755" width="3" bestFit="1" customWidth="1"/>
    <col min="11009" max="11009" width="12.85546875" bestFit="1" customWidth="1"/>
    <col min="11011" max="11011" width="3" bestFit="1" customWidth="1"/>
    <col min="11265" max="11265" width="12.85546875" bestFit="1" customWidth="1"/>
    <col min="11267" max="11267" width="3" bestFit="1" customWidth="1"/>
    <col min="11521" max="11521" width="12.85546875" bestFit="1" customWidth="1"/>
    <col min="11523" max="11523" width="3" bestFit="1" customWidth="1"/>
    <col min="11777" max="11777" width="12.85546875" bestFit="1" customWidth="1"/>
    <col min="11779" max="11779" width="3" bestFit="1" customWidth="1"/>
    <col min="12033" max="12033" width="12.85546875" bestFit="1" customWidth="1"/>
    <col min="12035" max="12035" width="3" bestFit="1" customWidth="1"/>
    <col min="12289" max="12289" width="12.85546875" bestFit="1" customWidth="1"/>
    <col min="12291" max="12291" width="3" bestFit="1" customWidth="1"/>
    <col min="12545" max="12545" width="12.85546875" bestFit="1" customWidth="1"/>
    <col min="12547" max="12547" width="3" bestFit="1" customWidth="1"/>
    <col min="12801" max="12801" width="12.85546875" bestFit="1" customWidth="1"/>
    <col min="12803" max="12803" width="3" bestFit="1" customWidth="1"/>
    <col min="13057" max="13057" width="12.85546875" bestFit="1" customWidth="1"/>
    <col min="13059" max="13059" width="3" bestFit="1" customWidth="1"/>
    <col min="13313" max="13313" width="12.85546875" bestFit="1" customWidth="1"/>
    <col min="13315" max="13315" width="3" bestFit="1" customWidth="1"/>
    <col min="13569" max="13569" width="12.85546875" bestFit="1" customWidth="1"/>
    <col min="13571" max="13571" width="3" bestFit="1" customWidth="1"/>
    <col min="13825" max="13825" width="12.85546875" bestFit="1" customWidth="1"/>
    <col min="13827" max="13827" width="3" bestFit="1" customWidth="1"/>
    <col min="14081" max="14081" width="12.85546875" bestFit="1" customWidth="1"/>
    <col min="14083" max="14083" width="3" bestFit="1" customWidth="1"/>
    <col min="14337" max="14337" width="12.85546875" bestFit="1" customWidth="1"/>
    <col min="14339" max="14339" width="3" bestFit="1" customWidth="1"/>
    <col min="14593" max="14593" width="12.85546875" bestFit="1" customWidth="1"/>
    <col min="14595" max="14595" width="3" bestFit="1" customWidth="1"/>
    <col min="14849" max="14849" width="12.85546875" bestFit="1" customWidth="1"/>
    <col min="14851" max="14851" width="3" bestFit="1" customWidth="1"/>
    <col min="15105" max="15105" width="12.85546875" bestFit="1" customWidth="1"/>
    <col min="15107" max="15107" width="3" bestFit="1" customWidth="1"/>
    <col min="15361" max="15361" width="12.85546875" bestFit="1" customWidth="1"/>
    <col min="15363" max="15363" width="3" bestFit="1" customWidth="1"/>
    <col min="15617" max="15617" width="12.85546875" bestFit="1" customWidth="1"/>
    <col min="15619" max="15619" width="3" bestFit="1" customWidth="1"/>
    <col min="15873" max="15873" width="12.85546875" bestFit="1" customWidth="1"/>
    <col min="15875" max="15875" width="3" bestFit="1" customWidth="1"/>
    <col min="16129" max="16129" width="12.85546875" bestFit="1" customWidth="1"/>
    <col min="16131" max="16131" width="3" bestFit="1" customWidth="1"/>
  </cols>
  <sheetData>
    <row r="1" spans="1:7" ht="72" x14ac:dyDescent="0.25">
      <c r="A1" s="168" t="s">
        <v>658</v>
      </c>
      <c r="B1" s="168"/>
      <c r="C1" s="168"/>
      <c r="D1" s="168"/>
      <c r="E1" s="168"/>
      <c r="F1" s="168"/>
      <c r="G1" s="168"/>
    </row>
    <row r="2" spans="1:7" ht="2.25" customHeight="1" x14ac:dyDescent="0.25"/>
    <row r="3" spans="1:7" x14ac:dyDescent="0.25">
      <c r="A3" s="26" t="s">
        <v>85</v>
      </c>
      <c r="B3" s="26">
        <v>13</v>
      </c>
      <c r="C3" s="26" t="s">
        <v>657</v>
      </c>
    </row>
    <row r="4" spans="1:7" x14ac:dyDescent="0.25">
      <c r="A4" s="26" t="s">
        <v>641</v>
      </c>
      <c r="B4" s="26">
        <v>0.1</v>
      </c>
      <c r="C4" s="26" t="s">
        <v>657</v>
      </c>
    </row>
    <row r="5" spans="1:7" x14ac:dyDescent="0.25">
      <c r="A5" s="26" t="s">
        <v>656</v>
      </c>
      <c r="B5" s="26">
        <v>2</v>
      </c>
    </row>
    <row r="6" spans="1:7" x14ac:dyDescent="0.25">
      <c r="A6" s="26" t="s">
        <v>655</v>
      </c>
      <c r="B6" s="86">
        <v>0.95</v>
      </c>
      <c r="D6" t="s">
        <v>103</v>
      </c>
    </row>
    <row r="7" spans="1:7" x14ac:dyDescent="0.25">
      <c r="A7" s="26" t="s">
        <v>654</v>
      </c>
      <c r="B7" s="30">
        <f>B3-B4*B5</f>
        <v>12.8</v>
      </c>
    </row>
    <row r="8" spans="1:7" x14ac:dyDescent="0.25">
      <c r="A8" s="26" t="s">
        <v>653</v>
      </c>
      <c r="B8" s="30">
        <f>B3+B4*B5</f>
        <v>13.2</v>
      </c>
    </row>
    <row r="9" spans="1:7" ht="43.5" x14ac:dyDescent="0.25">
      <c r="A9" s="173" t="str">
        <f>IF(B8="","","Because the distribution is bell shaped, we can say that approximately "&amp;TEXT(B6,"0.00%")&amp;" of the values should lie between "&amp;B8&amp;" oz. and "&amp;B7&amp;" oz.")</f>
        <v>Because the distribution is bell shaped, we can say that approximately 95.00% of the values should lie between 13.2 oz. and 12.8 oz.</v>
      </c>
      <c r="B9" s="172"/>
      <c r="C9" s="172"/>
      <c r="D9" s="172"/>
      <c r="E9" s="172"/>
      <c r="F9" s="171"/>
    </row>
    <row r="11" spans="1:7" x14ac:dyDescent="0.25">
      <c r="A11" s="26" t="s">
        <v>85</v>
      </c>
      <c r="B11" s="26">
        <v>13</v>
      </c>
      <c r="C11" s="26" t="s">
        <v>657</v>
      </c>
    </row>
    <row r="12" spans="1:7" x14ac:dyDescent="0.25">
      <c r="A12" s="26" t="s">
        <v>641</v>
      </c>
      <c r="B12" s="26">
        <v>0.1</v>
      </c>
      <c r="C12" s="26" t="s">
        <v>657</v>
      </c>
    </row>
    <row r="13" spans="1:7" x14ac:dyDescent="0.25">
      <c r="A13" s="26" t="s">
        <v>656</v>
      </c>
      <c r="B13" s="26">
        <v>2</v>
      </c>
    </row>
    <row r="14" spans="1:7" x14ac:dyDescent="0.25">
      <c r="A14" s="26" t="s">
        <v>655</v>
      </c>
      <c r="B14" s="86">
        <v>0.75</v>
      </c>
      <c r="D14" t="s">
        <v>636</v>
      </c>
      <c r="G14">
        <f>1-1/B13^2</f>
        <v>0.75</v>
      </c>
    </row>
    <row r="15" spans="1:7" x14ac:dyDescent="0.25">
      <c r="A15" s="26" t="s">
        <v>654</v>
      </c>
      <c r="B15" s="30">
        <f>B11-B12*B13</f>
        <v>12.8</v>
      </c>
    </row>
    <row r="16" spans="1:7" x14ac:dyDescent="0.25">
      <c r="A16" s="26" t="s">
        <v>653</v>
      </c>
      <c r="B16" s="30">
        <f>B11+B12*B13</f>
        <v>13.2</v>
      </c>
    </row>
    <row r="17" spans="1:6" ht="43.5" x14ac:dyDescent="0.25">
      <c r="A17" s="173" t="str">
        <f>IF(B16="","","Because the distribution is not bell shaped, we can say that approximately "&amp;TEXT(B14,"0.00%")&amp;" of the values should lie between "&amp;B16&amp;" oz. and "&amp;B15&amp;" oz.")</f>
        <v>Because the distribution is not bell shaped, we can say that approximately 75.00% of the values should lie between 13.2 oz. and 12.8 oz.</v>
      </c>
      <c r="B17" s="172"/>
      <c r="C17" s="172"/>
      <c r="D17" s="172"/>
      <c r="E17" s="172"/>
      <c r="F17" s="171"/>
    </row>
    <row r="19" spans="1:6" x14ac:dyDescent="0.25">
      <c r="A19" t="s">
        <v>652</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3">
    <tabColor rgb="FF0000FF"/>
  </sheetPr>
  <dimension ref="A1:AB124"/>
  <sheetViews>
    <sheetView zoomScaleNormal="100" workbookViewId="0">
      <selection activeCell="C13" sqref="C13"/>
    </sheetView>
  </sheetViews>
  <sheetFormatPr defaultRowHeight="15" x14ac:dyDescent="0.25"/>
  <cols>
    <col min="1" max="1" width="9.85546875" bestFit="1" customWidth="1"/>
    <col min="2" max="2" width="10.7109375" customWidth="1"/>
    <col min="4" max="4" width="1.7109375" customWidth="1"/>
    <col min="7" max="7" width="20.5703125" customWidth="1"/>
    <col min="8" max="8" width="13.140625" customWidth="1"/>
    <col min="10" max="11" width="10.5703125" customWidth="1"/>
    <col min="18" max="18" width="11.85546875" customWidth="1"/>
  </cols>
  <sheetData>
    <row r="1" spans="1:28" x14ac:dyDescent="0.25">
      <c r="A1" s="194" t="s">
        <v>717</v>
      </c>
      <c r="B1" s="193"/>
      <c r="C1" s="193"/>
      <c r="D1" s="193"/>
      <c r="E1" s="193"/>
      <c r="F1" s="193"/>
      <c r="G1" s="192"/>
    </row>
    <row r="2" spans="1:28" x14ac:dyDescent="0.25">
      <c r="A2" s="191" t="s">
        <v>862</v>
      </c>
      <c r="B2" s="190"/>
      <c r="C2" s="190"/>
      <c r="D2" s="190"/>
      <c r="E2" s="190"/>
      <c r="F2" s="190"/>
      <c r="G2" s="189"/>
    </row>
    <row r="3" spans="1:28" x14ac:dyDescent="0.25">
      <c r="A3" s="191" t="s">
        <v>716</v>
      </c>
      <c r="B3" s="190"/>
      <c r="C3" s="190"/>
      <c r="D3" s="190"/>
      <c r="E3" s="190"/>
      <c r="F3" s="190"/>
      <c r="G3" s="189"/>
    </row>
    <row r="4" spans="1:28" x14ac:dyDescent="0.25">
      <c r="A4" s="191" t="s">
        <v>86</v>
      </c>
      <c r="B4" s="190"/>
      <c r="C4" s="190"/>
      <c r="D4" s="190"/>
      <c r="E4" s="190"/>
      <c r="F4" s="190"/>
      <c r="G4" s="189"/>
    </row>
    <row r="5" spans="1:28" x14ac:dyDescent="0.25">
      <c r="A5" s="191" t="s">
        <v>715</v>
      </c>
      <c r="B5" s="190"/>
      <c r="C5" s="190"/>
      <c r="D5" s="190"/>
      <c r="E5" s="190"/>
      <c r="F5" s="190"/>
      <c r="G5" s="189"/>
    </row>
    <row r="6" spans="1:28" x14ac:dyDescent="0.25">
      <c r="A6" s="191" t="s">
        <v>91</v>
      </c>
      <c r="B6" s="190"/>
      <c r="C6" s="190"/>
      <c r="D6" s="190"/>
      <c r="E6" s="190"/>
      <c r="F6" s="190"/>
      <c r="G6" s="189"/>
    </row>
    <row r="7" spans="1:28" x14ac:dyDescent="0.25">
      <c r="A7" s="191" t="s">
        <v>714</v>
      </c>
      <c r="B7" s="190"/>
      <c r="C7" s="190"/>
      <c r="D7" s="190"/>
      <c r="E7" s="190"/>
      <c r="F7" s="190"/>
      <c r="G7" s="189"/>
    </row>
    <row r="8" spans="1:28" x14ac:dyDescent="0.25">
      <c r="A8" s="188" t="s">
        <v>713</v>
      </c>
      <c r="B8" s="187"/>
      <c r="C8" s="187"/>
      <c r="D8" s="187"/>
      <c r="E8" s="187"/>
      <c r="F8" s="187"/>
      <c r="G8" s="186"/>
    </row>
    <row r="10" spans="1:28" x14ac:dyDescent="0.25">
      <c r="A10" s="22" t="s">
        <v>712</v>
      </c>
    </row>
    <row r="12" spans="1:28" x14ac:dyDescent="0.25">
      <c r="A12" s="22" t="s">
        <v>711</v>
      </c>
      <c r="AB12">
        <f ca="1">CHOOSE(RANDBETWEEN(1,3),RANDBETWEEN(3000,6000),RANDBETWEEN(3800,4800),INT(_xlfn.NORM.INV(RAND(),4300,500)))</f>
        <v>4080</v>
      </c>
    </row>
    <row r="13" spans="1:28" x14ac:dyDescent="0.25">
      <c r="A13" s="26">
        <v>1</v>
      </c>
      <c r="B13" s="26" t="s">
        <v>318</v>
      </c>
      <c r="C13" s="46"/>
      <c r="E13" s="22" t="s">
        <v>91</v>
      </c>
    </row>
    <row r="14" spans="1:28" x14ac:dyDescent="0.25">
      <c r="A14" s="26">
        <v>2</v>
      </c>
      <c r="B14" s="26" t="s">
        <v>285</v>
      </c>
      <c r="C14" s="46"/>
      <c r="E14">
        <v>1</v>
      </c>
    </row>
    <row r="15" spans="1:28" x14ac:dyDescent="0.25">
      <c r="A15" s="26">
        <v>3</v>
      </c>
      <c r="B15" s="26" t="s">
        <v>286</v>
      </c>
      <c r="C15" s="46"/>
      <c r="E15">
        <v>2</v>
      </c>
    </row>
    <row r="16" spans="1:28" x14ac:dyDescent="0.25">
      <c r="A16" s="26">
        <v>4</v>
      </c>
      <c r="B16" s="26" t="s">
        <v>287</v>
      </c>
      <c r="C16" s="46"/>
      <c r="E16">
        <v>3</v>
      </c>
    </row>
    <row r="17" spans="1:3" x14ac:dyDescent="0.25">
      <c r="A17" s="26">
        <v>5</v>
      </c>
      <c r="B17" s="26" t="s">
        <v>319</v>
      </c>
      <c r="C17" s="46"/>
    </row>
    <row r="19" spans="1:3" x14ac:dyDescent="0.25">
      <c r="A19" t="s">
        <v>710</v>
      </c>
    </row>
    <row r="21" spans="1:3" x14ac:dyDescent="0.25">
      <c r="A21" s="22" t="s">
        <v>329</v>
      </c>
    </row>
    <row r="22" spans="1:3" x14ac:dyDescent="0.25">
      <c r="A22" s="45">
        <v>3822</v>
      </c>
    </row>
    <row r="23" spans="1:3" x14ac:dyDescent="0.25">
      <c r="A23" s="45">
        <v>4024</v>
      </c>
    </row>
    <row r="24" spans="1:3" x14ac:dyDescent="0.25">
      <c r="A24" s="45">
        <v>4015</v>
      </c>
    </row>
    <row r="25" spans="1:3" x14ac:dyDescent="0.25">
      <c r="A25" s="45">
        <v>4442</v>
      </c>
    </row>
    <row r="26" spans="1:3" x14ac:dyDescent="0.25">
      <c r="A26" s="45">
        <v>4174</v>
      </c>
    </row>
    <row r="27" spans="1:3" x14ac:dyDescent="0.25">
      <c r="A27" s="45">
        <v>3751</v>
      </c>
    </row>
    <row r="28" spans="1:3" x14ac:dyDescent="0.25">
      <c r="A28" s="45">
        <v>5802</v>
      </c>
    </row>
    <row r="29" spans="1:3" x14ac:dyDescent="0.25">
      <c r="A29" s="45">
        <v>4068</v>
      </c>
    </row>
    <row r="30" spans="1:3" x14ac:dyDescent="0.25">
      <c r="A30" s="45">
        <v>4239</v>
      </c>
    </row>
    <row r="31" spans="1:3" x14ac:dyDescent="0.25">
      <c r="A31" s="45">
        <v>4426</v>
      </c>
    </row>
    <row r="32" spans="1:3" x14ac:dyDescent="0.25">
      <c r="A32" s="45">
        <v>4246</v>
      </c>
    </row>
    <row r="33" spans="1:1" x14ac:dyDescent="0.25">
      <c r="A33" s="45">
        <v>4279</v>
      </c>
    </row>
    <row r="34" spans="1:1" x14ac:dyDescent="0.25">
      <c r="A34" s="45">
        <v>4431</v>
      </c>
    </row>
    <row r="35" spans="1:1" x14ac:dyDescent="0.25">
      <c r="A35" s="45">
        <v>4623</v>
      </c>
    </row>
    <row r="36" spans="1:1" x14ac:dyDescent="0.25">
      <c r="A36" s="45">
        <v>4228</v>
      </c>
    </row>
    <row r="37" spans="1:1" x14ac:dyDescent="0.25">
      <c r="A37" s="45">
        <v>4311</v>
      </c>
    </row>
    <row r="38" spans="1:1" x14ac:dyDescent="0.25">
      <c r="A38" s="45">
        <v>4524</v>
      </c>
    </row>
    <row r="39" spans="1:1" x14ac:dyDescent="0.25">
      <c r="A39" s="45">
        <v>4634</v>
      </c>
    </row>
    <row r="40" spans="1:1" x14ac:dyDescent="0.25">
      <c r="A40" s="45">
        <v>5490</v>
      </c>
    </row>
    <row r="41" spans="1:1" x14ac:dyDescent="0.25">
      <c r="A41" s="45">
        <v>4441</v>
      </c>
    </row>
    <row r="42" spans="1:1" x14ac:dyDescent="0.25">
      <c r="A42" s="45">
        <v>3541</v>
      </c>
    </row>
    <row r="43" spans="1:1" x14ac:dyDescent="0.25">
      <c r="A43" s="45">
        <v>4383</v>
      </c>
    </row>
    <row r="44" spans="1:1" x14ac:dyDescent="0.25">
      <c r="A44" s="45">
        <v>4155</v>
      </c>
    </row>
    <row r="45" spans="1:1" x14ac:dyDescent="0.25">
      <c r="A45" s="45">
        <v>4590</v>
      </c>
    </row>
    <row r="46" spans="1:1" x14ac:dyDescent="0.25">
      <c r="A46" s="45">
        <v>3891</v>
      </c>
    </row>
    <row r="47" spans="1:1" x14ac:dyDescent="0.25">
      <c r="A47" s="45">
        <v>5942</v>
      </c>
    </row>
    <row r="48" spans="1:1" x14ac:dyDescent="0.25">
      <c r="A48" s="45">
        <v>3957</v>
      </c>
    </row>
    <row r="49" spans="1:1" x14ac:dyDescent="0.25">
      <c r="A49" s="45">
        <v>3234</v>
      </c>
    </row>
    <row r="50" spans="1:1" x14ac:dyDescent="0.25">
      <c r="A50" s="45">
        <v>4224</v>
      </c>
    </row>
    <row r="51" spans="1:1" x14ac:dyDescent="0.25">
      <c r="A51" s="45">
        <v>4474</v>
      </c>
    </row>
    <row r="52" spans="1:1" x14ac:dyDescent="0.25">
      <c r="A52" s="45">
        <v>5942</v>
      </c>
    </row>
    <row r="53" spans="1:1" x14ac:dyDescent="0.25">
      <c r="A53" s="45">
        <v>4533</v>
      </c>
    </row>
    <row r="54" spans="1:1" x14ac:dyDescent="0.25">
      <c r="A54" s="45">
        <v>4563</v>
      </c>
    </row>
    <row r="55" spans="1:1" x14ac:dyDescent="0.25">
      <c r="A55" s="45">
        <v>3893</v>
      </c>
    </row>
    <row r="56" spans="1:1" x14ac:dyDescent="0.25">
      <c r="A56" s="45">
        <v>5367</v>
      </c>
    </row>
    <row r="57" spans="1:1" x14ac:dyDescent="0.25">
      <c r="A57" s="45">
        <v>3593</v>
      </c>
    </row>
    <row r="58" spans="1:1" x14ac:dyDescent="0.25">
      <c r="A58" s="45">
        <v>4710</v>
      </c>
    </row>
    <row r="59" spans="1:1" x14ac:dyDescent="0.25">
      <c r="A59" s="45">
        <v>4899</v>
      </c>
    </row>
    <row r="60" spans="1:1" x14ac:dyDescent="0.25">
      <c r="A60" s="45">
        <v>4381</v>
      </c>
    </row>
    <row r="61" spans="1:1" x14ac:dyDescent="0.25">
      <c r="A61" s="45">
        <v>3894</v>
      </c>
    </row>
    <row r="62" spans="1:1" x14ac:dyDescent="0.25">
      <c r="A62" s="45">
        <v>3877</v>
      </c>
    </row>
    <row r="63" spans="1:1" x14ac:dyDescent="0.25">
      <c r="A63" s="45">
        <v>5414</v>
      </c>
    </row>
    <row r="64" spans="1:1" x14ac:dyDescent="0.25">
      <c r="A64" s="45">
        <v>4837</v>
      </c>
    </row>
    <row r="65" spans="1:1" x14ac:dyDescent="0.25">
      <c r="A65" s="45">
        <v>3718</v>
      </c>
    </row>
    <row r="66" spans="1:1" x14ac:dyDescent="0.25">
      <c r="A66" s="45">
        <v>4437</v>
      </c>
    </row>
    <row r="67" spans="1:1" x14ac:dyDescent="0.25">
      <c r="A67" s="45">
        <v>4466</v>
      </c>
    </row>
    <row r="68" spans="1:1" x14ac:dyDescent="0.25">
      <c r="A68" s="45">
        <v>4312</v>
      </c>
    </row>
    <row r="69" spans="1:1" x14ac:dyDescent="0.25">
      <c r="A69" s="45">
        <v>4623</v>
      </c>
    </row>
    <row r="70" spans="1:1" x14ac:dyDescent="0.25">
      <c r="A70" s="45">
        <v>4512</v>
      </c>
    </row>
    <row r="71" spans="1:1" x14ac:dyDescent="0.25">
      <c r="A71" s="45">
        <v>4186</v>
      </c>
    </row>
    <row r="72" spans="1:1" x14ac:dyDescent="0.25">
      <c r="A72" s="45">
        <v>4316</v>
      </c>
    </row>
    <row r="73" spans="1:1" x14ac:dyDescent="0.25">
      <c r="A73" s="45">
        <v>4836</v>
      </c>
    </row>
    <row r="74" spans="1:1" x14ac:dyDescent="0.25">
      <c r="A74" s="45">
        <v>5620</v>
      </c>
    </row>
    <row r="75" spans="1:1" x14ac:dyDescent="0.25">
      <c r="A75" s="45">
        <v>4085</v>
      </c>
    </row>
    <row r="76" spans="1:1" x14ac:dyDescent="0.25">
      <c r="A76" s="45">
        <v>4104</v>
      </c>
    </row>
    <row r="77" spans="1:1" x14ac:dyDescent="0.25">
      <c r="A77" s="45">
        <v>3366</v>
      </c>
    </row>
    <row r="78" spans="1:1" x14ac:dyDescent="0.25">
      <c r="A78" s="45">
        <v>4250</v>
      </c>
    </row>
    <row r="79" spans="1:1" x14ac:dyDescent="0.25">
      <c r="A79" s="45">
        <v>4438</v>
      </c>
    </row>
    <row r="80" spans="1:1" x14ac:dyDescent="0.25">
      <c r="A80" s="45">
        <v>4614</v>
      </c>
    </row>
    <row r="81" spans="1:1" x14ac:dyDescent="0.25">
      <c r="A81" s="45">
        <v>4207</v>
      </c>
    </row>
    <row r="82" spans="1:1" x14ac:dyDescent="0.25">
      <c r="A82" s="45">
        <v>3945</v>
      </c>
    </row>
    <row r="83" spans="1:1" x14ac:dyDescent="0.25">
      <c r="A83" s="45">
        <v>4323</v>
      </c>
    </row>
    <row r="84" spans="1:1" x14ac:dyDescent="0.25">
      <c r="A84" s="45">
        <v>4750</v>
      </c>
    </row>
    <row r="85" spans="1:1" x14ac:dyDescent="0.25">
      <c r="A85" s="45">
        <v>3950</v>
      </c>
    </row>
    <row r="86" spans="1:1" x14ac:dyDescent="0.25">
      <c r="A86" s="45">
        <v>5180</v>
      </c>
    </row>
    <row r="87" spans="1:1" x14ac:dyDescent="0.25">
      <c r="A87" s="45">
        <v>4735</v>
      </c>
    </row>
    <row r="88" spans="1:1" x14ac:dyDescent="0.25">
      <c r="A88" s="45">
        <v>3904</v>
      </c>
    </row>
    <row r="89" spans="1:1" x14ac:dyDescent="0.25">
      <c r="A89" s="45">
        <v>4663</v>
      </c>
    </row>
    <row r="90" spans="1:1" x14ac:dyDescent="0.25">
      <c r="A90" s="45">
        <v>4612</v>
      </c>
    </row>
    <row r="91" spans="1:1" x14ac:dyDescent="0.25">
      <c r="A91" s="45">
        <v>4544</v>
      </c>
    </row>
    <row r="92" spans="1:1" x14ac:dyDescent="0.25">
      <c r="A92" s="45">
        <v>4724</v>
      </c>
    </row>
    <row r="93" spans="1:1" x14ac:dyDescent="0.25">
      <c r="A93" s="45">
        <v>4674</v>
      </c>
    </row>
    <row r="94" spans="1:1" x14ac:dyDescent="0.25">
      <c r="A94" s="45">
        <v>3184</v>
      </c>
    </row>
    <row r="95" spans="1:1" x14ac:dyDescent="0.25">
      <c r="A95" s="45">
        <v>4351</v>
      </c>
    </row>
    <row r="96" spans="1:1" x14ac:dyDescent="0.25">
      <c r="A96" s="45">
        <v>4182</v>
      </c>
    </row>
    <row r="97" spans="1:1" x14ac:dyDescent="0.25">
      <c r="A97" s="45">
        <v>3851</v>
      </c>
    </row>
    <row r="98" spans="1:1" x14ac:dyDescent="0.25">
      <c r="A98" s="45">
        <v>3373</v>
      </c>
    </row>
    <row r="99" spans="1:1" x14ac:dyDescent="0.25">
      <c r="A99" s="45">
        <v>3401</v>
      </c>
    </row>
    <row r="100" spans="1:1" x14ac:dyDescent="0.25">
      <c r="A100" s="45">
        <v>5492</v>
      </c>
    </row>
    <row r="101" spans="1:1" x14ac:dyDescent="0.25">
      <c r="A101" s="45">
        <v>4048</v>
      </c>
    </row>
    <row r="102" spans="1:1" x14ac:dyDescent="0.25">
      <c r="A102" s="45">
        <v>4011</v>
      </c>
    </row>
    <row r="103" spans="1:1" x14ac:dyDescent="0.25">
      <c r="A103" s="45">
        <v>4077</v>
      </c>
    </row>
    <row r="104" spans="1:1" x14ac:dyDescent="0.25">
      <c r="A104" s="45">
        <v>4003</v>
      </c>
    </row>
    <row r="105" spans="1:1" x14ac:dyDescent="0.25">
      <c r="A105" s="45">
        <v>4355</v>
      </c>
    </row>
    <row r="106" spans="1:1" x14ac:dyDescent="0.25">
      <c r="A106" s="45">
        <v>5280</v>
      </c>
    </row>
    <row r="107" spans="1:1" x14ac:dyDescent="0.25">
      <c r="A107" s="45">
        <v>4033</v>
      </c>
    </row>
    <row r="108" spans="1:1" x14ac:dyDescent="0.25">
      <c r="A108" s="45">
        <v>2510</v>
      </c>
    </row>
    <row r="109" spans="1:1" x14ac:dyDescent="0.25">
      <c r="A109" s="45">
        <v>3987</v>
      </c>
    </row>
    <row r="110" spans="1:1" x14ac:dyDescent="0.25">
      <c r="A110" s="45">
        <v>5767</v>
      </c>
    </row>
    <row r="111" spans="1:1" x14ac:dyDescent="0.25">
      <c r="A111" s="45">
        <v>4005</v>
      </c>
    </row>
    <row r="112" spans="1:1" x14ac:dyDescent="0.25">
      <c r="A112" s="45">
        <v>4144</v>
      </c>
    </row>
    <row r="113" spans="1:1" x14ac:dyDescent="0.25">
      <c r="A113" s="45">
        <v>3008</v>
      </c>
    </row>
    <row r="114" spans="1:1" x14ac:dyDescent="0.25">
      <c r="A114" s="45">
        <v>4674</v>
      </c>
    </row>
    <row r="115" spans="1:1" x14ac:dyDescent="0.25">
      <c r="A115" s="45">
        <v>3199</v>
      </c>
    </row>
    <row r="116" spans="1:1" x14ac:dyDescent="0.25">
      <c r="A116" s="45">
        <v>4698</v>
      </c>
    </row>
    <row r="117" spans="1:1" x14ac:dyDescent="0.25">
      <c r="A117" s="45">
        <v>4319</v>
      </c>
    </row>
    <row r="118" spans="1:1" x14ac:dyDescent="0.25">
      <c r="A118" s="45">
        <v>4664</v>
      </c>
    </row>
    <row r="119" spans="1:1" x14ac:dyDescent="0.25">
      <c r="A119" s="45">
        <v>3891</v>
      </c>
    </row>
    <row r="120" spans="1:1" x14ac:dyDescent="0.25">
      <c r="A120" s="45">
        <v>5301</v>
      </c>
    </row>
    <row r="121" spans="1:1" x14ac:dyDescent="0.25">
      <c r="A121" s="45">
        <v>3501</v>
      </c>
    </row>
    <row r="122" spans="1:1" x14ac:dyDescent="0.25">
      <c r="A122" s="45">
        <v>4767</v>
      </c>
    </row>
    <row r="123" spans="1:1" x14ac:dyDescent="0.25">
      <c r="A123" s="45">
        <v>6987</v>
      </c>
    </row>
    <row r="124" spans="1:1" x14ac:dyDescent="0.25">
      <c r="A124" s="45">
        <v>5491</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tabColor rgb="FFFF0000"/>
  </sheetPr>
  <dimension ref="A1:AB124"/>
  <sheetViews>
    <sheetView zoomScaleNormal="100" workbookViewId="0">
      <selection activeCell="C13" sqref="C13"/>
    </sheetView>
  </sheetViews>
  <sheetFormatPr defaultRowHeight="15" x14ac:dyDescent="0.25"/>
  <cols>
    <col min="1" max="1" width="9.85546875" bestFit="1" customWidth="1"/>
    <col min="2" max="2" width="10.7109375" customWidth="1"/>
    <col min="4" max="4" width="1.7109375" customWidth="1"/>
    <col min="7" max="7" width="20.5703125" customWidth="1"/>
    <col min="8" max="8" width="13.140625" customWidth="1"/>
    <col min="10" max="11" width="10.5703125" customWidth="1"/>
    <col min="18" max="18" width="11.85546875" customWidth="1"/>
  </cols>
  <sheetData>
    <row r="1" spans="1:28" x14ac:dyDescent="0.25">
      <c r="A1" s="194" t="s">
        <v>717</v>
      </c>
      <c r="B1" s="193"/>
      <c r="C1" s="193"/>
      <c r="D1" s="193"/>
      <c r="E1" s="193"/>
      <c r="F1" s="193"/>
      <c r="G1" s="192"/>
    </row>
    <row r="2" spans="1:28" x14ac:dyDescent="0.25">
      <c r="A2" s="191" t="s">
        <v>862</v>
      </c>
      <c r="B2" s="190"/>
      <c r="C2" s="190"/>
      <c r="D2" s="190"/>
      <c r="E2" s="190"/>
      <c r="F2" s="190"/>
      <c r="G2" s="189"/>
    </row>
    <row r="3" spans="1:28" x14ac:dyDescent="0.25">
      <c r="A3" s="191" t="s">
        <v>716</v>
      </c>
      <c r="B3" s="190"/>
      <c r="C3" s="190"/>
      <c r="D3" s="190"/>
      <c r="E3" s="190"/>
      <c r="F3" s="190"/>
      <c r="G3" s="189"/>
    </row>
    <row r="4" spans="1:28" x14ac:dyDescent="0.25">
      <c r="A4" s="191" t="s">
        <v>86</v>
      </c>
      <c r="B4" s="190"/>
      <c r="C4" s="190"/>
      <c r="D4" s="190"/>
      <c r="E4" s="190"/>
      <c r="F4" s="190"/>
      <c r="G4" s="189"/>
    </row>
    <row r="5" spans="1:28" x14ac:dyDescent="0.25">
      <c r="A5" s="191" t="s">
        <v>715</v>
      </c>
      <c r="B5" s="190"/>
      <c r="C5" s="190"/>
      <c r="D5" s="190"/>
      <c r="E5" s="190"/>
      <c r="F5" s="190"/>
      <c r="G5" s="189"/>
    </row>
    <row r="6" spans="1:28" x14ac:dyDescent="0.25">
      <c r="A6" s="191" t="s">
        <v>91</v>
      </c>
      <c r="B6" s="190"/>
      <c r="C6" s="190"/>
      <c r="D6" s="190"/>
      <c r="E6" s="190"/>
      <c r="F6" s="190"/>
      <c r="G6" s="189"/>
    </row>
    <row r="7" spans="1:28" x14ac:dyDescent="0.25">
      <c r="A7" s="191" t="s">
        <v>714</v>
      </c>
      <c r="B7" s="190"/>
      <c r="C7" s="190"/>
      <c r="D7" s="190"/>
      <c r="E7" s="190"/>
      <c r="F7" s="190"/>
      <c r="G7" s="189"/>
    </row>
    <row r="8" spans="1:28" x14ac:dyDescent="0.25">
      <c r="A8" s="188" t="s">
        <v>713</v>
      </c>
      <c r="B8" s="187"/>
      <c r="C8" s="187"/>
      <c r="D8" s="187"/>
      <c r="E8" s="187"/>
      <c r="F8" s="187"/>
      <c r="G8" s="186"/>
    </row>
    <row r="10" spans="1:28" x14ac:dyDescent="0.25">
      <c r="A10" s="22" t="s">
        <v>712</v>
      </c>
    </row>
    <row r="12" spans="1:28" x14ac:dyDescent="0.25">
      <c r="A12" s="22" t="s">
        <v>711</v>
      </c>
      <c r="AB12">
        <f ca="1">CHOOSE(RANDBETWEEN(1,3),RANDBETWEEN(3000,6000),RANDBETWEEN(3800,4800),INT(_xlfn.NORM.INV(RAND(),4300,500)))</f>
        <v>4110</v>
      </c>
    </row>
    <row r="13" spans="1:28" x14ac:dyDescent="0.25">
      <c r="A13" s="26">
        <v>1</v>
      </c>
      <c r="B13" s="26" t="s">
        <v>318</v>
      </c>
      <c r="C13" s="46">
        <f>MIN(A22:A124)</f>
        <v>2510</v>
      </c>
      <c r="E13" s="22" t="s">
        <v>91</v>
      </c>
    </row>
    <row r="14" spans="1:28" x14ac:dyDescent="0.25">
      <c r="A14" s="26">
        <v>2</v>
      </c>
      <c r="B14" s="26" t="s">
        <v>285</v>
      </c>
      <c r="C14" s="46">
        <f>_xlfn.QUARTILE.EXC($A$22:$A$124,E14)</f>
        <v>4003</v>
      </c>
      <c r="E14">
        <v>1</v>
      </c>
    </row>
    <row r="15" spans="1:28" x14ac:dyDescent="0.25">
      <c r="A15" s="26">
        <v>3</v>
      </c>
      <c r="B15" s="26" t="s">
        <v>286</v>
      </c>
      <c r="C15" s="46">
        <f>_xlfn.QUARTILE.EXC($A$22:$A$124,E15)</f>
        <v>4319</v>
      </c>
      <c r="E15">
        <v>2</v>
      </c>
    </row>
    <row r="16" spans="1:28" x14ac:dyDescent="0.25">
      <c r="A16" s="26">
        <v>4</v>
      </c>
      <c r="B16" s="26" t="s">
        <v>287</v>
      </c>
      <c r="C16" s="46">
        <f>_xlfn.QUARTILE.EXC($A$22:$A$124,E16)</f>
        <v>4664</v>
      </c>
      <c r="E16">
        <v>3</v>
      </c>
    </row>
    <row r="17" spans="1:3" x14ac:dyDescent="0.25">
      <c r="A17" s="26">
        <v>5</v>
      </c>
      <c r="B17" s="26" t="s">
        <v>319</v>
      </c>
      <c r="C17" s="46">
        <f>MAX(A22:A124)</f>
        <v>6987</v>
      </c>
    </row>
    <row r="19" spans="1:3" x14ac:dyDescent="0.25">
      <c r="A19" t="s">
        <v>710</v>
      </c>
    </row>
    <row r="21" spans="1:3" x14ac:dyDescent="0.25">
      <c r="A21" s="22" t="s">
        <v>329</v>
      </c>
    </row>
    <row r="22" spans="1:3" x14ac:dyDescent="0.25">
      <c r="A22" s="45">
        <v>3822</v>
      </c>
    </row>
    <row r="23" spans="1:3" x14ac:dyDescent="0.25">
      <c r="A23" s="45">
        <v>4024</v>
      </c>
    </row>
    <row r="24" spans="1:3" x14ac:dyDescent="0.25">
      <c r="A24" s="45">
        <v>4015</v>
      </c>
    </row>
    <row r="25" spans="1:3" x14ac:dyDescent="0.25">
      <c r="A25" s="45">
        <v>4442</v>
      </c>
    </row>
    <row r="26" spans="1:3" x14ac:dyDescent="0.25">
      <c r="A26" s="45">
        <v>4174</v>
      </c>
    </row>
    <row r="27" spans="1:3" x14ac:dyDescent="0.25">
      <c r="A27" s="45">
        <v>3751</v>
      </c>
    </row>
    <row r="28" spans="1:3" x14ac:dyDescent="0.25">
      <c r="A28" s="45">
        <v>5802</v>
      </c>
    </row>
    <row r="29" spans="1:3" x14ac:dyDescent="0.25">
      <c r="A29" s="45">
        <v>4068</v>
      </c>
    </row>
    <row r="30" spans="1:3" x14ac:dyDescent="0.25">
      <c r="A30" s="45">
        <v>4239</v>
      </c>
    </row>
    <row r="31" spans="1:3" x14ac:dyDescent="0.25">
      <c r="A31" s="45">
        <v>4426</v>
      </c>
    </row>
    <row r="32" spans="1:3" x14ac:dyDescent="0.25">
      <c r="A32" s="45">
        <v>4246</v>
      </c>
    </row>
    <row r="33" spans="1:1" x14ac:dyDescent="0.25">
      <c r="A33" s="45">
        <v>4279</v>
      </c>
    </row>
    <row r="34" spans="1:1" x14ac:dyDescent="0.25">
      <c r="A34" s="45">
        <v>4431</v>
      </c>
    </row>
    <row r="35" spans="1:1" x14ac:dyDescent="0.25">
      <c r="A35" s="45">
        <v>4623</v>
      </c>
    </row>
    <row r="36" spans="1:1" x14ac:dyDescent="0.25">
      <c r="A36" s="45">
        <v>4228</v>
      </c>
    </row>
    <row r="37" spans="1:1" x14ac:dyDescent="0.25">
      <c r="A37" s="45">
        <v>4311</v>
      </c>
    </row>
    <row r="38" spans="1:1" x14ac:dyDescent="0.25">
      <c r="A38" s="45">
        <v>4524</v>
      </c>
    </row>
    <row r="39" spans="1:1" x14ac:dyDescent="0.25">
      <c r="A39" s="45">
        <v>4634</v>
      </c>
    </row>
    <row r="40" spans="1:1" x14ac:dyDescent="0.25">
      <c r="A40" s="45">
        <v>5490</v>
      </c>
    </row>
    <row r="41" spans="1:1" x14ac:dyDescent="0.25">
      <c r="A41" s="45">
        <v>4441</v>
      </c>
    </row>
    <row r="42" spans="1:1" x14ac:dyDescent="0.25">
      <c r="A42" s="45">
        <v>3541</v>
      </c>
    </row>
    <row r="43" spans="1:1" x14ac:dyDescent="0.25">
      <c r="A43" s="45">
        <v>4383</v>
      </c>
    </row>
    <row r="44" spans="1:1" x14ac:dyDescent="0.25">
      <c r="A44" s="45">
        <v>4155</v>
      </c>
    </row>
    <row r="45" spans="1:1" x14ac:dyDescent="0.25">
      <c r="A45" s="45">
        <v>4590</v>
      </c>
    </row>
    <row r="46" spans="1:1" x14ac:dyDescent="0.25">
      <c r="A46" s="45">
        <v>3891</v>
      </c>
    </row>
    <row r="47" spans="1:1" x14ac:dyDescent="0.25">
      <c r="A47" s="45">
        <v>5942</v>
      </c>
    </row>
    <row r="48" spans="1:1" x14ac:dyDescent="0.25">
      <c r="A48" s="45">
        <v>3957</v>
      </c>
    </row>
    <row r="49" spans="1:1" x14ac:dyDescent="0.25">
      <c r="A49" s="45">
        <v>3234</v>
      </c>
    </row>
    <row r="50" spans="1:1" x14ac:dyDescent="0.25">
      <c r="A50" s="45">
        <v>4224</v>
      </c>
    </row>
    <row r="51" spans="1:1" x14ac:dyDescent="0.25">
      <c r="A51" s="45">
        <v>4474</v>
      </c>
    </row>
    <row r="52" spans="1:1" x14ac:dyDescent="0.25">
      <c r="A52" s="45">
        <v>5942</v>
      </c>
    </row>
    <row r="53" spans="1:1" x14ac:dyDescent="0.25">
      <c r="A53" s="45">
        <v>4533</v>
      </c>
    </row>
    <row r="54" spans="1:1" x14ac:dyDescent="0.25">
      <c r="A54" s="45">
        <v>4563</v>
      </c>
    </row>
    <row r="55" spans="1:1" x14ac:dyDescent="0.25">
      <c r="A55" s="45">
        <v>3893</v>
      </c>
    </row>
    <row r="56" spans="1:1" x14ac:dyDescent="0.25">
      <c r="A56" s="45">
        <v>5367</v>
      </c>
    </row>
    <row r="57" spans="1:1" x14ac:dyDescent="0.25">
      <c r="A57" s="45">
        <v>3593</v>
      </c>
    </row>
    <row r="58" spans="1:1" x14ac:dyDescent="0.25">
      <c r="A58" s="45">
        <v>4710</v>
      </c>
    </row>
    <row r="59" spans="1:1" x14ac:dyDescent="0.25">
      <c r="A59" s="45">
        <v>4899</v>
      </c>
    </row>
    <row r="60" spans="1:1" x14ac:dyDescent="0.25">
      <c r="A60" s="45">
        <v>4381</v>
      </c>
    </row>
    <row r="61" spans="1:1" x14ac:dyDescent="0.25">
      <c r="A61" s="45">
        <v>3894</v>
      </c>
    </row>
    <row r="62" spans="1:1" x14ac:dyDescent="0.25">
      <c r="A62" s="45">
        <v>3877</v>
      </c>
    </row>
    <row r="63" spans="1:1" x14ac:dyDescent="0.25">
      <c r="A63" s="45">
        <v>5414</v>
      </c>
    </row>
    <row r="64" spans="1:1" x14ac:dyDescent="0.25">
      <c r="A64" s="45">
        <v>4837</v>
      </c>
    </row>
    <row r="65" spans="1:1" x14ac:dyDescent="0.25">
      <c r="A65" s="45">
        <v>3718</v>
      </c>
    </row>
    <row r="66" spans="1:1" x14ac:dyDescent="0.25">
      <c r="A66" s="45">
        <v>4437</v>
      </c>
    </row>
    <row r="67" spans="1:1" x14ac:dyDescent="0.25">
      <c r="A67" s="45">
        <v>4466</v>
      </c>
    </row>
    <row r="68" spans="1:1" x14ac:dyDescent="0.25">
      <c r="A68" s="45">
        <v>4312</v>
      </c>
    </row>
    <row r="69" spans="1:1" x14ac:dyDescent="0.25">
      <c r="A69" s="45">
        <v>4623</v>
      </c>
    </row>
    <row r="70" spans="1:1" x14ac:dyDescent="0.25">
      <c r="A70" s="45">
        <v>4512</v>
      </c>
    </row>
    <row r="71" spans="1:1" x14ac:dyDescent="0.25">
      <c r="A71" s="45">
        <v>4186</v>
      </c>
    </row>
    <row r="72" spans="1:1" x14ac:dyDescent="0.25">
      <c r="A72" s="45">
        <v>4316</v>
      </c>
    </row>
    <row r="73" spans="1:1" x14ac:dyDescent="0.25">
      <c r="A73" s="45">
        <v>4836</v>
      </c>
    </row>
    <row r="74" spans="1:1" x14ac:dyDescent="0.25">
      <c r="A74" s="45">
        <v>5620</v>
      </c>
    </row>
    <row r="75" spans="1:1" x14ac:dyDescent="0.25">
      <c r="A75" s="45">
        <v>4085</v>
      </c>
    </row>
    <row r="76" spans="1:1" x14ac:dyDescent="0.25">
      <c r="A76" s="45">
        <v>4104</v>
      </c>
    </row>
    <row r="77" spans="1:1" x14ac:dyDescent="0.25">
      <c r="A77" s="45">
        <v>3366</v>
      </c>
    </row>
    <row r="78" spans="1:1" x14ac:dyDescent="0.25">
      <c r="A78" s="45">
        <v>4250</v>
      </c>
    </row>
    <row r="79" spans="1:1" x14ac:dyDescent="0.25">
      <c r="A79" s="45">
        <v>4438</v>
      </c>
    </row>
    <row r="80" spans="1:1" x14ac:dyDescent="0.25">
      <c r="A80" s="45">
        <v>4614</v>
      </c>
    </row>
    <row r="81" spans="1:1" x14ac:dyDescent="0.25">
      <c r="A81" s="45">
        <v>4207</v>
      </c>
    </row>
    <row r="82" spans="1:1" x14ac:dyDescent="0.25">
      <c r="A82" s="45">
        <v>3945</v>
      </c>
    </row>
    <row r="83" spans="1:1" x14ac:dyDescent="0.25">
      <c r="A83" s="45">
        <v>4323</v>
      </c>
    </row>
    <row r="84" spans="1:1" x14ac:dyDescent="0.25">
      <c r="A84" s="45">
        <v>4750</v>
      </c>
    </row>
    <row r="85" spans="1:1" x14ac:dyDescent="0.25">
      <c r="A85" s="45">
        <v>3950</v>
      </c>
    </row>
    <row r="86" spans="1:1" x14ac:dyDescent="0.25">
      <c r="A86" s="45">
        <v>5180</v>
      </c>
    </row>
    <row r="87" spans="1:1" x14ac:dyDescent="0.25">
      <c r="A87" s="45">
        <v>4735</v>
      </c>
    </row>
    <row r="88" spans="1:1" x14ac:dyDescent="0.25">
      <c r="A88" s="45">
        <v>3904</v>
      </c>
    </row>
    <row r="89" spans="1:1" x14ac:dyDescent="0.25">
      <c r="A89" s="45">
        <v>4663</v>
      </c>
    </row>
    <row r="90" spans="1:1" x14ac:dyDescent="0.25">
      <c r="A90" s="45">
        <v>4612</v>
      </c>
    </row>
    <row r="91" spans="1:1" x14ac:dyDescent="0.25">
      <c r="A91" s="45">
        <v>4544</v>
      </c>
    </row>
    <row r="92" spans="1:1" x14ac:dyDescent="0.25">
      <c r="A92" s="45">
        <v>4724</v>
      </c>
    </row>
    <row r="93" spans="1:1" x14ac:dyDescent="0.25">
      <c r="A93" s="45">
        <v>4674</v>
      </c>
    </row>
    <row r="94" spans="1:1" x14ac:dyDescent="0.25">
      <c r="A94" s="45">
        <v>3184</v>
      </c>
    </row>
    <row r="95" spans="1:1" x14ac:dyDescent="0.25">
      <c r="A95" s="45">
        <v>4351</v>
      </c>
    </row>
    <row r="96" spans="1:1" x14ac:dyDescent="0.25">
      <c r="A96" s="45">
        <v>4182</v>
      </c>
    </row>
    <row r="97" spans="1:1" x14ac:dyDescent="0.25">
      <c r="A97" s="45">
        <v>3851</v>
      </c>
    </row>
    <row r="98" spans="1:1" x14ac:dyDescent="0.25">
      <c r="A98" s="45">
        <v>3373</v>
      </c>
    </row>
    <row r="99" spans="1:1" x14ac:dyDescent="0.25">
      <c r="A99" s="45">
        <v>3401</v>
      </c>
    </row>
    <row r="100" spans="1:1" x14ac:dyDescent="0.25">
      <c r="A100" s="45">
        <v>5492</v>
      </c>
    </row>
    <row r="101" spans="1:1" x14ac:dyDescent="0.25">
      <c r="A101" s="45">
        <v>4048</v>
      </c>
    </row>
    <row r="102" spans="1:1" x14ac:dyDescent="0.25">
      <c r="A102" s="45">
        <v>4011</v>
      </c>
    </row>
    <row r="103" spans="1:1" x14ac:dyDescent="0.25">
      <c r="A103" s="45">
        <v>4077</v>
      </c>
    </row>
    <row r="104" spans="1:1" x14ac:dyDescent="0.25">
      <c r="A104" s="45">
        <v>4003</v>
      </c>
    </row>
    <row r="105" spans="1:1" x14ac:dyDescent="0.25">
      <c r="A105" s="45">
        <v>4355</v>
      </c>
    </row>
    <row r="106" spans="1:1" x14ac:dyDescent="0.25">
      <c r="A106" s="45">
        <v>5280</v>
      </c>
    </row>
    <row r="107" spans="1:1" x14ac:dyDescent="0.25">
      <c r="A107" s="45">
        <v>4033</v>
      </c>
    </row>
    <row r="108" spans="1:1" x14ac:dyDescent="0.25">
      <c r="A108" s="45">
        <v>2510</v>
      </c>
    </row>
    <row r="109" spans="1:1" x14ac:dyDescent="0.25">
      <c r="A109" s="45">
        <v>3987</v>
      </c>
    </row>
    <row r="110" spans="1:1" x14ac:dyDescent="0.25">
      <c r="A110" s="45">
        <v>5767</v>
      </c>
    </row>
    <row r="111" spans="1:1" x14ac:dyDescent="0.25">
      <c r="A111" s="45">
        <v>4005</v>
      </c>
    </row>
    <row r="112" spans="1:1" x14ac:dyDescent="0.25">
      <c r="A112" s="45">
        <v>4144</v>
      </c>
    </row>
    <row r="113" spans="1:1" x14ac:dyDescent="0.25">
      <c r="A113" s="45">
        <v>3008</v>
      </c>
    </row>
    <row r="114" spans="1:1" x14ac:dyDescent="0.25">
      <c r="A114" s="45">
        <v>4674</v>
      </c>
    </row>
    <row r="115" spans="1:1" x14ac:dyDescent="0.25">
      <c r="A115" s="45">
        <v>3199</v>
      </c>
    </row>
    <row r="116" spans="1:1" x14ac:dyDescent="0.25">
      <c r="A116" s="45">
        <v>4698</v>
      </c>
    </row>
    <row r="117" spans="1:1" x14ac:dyDescent="0.25">
      <c r="A117" s="45">
        <v>4319</v>
      </c>
    </row>
    <row r="118" spans="1:1" x14ac:dyDescent="0.25">
      <c r="A118" s="45">
        <v>4664</v>
      </c>
    </row>
    <row r="119" spans="1:1" x14ac:dyDescent="0.25">
      <c r="A119" s="45">
        <v>3891</v>
      </c>
    </row>
    <row r="120" spans="1:1" x14ac:dyDescent="0.25">
      <c r="A120" s="45">
        <v>5301</v>
      </c>
    </row>
    <row r="121" spans="1:1" x14ac:dyDescent="0.25">
      <c r="A121" s="45">
        <v>3501</v>
      </c>
    </row>
    <row r="122" spans="1:1" x14ac:dyDescent="0.25">
      <c r="A122" s="45">
        <v>4767</v>
      </c>
    </row>
    <row r="123" spans="1:1" x14ac:dyDescent="0.25">
      <c r="A123" s="45">
        <v>6987</v>
      </c>
    </row>
    <row r="124" spans="1:1" x14ac:dyDescent="0.25">
      <c r="A124" s="45">
        <v>5491</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4">
    <tabColor rgb="FF0000FF"/>
  </sheetPr>
  <dimension ref="A16:V53"/>
  <sheetViews>
    <sheetView zoomScale="85" zoomScaleNormal="85" workbookViewId="0">
      <selection activeCell="D16" sqref="D16"/>
    </sheetView>
  </sheetViews>
  <sheetFormatPr defaultRowHeight="15" x14ac:dyDescent="0.25"/>
  <cols>
    <col min="1" max="1" width="14.28515625" customWidth="1"/>
    <col min="3" max="3" width="24" customWidth="1"/>
    <col min="6" max="6" width="10.42578125" customWidth="1"/>
    <col min="10" max="10" width="9.7109375" bestFit="1" customWidth="1"/>
    <col min="15" max="15" width="14" customWidth="1"/>
    <col min="16" max="16" width="6.28515625" bestFit="1" customWidth="1"/>
    <col min="18" max="18" width="17.42578125" customWidth="1"/>
    <col min="19" max="19" width="14.42578125" bestFit="1" customWidth="1"/>
    <col min="21" max="21" width="14.42578125" bestFit="1" customWidth="1"/>
  </cols>
  <sheetData>
    <row r="16" spans="1:19" x14ac:dyDescent="0.25">
      <c r="A16" s="33" t="s">
        <v>680</v>
      </c>
      <c r="C16" s="89" t="s">
        <v>318</v>
      </c>
      <c r="D16" s="30"/>
      <c r="F16" s="89" t="s">
        <v>300</v>
      </c>
      <c r="N16" t="s">
        <v>676</v>
      </c>
      <c r="S16" t="s">
        <v>681</v>
      </c>
    </row>
    <row r="17" spans="1:22" x14ac:dyDescent="0.25">
      <c r="A17" s="26">
        <v>15</v>
      </c>
      <c r="C17" s="89" t="s">
        <v>285</v>
      </c>
      <c r="D17" s="30"/>
      <c r="F17" s="26">
        <v>1</v>
      </c>
      <c r="N17" s="89" t="s">
        <v>318</v>
      </c>
      <c r="O17" s="26">
        <f>D16-D15</f>
        <v>0</v>
      </c>
      <c r="S17" s="89" t="str">
        <f t="shared" ref="S17:T20" si="0">C16</f>
        <v>Min</v>
      </c>
      <c r="T17" s="26">
        <f t="shared" si="0"/>
        <v>0</v>
      </c>
      <c r="U17" s="89" t="str">
        <f>C20</f>
        <v>Max</v>
      </c>
      <c r="V17" s="26">
        <f>D20</f>
        <v>0</v>
      </c>
    </row>
    <row r="18" spans="1:22" x14ac:dyDescent="0.25">
      <c r="A18" s="26">
        <v>20</v>
      </c>
      <c r="C18" s="89" t="s">
        <v>86</v>
      </c>
      <c r="D18" s="30"/>
      <c r="F18" s="26">
        <v>2</v>
      </c>
      <c r="N18" s="89" t="s">
        <v>285</v>
      </c>
      <c r="O18" s="26">
        <f>D17-D16</f>
        <v>0</v>
      </c>
      <c r="S18" s="89" t="str">
        <f t="shared" si="0"/>
        <v>Quartile 1</v>
      </c>
      <c r="T18" s="26">
        <f t="shared" si="0"/>
        <v>0</v>
      </c>
      <c r="U18" s="208" t="str">
        <f>C24</f>
        <v>Lower Limit</v>
      </c>
      <c r="V18" s="26">
        <f>IF($D$24&lt;0,0,$D$24)</f>
        <v>0</v>
      </c>
    </row>
    <row r="19" spans="1:22" x14ac:dyDescent="0.25">
      <c r="A19" s="26">
        <v>25</v>
      </c>
      <c r="C19" s="89" t="s">
        <v>287</v>
      </c>
      <c r="D19" s="30"/>
      <c r="F19" s="26">
        <v>3</v>
      </c>
      <c r="N19" s="89" t="s">
        <v>86</v>
      </c>
      <c r="O19" s="26">
        <f>D18-D17</f>
        <v>0</v>
      </c>
      <c r="S19" s="89" t="str">
        <f t="shared" si="0"/>
        <v>Median</v>
      </c>
      <c r="T19" s="26">
        <f t="shared" si="0"/>
        <v>0</v>
      </c>
      <c r="U19" s="208" t="str">
        <f>C25</f>
        <v>Upper Limit</v>
      </c>
      <c r="V19" s="26">
        <f>D25</f>
        <v>0</v>
      </c>
    </row>
    <row r="20" spans="1:22" x14ac:dyDescent="0.25">
      <c r="A20" s="26">
        <v>25</v>
      </c>
      <c r="C20" s="89" t="s">
        <v>319</v>
      </c>
      <c r="D20" s="30"/>
      <c r="N20" s="89" t="s">
        <v>287</v>
      </c>
      <c r="O20" s="26">
        <f>D19-D18</f>
        <v>0</v>
      </c>
      <c r="S20" s="89" t="str">
        <f t="shared" si="0"/>
        <v>Quartile 3</v>
      </c>
      <c r="T20" s="26">
        <f t="shared" si="0"/>
        <v>0</v>
      </c>
      <c r="U20" s="209"/>
      <c r="V20" s="210"/>
    </row>
    <row r="21" spans="1:22" x14ac:dyDescent="0.25">
      <c r="A21" s="26">
        <v>27</v>
      </c>
      <c r="C21" s="89" t="s">
        <v>96</v>
      </c>
      <c r="D21" s="30"/>
      <c r="N21" s="89" t="s">
        <v>319</v>
      </c>
      <c r="O21" s="26">
        <f>D20-D19</f>
        <v>0</v>
      </c>
      <c r="Q21" s="22" t="s">
        <v>675</v>
      </c>
    </row>
    <row r="22" spans="1:22" x14ac:dyDescent="0.25">
      <c r="A22" s="26">
        <v>28</v>
      </c>
      <c r="C22" s="89" t="s">
        <v>794</v>
      </c>
      <c r="D22" s="26">
        <v>1.5</v>
      </c>
      <c r="N22" s="89" t="str">
        <f>C30</f>
        <v>Mean</v>
      </c>
      <c r="O22" s="26">
        <f>D30</f>
        <v>0</v>
      </c>
      <c r="Q22">
        <v>1.5</v>
      </c>
    </row>
    <row r="23" spans="1:22" x14ac:dyDescent="0.25">
      <c r="A23" s="26">
        <v>30</v>
      </c>
    </row>
    <row r="24" spans="1:22" x14ac:dyDescent="0.25">
      <c r="A24" s="26">
        <v>25</v>
      </c>
      <c r="C24" s="89" t="s">
        <v>674</v>
      </c>
      <c r="D24" s="30"/>
      <c r="F24" s="176" t="str">
        <f>"Quartile 1 - "&amp;D22&amp;"*Interquartile Range, or 0."</f>
        <v>Quartile 1 - 1.5*Interquartile Range, or 0.</v>
      </c>
    </row>
    <row r="25" spans="1:22" x14ac:dyDescent="0.25">
      <c r="A25" s="26">
        <v>10</v>
      </c>
      <c r="C25" s="89" t="s">
        <v>673</v>
      </c>
      <c r="D25" s="30"/>
      <c r="F25" s="176" t="str">
        <f>"Quartile 3 + "&amp;D22&amp;"*Interquartile Range"</f>
        <v>Quartile 3 + 1.5*Interquartile Range</v>
      </c>
    </row>
    <row r="26" spans="1:22" x14ac:dyDescent="0.25">
      <c r="A26" s="26">
        <v>35</v>
      </c>
      <c r="O26" s="89" t="str">
        <f>C24&amp;" X "</f>
        <v xml:space="preserve">Lower Limit X </v>
      </c>
      <c r="P26" s="89" t="s">
        <v>675</v>
      </c>
      <c r="R26" s="89" t="str">
        <f>C25&amp;" X"</f>
        <v>Upper Limit X</v>
      </c>
      <c r="S26" s="89" t="s">
        <v>675</v>
      </c>
    </row>
    <row r="27" spans="1:22" x14ac:dyDescent="0.25">
      <c r="A27" s="26">
        <v>27</v>
      </c>
      <c r="C27" s="175" t="s">
        <v>672</v>
      </c>
      <c r="D27" s="30"/>
      <c r="O27" s="30">
        <f>IF($D$24&lt;0,0,$D$24)</f>
        <v>0</v>
      </c>
      <c r="P27" s="30">
        <f>0</f>
        <v>0</v>
      </c>
      <c r="R27" s="30">
        <f>D25</f>
        <v>0</v>
      </c>
      <c r="S27" s="30">
        <v>0</v>
      </c>
    </row>
    <row r="28" spans="1:22" x14ac:dyDescent="0.25">
      <c r="A28" s="26">
        <v>29</v>
      </c>
      <c r="C28" s="175" t="s">
        <v>671</v>
      </c>
      <c r="D28" s="30"/>
      <c r="O28" s="30">
        <f>IF($D$24&lt;0,0,$D$24)</f>
        <v>0</v>
      </c>
      <c r="P28" s="30">
        <v>1.5</v>
      </c>
      <c r="R28" s="30">
        <f>D25</f>
        <v>0</v>
      </c>
      <c r="S28" s="30">
        <v>1.5</v>
      </c>
    </row>
    <row r="29" spans="1:22" x14ac:dyDescent="0.25">
      <c r="A29" s="26">
        <v>31</v>
      </c>
    </row>
    <row r="30" spans="1:22" x14ac:dyDescent="0.25">
      <c r="A30" s="26">
        <v>28</v>
      </c>
      <c r="C30" s="175" t="s">
        <v>85</v>
      </c>
      <c r="D30" s="30"/>
    </row>
    <row r="31" spans="1:22" x14ac:dyDescent="0.25">
      <c r="A31" s="26">
        <v>11</v>
      </c>
    </row>
    <row r="32" spans="1:22" x14ac:dyDescent="0.25">
      <c r="A32" s="26">
        <v>12</v>
      </c>
    </row>
    <row r="33" spans="1:3" x14ac:dyDescent="0.25">
      <c r="A33" s="26">
        <v>34</v>
      </c>
    </row>
    <row r="34" spans="1:3" x14ac:dyDescent="0.25">
      <c r="C34" t="s">
        <v>1026</v>
      </c>
    </row>
    <row r="35" spans="1:3" x14ac:dyDescent="0.25">
      <c r="C35" s="54" t="s">
        <v>1028</v>
      </c>
    </row>
    <row r="36" spans="1:3" x14ac:dyDescent="0.25">
      <c r="C36" s="54" t="s">
        <v>1027</v>
      </c>
    </row>
    <row r="38" spans="1:3" x14ac:dyDescent="0.25">
      <c r="C38" s="22" t="s">
        <v>803</v>
      </c>
    </row>
    <row r="39" spans="1:3" x14ac:dyDescent="0.25">
      <c r="C39" t="s">
        <v>795</v>
      </c>
    </row>
    <row r="40" spans="1:3" x14ac:dyDescent="0.25">
      <c r="C40" t="s">
        <v>697</v>
      </c>
    </row>
    <row r="41" spans="1:3" x14ac:dyDescent="0.25">
      <c r="C41" t="s">
        <v>798</v>
      </c>
    </row>
    <row r="42" spans="1:3" x14ac:dyDescent="0.25">
      <c r="C42" t="s">
        <v>796</v>
      </c>
    </row>
    <row r="43" spans="1:3" x14ac:dyDescent="0.25">
      <c r="C43" t="s">
        <v>797</v>
      </c>
    </row>
    <row r="44" spans="1:3" x14ac:dyDescent="0.25">
      <c r="C44" t="s">
        <v>790</v>
      </c>
    </row>
    <row r="45" spans="1:3" x14ac:dyDescent="0.25">
      <c r="C45" t="s">
        <v>792</v>
      </c>
    </row>
    <row r="46" spans="1:3" x14ac:dyDescent="0.25">
      <c r="C46" t="s">
        <v>793</v>
      </c>
    </row>
    <row r="47" spans="1:3" x14ac:dyDescent="0.25">
      <c r="C47" s="54" t="s">
        <v>664</v>
      </c>
    </row>
    <row r="48" spans="1:3" x14ac:dyDescent="0.25">
      <c r="C48" s="54" t="s">
        <v>669</v>
      </c>
    </row>
    <row r="49" spans="3:3" x14ac:dyDescent="0.25">
      <c r="C49" s="54" t="s">
        <v>668</v>
      </c>
    </row>
    <row r="50" spans="3:3" x14ac:dyDescent="0.25">
      <c r="C50" s="174" t="s">
        <v>791</v>
      </c>
    </row>
    <row r="51" spans="3:3" x14ac:dyDescent="0.25">
      <c r="C51" s="174" t="s">
        <v>665</v>
      </c>
    </row>
    <row r="52" spans="3:3" x14ac:dyDescent="0.25">
      <c r="C52" s="174" t="s">
        <v>666</v>
      </c>
    </row>
    <row r="53" spans="3:3" x14ac:dyDescent="0.25">
      <c r="C53" s="174" t="s">
        <v>667</v>
      </c>
    </row>
  </sheetData>
  <hyperlinks>
    <hyperlink ref="C49" r:id="rId1" xr:uid="{00000000-0004-0000-4400-000000000000}"/>
    <hyperlink ref="C47" r:id="rId2" xr:uid="{00000000-0004-0000-4400-000001000000}"/>
    <hyperlink ref="C48" r:id="rId3" xr:uid="{00000000-0004-0000-4400-000002000000}"/>
    <hyperlink ref="C36" r:id="rId4" xr:uid="{00000000-0004-0000-4400-000003000000}"/>
    <hyperlink ref="C35" r:id="rId5" xr:uid="{00000000-0004-0000-4400-000004000000}"/>
  </hyperlinks>
  <pageMargins left="0.7" right="0.7" top="0.75" bottom="0.75" header="0.3" footer="0.3"/>
  <pageSetup orientation="portrait" r:id="rId6"/>
  <drawing r:id="rId7"/>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tabColor rgb="FFFF0000"/>
  </sheetPr>
  <dimension ref="A16:V53"/>
  <sheetViews>
    <sheetView zoomScale="85" zoomScaleNormal="85" workbookViewId="0">
      <selection activeCell="D16" sqref="D16"/>
    </sheetView>
  </sheetViews>
  <sheetFormatPr defaultRowHeight="15" x14ac:dyDescent="0.25"/>
  <cols>
    <col min="1" max="1" width="14.28515625" customWidth="1"/>
    <col min="3" max="3" width="24" customWidth="1"/>
    <col min="6" max="6" width="10.42578125" customWidth="1"/>
    <col min="10" max="10" width="9.7109375" bestFit="1" customWidth="1"/>
    <col min="15" max="15" width="14" customWidth="1"/>
    <col min="16" max="16" width="6.28515625" bestFit="1" customWidth="1"/>
    <col min="18" max="18" width="17.42578125" customWidth="1"/>
    <col min="19" max="19" width="14.42578125" bestFit="1" customWidth="1"/>
    <col min="21" max="21" width="14.42578125" bestFit="1" customWidth="1"/>
  </cols>
  <sheetData>
    <row r="16" spans="1:19" x14ac:dyDescent="0.25">
      <c r="A16" s="33" t="s">
        <v>680</v>
      </c>
      <c r="C16" s="89" t="s">
        <v>318</v>
      </c>
      <c r="D16" s="30">
        <f>MIN($A$17:$A$33)</f>
        <v>10</v>
      </c>
      <c r="F16" s="89" t="s">
        <v>300</v>
      </c>
      <c r="N16" t="s">
        <v>676</v>
      </c>
      <c r="S16" t="s">
        <v>681</v>
      </c>
    </row>
    <row r="17" spans="1:22" x14ac:dyDescent="0.25">
      <c r="A17" s="26">
        <v>15</v>
      </c>
      <c r="C17" s="89" t="s">
        <v>285</v>
      </c>
      <c r="D17" s="30">
        <f>_xlfn.QUARTILE.EXC($A$17:$A$33,F17)</f>
        <v>17.5</v>
      </c>
      <c r="F17" s="26">
        <v>1</v>
      </c>
      <c r="N17" s="89" t="s">
        <v>318</v>
      </c>
      <c r="O17" s="26">
        <f>D16-D15</f>
        <v>10</v>
      </c>
      <c r="S17" s="89" t="str">
        <f t="shared" ref="S17:T20" si="0">C16</f>
        <v>Min</v>
      </c>
      <c r="T17" s="26">
        <f t="shared" si="0"/>
        <v>10</v>
      </c>
      <c r="U17" s="89" t="str">
        <f>C20</f>
        <v>Max</v>
      </c>
      <c r="V17" s="26">
        <f>D20</f>
        <v>35</v>
      </c>
    </row>
    <row r="18" spans="1:22" x14ac:dyDescent="0.25">
      <c r="A18" s="26">
        <v>20</v>
      </c>
      <c r="C18" s="89" t="s">
        <v>86</v>
      </c>
      <c r="D18" s="30">
        <f>_xlfn.QUARTILE.EXC($A$17:$A$33,F18)</f>
        <v>27</v>
      </c>
      <c r="F18" s="26">
        <v>2</v>
      </c>
      <c r="N18" s="89" t="s">
        <v>285</v>
      </c>
      <c r="O18" s="26">
        <f>D17-D16</f>
        <v>7.5</v>
      </c>
      <c r="S18" s="89" t="str">
        <f t="shared" si="0"/>
        <v>Quartile 1</v>
      </c>
      <c r="T18" s="26">
        <f t="shared" si="0"/>
        <v>17.5</v>
      </c>
      <c r="U18" s="208" t="str">
        <f>C24</f>
        <v>Lower Limit</v>
      </c>
      <c r="V18" s="26">
        <f>IF($D$24&lt;0,0,$D$24)</f>
        <v>0</v>
      </c>
    </row>
    <row r="19" spans="1:22" x14ac:dyDescent="0.25">
      <c r="A19" s="26">
        <v>25</v>
      </c>
      <c r="C19" s="89" t="s">
        <v>287</v>
      </c>
      <c r="D19" s="30">
        <f>_xlfn.QUARTILE.EXC($A$17:$A$33,F19)</f>
        <v>29.5</v>
      </c>
      <c r="F19" s="26">
        <v>3</v>
      </c>
      <c r="N19" s="89" t="s">
        <v>86</v>
      </c>
      <c r="O19" s="26">
        <f>D18-D17</f>
        <v>9.5</v>
      </c>
      <c r="S19" s="89" t="str">
        <f t="shared" si="0"/>
        <v>Median</v>
      </c>
      <c r="T19" s="26">
        <f t="shared" si="0"/>
        <v>27</v>
      </c>
      <c r="U19" s="208" t="str">
        <f>C25</f>
        <v>Upper Limit</v>
      </c>
      <c r="V19" s="26">
        <f>D25</f>
        <v>47.5</v>
      </c>
    </row>
    <row r="20" spans="1:22" x14ac:dyDescent="0.25">
      <c r="A20" s="26">
        <v>25</v>
      </c>
      <c r="C20" s="89" t="s">
        <v>319</v>
      </c>
      <c r="D20" s="30">
        <f>MAX($A$17:$A$33)</f>
        <v>35</v>
      </c>
      <c r="N20" s="89" t="s">
        <v>287</v>
      </c>
      <c r="O20" s="26">
        <f>D19-D18</f>
        <v>2.5</v>
      </c>
      <c r="S20" s="89" t="str">
        <f t="shared" si="0"/>
        <v>Quartile 3</v>
      </c>
      <c r="T20" s="26">
        <f t="shared" si="0"/>
        <v>29.5</v>
      </c>
      <c r="U20" s="209"/>
      <c r="V20" s="210"/>
    </row>
    <row r="21" spans="1:22" x14ac:dyDescent="0.25">
      <c r="A21" s="26">
        <v>27</v>
      </c>
      <c r="C21" s="89" t="s">
        <v>96</v>
      </c>
      <c r="D21" s="30">
        <f>D19-D17</f>
        <v>12</v>
      </c>
      <c r="N21" s="89" t="s">
        <v>319</v>
      </c>
      <c r="O21" s="26">
        <f>D20-D19</f>
        <v>5.5</v>
      </c>
      <c r="Q21" s="22" t="s">
        <v>675</v>
      </c>
    </row>
    <row r="22" spans="1:22" x14ac:dyDescent="0.25">
      <c r="A22" s="26">
        <v>28</v>
      </c>
      <c r="C22" s="89" t="s">
        <v>794</v>
      </c>
      <c r="D22" s="26">
        <v>1.5</v>
      </c>
      <c r="N22" s="89" t="str">
        <f>C30</f>
        <v>Mean</v>
      </c>
      <c r="O22" s="26">
        <f>D30</f>
        <v>24.235294117647058</v>
      </c>
      <c r="Q22">
        <v>1.5</v>
      </c>
    </row>
    <row r="23" spans="1:22" x14ac:dyDescent="0.25">
      <c r="A23" s="26">
        <v>30</v>
      </c>
    </row>
    <row r="24" spans="1:22" x14ac:dyDescent="0.25">
      <c r="A24" s="26">
        <v>25</v>
      </c>
      <c r="C24" s="89" t="s">
        <v>674</v>
      </c>
      <c r="D24" s="30">
        <f>D17-$D$21*$D$22</f>
        <v>-0.5</v>
      </c>
      <c r="F24" s="176" t="str">
        <f>"Quartile 1 - "&amp;D22&amp;"*Interquartile Range, or 0."</f>
        <v>Quartile 1 - 1.5*Interquartile Range, or 0.</v>
      </c>
    </row>
    <row r="25" spans="1:22" x14ac:dyDescent="0.25">
      <c r="A25" s="26">
        <v>10</v>
      </c>
      <c r="C25" s="89" t="s">
        <v>673</v>
      </c>
      <c r="D25" s="30">
        <f>D19+$D$21*$D$22</f>
        <v>47.5</v>
      </c>
      <c r="F25" s="176" t="str">
        <f>"Quartile 3 + "&amp;D22&amp;"*Interquartile Range"</f>
        <v>Quartile 3 + 1.5*Interquartile Range</v>
      </c>
    </row>
    <row r="26" spans="1:22" x14ac:dyDescent="0.25">
      <c r="A26" s="26">
        <v>35</v>
      </c>
      <c r="O26" s="89" t="str">
        <f>C24&amp;" X "</f>
        <v xml:space="preserve">Lower Limit X </v>
      </c>
      <c r="P26" s="89" t="s">
        <v>675</v>
      </c>
      <c r="R26" s="89" t="str">
        <f>C25&amp;" X"</f>
        <v>Upper Limit X</v>
      </c>
      <c r="S26" s="89" t="s">
        <v>675</v>
      </c>
    </row>
    <row r="27" spans="1:22" x14ac:dyDescent="0.25">
      <c r="A27" s="26">
        <v>27</v>
      </c>
      <c r="C27" s="175" t="s">
        <v>672</v>
      </c>
      <c r="D27" s="30"/>
      <c r="O27" s="30">
        <f>IF($D$24&lt;0,0,$D$24)</f>
        <v>0</v>
      </c>
      <c r="P27" s="30">
        <f>0</f>
        <v>0</v>
      </c>
      <c r="R27" s="30">
        <f>D25</f>
        <v>47.5</v>
      </c>
      <c r="S27" s="30">
        <v>0</v>
      </c>
    </row>
    <row r="28" spans="1:22" x14ac:dyDescent="0.25">
      <c r="A28" s="26">
        <v>29</v>
      </c>
      <c r="C28" s="175" t="s">
        <v>671</v>
      </c>
      <c r="D28" s="30">
        <f>COUNTIFS(A17:A33,"&gt;"&amp;D25)</f>
        <v>0</v>
      </c>
      <c r="O28" s="30">
        <f>IF($D$24&lt;0,0,$D$24)</f>
        <v>0</v>
      </c>
      <c r="P28" s="30">
        <v>1.5</v>
      </c>
      <c r="R28" s="30">
        <f>D25</f>
        <v>47.5</v>
      </c>
      <c r="S28" s="30">
        <v>1.5</v>
      </c>
    </row>
    <row r="29" spans="1:22" x14ac:dyDescent="0.25">
      <c r="A29" s="26">
        <v>31</v>
      </c>
    </row>
    <row r="30" spans="1:22" x14ac:dyDescent="0.25">
      <c r="A30" s="26">
        <v>28</v>
      </c>
      <c r="C30" s="175" t="s">
        <v>85</v>
      </c>
      <c r="D30" s="30">
        <f>AVERAGE(A17:A33)</f>
        <v>24.235294117647058</v>
      </c>
    </row>
    <row r="31" spans="1:22" x14ac:dyDescent="0.25">
      <c r="A31" s="26">
        <v>11</v>
      </c>
    </row>
    <row r="32" spans="1:22" x14ac:dyDescent="0.25">
      <c r="A32" s="26">
        <v>12</v>
      </c>
    </row>
    <row r="33" spans="1:3" x14ac:dyDescent="0.25">
      <c r="A33" s="26">
        <v>34</v>
      </c>
    </row>
    <row r="34" spans="1:3" x14ac:dyDescent="0.25">
      <c r="C34" t="s">
        <v>1026</v>
      </c>
    </row>
    <row r="35" spans="1:3" x14ac:dyDescent="0.25">
      <c r="C35" s="54" t="s">
        <v>1028</v>
      </c>
    </row>
    <row r="36" spans="1:3" x14ac:dyDescent="0.25">
      <c r="C36" s="54" t="s">
        <v>1027</v>
      </c>
    </row>
    <row r="38" spans="1:3" x14ac:dyDescent="0.25">
      <c r="C38" s="22" t="s">
        <v>803</v>
      </c>
    </row>
    <row r="39" spans="1:3" x14ac:dyDescent="0.25">
      <c r="C39" t="s">
        <v>795</v>
      </c>
    </row>
    <row r="40" spans="1:3" x14ac:dyDescent="0.25">
      <c r="C40" t="s">
        <v>697</v>
      </c>
    </row>
    <row r="41" spans="1:3" x14ac:dyDescent="0.25">
      <c r="C41" t="s">
        <v>798</v>
      </c>
    </row>
    <row r="42" spans="1:3" x14ac:dyDescent="0.25">
      <c r="C42" t="s">
        <v>796</v>
      </c>
    </row>
    <row r="43" spans="1:3" x14ac:dyDescent="0.25">
      <c r="C43" t="s">
        <v>797</v>
      </c>
    </row>
    <row r="44" spans="1:3" x14ac:dyDescent="0.25">
      <c r="C44" t="s">
        <v>790</v>
      </c>
    </row>
    <row r="45" spans="1:3" x14ac:dyDescent="0.25">
      <c r="C45" t="s">
        <v>792</v>
      </c>
    </row>
    <row r="46" spans="1:3" x14ac:dyDescent="0.25">
      <c r="C46" t="s">
        <v>793</v>
      </c>
    </row>
    <row r="47" spans="1:3" x14ac:dyDescent="0.25">
      <c r="C47" s="54" t="s">
        <v>664</v>
      </c>
    </row>
    <row r="48" spans="1:3" x14ac:dyDescent="0.25">
      <c r="C48" s="54" t="s">
        <v>669</v>
      </c>
    </row>
    <row r="49" spans="3:3" x14ac:dyDescent="0.25">
      <c r="C49" s="54" t="s">
        <v>668</v>
      </c>
    </row>
    <row r="50" spans="3:3" x14ac:dyDescent="0.25">
      <c r="C50" s="174" t="s">
        <v>791</v>
      </c>
    </row>
    <row r="51" spans="3:3" x14ac:dyDescent="0.25">
      <c r="C51" s="174" t="s">
        <v>665</v>
      </c>
    </row>
    <row r="52" spans="3:3" x14ac:dyDescent="0.25">
      <c r="C52" s="174" t="s">
        <v>666</v>
      </c>
    </row>
    <row r="53" spans="3:3" x14ac:dyDescent="0.25">
      <c r="C53" s="174" t="s">
        <v>667</v>
      </c>
    </row>
  </sheetData>
  <hyperlinks>
    <hyperlink ref="C49" r:id="rId1" xr:uid="{00000000-0004-0000-4500-000000000000}"/>
    <hyperlink ref="C47" r:id="rId2" xr:uid="{00000000-0004-0000-4500-000001000000}"/>
    <hyperlink ref="C48" r:id="rId3" xr:uid="{00000000-0004-0000-4500-000002000000}"/>
    <hyperlink ref="C36" r:id="rId4" xr:uid="{00000000-0004-0000-4500-000003000000}"/>
    <hyperlink ref="C35" r:id="rId5" xr:uid="{00000000-0004-0000-4500-000004000000}"/>
  </hyperlinks>
  <pageMargins left="0.7" right="0.7" top="0.75" bottom="0.75" header="0.3" footer="0.3"/>
  <pageSetup orientation="portrait" r:id="rId6"/>
  <drawing r:id="rId7"/>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2">
    <tabColor rgb="FF0000FF"/>
  </sheetPr>
  <dimension ref="A13:H131"/>
  <sheetViews>
    <sheetView zoomScale="115" zoomScaleNormal="115" workbookViewId="0"/>
  </sheetViews>
  <sheetFormatPr defaultRowHeight="15" x14ac:dyDescent="0.25"/>
  <cols>
    <col min="1" max="1" width="23.85546875" customWidth="1"/>
    <col min="2" max="3" width="13.28515625" customWidth="1"/>
    <col min="4" max="4" width="13.42578125" customWidth="1"/>
    <col min="8" max="8" width="13.28515625" customWidth="1"/>
  </cols>
  <sheetData>
    <row r="13" spans="1:8" x14ac:dyDescent="0.25">
      <c r="A13" s="1" t="s">
        <v>328</v>
      </c>
      <c r="B13" s="1" t="s">
        <v>426</v>
      </c>
      <c r="C13" s="1" t="s">
        <v>633</v>
      </c>
      <c r="D13" s="1" t="s">
        <v>663</v>
      </c>
      <c r="F13" s="119" t="s">
        <v>85</v>
      </c>
      <c r="G13" s="119" t="s">
        <v>641</v>
      </c>
      <c r="H13" s="119" t="s">
        <v>1029</v>
      </c>
    </row>
    <row r="14" spans="1:8" x14ac:dyDescent="0.25">
      <c r="A14" s="34">
        <v>1</v>
      </c>
      <c r="B14" s="70">
        <v>610.62900472613967</v>
      </c>
      <c r="C14" s="60"/>
      <c r="D14" s="30"/>
      <c r="F14" s="44"/>
      <c r="G14" s="30"/>
      <c r="H14" s="30"/>
    </row>
    <row r="15" spans="1:8" x14ac:dyDescent="0.25">
      <c r="A15" s="34">
        <v>2</v>
      </c>
      <c r="B15" s="70">
        <v>461.70058183492074</v>
      </c>
      <c r="C15" s="60"/>
      <c r="D15" s="30"/>
    </row>
    <row r="16" spans="1:8" x14ac:dyDescent="0.25">
      <c r="A16" s="34">
        <v>3</v>
      </c>
      <c r="B16" s="70">
        <v>557.94942717780634</v>
      </c>
      <c r="C16" s="60"/>
      <c r="D16" s="30"/>
    </row>
    <row r="17" spans="1:4" x14ac:dyDescent="0.25">
      <c r="A17" s="34">
        <v>4</v>
      </c>
      <c r="B17" s="70">
        <v>612.56976537564049</v>
      </c>
      <c r="C17" s="60"/>
      <c r="D17" s="30"/>
    </row>
    <row r="18" spans="1:4" x14ac:dyDescent="0.25">
      <c r="A18" s="34">
        <v>5</v>
      </c>
      <c r="B18" s="70">
        <v>674.05289331183144</v>
      </c>
      <c r="C18" s="60"/>
      <c r="D18" s="30"/>
    </row>
    <row r="19" spans="1:4" x14ac:dyDescent="0.25">
      <c r="A19" s="34">
        <v>6</v>
      </c>
      <c r="B19" s="70">
        <v>202.35</v>
      </c>
      <c r="C19" s="60"/>
      <c r="D19" s="30"/>
    </row>
    <row r="20" spans="1:4" x14ac:dyDescent="0.25">
      <c r="A20" s="34">
        <v>7</v>
      </c>
      <c r="B20" s="70">
        <v>658.60585612510999</v>
      </c>
      <c r="C20" s="60"/>
      <c r="D20" s="30"/>
    </row>
    <row r="21" spans="1:4" x14ac:dyDescent="0.25">
      <c r="A21" s="34">
        <v>8</v>
      </c>
      <c r="B21" s="70">
        <v>638.86869180517431</v>
      </c>
      <c r="C21" s="60"/>
      <c r="D21" s="30"/>
    </row>
    <row r="22" spans="1:4" x14ac:dyDescent="0.25">
      <c r="A22" s="34">
        <v>9</v>
      </c>
      <c r="B22" s="70">
        <v>360.41000341867209</v>
      </c>
      <c r="C22" s="60"/>
      <c r="D22" s="30"/>
    </row>
    <row r="23" spans="1:4" x14ac:dyDescent="0.25">
      <c r="A23" s="34">
        <v>10</v>
      </c>
      <c r="B23" s="70">
        <v>608.69815560321206</v>
      </c>
      <c r="C23" s="60"/>
      <c r="D23" s="30"/>
    </row>
    <row r="24" spans="1:4" x14ac:dyDescent="0.25">
      <c r="A24" s="34">
        <v>11</v>
      </c>
      <c r="B24" s="70">
        <v>998.98</v>
      </c>
      <c r="C24" s="60"/>
      <c r="D24" s="30"/>
    </row>
    <row r="25" spans="1:4" x14ac:dyDescent="0.25">
      <c r="A25" s="34">
        <v>12</v>
      </c>
      <c r="B25" s="70">
        <v>587.31488961268576</v>
      </c>
      <c r="C25" s="60"/>
      <c r="D25" s="30"/>
    </row>
    <row r="26" spans="1:4" x14ac:dyDescent="0.25">
      <c r="A26" s="34">
        <v>13</v>
      </c>
      <c r="B26" s="70">
        <v>662.69334682364433</v>
      </c>
      <c r="C26" s="60"/>
      <c r="D26" s="30"/>
    </row>
    <row r="27" spans="1:4" x14ac:dyDescent="0.25">
      <c r="A27" s="34">
        <v>14</v>
      </c>
      <c r="B27" s="70">
        <v>582.08234238408386</v>
      </c>
      <c r="C27" s="60"/>
      <c r="D27" s="30"/>
    </row>
    <row r="28" spans="1:4" x14ac:dyDescent="0.25">
      <c r="A28" s="34">
        <v>15</v>
      </c>
      <c r="B28" s="70">
        <v>422.17114822402846</v>
      </c>
      <c r="C28" s="60"/>
      <c r="D28" s="30"/>
    </row>
    <row r="29" spans="1:4" x14ac:dyDescent="0.25">
      <c r="A29" s="34">
        <v>16</v>
      </c>
      <c r="B29" s="70">
        <v>502.7009155158521</v>
      </c>
      <c r="C29" s="60"/>
      <c r="D29" s="30"/>
    </row>
    <row r="30" spans="1:4" x14ac:dyDescent="0.25">
      <c r="A30" s="34">
        <v>17</v>
      </c>
      <c r="B30" s="70">
        <v>597.38103243460046</v>
      </c>
      <c r="C30" s="60"/>
      <c r="D30" s="30"/>
    </row>
    <row r="31" spans="1:4" x14ac:dyDescent="0.25">
      <c r="A31" s="34">
        <v>18</v>
      </c>
      <c r="B31" s="70">
        <v>912.44289573482069</v>
      </c>
      <c r="C31" s="60"/>
      <c r="D31" s="30"/>
    </row>
    <row r="32" spans="1:4" x14ac:dyDescent="0.25">
      <c r="A32" s="34">
        <v>19</v>
      </c>
      <c r="B32" s="70">
        <v>656.4759124418714</v>
      </c>
      <c r="C32" s="60"/>
      <c r="D32" s="30"/>
    </row>
    <row r="33" spans="1:4" x14ac:dyDescent="0.25">
      <c r="A33" s="34">
        <v>20</v>
      </c>
      <c r="B33" s="70">
        <v>540.5760705345881</v>
      </c>
      <c r="C33" s="60"/>
      <c r="D33" s="30"/>
    </row>
    <row r="34" spans="1:4" x14ac:dyDescent="0.25">
      <c r="A34" s="34">
        <v>21</v>
      </c>
      <c r="B34" s="70">
        <v>549.52592512235697</v>
      </c>
      <c r="C34" s="60"/>
      <c r="D34" s="30"/>
    </row>
    <row r="35" spans="1:4" x14ac:dyDescent="0.25">
      <c r="A35" s="34">
        <v>22</v>
      </c>
      <c r="B35" s="70">
        <v>564.23710368723187</v>
      </c>
      <c r="C35" s="60"/>
      <c r="D35" s="30"/>
    </row>
    <row r="36" spans="1:4" x14ac:dyDescent="0.25">
      <c r="A36" s="34">
        <v>23</v>
      </c>
      <c r="B36" s="70">
        <v>652.7905768159743</v>
      </c>
      <c r="C36" s="60"/>
      <c r="D36" s="30"/>
    </row>
    <row r="37" spans="1:4" x14ac:dyDescent="0.25">
      <c r="A37" s="34">
        <v>24</v>
      </c>
      <c r="B37" s="70">
        <v>803.02440604238495</v>
      </c>
      <c r="C37" s="60"/>
      <c r="D37" s="30"/>
    </row>
    <row r="38" spans="1:4" x14ac:dyDescent="0.25">
      <c r="A38" s="34">
        <v>25</v>
      </c>
      <c r="B38" s="70">
        <v>495.48054464138204</v>
      </c>
      <c r="C38" s="60"/>
      <c r="D38" s="30"/>
    </row>
    <row r="39" spans="1:4" x14ac:dyDescent="0.25">
      <c r="A39" s="34">
        <v>26</v>
      </c>
      <c r="B39" s="70">
        <v>526.41364619378987</v>
      </c>
      <c r="C39" s="60"/>
      <c r="D39" s="30"/>
    </row>
    <row r="40" spans="1:4" x14ac:dyDescent="0.25">
      <c r="A40" s="34">
        <v>27</v>
      </c>
      <c r="B40" s="70">
        <v>678.76694445377211</v>
      </c>
      <c r="C40" s="60"/>
      <c r="D40" s="30"/>
    </row>
    <row r="41" spans="1:4" x14ac:dyDescent="0.25">
      <c r="A41" s="34">
        <v>28</v>
      </c>
      <c r="B41" s="70">
        <v>686.17225170632605</v>
      </c>
      <c r="C41" s="60"/>
      <c r="D41" s="30"/>
    </row>
    <row r="42" spans="1:4" x14ac:dyDescent="0.25">
      <c r="A42" s="34">
        <v>29</v>
      </c>
      <c r="B42" s="70">
        <v>594.66270665132663</v>
      </c>
      <c r="C42" s="60"/>
      <c r="D42" s="30"/>
    </row>
    <row r="43" spans="1:4" x14ac:dyDescent="0.25">
      <c r="A43" s="34">
        <v>30</v>
      </c>
      <c r="B43" s="70">
        <v>685.98620529368122</v>
      </c>
      <c r="C43" s="60"/>
      <c r="D43" s="30"/>
    </row>
    <row r="44" spans="1:4" x14ac:dyDescent="0.25">
      <c r="A44" s="34">
        <v>31</v>
      </c>
      <c r="B44" s="70">
        <v>614.20660871787311</v>
      </c>
      <c r="C44" s="60"/>
      <c r="D44" s="30"/>
    </row>
    <row r="45" spans="1:4" x14ac:dyDescent="0.25">
      <c r="A45" s="34">
        <v>32</v>
      </c>
      <c r="B45" s="70">
        <v>463.76157793691641</v>
      </c>
      <c r="C45" s="60"/>
      <c r="D45" s="30"/>
    </row>
    <row r="46" spans="1:4" x14ac:dyDescent="0.25">
      <c r="A46" s="34">
        <v>33</v>
      </c>
      <c r="B46" s="70">
        <v>594.73596578460706</v>
      </c>
      <c r="C46" s="60"/>
      <c r="D46" s="30"/>
    </row>
    <row r="47" spans="1:4" x14ac:dyDescent="0.25">
      <c r="A47" s="34">
        <v>34</v>
      </c>
      <c r="B47" s="70">
        <v>682.59964148507026</v>
      </c>
      <c r="C47" s="60"/>
      <c r="D47" s="30"/>
    </row>
    <row r="48" spans="1:4" x14ac:dyDescent="0.25">
      <c r="A48" s="34">
        <v>35</v>
      </c>
      <c r="B48" s="70">
        <v>595.07498063607966</v>
      </c>
      <c r="C48" s="60"/>
      <c r="D48" s="30"/>
    </row>
    <row r="49" spans="1:4" x14ac:dyDescent="0.25">
      <c r="A49" s="34">
        <v>36</v>
      </c>
      <c r="B49" s="70">
        <v>765.42500899810136</v>
      </c>
      <c r="C49" s="60"/>
      <c r="D49" s="30"/>
    </row>
    <row r="50" spans="1:4" x14ac:dyDescent="0.25">
      <c r="A50" s="34">
        <v>37</v>
      </c>
      <c r="B50" s="70">
        <v>759.7301122019818</v>
      </c>
      <c r="C50" s="60"/>
      <c r="D50" s="30"/>
    </row>
    <row r="51" spans="1:4" x14ac:dyDescent="0.25">
      <c r="A51" s="34">
        <v>38</v>
      </c>
      <c r="B51" s="70">
        <v>563.13716457755947</v>
      </c>
      <c r="C51" s="60"/>
      <c r="D51" s="30"/>
    </row>
    <row r="52" spans="1:4" x14ac:dyDescent="0.25">
      <c r="A52" s="34">
        <v>39</v>
      </c>
      <c r="B52" s="70">
        <v>572.92604378458736</v>
      </c>
      <c r="C52" s="60"/>
      <c r="D52" s="30"/>
    </row>
    <row r="53" spans="1:4" x14ac:dyDescent="0.25">
      <c r="A53" s="34">
        <v>40</v>
      </c>
      <c r="B53" s="70">
        <v>623.0441272658403</v>
      </c>
      <c r="C53" s="60"/>
      <c r="D53" s="30"/>
    </row>
    <row r="54" spans="1:4" x14ac:dyDescent="0.25">
      <c r="A54" s="34">
        <v>41</v>
      </c>
      <c r="B54" s="70">
        <v>592.23750998975163</v>
      </c>
      <c r="C54" s="60"/>
      <c r="D54" s="30"/>
    </row>
    <row r="55" spans="1:4" x14ac:dyDescent="0.25">
      <c r="A55" s="34">
        <v>42</v>
      </c>
      <c r="B55" s="70">
        <v>782.5634905872322</v>
      </c>
      <c r="C55" s="60"/>
      <c r="D55" s="30"/>
    </row>
    <row r="56" spans="1:4" x14ac:dyDescent="0.25">
      <c r="A56" s="34">
        <v>43</v>
      </c>
      <c r="B56" s="70">
        <v>757.38148119755533</v>
      </c>
      <c r="C56" s="60"/>
      <c r="D56" s="30"/>
    </row>
    <row r="57" spans="1:4" x14ac:dyDescent="0.25">
      <c r="A57" s="34">
        <v>44</v>
      </c>
      <c r="B57" s="70">
        <v>793.37321446650981</v>
      </c>
      <c r="C57" s="60"/>
      <c r="D57" s="30"/>
    </row>
    <row r="58" spans="1:4" x14ac:dyDescent="0.25">
      <c r="A58" s="34">
        <v>45</v>
      </c>
      <c r="B58" s="70">
        <v>777.69756284818527</v>
      </c>
      <c r="C58" s="60"/>
      <c r="D58" s="30"/>
    </row>
    <row r="59" spans="1:4" x14ac:dyDescent="0.25">
      <c r="A59" s="34">
        <v>46</v>
      </c>
      <c r="B59" s="70">
        <v>628.15715345376736</v>
      </c>
      <c r="C59" s="60"/>
      <c r="D59" s="30"/>
    </row>
    <row r="60" spans="1:4" x14ac:dyDescent="0.25">
      <c r="A60" s="34">
        <v>47</v>
      </c>
      <c r="B60" s="70">
        <v>389.38827787626553</v>
      </c>
      <c r="C60" s="60"/>
      <c r="D60" s="30"/>
    </row>
    <row r="61" spans="1:4" x14ac:dyDescent="0.25">
      <c r="A61" s="34">
        <v>48</v>
      </c>
      <c r="B61" s="70">
        <v>698.97541266853966</v>
      </c>
      <c r="C61" s="60"/>
      <c r="D61" s="30"/>
    </row>
    <row r="62" spans="1:4" x14ac:dyDescent="0.25">
      <c r="A62" s="34">
        <v>49</v>
      </c>
      <c r="B62" s="70">
        <v>440.37238119337167</v>
      </c>
      <c r="C62" s="60"/>
      <c r="D62" s="30"/>
    </row>
    <row r="63" spans="1:4" x14ac:dyDescent="0.25">
      <c r="A63" s="34">
        <v>50</v>
      </c>
      <c r="B63" s="70">
        <v>437.95907739334461</v>
      </c>
      <c r="C63" s="60"/>
      <c r="D63" s="30"/>
    </row>
    <row r="64" spans="1:4" x14ac:dyDescent="0.25">
      <c r="A64" s="34">
        <v>51</v>
      </c>
      <c r="B64" s="70">
        <v>334.67269125018584</v>
      </c>
      <c r="C64" s="60"/>
      <c r="D64" s="30"/>
    </row>
    <row r="65" spans="1:4" x14ac:dyDescent="0.25">
      <c r="A65" s="34">
        <v>52</v>
      </c>
      <c r="B65" s="70">
        <v>723.56725617453674</v>
      </c>
      <c r="C65" s="60"/>
      <c r="D65" s="30"/>
    </row>
    <row r="66" spans="1:4" x14ac:dyDescent="0.25">
      <c r="A66" s="34">
        <v>53</v>
      </c>
      <c r="B66" s="70">
        <v>764.72485516568554</v>
      </c>
      <c r="C66" s="60"/>
      <c r="D66" s="30"/>
    </row>
    <row r="67" spans="1:4" x14ac:dyDescent="0.25">
      <c r="A67" s="34">
        <v>54</v>
      </c>
      <c r="B67" s="70">
        <v>778.47166001444953</v>
      </c>
      <c r="C67" s="60"/>
      <c r="D67" s="30"/>
    </row>
    <row r="68" spans="1:4" x14ac:dyDescent="0.25">
      <c r="A68" s="34">
        <v>55</v>
      </c>
      <c r="B68" s="70">
        <v>521.48547756818073</v>
      </c>
      <c r="C68" s="60"/>
      <c r="D68" s="30"/>
    </row>
    <row r="69" spans="1:4" x14ac:dyDescent="0.25">
      <c r="A69" s="34">
        <v>56</v>
      </c>
      <c r="B69" s="70">
        <v>711.95205706666297</v>
      </c>
      <c r="C69" s="60"/>
      <c r="D69" s="30"/>
    </row>
    <row r="70" spans="1:4" x14ac:dyDescent="0.25">
      <c r="A70" s="34">
        <v>57</v>
      </c>
      <c r="B70" s="70">
        <v>587.62467871155422</v>
      </c>
      <c r="C70" s="60"/>
      <c r="D70" s="30"/>
    </row>
    <row r="71" spans="1:4" x14ac:dyDescent="0.25">
      <c r="A71" s="34">
        <v>58</v>
      </c>
      <c r="B71" s="70">
        <v>642.5954764049535</v>
      </c>
      <c r="C71" s="60"/>
      <c r="D71" s="30"/>
    </row>
    <row r="72" spans="1:4" x14ac:dyDescent="0.25">
      <c r="A72" s="34">
        <v>59</v>
      </c>
      <c r="B72" s="70">
        <v>635.49777291075043</v>
      </c>
      <c r="C72" s="60"/>
      <c r="D72" s="30"/>
    </row>
    <row r="73" spans="1:4" x14ac:dyDescent="0.25">
      <c r="A73" s="34">
        <v>60</v>
      </c>
      <c r="B73" s="70">
        <v>445.81032819101142</v>
      </c>
      <c r="C73" s="60"/>
      <c r="D73" s="30"/>
    </row>
    <row r="74" spans="1:4" x14ac:dyDescent="0.25">
      <c r="A74" s="34">
        <v>61</v>
      </c>
      <c r="B74" s="70">
        <v>668.72135280963596</v>
      </c>
      <c r="C74" s="60"/>
      <c r="D74" s="30"/>
    </row>
    <row r="75" spans="1:4" x14ac:dyDescent="0.25">
      <c r="A75" s="34">
        <v>62</v>
      </c>
      <c r="B75" s="70">
        <v>648.05590490097632</v>
      </c>
      <c r="C75" s="60"/>
      <c r="D75" s="30"/>
    </row>
    <row r="76" spans="1:4" x14ac:dyDescent="0.25">
      <c r="A76" s="34">
        <v>63</v>
      </c>
      <c r="B76" s="70">
        <v>750.02966210552097</v>
      </c>
      <c r="C76" s="60"/>
      <c r="D76" s="30"/>
    </row>
    <row r="77" spans="1:4" x14ac:dyDescent="0.25">
      <c r="A77" s="34">
        <v>64</v>
      </c>
      <c r="B77" s="70">
        <v>690.31706131119108</v>
      </c>
      <c r="C77" s="60"/>
      <c r="D77" s="30"/>
    </row>
    <row r="78" spans="1:4" x14ac:dyDescent="0.25">
      <c r="A78" s="34">
        <v>65</v>
      </c>
      <c r="B78" s="70">
        <v>400.76941637916292</v>
      </c>
      <c r="C78" s="60"/>
      <c r="D78" s="30"/>
    </row>
    <row r="79" spans="1:4" x14ac:dyDescent="0.25">
      <c r="A79" s="34">
        <v>66</v>
      </c>
      <c r="B79" s="70">
        <v>696.57472502866744</v>
      </c>
      <c r="C79" s="60"/>
      <c r="D79" s="30"/>
    </row>
    <row r="80" spans="1:4" x14ac:dyDescent="0.25">
      <c r="A80" s="34">
        <v>67</v>
      </c>
      <c r="B80" s="70">
        <v>491.80115129502178</v>
      </c>
      <c r="C80" s="60"/>
      <c r="D80" s="30"/>
    </row>
    <row r="81" spans="1:4" x14ac:dyDescent="0.25">
      <c r="A81" s="34">
        <v>68</v>
      </c>
      <c r="B81" s="70">
        <v>670.84630026863397</v>
      </c>
      <c r="C81" s="60"/>
      <c r="D81" s="30"/>
    </row>
    <row r="82" spans="1:4" x14ac:dyDescent="0.25">
      <c r="A82" s="34">
        <v>69</v>
      </c>
      <c r="B82" s="70">
        <v>720.20140846028369</v>
      </c>
      <c r="C82" s="60"/>
      <c r="D82" s="30"/>
    </row>
    <row r="83" spans="1:4" x14ac:dyDescent="0.25">
      <c r="A83" s="34">
        <v>70</v>
      </c>
      <c r="B83" s="70">
        <v>539.73652251043325</v>
      </c>
      <c r="C83" s="60"/>
      <c r="D83" s="30"/>
    </row>
    <row r="84" spans="1:4" x14ac:dyDescent="0.25">
      <c r="A84" s="34">
        <v>71</v>
      </c>
      <c r="B84" s="70">
        <v>376.68516568571897</v>
      </c>
      <c r="C84" s="60"/>
      <c r="D84" s="30"/>
    </row>
    <row r="85" spans="1:4" x14ac:dyDescent="0.25">
      <c r="A85" s="34">
        <v>72</v>
      </c>
      <c r="B85" s="70">
        <v>665.39301599562248</v>
      </c>
      <c r="C85" s="60"/>
      <c r="D85" s="30"/>
    </row>
    <row r="86" spans="1:4" x14ac:dyDescent="0.25">
      <c r="A86" s="34">
        <v>73</v>
      </c>
      <c r="B86" s="70">
        <v>657.54411169784453</v>
      </c>
      <c r="C86" s="60"/>
      <c r="D86" s="30"/>
    </row>
    <row r="87" spans="1:4" x14ac:dyDescent="0.25">
      <c r="A87" s="34">
        <v>74</v>
      </c>
      <c r="B87" s="70">
        <v>506.48312237328207</v>
      </c>
      <c r="C87" s="60"/>
      <c r="D87" s="30"/>
    </row>
    <row r="88" spans="1:4" x14ac:dyDescent="0.25">
      <c r="A88" s="34">
        <v>75</v>
      </c>
      <c r="B88" s="70">
        <v>540.67679798439804</v>
      </c>
      <c r="C88" s="60"/>
      <c r="D88" s="30"/>
    </row>
    <row r="89" spans="1:4" x14ac:dyDescent="0.25">
      <c r="A89" s="34">
        <v>76</v>
      </c>
      <c r="B89" s="70">
        <v>650.51458708426242</v>
      </c>
      <c r="C89" s="60"/>
      <c r="D89" s="30"/>
    </row>
    <row r="90" spans="1:4" x14ac:dyDescent="0.25">
      <c r="A90" s="34">
        <v>77</v>
      </c>
      <c r="B90" s="70">
        <v>698.01515084317657</v>
      </c>
      <c r="C90" s="60"/>
      <c r="D90" s="30"/>
    </row>
    <row r="91" spans="1:4" x14ac:dyDescent="0.25">
      <c r="A91" s="34">
        <v>78</v>
      </c>
      <c r="B91" s="70">
        <v>534.61055236477307</v>
      </c>
      <c r="C91" s="60"/>
      <c r="D91" s="30"/>
    </row>
    <row r="92" spans="1:4" x14ac:dyDescent="0.25">
      <c r="A92" s="34">
        <v>79</v>
      </c>
      <c r="B92" s="70">
        <v>735.39825861770908</v>
      </c>
      <c r="C92" s="60"/>
      <c r="D92" s="30"/>
    </row>
    <row r="93" spans="1:4" x14ac:dyDescent="0.25">
      <c r="A93" s="34">
        <v>80</v>
      </c>
      <c r="B93" s="70">
        <v>391.20150019722655</v>
      </c>
      <c r="C93" s="60"/>
      <c r="D93" s="30"/>
    </row>
    <row r="94" spans="1:4" x14ac:dyDescent="0.25">
      <c r="A94" s="34">
        <v>81</v>
      </c>
      <c r="B94" s="70">
        <v>736.93273996731875</v>
      </c>
      <c r="C94" s="60"/>
      <c r="D94" s="30"/>
    </row>
    <row r="95" spans="1:4" x14ac:dyDescent="0.25">
      <c r="A95" s="34">
        <v>82</v>
      </c>
      <c r="B95" s="70">
        <v>492.23162994240931</v>
      </c>
      <c r="C95" s="60"/>
      <c r="D95" s="30"/>
    </row>
    <row r="96" spans="1:4" x14ac:dyDescent="0.25">
      <c r="A96" s="34">
        <v>83</v>
      </c>
      <c r="B96" s="70">
        <v>492.53055909354504</v>
      </c>
      <c r="C96" s="60"/>
      <c r="D96" s="30"/>
    </row>
    <row r="97" spans="1:4" x14ac:dyDescent="0.25">
      <c r="A97" s="34">
        <v>84</v>
      </c>
      <c r="B97" s="70">
        <v>585.32769208766058</v>
      </c>
      <c r="C97" s="60"/>
      <c r="D97" s="30"/>
    </row>
    <row r="98" spans="1:4" x14ac:dyDescent="0.25">
      <c r="A98" s="34">
        <v>85</v>
      </c>
      <c r="B98" s="70">
        <v>543.36223066686409</v>
      </c>
      <c r="C98" s="60"/>
      <c r="D98" s="30"/>
    </row>
    <row r="99" spans="1:4" x14ac:dyDescent="0.25">
      <c r="A99" s="34">
        <v>86</v>
      </c>
      <c r="B99" s="70">
        <v>487.17634307287165</v>
      </c>
      <c r="C99" s="60"/>
      <c r="D99" s="30"/>
    </row>
    <row r="100" spans="1:4" x14ac:dyDescent="0.25">
      <c r="A100" s="34">
        <v>87</v>
      </c>
      <c r="B100" s="70">
        <v>604.31683089941987</v>
      </c>
      <c r="C100" s="60"/>
      <c r="D100" s="30"/>
    </row>
    <row r="101" spans="1:4" x14ac:dyDescent="0.25">
      <c r="A101" s="34">
        <v>88</v>
      </c>
      <c r="B101" s="70">
        <v>636.22396088712162</v>
      </c>
      <c r="C101" s="60"/>
      <c r="D101" s="30"/>
    </row>
    <row r="102" spans="1:4" x14ac:dyDescent="0.25">
      <c r="A102" s="34">
        <v>89</v>
      </c>
      <c r="B102" s="70">
        <v>656.05311303774545</v>
      </c>
      <c r="C102" s="60"/>
      <c r="D102" s="30"/>
    </row>
    <row r="103" spans="1:4" x14ac:dyDescent="0.25">
      <c r="A103" s="34">
        <v>90</v>
      </c>
      <c r="B103" s="70">
        <v>649.97149464458721</v>
      </c>
      <c r="C103" s="60"/>
      <c r="D103" s="30"/>
    </row>
    <row r="104" spans="1:4" x14ac:dyDescent="0.25">
      <c r="A104" s="34">
        <v>91</v>
      </c>
      <c r="B104" s="70">
        <v>455.5714409446179</v>
      </c>
      <c r="C104" s="60"/>
      <c r="D104" s="30"/>
    </row>
    <row r="105" spans="1:4" x14ac:dyDescent="0.25">
      <c r="A105" s="34">
        <v>92</v>
      </c>
      <c r="B105" s="70">
        <v>388.59068089359459</v>
      </c>
      <c r="C105" s="60"/>
      <c r="D105" s="30"/>
    </row>
    <row r="106" spans="1:4" x14ac:dyDescent="0.25">
      <c r="A106" s="34">
        <v>93</v>
      </c>
      <c r="B106" s="70">
        <v>788.60342961313484</v>
      </c>
      <c r="C106" s="60"/>
      <c r="D106" s="30"/>
    </row>
    <row r="107" spans="1:4" x14ac:dyDescent="0.25">
      <c r="A107" s="34">
        <v>94</v>
      </c>
      <c r="B107" s="70">
        <v>591.14004770170038</v>
      </c>
      <c r="C107" s="60"/>
      <c r="D107" s="30"/>
    </row>
    <row r="108" spans="1:4" x14ac:dyDescent="0.25">
      <c r="A108" s="34">
        <v>95</v>
      </c>
      <c r="B108" s="70">
        <v>644.95037059038293</v>
      </c>
      <c r="C108" s="60"/>
      <c r="D108" s="30"/>
    </row>
    <row r="109" spans="1:4" x14ac:dyDescent="0.25">
      <c r="A109" s="34">
        <v>96</v>
      </c>
      <c r="B109" s="70">
        <v>544.05265471786413</v>
      </c>
      <c r="C109" s="60"/>
      <c r="D109" s="30"/>
    </row>
    <row r="110" spans="1:4" x14ac:dyDescent="0.25">
      <c r="A110" s="34">
        <v>97</v>
      </c>
      <c r="B110" s="70">
        <v>812.2007700645953</v>
      </c>
      <c r="C110" s="60"/>
      <c r="D110" s="30"/>
    </row>
    <row r="111" spans="1:4" x14ac:dyDescent="0.25">
      <c r="A111" s="34">
        <v>98</v>
      </c>
      <c r="B111" s="70">
        <v>648.72828788583126</v>
      </c>
      <c r="C111" s="60"/>
      <c r="D111" s="30"/>
    </row>
    <row r="112" spans="1:4" x14ac:dyDescent="0.25">
      <c r="A112" s="34">
        <v>99</v>
      </c>
      <c r="B112" s="70">
        <v>780.5267014044548</v>
      </c>
      <c r="C112" s="60"/>
      <c r="D112" s="30"/>
    </row>
    <row r="113" spans="1:4" x14ac:dyDescent="0.25">
      <c r="A113" s="34">
        <v>100</v>
      </c>
      <c r="B113" s="70">
        <v>643.65794653214823</v>
      </c>
      <c r="C113" s="60"/>
      <c r="D113" s="30"/>
    </row>
    <row r="114" spans="1:4" x14ac:dyDescent="0.25">
      <c r="A114" s="34">
        <v>101</v>
      </c>
      <c r="B114" s="70">
        <v>418.74078286113041</v>
      </c>
      <c r="C114" s="60"/>
      <c r="D114" s="30"/>
    </row>
    <row r="115" spans="1:4" x14ac:dyDescent="0.25">
      <c r="A115" s="34">
        <v>102</v>
      </c>
      <c r="B115" s="70">
        <v>690.2508772431712</v>
      </c>
      <c r="C115" s="60"/>
      <c r="D115" s="30"/>
    </row>
    <row r="116" spans="1:4" x14ac:dyDescent="0.25">
      <c r="A116" s="34">
        <v>103</v>
      </c>
      <c r="B116" s="70">
        <v>373.27760295215899</v>
      </c>
      <c r="C116" s="60"/>
      <c r="D116" s="30"/>
    </row>
    <row r="117" spans="1:4" x14ac:dyDescent="0.25">
      <c r="A117" s="34">
        <v>104</v>
      </c>
      <c r="B117" s="70">
        <v>559.99312666004664</v>
      </c>
      <c r="C117" s="60"/>
      <c r="D117" s="30"/>
    </row>
    <row r="118" spans="1:4" x14ac:dyDescent="0.25">
      <c r="A118" s="34">
        <v>105</v>
      </c>
      <c r="B118" s="70">
        <v>521.6858213323444</v>
      </c>
      <c r="C118" s="60"/>
      <c r="D118" s="30"/>
    </row>
    <row r="119" spans="1:4" x14ac:dyDescent="0.25">
      <c r="A119" s="34">
        <v>106</v>
      </c>
      <c r="B119" s="70">
        <v>466.84285825391999</v>
      </c>
      <c r="C119" s="60"/>
      <c r="D119" s="30"/>
    </row>
    <row r="120" spans="1:4" x14ac:dyDescent="0.25">
      <c r="A120" s="34">
        <v>107</v>
      </c>
      <c r="B120" s="70">
        <v>336.5527170492918</v>
      </c>
      <c r="C120" s="60"/>
      <c r="D120" s="30"/>
    </row>
    <row r="121" spans="1:4" x14ac:dyDescent="0.25">
      <c r="A121" s="34">
        <v>108</v>
      </c>
      <c r="B121" s="70">
        <v>551.65472793835033</v>
      </c>
      <c r="C121" s="60"/>
      <c r="D121" s="30"/>
    </row>
    <row r="122" spans="1:4" x14ac:dyDescent="0.25">
      <c r="A122" s="34">
        <v>109</v>
      </c>
      <c r="B122" s="70">
        <v>802.81871108558039</v>
      </c>
      <c r="C122" s="60"/>
      <c r="D122" s="30"/>
    </row>
    <row r="123" spans="1:4" x14ac:dyDescent="0.25">
      <c r="A123" s="34">
        <v>110</v>
      </c>
      <c r="B123" s="70">
        <v>560.47578819115813</v>
      </c>
      <c r="C123" s="60"/>
      <c r="D123" s="30"/>
    </row>
    <row r="124" spans="1:4" x14ac:dyDescent="0.25">
      <c r="A124" s="34">
        <v>111</v>
      </c>
      <c r="B124" s="70">
        <v>875.90321289018675</v>
      </c>
      <c r="C124" s="60"/>
      <c r="D124" s="30"/>
    </row>
    <row r="125" spans="1:4" x14ac:dyDescent="0.25">
      <c r="A125" s="34">
        <v>112</v>
      </c>
      <c r="B125" s="70">
        <v>444.46280590968786</v>
      </c>
      <c r="C125" s="60"/>
      <c r="D125" s="30"/>
    </row>
    <row r="126" spans="1:4" x14ac:dyDescent="0.25">
      <c r="A126" s="34">
        <v>113</v>
      </c>
      <c r="B126" s="70">
        <v>565.39743028298881</v>
      </c>
      <c r="C126" s="60"/>
      <c r="D126" s="30"/>
    </row>
    <row r="127" spans="1:4" x14ac:dyDescent="0.25">
      <c r="A127" s="34">
        <v>114</v>
      </c>
      <c r="B127" s="70">
        <v>697.61950000083652</v>
      </c>
      <c r="C127" s="60"/>
      <c r="D127" s="30"/>
    </row>
    <row r="128" spans="1:4" x14ac:dyDescent="0.25">
      <c r="A128" s="34">
        <v>115</v>
      </c>
      <c r="B128" s="70">
        <v>576.66956145191477</v>
      </c>
      <c r="C128" s="60"/>
      <c r="D128" s="30"/>
    </row>
    <row r="129" spans="1:4" x14ac:dyDescent="0.25">
      <c r="A129" s="34">
        <v>116</v>
      </c>
      <c r="B129" s="70">
        <v>601.28556796244106</v>
      </c>
      <c r="C129" s="60"/>
      <c r="D129" s="30"/>
    </row>
    <row r="130" spans="1:4" x14ac:dyDescent="0.25">
      <c r="A130" s="34">
        <v>117</v>
      </c>
      <c r="B130" s="70">
        <v>621.65308042377694</v>
      </c>
      <c r="C130" s="60"/>
      <c r="D130" s="30"/>
    </row>
    <row r="131" spans="1:4" x14ac:dyDescent="0.25">
      <c r="A131" s="34">
        <v>118</v>
      </c>
      <c r="B131" s="70">
        <v>674.0756655836044</v>
      </c>
      <c r="C131" s="60"/>
      <c r="D131" s="30"/>
    </row>
  </sheetData>
  <conditionalFormatting sqref="G14">
    <cfRule type="expression" dxfId="8" priority="3" stopIfTrue="1">
      <formula>G14=TRUE</formula>
    </cfRule>
  </conditionalFormatting>
  <conditionalFormatting sqref="H14">
    <cfRule type="expression" dxfId="7" priority="2" stopIfTrue="1">
      <formula>H14=TRUE</formula>
    </cfRule>
  </conditionalFormatting>
  <pageMargins left="0.7" right="0.7" top="0.75" bottom="0.75" header="0.3" footer="0.3"/>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tabColor rgb="FFFF0000"/>
  </sheetPr>
  <dimension ref="A13:H131"/>
  <sheetViews>
    <sheetView zoomScale="115" zoomScaleNormal="115" workbookViewId="0">
      <selection activeCell="B24" sqref="B24"/>
    </sheetView>
  </sheetViews>
  <sheetFormatPr defaultRowHeight="15" x14ac:dyDescent="0.25"/>
  <cols>
    <col min="1" max="1" width="23.85546875" customWidth="1"/>
    <col min="2" max="3" width="13.28515625" customWidth="1"/>
    <col min="4" max="4" width="13.42578125" customWidth="1"/>
    <col min="8" max="8" width="13.28515625" customWidth="1"/>
  </cols>
  <sheetData>
    <row r="13" spans="1:8" x14ac:dyDescent="0.25">
      <c r="A13" s="1" t="s">
        <v>328</v>
      </c>
      <c r="B13" s="1" t="s">
        <v>426</v>
      </c>
      <c r="C13" s="1" t="s">
        <v>633</v>
      </c>
      <c r="D13" s="1" t="s">
        <v>663</v>
      </c>
      <c r="F13" s="119" t="s">
        <v>85</v>
      </c>
      <c r="G13" s="119" t="s">
        <v>641</v>
      </c>
      <c r="H13" s="119" t="s">
        <v>1029</v>
      </c>
    </row>
    <row r="14" spans="1:8" x14ac:dyDescent="0.25">
      <c r="A14" s="34">
        <v>1</v>
      </c>
      <c r="B14" s="70">
        <v>610.62900472613967</v>
      </c>
      <c r="C14" s="60">
        <f>(B14-$F$14)/$G$14</f>
        <v>4.7390692988494874E-2</v>
      </c>
      <c r="D14" s="30" t="b">
        <f>ABS(C14)&gt;3</f>
        <v>0</v>
      </c>
      <c r="F14" s="44">
        <f>AVERAGE(B14:B131)</f>
        <v>604.4063289902374</v>
      </c>
      <c r="G14" s="30">
        <f>_xlfn.STDEV.S(B14:B131)</f>
        <v>131.30586078184089</v>
      </c>
      <c r="H14" s="30">
        <f>COUNTIFS(D14:D131,TRUE)</f>
        <v>2</v>
      </c>
    </row>
    <row r="15" spans="1:8" x14ac:dyDescent="0.25">
      <c r="A15" s="34">
        <v>2</v>
      </c>
      <c r="B15" s="70">
        <v>461.70058183492074</v>
      </c>
      <c r="C15" s="60">
        <f t="shared" ref="C15:C78" si="0">(B15-$F$14)/$G$14</f>
        <v>-1.0868193263087944</v>
      </c>
      <c r="D15" s="30" t="b">
        <f t="shared" ref="D15:D78" si="1">ABS(C15)&gt;3</f>
        <v>0</v>
      </c>
    </row>
    <row r="16" spans="1:8" x14ac:dyDescent="0.25">
      <c r="A16" s="34">
        <v>3</v>
      </c>
      <c r="B16" s="70">
        <v>557.94942717780634</v>
      </c>
      <c r="C16" s="60">
        <f t="shared" si="0"/>
        <v>-0.3538067648756153</v>
      </c>
      <c r="D16" s="30" t="b">
        <f t="shared" si="1"/>
        <v>0</v>
      </c>
    </row>
    <row r="17" spans="1:4" x14ac:dyDescent="0.25">
      <c r="A17" s="34">
        <v>4</v>
      </c>
      <c r="B17" s="70">
        <v>612.56976537564049</v>
      </c>
      <c r="C17" s="60">
        <f t="shared" si="0"/>
        <v>6.2171150143604713E-2</v>
      </c>
      <c r="D17" s="30" t="b">
        <f t="shared" si="1"/>
        <v>0</v>
      </c>
    </row>
    <row r="18" spans="1:4" x14ac:dyDescent="0.25">
      <c r="A18" s="34">
        <v>5</v>
      </c>
      <c r="B18" s="70">
        <v>674.05289331183144</v>
      </c>
      <c r="C18" s="60">
        <f t="shared" si="0"/>
        <v>0.53041474239530595</v>
      </c>
      <c r="D18" s="30" t="b">
        <f t="shared" si="1"/>
        <v>0</v>
      </c>
    </row>
    <row r="19" spans="1:4" x14ac:dyDescent="0.25">
      <c r="A19" s="34">
        <v>6</v>
      </c>
      <c r="B19" s="70">
        <v>202.35</v>
      </c>
      <c r="C19" s="60">
        <f t="shared" si="0"/>
        <v>-3.0619831178612573</v>
      </c>
      <c r="D19" s="30" t="b">
        <f t="shared" si="1"/>
        <v>1</v>
      </c>
    </row>
    <row r="20" spans="1:4" x14ac:dyDescent="0.25">
      <c r="A20" s="34">
        <v>7</v>
      </c>
      <c r="B20" s="70">
        <v>658.60585612510999</v>
      </c>
      <c r="C20" s="60">
        <f t="shared" si="0"/>
        <v>0.41277309948047791</v>
      </c>
      <c r="D20" s="30" t="b">
        <f t="shared" si="1"/>
        <v>0</v>
      </c>
    </row>
    <row r="21" spans="1:4" x14ac:dyDescent="0.25">
      <c r="A21" s="34">
        <v>8</v>
      </c>
      <c r="B21" s="70">
        <v>638.86869180517431</v>
      </c>
      <c r="C21" s="60">
        <f t="shared" si="0"/>
        <v>0.26245867937452283</v>
      </c>
      <c r="D21" s="30" t="b">
        <f t="shared" si="1"/>
        <v>0</v>
      </c>
    </row>
    <row r="22" spans="1:4" x14ac:dyDescent="0.25">
      <c r="A22" s="34">
        <v>9</v>
      </c>
      <c r="B22" s="70">
        <v>360.41000341867209</v>
      </c>
      <c r="C22" s="60">
        <f t="shared" si="0"/>
        <v>-1.8582287501770758</v>
      </c>
      <c r="D22" s="30" t="b">
        <f t="shared" si="1"/>
        <v>0</v>
      </c>
    </row>
    <row r="23" spans="1:4" x14ac:dyDescent="0.25">
      <c r="A23" s="34">
        <v>10</v>
      </c>
      <c r="B23" s="70">
        <v>608.69815560321206</v>
      </c>
      <c r="C23" s="60">
        <f t="shared" si="0"/>
        <v>3.2685720099770318E-2</v>
      </c>
      <c r="D23" s="30" t="b">
        <f t="shared" si="1"/>
        <v>0</v>
      </c>
    </row>
    <row r="24" spans="1:4" x14ac:dyDescent="0.25">
      <c r="A24" s="34">
        <v>11</v>
      </c>
      <c r="B24" s="70">
        <v>998.98</v>
      </c>
      <c r="C24" s="60">
        <f t="shared" si="0"/>
        <v>3.0049966441736369</v>
      </c>
      <c r="D24" s="30" t="b">
        <f t="shared" si="1"/>
        <v>1</v>
      </c>
    </row>
    <row r="25" spans="1:4" x14ac:dyDescent="0.25">
      <c r="A25" s="34">
        <v>12</v>
      </c>
      <c r="B25" s="70">
        <v>587.31488961268576</v>
      </c>
      <c r="C25" s="60">
        <f t="shared" si="0"/>
        <v>-0.13016509145732907</v>
      </c>
      <c r="D25" s="30" t="b">
        <f t="shared" si="1"/>
        <v>0</v>
      </c>
    </row>
    <row r="26" spans="1:4" x14ac:dyDescent="0.25">
      <c r="A26" s="34">
        <v>13</v>
      </c>
      <c r="B26" s="70">
        <v>662.69334682364433</v>
      </c>
      <c r="C26" s="60">
        <f t="shared" si="0"/>
        <v>0.44390263683849068</v>
      </c>
      <c r="D26" s="30" t="b">
        <f t="shared" si="1"/>
        <v>0</v>
      </c>
    </row>
    <row r="27" spans="1:4" x14ac:dyDescent="0.25">
      <c r="A27" s="34">
        <v>14</v>
      </c>
      <c r="B27" s="70">
        <v>582.08234238408386</v>
      </c>
      <c r="C27" s="60">
        <f t="shared" si="0"/>
        <v>-0.17001515753545757</v>
      </c>
      <c r="D27" s="30" t="b">
        <f t="shared" si="1"/>
        <v>0</v>
      </c>
    </row>
    <row r="28" spans="1:4" x14ac:dyDescent="0.25">
      <c r="A28" s="34">
        <v>15</v>
      </c>
      <c r="B28" s="70">
        <v>422.17114822402846</v>
      </c>
      <c r="C28" s="60">
        <f t="shared" si="0"/>
        <v>-1.3878678353054243</v>
      </c>
      <c r="D28" s="30" t="b">
        <f t="shared" si="1"/>
        <v>0</v>
      </c>
    </row>
    <row r="29" spans="1:4" x14ac:dyDescent="0.25">
      <c r="A29" s="34">
        <v>16</v>
      </c>
      <c r="B29" s="70">
        <v>502.7009155158521</v>
      </c>
      <c r="C29" s="60">
        <f t="shared" si="0"/>
        <v>-0.77456872731190973</v>
      </c>
      <c r="D29" s="30" t="b">
        <f t="shared" si="1"/>
        <v>0</v>
      </c>
    </row>
    <row r="30" spans="1:4" x14ac:dyDescent="0.25">
      <c r="A30" s="34">
        <v>17</v>
      </c>
      <c r="B30" s="70">
        <v>597.38103243460046</v>
      </c>
      <c r="C30" s="60">
        <f t="shared" si="0"/>
        <v>-5.3503297673126511E-2</v>
      </c>
      <c r="D30" s="30" t="b">
        <f t="shared" si="1"/>
        <v>0</v>
      </c>
    </row>
    <row r="31" spans="1:4" x14ac:dyDescent="0.25">
      <c r="A31" s="34">
        <v>18</v>
      </c>
      <c r="B31" s="70">
        <v>912.44289573482069</v>
      </c>
      <c r="C31" s="60">
        <f t="shared" si="0"/>
        <v>2.345946821493162</v>
      </c>
      <c r="D31" s="30" t="b">
        <f t="shared" si="1"/>
        <v>0</v>
      </c>
    </row>
    <row r="32" spans="1:4" x14ac:dyDescent="0.25">
      <c r="A32" s="34">
        <v>19</v>
      </c>
      <c r="B32" s="70">
        <v>656.4759124418714</v>
      </c>
      <c r="C32" s="60">
        <f t="shared" si="0"/>
        <v>0.39655186098772394</v>
      </c>
      <c r="D32" s="30" t="b">
        <f t="shared" si="1"/>
        <v>0</v>
      </c>
    </row>
    <row r="33" spans="1:4" x14ac:dyDescent="0.25">
      <c r="A33" s="34">
        <v>20</v>
      </c>
      <c r="B33" s="70">
        <v>540.5760705345881</v>
      </c>
      <c r="C33" s="60">
        <f t="shared" si="0"/>
        <v>-0.48611888361708822</v>
      </c>
      <c r="D33" s="30" t="b">
        <f t="shared" si="1"/>
        <v>0</v>
      </c>
    </row>
    <row r="34" spans="1:4" x14ac:dyDescent="0.25">
      <c r="A34" s="34">
        <v>21</v>
      </c>
      <c r="B34" s="70">
        <v>549.52592512235697</v>
      </c>
      <c r="C34" s="60">
        <f t="shared" si="0"/>
        <v>-0.41795852478406803</v>
      </c>
      <c r="D34" s="30" t="b">
        <f t="shared" si="1"/>
        <v>0</v>
      </c>
    </row>
    <row r="35" spans="1:4" x14ac:dyDescent="0.25">
      <c r="A35" s="34">
        <v>22</v>
      </c>
      <c r="B35" s="70">
        <v>564.23710368723187</v>
      </c>
      <c r="C35" s="60">
        <f t="shared" si="0"/>
        <v>-0.30592103858749303</v>
      </c>
      <c r="D35" s="30" t="b">
        <f t="shared" si="1"/>
        <v>0</v>
      </c>
    </row>
    <row r="36" spans="1:4" x14ac:dyDescent="0.25">
      <c r="A36" s="34">
        <v>23</v>
      </c>
      <c r="B36" s="70">
        <v>652.7905768159743</v>
      </c>
      <c r="C36" s="60">
        <f t="shared" si="0"/>
        <v>0.36848505876006005</v>
      </c>
      <c r="D36" s="30" t="b">
        <f t="shared" si="1"/>
        <v>0</v>
      </c>
    </row>
    <row r="37" spans="1:4" x14ac:dyDescent="0.25">
      <c r="A37" s="34">
        <v>24</v>
      </c>
      <c r="B37" s="70">
        <v>803.02440604238495</v>
      </c>
      <c r="C37" s="60">
        <f t="shared" si="0"/>
        <v>1.5126367998313728</v>
      </c>
      <c r="D37" s="30" t="b">
        <f t="shared" si="1"/>
        <v>0</v>
      </c>
    </row>
    <row r="38" spans="1:4" x14ac:dyDescent="0.25">
      <c r="A38" s="34">
        <v>25</v>
      </c>
      <c r="B38" s="70">
        <v>495.48054464138204</v>
      </c>
      <c r="C38" s="60">
        <f t="shared" si="0"/>
        <v>-0.82955767320874518</v>
      </c>
      <c r="D38" s="30" t="b">
        <f t="shared" si="1"/>
        <v>0</v>
      </c>
    </row>
    <row r="39" spans="1:4" x14ac:dyDescent="0.25">
      <c r="A39" s="34">
        <v>26</v>
      </c>
      <c r="B39" s="70">
        <v>526.41364619378987</v>
      </c>
      <c r="C39" s="60">
        <f t="shared" si="0"/>
        <v>-0.59397716394418265</v>
      </c>
      <c r="D39" s="30" t="b">
        <f t="shared" si="1"/>
        <v>0</v>
      </c>
    </row>
    <row r="40" spans="1:4" x14ac:dyDescent="0.25">
      <c r="A40" s="34">
        <v>27</v>
      </c>
      <c r="B40" s="70">
        <v>678.76694445377211</v>
      </c>
      <c r="C40" s="60">
        <f t="shared" si="0"/>
        <v>0.5663160427171009</v>
      </c>
      <c r="D40" s="30" t="b">
        <f t="shared" si="1"/>
        <v>0</v>
      </c>
    </row>
    <row r="41" spans="1:4" x14ac:dyDescent="0.25">
      <c r="A41" s="34">
        <v>28</v>
      </c>
      <c r="B41" s="70">
        <v>686.17225170632605</v>
      </c>
      <c r="C41" s="60">
        <f t="shared" si="0"/>
        <v>0.62271342824475484</v>
      </c>
      <c r="D41" s="30" t="b">
        <f t="shared" si="1"/>
        <v>0</v>
      </c>
    </row>
    <row r="42" spans="1:4" x14ac:dyDescent="0.25">
      <c r="A42" s="34">
        <v>29</v>
      </c>
      <c r="B42" s="70">
        <v>594.66270665132663</v>
      </c>
      <c r="C42" s="60">
        <f t="shared" si="0"/>
        <v>-7.4205540262207964E-2</v>
      </c>
      <c r="D42" s="30" t="b">
        <f t="shared" si="1"/>
        <v>0</v>
      </c>
    </row>
    <row r="43" spans="1:4" x14ac:dyDescent="0.25">
      <c r="A43" s="34">
        <v>30</v>
      </c>
      <c r="B43" s="70">
        <v>685.98620529368122</v>
      </c>
      <c r="C43" s="60">
        <f t="shared" si="0"/>
        <v>0.62129653480574887</v>
      </c>
      <c r="D43" s="30" t="b">
        <f t="shared" si="1"/>
        <v>0</v>
      </c>
    </row>
    <row r="44" spans="1:4" x14ac:dyDescent="0.25">
      <c r="A44" s="34">
        <v>31</v>
      </c>
      <c r="B44" s="70">
        <v>614.20660871787311</v>
      </c>
      <c r="C44" s="60">
        <f t="shared" si="0"/>
        <v>7.4637031959437508E-2</v>
      </c>
      <c r="D44" s="30" t="b">
        <f t="shared" si="1"/>
        <v>0</v>
      </c>
    </row>
    <row r="45" spans="1:4" x14ac:dyDescent="0.25">
      <c r="A45" s="34">
        <v>32</v>
      </c>
      <c r="B45" s="70">
        <v>463.76157793691641</v>
      </c>
      <c r="C45" s="60">
        <f t="shared" si="0"/>
        <v>-1.071123179238711</v>
      </c>
      <c r="D45" s="30" t="b">
        <f t="shared" si="1"/>
        <v>0</v>
      </c>
    </row>
    <row r="46" spans="1:4" x14ac:dyDescent="0.25">
      <c r="A46" s="34">
        <v>33</v>
      </c>
      <c r="B46" s="70">
        <v>594.73596578460706</v>
      </c>
      <c r="C46" s="60">
        <f t="shared" si="0"/>
        <v>-7.3647612894425452E-2</v>
      </c>
      <c r="D46" s="30" t="b">
        <f t="shared" si="1"/>
        <v>0</v>
      </c>
    </row>
    <row r="47" spans="1:4" x14ac:dyDescent="0.25">
      <c r="A47" s="34">
        <v>34</v>
      </c>
      <c r="B47" s="70">
        <v>682.59964148507026</v>
      </c>
      <c r="C47" s="60">
        <f t="shared" si="0"/>
        <v>0.59550512086240948</v>
      </c>
      <c r="D47" s="30" t="b">
        <f t="shared" si="1"/>
        <v>0</v>
      </c>
    </row>
    <row r="48" spans="1:4" x14ac:dyDescent="0.25">
      <c r="A48" s="34">
        <v>35</v>
      </c>
      <c r="B48" s="70">
        <v>595.07498063607966</v>
      </c>
      <c r="C48" s="60">
        <f t="shared" si="0"/>
        <v>-7.1065741457354892E-2</v>
      </c>
      <c r="D48" s="30" t="b">
        <f t="shared" si="1"/>
        <v>0</v>
      </c>
    </row>
    <row r="49" spans="1:4" x14ac:dyDescent="0.25">
      <c r="A49" s="34">
        <v>36</v>
      </c>
      <c r="B49" s="70">
        <v>765.42500899810136</v>
      </c>
      <c r="C49" s="60">
        <f t="shared" si="0"/>
        <v>1.2262870754519455</v>
      </c>
      <c r="D49" s="30" t="b">
        <f t="shared" si="1"/>
        <v>0</v>
      </c>
    </row>
    <row r="50" spans="1:4" x14ac:dyDescent="0.25">
      <c r="A50" s="34">
        <v>37</v>
      </c>
      <c r="B50" s="70">
        <v>759.7301122019818</v>
      </c>
      <c r="C50" s="60">
        <f t="shared" si="0"/>
        <v>1.1829158446309436</v>
      </c>
      <c r="D50" s="30" t="b">
        <f t="shared" si="1"/>
        <v>0</v>
      </c>
    </row>
    <row r="51" spans="1:4" x14ac:dyDescent="0.25">
      <c r="A51" s="34">
        <v>38</v>
      </c>
      <c r="B51" s="70">
        <v>563.13716457755947</v>
      </c>
      <c r="C51" s="60">
        <f t="shared" si="0"/>
        <v>-0.31429796177373137</v>
      </c>
      <c r="D51" s="30" t="b">
        <f t="shared" si="1"/>
        <v>0</v>
      </c>
    </row>
    <row r="52" spans="1:4" x14ac:dyDescent="0.25">
      <c r="A52" s="34">
        <v>39</v>
      </c>
      <c r="B52" s="70">
        <v>572.92604378458736</v>
      </c>
      <c r="C52" s="60">
        <f t="shared" si="0"/>
        <v>-0.23974775397080858</v>
      </c>
      <c r="D52" s="30" t="b">
        <f t="shared" si="1"/>
        <v>0</v>
      </c>
    </row>
    <row r="53" spans="1:4" x14ac:dyDescent="0.25">
      <c r="A53" s="34">
        <v>40</v>
      </c>
      <c r="B53" s="70">
        <v>623.0441272658403</v>
      </c>
      <c r="C53" s="60">
        <f t="shared" si="0"/>
        <v>0.14194186127433273</v>
      </c>
      <c r="D53" s="30" t="b">
        <f t="shared" si="1"/>
        <v>0</v>
      </c>
    </row>
    <row r="54" spans="1:4" x14ac:dyDescent="0.25">
      <c r="A54" s="34">
        <v>41</v>
      </c>
      <c r="B54" s="70">
        <v>592.23750998975163</v>
      </c>
      <c r="C54" s="60">
        <f t="shared" si="0"/>
        <v>-9.2675368243491776E-2</v>
      </c>
      <c r="D54" s="30" t="b">
        <f t="shared" si="1"/>
        <v>0</v>
      </c>
    </row>
    <row r="55" spans="1:4" x14ac:dyDescent="0.25">
      <c r="A55" s="34">
        <v>42</v>
      </c>
      <c r="B55" s="70">
        <v>782.5634905872322</v>
      </c>
      <c r="C55" s="60">
        <f t="shared" si="0"/>
        <v>1.3568104312799514</v>
      </c>
      <c r="D55" s="30" t="b">
        <f t="shared" si="1"/>
        <v>0</v>
      </c>
    </row>
    <row r="56" spans="1:4" x14ac:dyDescent="0.25">
      <c r="A56" s="34">
        <v>43</v>
      </c>
      <c r="B56" s="70">
        <v>757.38148119755533</v>
      </c>
      <c r="C56" s="60">
        <f t="shared" si="0"/>
        <v>1.1650291258627035</v>
      </c>
      <c r="D56" s="30" t="b">
        <f t="shared" si="1"/>
        <v>0</v>
      </c>
    </row>
    <row r="57" spans="1:4" x14ac:dyDescent="0.25">
      <c r="A57" s="34">
        <v>44</v>
      </c>
      <c r="B57" s="70">
        <v>793.37321446650981</v>
      </c>
      <c r="C57" s="60">
        <f t="shared" si="0"/>
        <v>1.4391351943553599</v>
      </c>
      <c r="D57" s="30" t="b">
        <f t="shared" si="1"/>
        <v>0</v>
      </c>
    </row>
    <row r="58" spans="1:4" x14ac:dyDescent="0.25">
      <c r="A58" s="34">
        <v>45</v>
      </c>
      <c r="B58" s="70">
        <v>777.69756284818527</v>
      </c>
      <c r="C58" s="60">
        <f t="shared" si="0"/>
        <v>1.3197524682151385</v>
      </c>
      <c r="D58" s="30" t="b">
        <f t="shared" si="1"/>
        <v>0</v>
      </c>
    </row>
    <row r="59" spans="1:4" x14ac:dyDescent="0.25">
      <c r="A59" s="34">
        <v>46</v>
      </c>
      <c r="B59" s="70">
        <v>628.15715345376736</v>
      </c>
      <c r="C59" s="60">
        <f t="shared" si="0"/>
        <v>0.1808816782595177</v>
      </c>
      <c r="D59" s="30" t="b">
        <f t="shared" si="1"/>
        <v>0</v>
      </c>
    </row>
    <row r="60" spans="1:4" x14ac:dyDescent="0.25">
      <c r="A60" s="34">
        <v>47</v>
      </c>
      <c r="B60" s="70">
        <v>389.38827787626553</v>
      </c>
      <c r="C60" s="60">
        <f t="shared" si="0"/>
        <v>-1.6375358253902712</v>
      </c>
      <c r="D60" s="30" t="b">
        <f t="shared" si="1"/>
        <v>0</v>
      </c>
    </row>
    <row r="61" spans="1:4" x14ac:dyDescent="0.25">
      <c r="A61" s="34">
        <v>48</v>
      </c>
      <c r="B61" s="70">
        <v>698.97541266853966</v>
      </c>
      <c r="C61" s="60">
        <f t="shared" si="0"/>
        <v>0.72021982198818058</v>
      </c>
      <c r="D61" s="30" t="b">
        <f t="shared" si="1"/>
        <v>0</v>
      </c>
    </row>
    <row r="62" spans="1:4" x14ac:dyDescent="0.25">
      <c r="A62" s="34">
        <v>49</v>
      </c>
      <c r="B62" s="70">
        <v>440.37238119337167</v>
      </c>
      <c r="C62" s="60">
        <f t="shared" si="0"/>
        <v>-1.2492507708349834</v>
      </c>
      <c r="D62" s="30" t="b">
        <f t="shared" si="1"/>
        <v>0</v>
      </c>
    </row>
    <row r="63" spans="1:4" x14ac:dyDescent="0.25">
      <c r="A63" s="34">
        <v>50</v>
      </c>
      <c r="B63" s="70">
        <v>437.95907739334461</v>
      </c>
      <c r="C63" s="60">
        <f t="shared" si="0"/>
        <v>-1.2676300250865253</v>
      </c>
      <c r="D63" s="30" t="b">
        <f t="shared" si="1"/>
        <v>0</v>
      </c>
    </row>
    <row r="64" spans="1:4" x14ac:dyDescent="0.25">
      <c r="A64" s="34">
        <v>51</v>
      </c>
      <c r="B64" s="70">
        <v>334.67269125018584</v>
      </c>
      <c r="C64" s="60">
        <f t="shared" si="0"/>
        <v>-2.0542391339881054</v>
      </c>
      <c r="D64" s="30" t="b">
        <f t="shared" si="1"/>
        <v>0</v>
      </c>
    </row>
    <row r="65" spans="1:4" x14ac:dyDescent="0.25">
      <c r="A65" s="34">
        <v>52</v>
      </c>
      <c r="B65" s="70">
        <v>723.56725617453674</v>
      </c>
      <c r="C65" s="60">
        <f t="shared" si="0"/>
        <v>0.907506538358407</v>
      </c>
      <c r="D65" s="30" t="b">
        <f t="shared" si="1"/>
        <v>0</v>
      </c>
    </row>
    <row r="66" spans="1:4" x14ac:dyDescent="0.25">
      <c r="A66" s="34">
        <v>53</v>
      </c>
      <c r="B66" s="70">
        <v>764.72485516568554</v>
      </c>
      <c r="C66" s="60">
        <f t="shared" si="0"/>
        <v>1.2209548394934979</v>
      </c>
      <c r="D66" s="30" t="b">
        <f t="shared" si="1"/>
        <v>0</v>
      </c>
    </row>
    <row r="67" spans="1:4" x14ac:dyDescent="0.25">
      <c r="A67" s="34">
        <v>54</v>
      </c>
      <c r="B67" s="70">
        <v>778.47166001444953</v>
      </c>
      <c r="C67" s="60">
        <f t="shared" si="0"/>
        <v>1.3256478422803555</v>
      </c>
      <c r="D67" s="30" t="b">
        <f t="shared" si="1"/>
        <v>0</v>
      </c>
    </row>
    <row r="68" spans="1:4" x14ac:dyDescent="0.25">
      <c r="A68" s="34">
        <v>55</v>
      </c>
      <c r="B68" s="70">
        <v>521.48547756818073</v>
      </c>
      <c r="C68" s="60">
        <f t="shared" si="0"/>
        <v>-0.63150914154415505</v>
      </c>
      <c r="D68" s="30" t="b">
        <f t="shared" si="1"/>
        <v>0</v>
      </c>
    </row>
    <row r="69" spans="1:4" x14ac:dyDescent="0.25">
      <c r="A69" s="34">
        <v>56</v>
      </c>
      <c r="B69" s="70">
        <v>711.95205706666297</v>
      </c>
      <c r="C69" s="60">
        <f t="shared" si="0"/>
        <v>0.81904743197341534</v>
      </c>
      <c r="D69" s="30" t="b">
        <f t="shared" si="1"/>
        <v>0</v>
      </c>
    </row>
    <row r="70" spans="1:4" x14ac:dyDescent="0.25">
      <c r="A70" s="34">
        <v>57</v>
      </c>
      <c r="B70" s="70">
        <v>587.62467871155422</v>
      </c>
      <c r="C70" s="60">
        <f t="shared" si="0"/>
        <v>-0.12780579769066952</v>
      </c>
      <c r="D70" s="30" t="b">
        <f t="shared" si="1"/>
        <v>0</v>
      </c>
    </row>
    <row r="71" spans="1:4" x14ac:dyDescent="0.25">
      <c r="A71" s="34">
        <v>58</v>
      </c>
      <c r="B71" s="70">
        <v>642.5954764049535</v>
      </c>
      <c r="C71" s="60">
        <f t="shared" si="0"/>
        <v>0.29084114895804802</v>
      </c>
      <c r="D71" s="30" t="b">
        <f t="shared" si="1"/>
        <v>0</v>
      </c>
    </row>
    <row r="72" spans="1:4" x14ac:dyDescent="0.25">
      <c r="A72" s="34">
        <v>59</v>
      </c>
      <c r="B72" s="70">
        <v>635.49777291075043</v>
      </c>
      <c r="C72" s="60">
        <f t="shared" si="0"/>
        <v>0.23678641406700149</v>
      </c>
      <c r="D72" s="30" t="b">
        <f t="shared" si="1"/>
        <v>0</v>
      </c>
    </row>
    <row r="73" spans="1:4" x14ac:dyDescent="0.25">
      <c r="A73" s="34">
        <v>60</v>
      </c>
      <c r="B73" s="70">
        <v>445.81032819101142</v>
      </c>
      <c r="C73" s="60">
        <f t="shared" si="0"/>
        <v>-1.2078364199045653</v>
      </c>
      <c r="D73" s="30" t="b">
        <f t="shared" si="1"/>
        <v>0</v>
      </c>
    </row>
    <row r="74" spans="1:4" x14ac:dyDescent="0.25">
      <c r="A74" s="34">
        <v>61</v>
      </c>
      <c r="B74" s="70">
        <v>668.72135280963596</v>
      </c>
      <c r="C74" s="60">
        <f t="shared" si="0"/>
        <v>0.48981076272181973</v>
      </c>
      <c r="D74" s="30" t="b">
        <f t="shared" si="1"/>
        <v>0</v>
      </c>
    </row>
    <row r="75" spans="1:4" x14ac:dyDescent="0.25">
      <c r="A75" s="34">
        <v>62</v>
      </c>
      <c r="B75" s="70">
        <v>648.05590490097632</v>
      </c>
      <c r="C75" s="60">
        <f t="shared" si="0"/>
        <v>0.33242671462518214</v>
      </c>
      <c r="D75" s="30" t="b">
        <f t="shared" si="1"/>
        <v>0</v>
      </c>
    </row>
    <row r="76" spans="1:4" x14ac:dyDescent="0.25">
      <c r="A76" s="34">
        <v>63</v>
      </c>
      <c r="B76" s="70">
        <v>750.02966210552097</v>
      </c>
      <c r="C76" s="60">
        <f t="shared" si="0"/>
        <v>1.1090390958041891</v>
      </c>
      <c r="D76" s="30" t="b">
        <f t="shared" si="1"/>
        <v>0</v>
      </c>
    </row>
    <row r="77" spans="1:4" x14ac:dyDescent="0.25">
      <c r="A77" s="34">
        <v>64</v>
      </c>
      <c r="B77" s="70">
        <v>690.31706131119108</v>
      </c>
      <c r="C77" s="60">
        <f t="shared" si="0"/>
        <v>0.65427949528993767</v>
      </c>
      <c r="D77" s="30" t="b">
        <f t="shared" si="1"/>
        <v>0</v>
      </c>
    </row>
    <row r="78" spans="1:4" x14ac:dyDescent="0.25">
      <c r="A78" s="34">
        <v>65</v>
      </c>
      <c r="B78" s="70">
        <v>400.76941637916292</v>
      </c>
      <c r="C78" s="60">
        <f t="shared" si="0"/>
        <v>-1.5508592792320866</v>
      </c>
      <c r="D78" s="30" t="b">
        <f t="shared" si="1"/>
        <v>0</v>
      </c>
    </row>
    <row r="79" spans="1:4" x14ac:dyDescent="0.25">
      <c r="A79" s="34">
        <v>66</v>
      </c>
      <c r="B79" s="70">
        <v>696.57472502866744</v>
      </c>
      <c r="C79" s="60">
        <f t="shared" ref="C79:C131" si="2">(B79-$F$14)/$G$14</f>
        <v>0.70193664996845739</v>
      </c>
      <c r="D79" s="30" t="b">
        <f t="shared" ref="D79:D131" si="3">ABS(C79)&gt;3</f>
        <v>0</v>
      </c>
    </row>
    <row r="80" spans="1:4" x14ac:dyDescent="0.25">
      <c r="A80" s="34">
        <v>67</v>
      </c>
      <c r="B80" s="70">
        <v>491.80115129502178</v>
      </c>
      <c r="C80" s="60">
        <f t="shared" si="2"/>
        <v>-0.85757922018655619</v>
      </c>
      <c r="D80" s="30" t="b">
        <f t="shared" si="3"/>
        <v>0</v>
      </c>
    </row>
    <row r="81" spans="1:4" x14ac:dyDescent="0.25">
      <c r="A81" s="34">
        <v>68</v>
      </c>
      <c r="B81" s="70">
        <v>670.84630026863397</v>
      </c>
      <c r="C81" s="60">
        <f t="shared" si="2"/>
        <v>0.50599395093859334</v>
      </c>
      <c r="D81" s="30" t="b">
        <f t="shared" si="3"/>
        <v>0</v>
      </c>
    </row>
    <row r="82" spans="1:4" x14ac:dyDescent="0.25">
      <c r="A82" s="34">
        <v>69</v>
      </c>
      <c r="B82" s="70">
        <v>720.20140846028369</v>
      </c>
      <c r="C82" s="60">
        <f t="shared" si="2"/>
        <v>0.88187289417671078</v>
      </c>
      <c r="D82" s="30" t="b">
        <f t="shared" si="3"/>
        <v>0</v>
      </c>
    </row>
    <row r="83" spans="1:4" x14ac:dyDescent="0.25">
      <c r="A83" s="34">
        <v>70</v>
      </c>
      <c r="B83" s="70">
        <v>539.73652251043325</v>
      </c>
      <c r="C83" s="60">
        <f t="shared" si="2"/>
        <v>-0.49251271873728686</v>
      </c>
      <c r="D83" s="30" t="b">
        <f t="shared" si="3"/>
        <v>0</v>
      </c>
    </row>
    <row r="84" spans="1:4" x14ac:dyDescent="0.25">
      <c r="A84" s="34">
        <v>71</v>
      </c>
      <c r="B84" s="70">
        <v>376.68516568571897</v>
      </c>
      <c r="C84" s="60">
        <f t="shared" si="2"/>
        <v>-1.7342802670694757</v>
      </c>
      <c r="D84" s="30" t="b">
        <f t="shared" si="3"/>
        <v>0</v>
      </c>
    </row>
    <row r="85" spans="1:4" x14ac:dyDescent="0.25">
      <c r="A85" s="34">
        <v>72</v>
      </c>
      <c r="B85" s="70">
        <v>665.39301599562248</v>
      </c>
      <c r="C85" s="60">
        <f t="shared" si="2"/>
        <v>0.46446279428998122</v>
      </c>
      <c r="D85" s="30" t="b">
        <f t="shared" si="3"/>
        <v>0</v>
      </c>
    </row>
    <row r="86" spans="1:4" x14ac:dyDescent="0.25">
      <c r="A86" s="34">
        <v>73</v>
      </c>
      <c r="B86" s="70">
        <v>657.54411169784453</v>
      </c>
      <c r="C86" s="60">
        <f t="shared" si="2"/>
        <v>0.40468705959662604</v>
      </c>
      <c r="D86" s="30" t="b">
        <f t="shared" si="3"/>
        <v>0</v>
      </c>
    </row>
    <row r="87" spans="1:4" x14ac:dyDescent="0.25">
      <c r="A87" s="34">
        <v>74</v>
      </c>
      <c r="B87" s="70">
        <v>506.48312237328207</v>
      </c>
      <c r="C87" s="60">
        <f t="shared" si="2"/>
        <v>-0.74576417255015426</v>
      </c>
      <c r="D87" s="30" t="b">
        <f t="shared" si="3"/>
        <v>0</v>
      </c>
    </row>
    <row r="88" spans="1:4" x14ac:dyDescent="0.25">
      <c r="A88" s="34">
        <v>75</v>
      </c>
      <c r="B88" s="70">
        <v>540.67679798439804</v>
      </c>
      <c r="C88" s="60">
        <f t="shared" si="2"/>
        <v>-0.48535176287159998</v>
      </c>
      <c r="D88" s="30" t="b">
        <f t="shared" si="3"/>
        <v>0</v>
      </c>
    </row>
    <row r="89" spans="1:4" x14ac:dyDescent="0.25">
      <c r="A89" s="34">
        <v>76</v>
      </c>
      <c r="B89" s="70">
        <v>650.51458708426242</v>
      </c>
      <c r="C89" s="60">
        <f t="shared" si="2"/>
        <v>0.35115156185322094</v>
      </c>
      <c r="D89" s="30" t="b">
        <f t="shared" si="3"/>
        <v>0</v>
      </c>
    </row>
    <row r="90" spans="1:4" x14ac:dyDescent="0.25">
      <c r="A90" s="34">
        <v>77</v>
      </c>
      <c r="B90" s="70">
        <v>698.01515084317657</v>
      </c>
      <c r="C90" s="60">
        <f t="shared" si="2"/>
        <v>0.71290665394186981</v>
      </c>
      <c r="D90" s="30" t="b">
        <f t="shared" si="3"/>
        <v>0</v>
      </c>
    </row>
    <row r="91" spans="1:4" x14ac:dyDescent="0.25">
      <c r="A91" s="34">
        <v>78</v>
      </c>
      <c r="B91" s="70">
        <v>534.61055236477307</v>
      </c>
      <c r="C91" s="60">
        <f t="shared" si="2"/>
        <v>-0.53155111439714819</v>
      </c>
      <c r="D91" s="30" t="b">
        <f t="shared" si="3"/>
        <v>0</v>
      </c>
    </row>
    <row r="92" spans="1:4" x14ac:dyDescent="0.25">
      <c r="A92" s="34">
        <v>79</v>
      </c>
      <c r="B92" s="70">
        <v>735.39825861770908</v>
      </c>
      <c r="C92" s="60">
        <f t="shared" si="2"/>
        <v>0.99760916114101872</v>
      </c>
      <c r="D92" s="30" t="b">
        <f t="shared" si="3"/>
        <v>0</v>
      </c>
    </row>
    <row r="93" spans="1:4" x14ac:dyDescent="0.25">
      <c r="A93" s="34">
        <v>80</v>
      </c>
      <c r="B93" s="70">
        <v>391.20150019722655</v>
      </c>
      <c r="C93" s="60">
        <f t="shared" si="2"/>
        <v>-1.6237266754394277</v>
      </c>
      <c r="D93" s="30" t="b">
        <f t="shared" si="3"/>
        <v>0</v>
      </c>
    </row>
    <row r="94" spans="1:4" x14ac:dyDescent="0.25">
      <c r="A94" s="34">
        <v>81</v>
      </c>
      <c r="B94" s="70">
        <v>736.93273996731875</v>
      </c>
      <c r="C94" s="60">
        <f t="shared" si="2"/>
        <v>1.0092954738499325</v>
      </c>
      <c r="D94" s="30" t="b">
        <f t="shared" si="3"/>
        <v>0</v>
      </c>
    </row>
    <row r="95" spans="1:4" x14ac:dyDescent="0.25">
      <c r="A95" s="34">
        <v>82</v>
      </c>
      <c r="B95" s="70">
        <v>492.23162994240931</v>
      </c>
      <c r="C95" s="60">
        <f t="shared" si="2"/>
        <v>-0.85430077819756711</v>
      </c>
      <c r="D95" s="30" t="b">
        <f t="shared" si="3"/>
        <v>0</v>
      </c>
    </row>
    <row r="96" spans="1:4" x14ac:dyDescent="0.25">
      <c r="A96" s="34">
        <v>83</v>
      </c>
      <c r="B96" s="70">
        <v>492.53055909354504</v>
      </c>
      <c r="C96" s="60">
        <f t="shared" si="2"/>
        <v>-0.85202419168912191</v>
      </c>
      <c r="D96" s="30" t="b">
        <f t="shared" si="3"/>
        <v>0</v>
      </c>
    </row>
    <row r="97" spans="1:4" x14ac:dyDescent="0.25">
      <c r="A97" s="34">
        <v>84</v>
      </c>
      <c r="B97" s="70">
        <v>585.32769208766058</v>
      </c>
      <c r="C97" s="60">
        <f t="shared" si="2"/>
        <v>-0.14529920286098397</v>
      </c>
      <c r="D97" s="30" t="b">
        <f t="shared" si="3"/>
        <v>0</v>
      </c>
    </row>
    <row r="98" spans="1:4" x14ac:dyDescent="0.25">
      <c r="A98" s="34">
        <v>85</v>
      </c>
      <c r="B98" s="70">
        <v>543.36223066686409</v>
      </c>
      <c r="C98" s="60">
        <f t="shared" si="2"/>
        <v>-0.46490002776643369</v>
      </c>
      <c r="D98" s="30" t="b">
        <f t="shared" si="3"/>
        <v>0</v>
      </c>
    </row>
    <row r="99" spans="1:4" x14ac:dyDescent="0.25">
      <c r="A99" s="34">
        <v>86</v>
      </c>
      <c r="B99" s="70">
        <v>487.17634307287165</v>
      </c>
      <c r="C99" s="60">
        <f t="shared" si="2"/>
        <v>-0.89280086371878242</v>
      </c>
      <c r="D99" s="30" t="b">
        <f t="shared" si="3"/>
        <v>0</v>
      </c>
    </row>
    <row r="100" spans="1:4" x14ac:dyDescent="0.25">
      <c r="A100" s="34">
        <v>87</v>
      </c>
      <c r="B100" s="70">
        <v>604.31683089941987</v>
      </c>
      <c r="C100" s="60">
        <f t="shared" si="2"/>
        <v>-6.8160012268017297E-4</v>
      </c>
      <c r="D100" s="30" t="b">
        <f t="shared" si="3"/>
        <v>0</v>
      </c>
    </row>
    <row r="101" spans="1:4" x14ac:dyDescent="0.25">
      <c r="A101" s="34">
        <v>88</v>
      </c>
      <c r="B101" s="70">
        <v>636.22396088712162</v>
      </c>
      <c r="C101" s="60">
        <f t="shared" si="2"/>
        <v>0.24231692102264854</v>
      </c>
      <c r="D101" s="30" t="b">
        <f t="shared" si="3"/>
        <v>0</v>
      </c>
    </row>
    <row r="102" spans="1:4" x14ac:dyDescent="0.25">
      <c r="A102" s="34">
        <v>89</v>
      </c>
      <c r="B102" s="70">
        <v>656.05311303774545</v>
      </c>
      <c r="C102" s="60">
        <f t="shared" si="2"/>
        <v>0.39333190262784223</v>
      </c>
      <c r="D102" s="30" t="b">
        <f t="shared" si="3"/>
        <v>0</v>
      </c>
    </row>
    <row r="103" spans="1:4" x14ac:dyDescent="0.25">
      <c r="A103" s="34">
        <v>90</v>
      </c>
      <c r="B103" s="70">
        <v>649.97149464458721</v>
      </c>
      <c r="C103" s="60">
        <f t="shared" si="2"/>
        <v>0.34701547503697794</v>
      </c>
      <c r="D103" s="30" t="b">
        <f t="shared" si="3"/>
        <v>0</v>
      </c>
    </row>
    <row r="104" spans="1:4" x14ac:dyDescent="0.25">
      <c r="A104" s="34">
        <v>91</v>
      </c>
      <c r="B104" s="70">
        <v>455.5714409446179</v>
      </c>
      <c r="C104" s="60">
        <f t="shared" si="2"/>
        <v>-1.1334976760321638</v>
      </c>
      <c r="D104" s="30" t="b">
        <f t="shared" si="3"/>
        <v>0</v>
      </c>
    </row>
    <row r="105" spans="1:4" x14ac:dyDescent="0.25">
      <c r="A105" s="34">
        <v>92</v>
      </c>
      <c r="B105" s="70">
        <v>388.59068089359459</v>
      </c>
      <c r="C105" s="60">
        <f t="shared" si="2"/>
        <v>-1.6436101695050105</v>
      </c>
      <c r="D105" s="30" t="b">
        <f t="shared" si="3"/>
        <v>0</v>
      </c>
    </row>
    <row r="106" spans="1:4" x14ac:dyDescent="0.25">
      <c r="A106" s="34">
        <v>93</v>
      </c>
      <c r="B106" s="70">
        <v>788.60342961313484</v>
      </c>
      <c r="C106" s="60">
        <f t="shared" si="2"/>
        <v>1.4028094368836521</v>
      </c>
      <c r="D106" s="30" t="b">
        <f t="shared" si="3"/>
        <v>0</v>
      </c>
    </row>
    <row r="107" spans="1:4" x14ac:dyDescent="0.25">
      <c r="A107" s="34">
        <v>94</v>
      </c>
      <c r="B107" s="70">
        <v>591.14004770170038</v>
      </c>
      <c r="C107" s="60">
        <f t="shared" si="2"/>
        <v>-0.10103342843605724</v>
      </c>
      <c r="D107" s="30" t="b">
        <f t="shared" si="3"/>
        <v>0</v>
      </c>
    </row>
    <row r="108" spans="1:4" x14ac:dyDescent="0.25">
      <c r="A108" s="34">
        <v>95</v>
      </c>
      <c r="B108" s="70">
        <v>644.95037059038293</v>
      </c>
      <c r="C108" s="60">
        <f t="shared" si="2"/>
        <v>0.30877556689954405</v>
      </c>
      <c r="D108" s="30" t="b">
        <f t="shared" si="3"/>
        <v>0</v>
      </c>
    </row>
    <row r="109" spans="1:4" x14ac:dyDescent="0.25">
      <c r="A109" s="34">
        <v>96</v>
      </c>
      <c r="B109" s="70">
        <v>544.05265471786413</v>
      </c>
      <c r="C109" s="60">
        <f t="shared" si="2"/>
        <v>-0.45964189193845911</v>
      </c>
      <c r="D109" s="30" t="b">
        <f t="shared" si="3"/>
        <v>0</v>
      </c>
    </row>
    <row r="110" spans="1:4" x14ac:dyDescent="0.25">
      <c r="A110" s="34">
        <v>97</v>
      </c>
      <c r="B110" s="70">
        <v>812.2007700645953</v>
      </c>
      <c r="C110" s="60">
        <f t="shared" si="2"/>
        <v>1.5825222106391696</v>
      </c>
      <c r="D110" s="30" t="b">
        <f t="shared" si="3"/>
        <v>0</v>
      </c>
    </row>
    <row r="111" spans="1:4" x14ac:dyDescent="0.25">
      <c r="A111" s="34">
        <v>98</v>
      </c>
      <c r="B111" s="70">
        <v>648.72828788583126</v>
      </c>
      <c r="C111" s="60">
        <f t="shared" si="2"/>
        <v>0.33754745318819329</v>
      </c>
      <c r="D111" s="30" t="b">
        <f t="shared" si="3"/>
        <v>0</v>
      </c>
    </row>
    <row r="112" spans="1:4" x14ac:dyDescent="0.25">
      <c r="A112" s="34">
        <v>99</v>
      </c>
      <c r="B112" s="70">
        <v>780.5267014044548</v>
      </c>
      <c r="C112" s="60">
        <f t="shared" si="2"/>
        <v>1.341298639417428</v>
      </c>
      <c r="D112" s="30" t="b">
        <f t="shared" si="3"/>
        <v>0</v>
      </c>
    </row>
    <row r="113" spans="1:4" x14ac:dyDescent="0.25">
      <c r="A113" s="34">
        <v>100</v>
      </c>
      <c r="B113" s="70">
        <v>643.65794653214823</v>
      </c>
      <c r="C113" s="60">
        <f t="shared" si="2"/>
        <v>0.29893271563198331</v>
      </c>
      <c r="D113" s="30" t="b">
        <f t="shared" si="3"/>
        <v>0</v>
      </c>
    </row>
    <row r="114" spans="1:4" x14ac:dyDescent="0.25">
      <c r="A114" s="34">
        <v>101</v>
      </c>
      <c r="B114" s="70">
        <v>418.74078286113041</v>
      </c>
      <c r="C114" s="60">
        <f t="shared" si="2"/>
        <v>-1.413992833401263</v>
      </c>
      <c r="D114" s="30" t="b">
        <f t="shared" si="3"/>
        <v>0</v>
      </c>
    </row>
    <row r="115" spans="1:4" x14ac:dyDescent="0.25">
      <c r="A115" s="34">
        <v>102</v>
      </c>
      <c r="B115" s="70">
        <v>690.2508772431712</v>
      </c>
      <c r="C115" s="60">
        <f t="shared" si="2"/>
        <v>0.65377545024864403</v>
      </c>
      <c r="D115" s="30" t="b">
        <f t="shared" si="3"/>
        <v>0</v>
      </c>
    </row>
    <row r="116" spans="1:4" x14ac:dyDescent="0.25">
      <c r="A116" s="34">
        <v>103</v>
      </c>
      <c r="B116" s="70">
        <v>373.27760295215899</v>
      </c>
      <c r="C116" s="60">
        <f t="shared" si="2"/>
        <v>-1.7602316047574522</v>
      </c>
      <c r="D116" s="30" t="b">
        <f t="shared" si="3"/>
        <v>0</v>
      </c>
    </row>
    <row r="117" spans="1:4" x14ac:dyDescent="0.25">
      <c r="A117" s="34">
        <v>104</v>
      </c>
      <c r="B117" s="70">
        <v>559.99312666004664</v>
      </c>
      <c r="C117" s="60">
        <f t="shared" si="2"/>
        <v>-0.33824234551100052</v>
      </c>
      <c r="D117" s="30" t="b">
        <f t="shared" si="3"/>
        <v>0</v>
      </c>
    </row>
    <row r="118" spans="1:4" x14ac:dyDescent="0.25">
      <c r="A118" s="34">
        <v>105</v>
      </c>
      <c r="B118" s="70">
        <v>521.6858213323444</v>
      </c>
      <c r="C118" s="60">
        <f t="shared" si="2"/>
        <v>-0.62998336224557105</v>
      </c>
      <c r="D118" s="30" t="b">
        <f t="shared" si="3"/>
        <v>0</v>
      </c>
    </row>
    <row r="119" spans="1:4" x14ac:dyDescent="0.25">
      <c r="A119" s="34">
        <v>106</v>
      </c>
      <c r="B119" s="70">
        <v>466.84285825391999</v>
      </c>
      <c r="C119" s="60">
        <f t="shared" si="2"/>
        <v>-1.0476567452299275</v>
      </c>
      <c r="D119" s="30" t="b">
        <f t="shared" si="3"/>
        <v>0</v>
      </c>
    </row>
    <row r="120" spans="1:4" x14ac:dyDescent="0.25">
      <c r="A120" s="34">
        <v>107</v>
      </c>
      <c r="B120" s="70">
        <v>336.5527170492918</v>
      </c>
      <c r="C120" s="60">
        <f t="shared" si="2"/>
        <v>-2.0399212216884437</v>
      </c>
      <c r="D120" s="30" t="b">
        <f t="shared" si="3"/>
        <v>0</v>
      </c>
    </row>
    <row r="121" spans="1:4" x14ac:dyDescent="0.25">
      <c r="A121" s="34">
        <v>108</v>
      </c>
      <c r="B121" s="70">
        <v>551.65472793835033</v>
      </c>
      <c r="C121" s="60">
        <f t="shared" si="2"/>
        <v>-0.40174597491525232</v>
      </c>
      <c r="D121" s="30" t="b">
        <f t="shared" si="3"/>
        <v>0</v>
      </c>
    </row>
    <row r="122" spans="1:4" x14ac:dyDescent="0.25">
      <c r="A122" s="34">
        <v>109</v>
      </c>
      <c r="B122" s="70">
        <v>802.81871108558039</v>
      </c>
      <c r="C122" s="60">
        <f t="shared" si="2"/>
        <v>1.5110702668862339</v>
      </c>
      <c r="D122" s="30" t="b">
        <f t="shared" si="3"/>
        <v>0</v>
      </c>
    </row>
    <row r="123" spans="1:4" x14ac:dyDescent="0.25">
      <c r="A123" s="34">
        <v>110</v>
      </c>
      <c r="B123" s="70">
        <v>560.47578819115813</v>
      </c>
      <c r="C123" s="60">
        <f t="shared" si="2"/>
        <v>-0.33456648878809753</v>
      </c>
      <c r="D123" s="30" t="b">
        <f t="shared" si="3"/>
        <v>0</v>
      </c>
    </row>
    <row r="124" spans="1:4" x14ac:dyDescent="0.25">
      <c r="A124" s="34">
        <v>111</v>
      </c>
      <c r="B124" s="70">
        <v>875.90321289018675</v>
      </c>
      <c r="C124" s="60">
        <f t="shared" si="2"/>
        <v>2.0676676751773471</v>
      </c>
      <c r="D124" s="30" t="b">
        <f t="shared" si="3"/>
        <v>0</v>
      </c>
    </row>
    <row r="125" spans="1:4" x14ac:dyDescent="0.25">
      <c r="A125" s="34">
        <v>112</v>
      </c>
      <c r="B125" s="70">
        <v>444.46280590968786</v>
      </c>
      <c r="C125" s="60">
        <f t="shared" si="2"/>
        <v>-1.2180988885659028</v>
      </c>
      <c r="D125" s="30" t="b">
        <f t="shared" si="3"/>
        <v>0</v>
      </c>
    </row>
    <row r="126" spans="1:4" x14ac:dyDescent="0.25">
      <c r="A126" s="34">
        <v>113</v>
      </c>
      <c r="B126" s="70">
        <v>565.39743028298881</v>
      </c>
      <c r="C126" s="60">
        <f t="shared" si="2"/>
        <v>-0.29708421600510443</v>
      </c>
      <c r="D126" s="30" t="b">
        <f t="shared" si="3"/>
        <v>0</v>
      </c>
    </row>
    <row r="127" spans="1:4" x14ac:dyDescent="0.25">
      <c r="A127" s="34">
        <v>114</v>
      </c>
      <c r="B127" s="70">
        <v>697.61950000083652</v>
      </c>
      <c r="C127" s="60">
        <f t="shared" si="2"/>
        <v>0.7098934537695073</v>
      </c>
      <c r="D127" s="30" t="b">
        <f t="shared" si="3"/>
        <v>0</v>
      </c>
    </row>
    <row r="128" spans="1:4" x14ac:dyDescent="0.25">
      <c r="A128" s="34">
        <v>115</v>
      </c>
      <c r="B128" s="70">
        <v>576.66956145191477</v>
      </c>
      <c r="C128" s="60">
        <f t="shared" si="2"/>
        <v>-0.21123784858625683</v>
      </c>
      <c r="D128" s="30" t="b">
        <f t="shared" si="3"/>
        <v>0</v>
      </c>
    </row>
    <row r="129" spans="1:4" x14ac:dyDescent="0.25">
      <c r="A129" s="34">
        <v>116</v>
      </c>
      <c r="B129" s="70">
        <v>601.28556796244106</v>
      </c>
      <c r="C129" s="60">
        <f t="shared" si="2"/>
        <v>-2.3767111454235434E-2</v>
      </c>
      <c r="D129" s="30" t="b">
        <f t="shared" si="3"/>
        <v>0</v>
      </c>
    </row>
    <row r="130" spans="1:4" x14ac:dyDescent="0.25">
      <c r="A130" s="34">
        <v>117</v>
      </c>
      <c r="B130" s="70">
        <v>621.65308042377694</v>
      </c>
      <c r="C130" s="60">
        <f t="shared" si="2"/>
        <v>0.13134791798969497</v>
      </c>
      <c r="D130" s="30" t="b">
        <f t="shared" si="3"/>
        <v>0</v>
      </c>
    </row>
    <row r="131" spans="1:4" x14ac:dyDescent="0.25">
      <c r="A131" s="34">
        <v>118</v>
      </c>
      <c r="B131" s="70">
        <v>674.0756655836044</v>
      </c>
      <c r="C131" s="60">
        <f t="shared" si="2"/>
        <v>0.53058817160583294</v>
      </c>
      <c r="D131" s="30" t="b">
        <f t="shared" si="3"/>
        <v>0</v>
      </c>
    </row>
  </sheetData>
  <conditionalFormatting sqref="G14">
    <cfRule type="expression" dxfId="6" priority="3" stopIfTrue="1">
      <formula>G14=TRUE</formula>
    </cfRule>
  </conditionalFormatting>
  <conditionalFormatting sqref="H14">
    <cfRule type="expression" dxfId="5" priority="2" stopIfTrue="1">
      <formula>H14=TRUE</formula>
    </cfRule>
  </conditionalFormatting>
  <conditionalFormatting sqref="D14:D131">
    <cfRule type="cellIs" dxfId="4" priority="1" operator="equal">
      <formula>TRUE</formula>
    </cfRule>
  </conditionalFormatting>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5">
    <tabColor rgb="FF0000FF"/>
  </sheetPr>
  <dimension ref="A1:AQ33"/>
  <sheetViews>
    <sheetView zoomScale="70" zoomScaleNormal="70" workbookViewId="0">
      <selection activeCell="C2" sqref="C2"/>
    </sheetView>
  </sheetViews>
  <sheetFormatPr defaultRowHeight="15" x14ac:dyDescent="0.25"/>
  <cols>
    <col min="1" max="1" width="15.28515625" customWidth="1"/>
    <col min="2" max="2" width="3.85546875" customWidth="1"/>
    <col min="3" max="3" width="10.7109375" bestFit="1" customWidth="1"/>
    <col min="4" max="4" width="18.5703125" bestFit="1" customWidth="1"/>
    <col min="9" max="9" width="11.28515625" customWidth="1"/>
    <col min="12" max="12" width="11.28515625" customWidth="1"/>
  </cols>
  <sheetData>
    <row r="1" spans="1:13" x14ac:dyDescent="0.25">
      <c r="A1" s="184" t="s">
        <v>701</v>
      </c>
      <c r="I1" s="26" t="s">
        <v>674</v>
      </c>
      <c r="J1" s="26" t="s">
        <v>675</v>
      </c>
      <c r="L1" s="26" t="s">
        <v>673</v>
      </c>
      <c r="M1" s="26" t="s">
        <v>675</v>
      </c>
    </row>
    <row r="2" spans="1:13" x14ac:dyDescent="0.25">
      <c r="A2" s="26">
        <v>94</v>
      </c>
      <c r="C2" s="26">
        <v>0</v>
      </c>
      <c r="D2" s="26" t="s">
        <v>700</v>
      </c>
      <c r="E2" s="30">
        <f>MIN(A2:A20)</f>
        <v>23</v>
      </c>
      <c r="I2" s="26">
        <f>$E$8</f>
        <v>3.375</v>
      </c>
      <c r="J2" s="26">
        <v>0</v>
      </c>
      <c r="L2" s="26">
        <f>$E$9</f>
        <v>128.375</v>
      </c>
      <c r="M2" s="26">
        <v>0</v>
      </c>
    </row>
    <row r="3" spans="1:13" x14ac:dyDescent="0.25">
      <c r="A3" s="26">
        <v>55</v>
      </c>
      <c r="C3" s="26">
        <v>1</v>
      </c>
      <c r="D3" s="26" t="s">
        <v>285</v>
      </c>
      <c r="E3" s="30">
        <f>_xlfn.QUARTILE.EXC($A$2:$A$21,C3)</f>
        <v>50.25</v>
      </c>
      <c r="I3" s="26">
        <f>$E$8</f>
        <v>3.375</v>
      </c>
      <c r="J3" s="26">
        <v>1</v>
      </c>
      <c r="L3" s="26">
        <f>$E$9</f>
        <v>128.375</v>
      </c>
      <c r="M3" s="26">
        <v>1</v>
      </c>
    </row>
    <row r="4" spans="1:13" x14ac:dyDescent="0.25">
      <c r="A4" s="26">
        <v>72</v>
      </c>
      <c r="C4" s="26">
        <v>2</v>
      </c>
      <c r="D4" s="26" t="s">
        <v>286</v>
      </c>
      <c r="E4" s="30">
        <f>_xlfn.QUARTILE.EXC($A$2:$A$21,C4)</f>
        <v>71</v>
      </c>
    </row>
    <row r="5" spans="1:13" x14ac:dyDescent="0.25">
      <c r="A5" s="26">
        <v>96</v>
      </c>
      <c r="C5" s="26">
        <v>3</v>
      </c>
      <c r="D5" s="26" t="s">
        <v>287</v>
      </c>
      <c r="E5" s="30">
        <f>_xlfn.QUARTILE.EXC($A$2:$A$21,C5)</f>
        <v>81.5</v>
      </c>
    </row>
    <row r="6" spans="1:13" x14ac:dyDescent="0.25">
      <c r="A6" s="26">
        <v>74</v>
      </c>
      <c r="C6" s="26">
        <v>4</v>
      </c>
      <c r="D6" s="26" t="s">
        <v>319</v>
      </c>
      <c r="E6" s="30">
        <f>MAX(A2:A21)</f>
        <v>96</v>
      </c>
    </row>
    <row r="7" spans="1:13" x14ac:dyDescent="0.25">
      <c r="A7" s="26">
        <v>75</v>
      </c>
      <c r="D7" s="26" t="s">
        <v>96</v>
      </c>
      <c r="E7" s="30">
        <f>E5-E3</f>
        <v>31.25</v>
      </c>
      <c r="F7" t="s">
        <v>699</v>
      </c>
    </row>
    <row r="8" spans="1:13" ht="45" x14ac:dyDescent="0.25">
      <c r="A8" s="26">
        <v>28</v>
      </c>
      <c r="D8" s="26" t="s">
        <v>674</v>
      </c>
      <c r="E8" s="183">
        <f>E3-E7*1.5</f>
        <v>3.375</v>
      </c>
      <c r="F8" s="182" t="s">
        <v>698</v>
      </c>
      <c r="G8" s="182"/>
    </row>
    <row r="9" spans="1:13" ht="45" x14ac:dyDescent="0.25">
      <c r="A9" s="26">
        <v>40</v>
      </c>
      <c r="D9" s="26" t="s">
        <v>673</v>
      </c>
      <c r="E9" s="183">
        <f>E5+E7*1.5</f>
        <v>128.375</v>
      </c>
      <c r="F9" s="182" t="s">
        <v>697</v>
      </c>
      <c r="G9" s="182"/>
    </row>
    <row r="10" spans="1:13" x14ac:dyDescent="0.25">
      <c r="A10" s="26">
        <v>78</v>
      </c>
      <c r="D10" s="181" t="s">
        <v>85</v>
      </c>
      <c r="E10" s="30">
        <f>AVERAGE(A2:A21)</f>
        <v>65.650000000000006</v>
      </c>
      <c r="F10" s="26">
        <v>1</v>
      </c>
    </row>
    <row r="11" spans="1:13" x14ac:dyDescent="0.25">
      <c r="A11" s="26">
        <v>65</v>
      </c>
    </row>
    <row r="12" spans="1:13" x14ac:dyDescent="0.25">
      <c r="A12" s="26">
        <v>67</v>
      </c>
    </row>
    <row r="13" spans="1:13" x14ac:dyDescent="0.25">
      <c r="A13" s="26">
        <v>54</v>
      </c>
      <c r="D13" t="s">
        <v>696</v>
      </c>
    </row>
    <row r="14" spans="1:13" x14ac:dyDescent="0.25">
      <c r="A14" s="26">
        <v>95</v>
      </c>
      <c r="D14" s="26"/>
      <c r="E14" s="26" t="s">
        <v>695</v>
      </c>
    </row>
    <row r="15" spans="1:13" x14ac:dyDescent="0.25">
      <c r="A15" s="26">
        <v>82</v>
      </c>
      <c r="D15" s="26" t="str">
        <f>D2</f>
        <v>MIN</v>
      </c>
      <c r="E15" s="30">
        <f>E2-E1</f>
        <v>23</v>
      </c>
    </row>
    <row r="16" spans="1:13" x14ac:dyDescent="0.25">
      <c r="A16" s="26">
        <v>23</v>
      </c>
      <c r="D16" s="26" t="str">
        <f>D3</f>
        <v>Quartile 1</v>
      </c>
      <c r="E16" s="30">
        <f>E3-E2</f>
        <v>27.25</v>
      </c>
    </row>
    <row r="17" spans="1:43" x14ac:dyDescent="0.25">
      <c r="A17" s="26">
        <v>70</v>
      </c>
      <c r="D17" s="26" t="str">
        <f>D4</f>
        <v>Quartile 2</v>
      </c>
      <c r="E17" s="30">
        <f>E4-E3</f>
        <v>20.75</v>
      </c>
    </row>
    <row r="18" spans="1:43" x14ac:dyDescent="0.25">
      <c r="A18" s="26">
        <v>82</v>
      </c>
      <c r="D18" s="26" t="str">
        <f>D5</f>
        <v>Quartile 3</v>
      </c>
      <c r="E18" s="30">
        <f>E5-E4</f>
        <v>10.5</v>
      </c>
    </row>
    <row r="19" spans="1:43" x14ac:dyDescent="0.25">
      <c r="A19" s="26">
        <v>34</v>
      </c>
      <c r="D19" s="26" t="str">
        <f>D6</f>
        <v>Max</v>
      </c>
      <c r="E19" s="30">
        <f>E6-E5</f>
        <v>14.5</v>
      </c>
    </row>
    <row r="20" spans="1:43" x14ac:dyDescent="0.25">
      <c r="A20" s="26">
        <v>49</v>
      </c>
    </row>
    <row r="21" spans="1:43" x14ac:dyDescent="0.25">
      <c r="A21" s="26">
        <v>80</v>
      </c>
      <c r="D21" s="180" t="s">
        <v>694</v>
      </c>
      <c r="E21" s="178"/>
      <c r="F21" s="178"/>
      <c r="G21" s="178"/>
      <c r="H21" s="178"/>
      <c r="I21" s="178"/>
      <c r="J21" s="178"/>
      <c r="K21" s="177"/>
    </row>
    <row r="22" spans="1:43" x14ac:dyDescent="0.25">
      <c r="D22" s="179">
        <v>1</v>
      </c>
      <c r="E22" s="178" t="s">
        <v>693</v>
      </c>
      <c r="F22" s="178"/>
      <c r="G22" s="178"/>
      <c r="H22" s="178"/>
      <c r="I22" s="178"/>
      <c r="J22" s="178"/>
      <c r="K22" s="178"/>
      <c r="L22" s="177"/>
      <c r="AQ22" t="str">
        <f>D21&amp;CHAR(10)&amp;AO23&amp;CHAR(10)&amp;AO24&amp;CHAR(10)&amp;AO25&amp;CHAR(10)&amp;AO26&amp;CHAR(10)&amp;AO27&amp;CHAR(10)&amp;AO28&amp;CHAR(10)&amp;AO29&amp;CHAR(10)&amp;AO30&amp;CHAR(10)&amp;AO31&amp;CHAR(10)&amp;AO32&amp;CHAR(10)&amp;AO33</f>
        <v>Excel Box Plot Notes:
1) Calculate 5 number summary
2) Calculate the difference between each of the values: 1) Min - 0, 2) Q1 - MIN, 3) Q2 - Q1,  4) Q3 - Q3, 5) Max - Q3
3) Create Stacked Bar Chart
4) Switch Row and Column
5) Add fill = "No Fill" to 1st two parts of bar and last
6) Add Error Bar to 2nd part of bar with Minus / Custom / Negative = Quartile 1 - MIN
7) Add Error Bar to 4th part of bar with Plus / Custom / Positive = Max - Q3
8) Calculate Mean
9) Add Mean to Chart
10) Change that data point to X - Y Scatter
11) Edit Source data for X - Y Scatter and change X to Mean Value and Y to 1.</v>
      </c>
    </row>
    <row r="23" spans="1:43" x14ac:dyDescent="0.25">
      <c r="D23" s="179">
        <v>2</v>
      </c>
      <c r="E23" s="178" t="s">
        <v>692</v>
      </c>
      <c r="F23" s="178"/>
      <c r="G23" s="178"/>
      <c r="H23" s="178"/>
      <c r="I23" s="178"/>
      <c r="J23" s="178"/>
      <c r="K23" s="178"/>
      <c r="L23" s="177"/>
      <c r="AO23" t="str">
        <f>ROWS(AO$23:AO23)&amp;") "&amp;E22</f>
        <v>1) Calculate 5 number summary</v>
      </c>
    </row>
    <row r="24" spans="1:43" x14ac:dyDescent="0.25">
      <c r="D24" s="179">
        <v>3</v>
      </c>
      <c r="E24" s="178" t="s">
        <v>691</v>
      </c>
      <c r="F24" s="178"/>
      <c r="G24" s="178"/>
      <c r="H24" s="178"/>
      <c r="I24" s="178"/>
      <c r="J24" s="178"/>
      <c r="K24" s="178"/>
      <c r="L24" s="177"/>
      <c r="AO24" t="str">
        <f>ROWS(AO$23:AO24)&amp;") "&amp;E23</f>
        <v>2) Calculate the difference between each of the values: 1) Min - 0, 2) Q1 - MIN, 3) Q2 - Q1,  4) Q3 - Q3, 5) Max - Q3</v>
      </c>
    </row>
    <row r="25" spans="1:43" x14ac:dyDescent="0.25">
      <c r="D25" s="179">
        <v>4</v>
      </c>
      <c r="E25" s="178" t="s">
        <v>690</v>
      </c>
      <c r="F25" s="178"/>
      <c r="G25" s="178"/>
      <c r="H25" s="178"/>
      <c r="I25" s="178"/>
      <c r="J25" s="178"/>
      <c r="K25" s="178"/>
      <c r="L25" s="177"/>
      <c r="AO25" t="str">
        <f>ROWS(AO$23:AO25)&amp;") "&amp;E24</f>
        <v>3) Create Stacked Bar Chart</v>
      </c>
    </row>
    <row r="26" spans="1:43" x14ac:dyDescent="0.25">
      <c r="D26" s="179">
        <v>5</v>
      </c>
      <c r="E26" s="178" t="s">
        <v>689</v>
      </c>
      <c r="F26" s="178"/>
      <c r="G26" s="178"/>
      <c r="H26" s="178"/>
      <c r="I26" s="178"/>
      <c r="J26" s="178"/>
      <c r="K26" s="178"/>
      <c r="L26" s="177"/>
      <c r="AO26" t="str">
        <f>ROWS(AO$23:AO26)&amp;") "&amp;E25</f>
        <v>4) Switch Row and Column</v>
      </c>
    </row>
    <row r="27" spans="1:43" x14ac:dyDescent="0.25">
      <c r="D27" s="179">
        <v>6</v>
      </c>
      <c r="E27" s="178" t="s">
        <v>688</v>
      </c>
      <c r="F27" s="178"/>
      <c r="G27" s="178"/>
      <c r="H27" s="178"/>
      <c r="I27" s="178"/>
      <c r="J27" s="178"/>
      <c r="K27" s="178"/>
      <c r="L27" s="177"/>
      <c r="AO27" t="str">
        <f>ROWS(AO$23:AO27)&amp;") "&amp;E26</f>
        <v>5) Add fill = "No Fill" to 1st two parts of bar and last</v>
      </c>
    </row>
    <row r="28" spans="1:43" x14ac:dyDescent="0.25">
      <c r="D28" s="179">
        <v>7</v>
      </c>
      <c r="E28" s="178" t="s">
        <v>687</v>
      </c>
      <c r="F28" s="178"/>
      <c r="G28" s="178"/>
      <c r="H28" s="178"/>
      <c r="I28" s="178"/>
      <c r="J28" s="178"/>
      <c r="K28" s="178"/>
      <c r="L28" s="177"/>
      <c r="AO28" t="str">
        <f>ROWS(AO$23:AO28)&amp;") "&amp;E27</f>
        <v>6) Add Error Bar to 2nd part of bar with Minus / Custom / Negative = Quartile 1 - MIN</v>
      </c>
    </row>
    <row r="29" spans="1:43" x14ac:dyDescent="0.25">
      <c r="D29" s="179">
        <v>8</v>
      </c>
      <c r="E29" s="178" t="s">
        <v>686</v>
      </c>
      <c r="F29" s="178"/>
      <c r="G29" s="178"/>
      <c r="H29" s="178"/>
      <c r="I29" s="178"/>
      <c r="J29" s="178"/>
      <c r="K29" s="178"/>
      <c r="L29" s="177"/>
      <c r="AO29" t="str">
        <f>ROWS(AO$23:AO29)&amp;") "&amp;E28</f>
        <v>7) Add Error Bar to 4th part of bar with Plus / Custom / Positive = Max - Q3</v>
      </c>
    </row>
    <row r="30" spans="1:43" x14ac:dyDescent="0.25">
      <c r="D30" s="179">
        <v>9</v>
      </c>
      <c r="E30" s="178" t="s">
        <v>685</v>
      </c>
      <c r="F30" s="178"/>
      <c r="G30" s="178"/>
      <c r="H30" s="178"/>
      <c r="I30" s="178"/>
      <c r="J30" s="178"/>
      <c r="K30" s="178"/>
      <c r="L30" s="177"/>
      <c r="AO30" t="str">
        <f>ROWS(AO$23:AO30)&amp;") "&amp;E29</f>
        <v>8) Calculate Mean</v>
      </c>
    </row>
    <row r="31" spans="1:43" x14ac:dyDescent="0.25">
      <c r="D31" s="179">
        <v>10</v>
      </c>
      <c r="E31" s="178" t="s">
        <v>684</v>
      </c>
      <c r="F31" s="178"/>
      <c r="G31" s="178"/>
      <c r="H31" s="178"/>
      <c r="I31" s="178"/>
      <c r="J31" s="178"/>
      <c r="K31" s="178"/>
      <c r="L31" s="177"/>
      <c r="AO31" t="str">
        <f>ROWS(AO$23:AO31)&amp;") "&amp;E30</f>
        <v>9) Add Mean to Chart</v>
      </c>
    </row>
    <row r="32" spans="1:43" x14ac:dyDescent="0.25">
      <c r="D32" s="179">
        <v>11</v>
      </c>
      <c r="E32" s="178" t="s">
        <v>683</v>
      </c>
      <c r="F32" s="178"/>
      <c r="G32" s="178"/>
      <c r="H32" s="178"/>
      <c r="I32" s="178"/>
      <c r="J32" s="178"/>
      <c r="K32" s="178"/>
      <c r="L32" s="177"/>
      <c r="AO32" t="str">
        <f>ROWS(AO$23:AO32)&amp;") "&amp;E31</f>
        <v>10) Change that data point to X - Y Scatter</v>
      </c>
    </row>
    <row r="33" spans="4:41" x14ac:dyDescent="0.25">
      <c r="D33" s="179">
        <v>12</v>
      </c>
      <c r="E33" s="178" t="s">
        <v>682</v>
      </c>
      <c r="F33" s="178"/>
      <c r="G33" s="178"/>
      <c r="H33" s="178"/>
      <c r="I33" s="178"/>
      <c r="J33" s="178"/>
      <c r="K33" s="178"/>
      <c r="L33" s="177"/>
      <c r="AO33" t="str">
        <f>ROWS(AO$23:AO33)&amp;") "&amp;E32</f>
        <v>11) Edit Source data for X - Y Scatter and change X to Mean Value and Y to 1.</v>
      </c>
    </row>
  </sheetData>
  <pageMargins left="0.7" right="0.7" top="0.75" bottom="0.75" header="0.3" footer="0.3"/>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6">
    <tabColor rgb="FF0000FF"/>
  </sheetPr>
  <dimension ref="A1:G398"/>
  <sheetViews>
    <sheetView workbookViewId="0">
      <selection activeCell="C2" sqref="C2"/>
    </sheetView>
  </sheetViews>
  <sheetFormatPr defaultRowHeight="15" x14ac:dyDescent="0.25"/>
  <cols>
    <col min="2" max="5" width="11.42578125" bestFit="1" customWidth="1"/>
    <col min="6" max="6" width="11.42578125" customWidth="1"/>
  </cols>
  <sheetData>
    <row r="1" spans="1:7" ht="21" x14ac:dyDescent="0.35">
      <c r="A1" s="185" t="s">
        <v>709</v>
      </c>
      <c r="B1" s="185"/>
      <c r="C1" s="185"/>
      <c r="D1" s="185"/>
      <c r="E1" s="185"/>
      <c r="F1" s="185"/>
    </row>
    <row r="2" spans="1:7" x14ac:dyDescent="0.25">
      <c r="A2" s="26"/>
      <c r="B2" s="1" t="str">
        <f t="shared" ref="B2:F2" si="0">B15</f>
        <v>CPA Scores 1</v>
      </c>
      <c r="C2" s="1" t="str">
        <f t="shared" si="0"/>
        <v>CPA Scores 2</v>
      </c>
      <c r="D2" s="1" t="str">
        <f t="shared" si="0"/>
        <v>CPA Scores 3</v>
      </c>
      <c r="E2" s="1" t="str">
        <f t="shared" si="0"/>
        <v>CPA Scores 4</v>
      </c>
      <c r="F2" s="1" t="str">
        <f t="shared" si="0"/>
        <v>CPA Scores 5</v>
      </c>
    </row>
    <row r="3" spans="1:7" x14ac:dyDescent="0.25">
      <c r="A3" s="1" t="str">
        <f t="shared" ref="A3:A7" si="1">A9</f>
        <v>Min</v>
      </c>
      <c r="B3" s="26">
        <f t="shared" ref="B3:F7" ca="1" si="2">B9-B8</f>
        <v>0</v>
      </c>
      <c r="C3" s="26">
        <f t="shared" ca="1" si="2"/>
        <v>5</v>
      </c>
      <c r="D3" s="26">
        <f t="shared" ca="1" si="2"/>
        <v>5</v>
      </c>
      <c r="E3" s="26">
        <f t="shared" ca="1" si="2"/>
        <v>8</v>
      </c>
      <c r="F3" s="26">
        <f t="shared" ca="1" si="2"/>
        <v>11</v>
      </c>
    </row>
    <row r="4" spans="1:7" x14ac:dyDescent="0.25">
      <c r="A4" s="1" t="str">
        <f t="shared" si="1"/>
        <v>Q1</v>
      </c>
      <c r="B4" s="26">
        <f t="shared" ca="1" si="2"/>
        <v>42</v>
      </c>
      <c r="C4" s="26">
        <f t="shared" ca="1" si="2"/>
        <v>39</v>
      </c>
      <c r="D4" s="26">
        <f t="shared" ca="1" si="2"/>
        <v>37</v>
      </c>
      <c r="E4" s="26">
        <f t="shared" ca="1" si="2"/>
        <v>30</v>
      </c>
      <c r="F4" s="26">
        <f t="shared" ca="1" si="2"/>
        <v>43</v>
      </c>
      <c r="G4" t="s">
        <v>708</v>
      </c>
    </row>
    <row r="5" spans="1:7" x14ac:dyDescent="0.25">
      <c r="A5" s="1" t="str">
        <f t="shared" si="1"/>
        <v>Q2</v>
      </c>
      <c r="B5" s="26">
        <f t="shared" ca="1" si="2"/>
        <v>8</v>
      </c>
      <c r="C5" s="26">
        <f t="shared" ca="1" si="2"/>
        <v>9</v>
      </c>
      <c r="D5" s="26">
        <f t="shared" ca="1" si="2"/>
        <v>8</v>
      </c>
      <c r="E5" s="26">
        <f t="shared" ca="1" si="2"/>
        <v>12</v>
      </c>
      <c r="F5" s="26">
        <f t="shared" ca="1" si="2"/>
        <v>9</v>
      </c>
    </row>
    <row r="6" spans="1:7" x14ac:dyDescent="0.25">
      <c r="A6" s="1" t="str">
        <f t="shared" si="1"/>
        <v>Q3</v>
      </c>
      <c r="B6" s="26">
        <f t="shared" ca="1" si="2"/>
        <v>10.5</v>
      </c>
      <c r="C6" s="26">
        <f t="shared" ca="1" si="2"/>
        <v>11</v>
      </c>
      <c r="D6" s="26">
        <f t="shared" ca="1" si="2"/>
        <v>10</v>
      </c>
      <c r="E6" s="26">
        <f t="shared" ca="1" si="2"/>
        <v>10.5</v>
      </c>
      <c r="F6" s="26">
        <f t="shared" ca="1" si="2"/>
        <v>7</v>
      </c>
    </row>
    <row r="7" spans="1:7" x14ac:dyDescent="0.25">
      <c r="A7" s="1" t="str">
        <f t="shared" si="1"/>
        <v>Max</v>
      </c>
      <c r="B7" s="26">
        <f t="shared" ca="1" si="2"/>
        <v>27.5</v>
      </c>
      <c r="C7" s="26">
        <f t="shared" ca="1" si="2"/>
        <v>30</v>
      </c>
      <c r="D7" s="26">
        <f t="shared" ca="1" si="2"/>
        <v>31</v>
      </c>
      <c r="E7" s="26">
        <f t="shared" ca="1" si="2"/>
        <v>32.5</v>
      </c>
      <c r="F7" s="26">
        <f t="shared" ca="1" si="2"/>
        <v>20</v>
      </c>
      <c r="G7" t="s">
        <v>707</v>
      </c>
    </row>
    <row r="9" spans="1:7" x14ac:dyDescent="0.25">
      <c r="A9" s="1" t="s">
        <v>318</v>
      </c>
      <c r="B9" s="30">
        <f t="shared" ref="B9:F9" ca="1" si="3">MIN(B16:B398)</f>
        <v>0</v>
      </c>
      <c r="C9" s="30">
        <f t="shared" ca="1" si="3"/>
        <v>5</v>
      </c>
      <c r="D9" s="30">
        <f t="shared" ca="1" si="3"/>
        <v>5</v>
      </c>
      <c r="E9" s="30">
        <f t="shared" ca="1" si="3"/>
        <v>8</v>
      </c>
      <c r="F9" s="30">
        <f t="shared" ca="1" si="3"/>
        <v>11</v>
      </c>
    </row>
    <row r="10" spans="1:7" x14ac:dyDescent="0.25">
      <c r="A10" s="1" t="s">
        <v>679</v>
      </c>
      <c r="B10" s="30">
        <f t="shared" ref="B10:F12" ca="1" si="4">_xlfn.QUARTILE.EXC(B16:B398,$G10)</f>
        <v>42</v>
      </c>
      <c r="C10" s="30">
        <f t="shared" ca="1" si="4"/>
        <v>44</v>
      </c>
      <c r="D10" s="30">
        <f t="shared" ca="1" si="4"/>
        <v>42</v>
      </c>
      <c r="E10" s="30">
        <f t="shared" ca="1" si="4"/>
        <v>38</v>
      </c>
      <c r="F10" s="30">
        <f t="shared" ca="1" si="4"/>
        <v>54</v>
      </c>
      <c r="G10">
        <v>1</v>
      </c>
    </row>
    <row r="11" spans="1:7" x14ac:dyDescent="0.25">
      <c r="A11" s="1" t="s">
        <v>678</v>
      </c>
      <c r="B11" s="30">
        <f t="shared" ca="1" si="4"/>
        <v>50</v>
      </c>
      <c r="C11" s="30">
        <f t="shared" ca="1" si="4"/>
        <v>53</v>
      </c>
      <c r="D11" s="30">
        <f t="shared" ca="1" si="4"/>
        <v>50</v>
      </c>
      <c r="E11" s="30">
        <f t="shared" ca="1" si="4"/>
        <v>50</v>
      </c>
      <c r="F11" s="30">
        <f t="shared" ca="1" si="4"/>
        <v>63</v>
      </c>
      <c r="G11">
        <v>2</v>
      </c>
    </row>
    <row r="12" spans="1:7" x14ac:dyDescent="0.25">
      <c r="A12" s="1" t="s">
        <v>677</v>
      </c>
      <c r="B12" s="30">
        <f t="shared" ca="1" si="4"/>
        <v>60.5</v>
      </c>
      <c r="C12" s="30">
        <f t="shared" ca="1" si="4"/>
        <v>64</v>
      </c>
      <c r="D12" s="30">
        <f t="shared" ca="1" si="4"/>
        <v>60</v>
      </c>
      <c r="E12" s="30">
        <f t="shared" ca="1" si="4"/>
        <v>60.5</v>
      </c>
      <c r="F12" s="30">
        <f t="shared" ca="1" si="4"/>
        <v>70</v>
      </c>
      <c r="G12">
        <v>3</v>
      </c>
    </row>
    <row r="13" spans="1:7" x14ac:dyDescent="0.25">
      <c r="A13" s="1" t="s">
        <v>319</v>
      </c>
      <c r="B13" s="30">
        <f t="shared" ref="B13:F13" ca="1" si="5">MAX(B16:B398)</f>
        <v>88</v>
      </c>
      <c r="C13" s="30">
        <f t="shared" ca="1" si="5"/>
        <v>94</v>
      </c>
      <c r="D13" s="30">
        <f t="shared" ca="1" si="5"/>
        <v>91</v>
      </c>
      <c r="E13" s="30">
        <f t="shared" ca="1" si="5"/>
        <v>93</v>
      </c>
      <c r="F13" s="30">
        <f t="shared" ca="1" si="5"/>
        <v>90</v>
      </c>
    </row>
    <row r="15" spans="1:7" x14ac:dyDescent="0.25">
      <c r="B15" s="1" t="s">
        <v>706</v>
      </c>
      <c r="C15" s="1" t="s">
        <v>705</v>
      </c>
      <c r="D15" s="1" t="s">
        <v>704</v>
      </c>
      <c r="E15" s="1" t="s">
        <v>703</v>
      </c>
      <c r="F15" s="1" t="s">
        <v>702</v>
      </c>
    </row>
    <row r="16" spans="1:7" x14ac:dyDescent="0.25">
      <c r="B16" s="26">
        <f t="shared" ref="B16:B79" ca="1" si="6">CHOOSE(RANDBETWEEN(1,5),RANDBETWEEN(RANDBETWEEN(0,50),RANDBETWEEN(51,100)),RANDBETWEEN(RANDBETWEEN(30,50),RANDBETWEEN(51,70)),RANDBETWEEN(RANDBETWEEN(40,50),RANDBETWEEN(51,60)),RANDBETWEEN(RANDBETWEEN(30,70),RANDBETWEEN(71,85)),RANDBETWEEN(RANDBETWEEN(0,25),RANDBETWEEN(26,85)))</f>
        <v>19</v>
      </c>
      <c r="C16" s="26">
        <f ca="1">CHOOSE(RANDBETWEEN(1,5),INT(_xlfn.NORM.INV(RAND(),70,10)),RANDBETWEEN(RANDBETWEEN(30,50),RANDBETWEEN(51,70)),RANDBETWEEN(RANDBETWEEN(40,50),RANDBETWEEN(51,60)),RANDBETWEEN(RANDBETWEEN(30,70),RANDBETWEEN(71,85)),RANDBETWEEN(RANDBETWEEN(0,25),RANDBETWEEN(26,85)))</f>
        <v>57</v>
      </c>
      <c r="D16" s="26">
        <f t="shared" ref="D16:D79" ca="1" si="7">CHOOSE(RANDBETWEEN(1,5),RANDBETWEEN(RANDBETWEEN(0,50),RANDBETWEEN(51,100)),RANDBETWEEN(RANDBETWEEN(30,50),RANDBETWEEN(51,70)),RANDBETWEEN(RANDBETWEEN(40,50),RANDBETWEEN(51,60)),RANDBETWEEN(RANDBETWEEN(30,70),RANDBETWEEN(71,85)),RANDBETWEEN(RANDBETWEEN(0,25),RANDBETWEEN(26,85)))</f>
        <v>62</v>
      </c>
      <c r="E16" s="26">
        <f ca="1">CHOOSE(RANDBETWEEN(1,5),RANDBETWEEN(RANDBETWEEN(0,50),RANDBETWEEN(51,100)),RANDBETWEEN(RANDBETWEEN(30,50),RANDBETWEEN(51,70)),INT(_xlfn.NORM.INV(RAND(),62,8)),INT(_xlfn.NORM.INV(RAND(),50,15)),RANDBETWEEN(RANDBETWEEN(0,25),RANDBETWEEN(26,85)))</f>
        <v>41</v>
      </c>
      <c r="F16" s="26">
        <f t="shared" ref="F16:F79" ca="1" si="8">CHOOSE(RANDBETWEEN(1,3),INT(_xlfn.NORM.INV(RAND(),70,5)),RANDBETWEEN(10,90),INT(_xlfn.NORM.INV(RAND(),60,6)))</f>
        <v>73</v>
      </c>
    </row>
    <row r="17" spans="2:6" x14ac:dyDescent="0.25">
      <c r="B17" s="26">
        <f t="shared" ca="1" si="6"/>
        <v>41</v>
      </c>
      <c r="C17" s="26">
        <f t="shared" ref="C17:C80" ca="1" si="9">CHOOSE(RANDBETWEEN(1,5),INT(_xlfn.NORM.INV(RAND(),70,10)),RANDBETWEEN(RANDBETWEEN(30,50),RANDBETWEEN(51,70)),RANDBETWEEN(RANDBETWEEN(40,50),RANDBETWEEN(51,60)),RANDBETWEEN(RANDBETWEEN(30,70),RANDBETWEEN(71,85)),RANDBETWEEN(RANDBETWEEN(0,25),RANDBETWEEN(26,85)))</f>
        <v>80</v>
      </c>
      <c r="D17" s="26">
        <f t="shared" ca="1" si="7"/>
        <v>79</v>
      </c>
      <c r="E17" s="26">
        <f t="shared" ref="E17:E80" ca="1" si="10">CHOOSE(RANDBETWEEN(1,5),RANDBETWEEN(RANDBETWEEN(0,50),RANDBETWEEN(51,100)),RANDBETWEEN(RANDBETWEEN(30,50),RANDBETWEEN(51,70)),INT(_xlfn.NORM.INV(RAND(),62,8)),INT(_xlfn.NORM.INV(RAND(),50,15)),RANDBETWEEN(RANDBETWEEN(0,25),RANDBETWEEN(26,85)))</f>
        <v>55</v>
      </c>
      <c r="F17" s="26">
        <f t="shared" ca="1" si="8"/>
        <v>72</v>
      </c>
    </row>
    <row r="18" spans="2:6" x14ac:dyDescent="0.25">
      <c r="B18" s="26">
        <f t="shared" ca="1" si="6"/>
        <v>31</v>
      </c>
      <c r="C18" s="26">
        <f t="shared" ca="1" si="9"/>
        <v>45</v>
      </c>
      <c r="D18" s="26">
        <f t="shared" ca="1" si="7"/>
        <v>18</v>
      </c>
      <c r="E18" s="26">
        <f t="shared" ca="1" si="10"/>
        <v>25</v>
      </c>
      <c r="F18" s="26">
        <f t="shared" ca="1" si="8"/>
        <v>89</v>
      </c>
    </row>
    <row r="19" spans="2:6" x14ac:dyDescent="0.25">
      <c r="B19" s="26">
        <f t="shared" ca="1" si="6"/>
        <v>14</v>
      </c>
      <c r="C19" s="26">
        <f t="shared" ca="1" si="9"/>
        <v>49</v>
      </c>
      <c r="D19" s="26">
        <f t="shared" ca="1" si="7"/>
        <v>44</v>
      </c>
      <c r="E19" s="26">
        <f t="shared" ca="1" si="10"/>
        <v>70</v>
      </c>
      <c r="F19" s="26">
        <f t="shared" ca="1" si="8"/>
        <v>60</v>
      </c>
    </row>
    <row r="20" spans="2:6" x14ac:dyDescent="0.25">
      <c r="B20" s="26">
        <f t="shared" ca="1" si="6"/>
        <v>67</v>
      </c>
      <c r="C20" s="26">
        <f t="shared" ca="1" si="9"/>
        <v>84</v>
      </c>
      <c r="D20" s="26">
        <f t="shared" ca="1" si="7"/>
        <v>60</v>
      </c>
      <c r="E20" s="26">
        <f t="shared" ca="1" si="10"/>
        <v>26</v>
      </c>
      <c r="F20" s="26">
        <f t="shared" ca="1" si="8"/>
        <v>68</v>
      </c>
    </row>
    <row r="21" spans="2:6" x14ac:dyDescent="0.25">
      <c r="B21" s="26">
        <f t="shared" ca="1" si="6"/>
        <v>61</v>
      </c>
      <c r="C21" s="26">
        <f t="shared" ca="1" si="9"/>
        <v>61</v>
      </c>
      <c r="D21" s="26">
        <f t="shared" ca="1" si="7"/>
        <v>14</v>
      </c>
      <c r="E21" s="26">
        <f t="shared" ca="1" si="10"/>
        <v>64</v>
      </c>
      <c r="F21" s="26">
        <f t="shared" ca="1" si="8"/>
        <v>57</v>
      </c>
    </row>
    <row r="22" spans="2:6" x14ac:dyDescent="0.25">
      <c r="B22" s="26">
        <f t="shared" ca="1" si="6"/>
        <v>49</v>
      </c>
      <c r="C22" s="26">
        <f t="shared" ca="1" si="9"/>
        <v>27</v>
      </c>
      <c r="D22" s="26">
        <f t="shared" ca="1" si="7"/>
        <v>67</v>
      </c>
      <c r="E22" s="26">
        <f t="shared" ca="1" si="10"/>
        <v>65</v>
      </c>
      <c r="F22" s="26">
        <f t="shared" ca="1" si="8"/>
        <v>60</v>
      </c>
    </row>
    <row r="23" spans="2:6" x14ac:dyDescent="0.25">
      <c r="B23" s="26">
        <f t="shared" ca="1" si="6"/>
        <v>51</v>
      </c>
      <c r="C23" s="26">
        <f t="shared" ca="1" si="9"/>
        <v>66</v>
      </c>
      <c r="D23" s="26">
        <f t="shared" ca="1" si="7"/>
        <v>69</v>
      </c>
      <c r="E23" s="26">
        <f t="shared" ca="1" si="10"/>
        <v>38</v>
      </c>
      <c r="F23" s="26">
        <f t="shared" ca="1" si="8"/>
        <v>65</v>
      </c>
    </row>
    <row r="24" spans="2:6" x14ac:dyDescent="0.25">
      <c r="B24" s="26">
        <f t="shared" ca="1" si="6"/>
        <v>60</v>
      </c>
      <c r="C24" s="26">
        <f t="shared" ca="1" si="9"/>
        <v>48</v>
      </c>
      <c r="D24" s="26">
        <f t="shared" ca="1" si="7"/>
        <v>29</v>
      </c>
      <c r="E24" s="26">
        <f t="shared" ca="1" si="10"/>
        <v>48</v>
      </c>
      <c r="F24" s="26">
        <f t="shared" ca="1" si="8"/>
        <v>62</v>
      </c>
    </row>
    <row r="25" spans="2:6" x14ac:dyDescent="0.25">
      <c r="B25" s="26">
        <f t="shared" ca="1" si="6"/>
        <v>71</v>
      </c>
      <c r="C25" s="26">
        <f t="shared" ca="1" si="9"/>
        <v>53</v>
      </c>
      <c r="D25" s="26">
        <f t="shared" ca="1" si="7"/>
        <v>58</v>
      </c>
      <c r="E25" s="26">
        <f t="shared" ca="1" si="10"/>
        <v>24</v>
      </c>
      <c r="F25" s="26">
        <f t="shared" ca="1" si="8"/>
        <v>32</v>
      </c>
    </row>
    <row r="26" spans="2:6" x14ac:dyDescent="0.25">
      <c r="B26" s="26">
        <f t="shared" ca="1" si="6"/>
        <v>53</v>
      </c>
      <c r="C26" s="26">
        <f t="shared" ca="1" si="9"/>
        <v>21</v>
      </c>
      <c r="D26" s="26">
        <f t="shared" ca="1" si="7"/>
        <v>36</v>
      </c>
      <c r="E26" s="26">
        <f t="shared" ca="1" si="10"/>
        <v>41</v>
      </c>
      <c r="F26" s="26">
        <f t="shared" ca="1" si="8"/>
        <v>60</v>
      </c>
    </row>
    <row r="27" spans="2:6" x14ac:dyDescent="0.25">
      <c r="B27" s="26">
        <f t="shared" ca="1" si="6"/>
        <v>44</v>
      </c>
      <c r="C27" s="26">
        <f t="shared" ca="1" si="9"/>
        <v>71</v>
      </c>
      <c r="D27" s="26">
        <f t="shared" ca="1" si="7"/>
        <v>48</v>
      </c>
      <c r="E27" s="26">
        <f t="shared" ca="1" si="10"/>
        <v>59</v>
      </c>
      <c r="F27" s="26">
        <f t="shared" ca="1" si="8"/>
        <v>63</v>
      </c>
    </row>
    <row r="28" spans="2:6" x14ac:dyDescent="0.25">
      <c r="B28" s="26">
        <f t="shared" ca="1" si="6"/>
        <v>30</v>
      </c>
      <c r="C28" s="26">
        <f t="shared" ca="1" si="9"/>
        <v>57</v>
      </c>
      <c r="D28" s="26">
        <f t="shared" ca="1" si="7"/>
        <v>54</v>
      </c>
      <c r="E28" s="26">
        <f t="shared" ca="1" si="10"/>
        <v>60</v>
      </c>
      <c r="F28" s="26">
        <f t="shared" ca="1" si="8"/>
        <v>54</v>
      </c>
    </row>
    <row r="29" spans="2:6" x14ac:dyDescent="0.25">
      <c r="B29" s="26">
        <f t="shared" ca="1" si="6"/>
        <v>68</v>
      </c>
      <c r="C29" s="26">
        <f t="shared" ca="1" si="9"/>
        <v>66</v>
      </c>
      <c r="D29" s="26">
        <f t="shared" ca="1" si="7"/>
        <v>44</v>
      </c>
      <c r="E29" s="26">
        <f t="shared" ca="1" si="10"/>
        <v>59</v>
      </c>
      <c r="F29" s="26">
        <f t="shared" ca="1" si="8"/>
        <v>32</v>
      </c>
    </row>
    <row r="30" spans="2:6" x14ac:dyDescent="0.25">
      <c r="B30" s="26">
        <f t="shared" ca="1" si="6"/>
        <v>22</v>
      </c>
      <c r="C30" s="26">
        <f t="shared" ca="1" si="9"/>
        <v>25</v>
      </c>
      <c r="D30" s="26">
        <f t="shared" ca="1" si="7"/>
        <v>37</v>
      </c>
      <c r="E30" s="26">
        <f t="shared" ca="1" si="10"/>
        <v>48</v>
      </c>
      <c r="F30" s="26">
        <f t="shared" ca="1" si="8"/>
        <v>54</v>
      </c>
    </row>
    <row r="31" spans="2:6" x14ac:dyDescent="0.25">
      <c r="B31" s="26">
        <f t="shared" ca="1" si="6"/>
        <v>16</v>
      </c>
      <c r="C31" s="26">
        <f t="shared" ca="1" si="9"/>
        <v>46</v>
      </c>
      <c r="D31" s="26">
        <f t="shared" ca="1" si="7"/>
        <v>53</v>
      </c>
      <c r="E31" s="26">
        <f t="shared" ca="1" si="10"/>
        <v>60</v>
      </c>
      <c r="F31" s="26">
        <f t="shared" ca="1" si="8"/>
        <v>72</v>
      </c>
    </row>
    <row r="32" spans="2:6" x14ac:dyDescent="0.25">
      <c r="B32" s="26">
        <f t="shared" ca="1" si="6"/>
        <v>63</v>
      </c>
      <c r="C32" s="26">
        <f t="shared" ca="1" si="9"/>
        <v>38</v>
      </c>
      <c r="D32" s="26">
        <f t="shared" ca="1" si="7"/>
        <v>59</v>
      </c>
      <c r="E32" s="26">
        <f t="shared" ca="1" si="10"/>
        <v>56</v>
      </c>
      <c r="F32" s="26">
        <f t="shared" ca="1" si="8"/>
        <v>55</v>
      </c>
    </row>
    <row r="33" spans="2:6" x14ac:dyDescent="0.25">
      <c r="B33" s="26">
        <f t="shared" ca="1" si="6"/>
        <v>54</v>
      </c>
      <c r="C33" s="26">
        <f t="shared" ca="1" si="9"/>
        <v>56</v>
      </c>
      <c r="D33" s="26">
        <f t="shared" ca="1" si="7"/>
        <v>19</v>
      </c>
      <c r="E33" s="26">
        <f t="shared" ca="1" si="10"/>
        <v>30</v>
      </c>
      <c r="F33" s="26">
        <f t="shared" ca="1" si="8"/>
        <v>80</v>
      </c>
    </row>
    <row r="34" spans="2:6" x14ac:dyDescent="0.25">
      <c r="B34" s="26">
        <f t="shared" ca="1" si="6"/>
        <v>45</v>
      </c>
      <c r="C34" s="26">
        <f t="shared" ca="1" si="9"/>
        <v>83</v>
      </c>
      <c r="D34" s="26">
        <f t="shared" ca="1" si="7"/>
        <v>71</v>
      </c>
      <c r="E34" s="26">
        <f t="shared" ca="1" si="10"/>
        <v>46</v>
      </c>
      <c r="F34" s="26">
        <f t="shared" ca="1" si="8"/>
        <v>30</v>
      </c>
    </row>
    <row r="35" spans="2:6" x14ac:dyDescent="0.25">
      <c r="B35" s="26">
        <f t="shared" ca="1" si="6"/>
        <v>70</v>
      </c>
      <c r="C35" s="26">
        <f t="shared" ca="1" si="9"/>
        <v>43</v>
      </c>
      <c r="D35" s="26">
        <f t="shared" ca="1" si="7"/>
        <v>46</v>
      </c>
      <c r="E35" s="26">
        <f t="shared" ca="1" si="10"/>
        <v>57</v>
      </c>
      <c r="F35" s="26">
        <f t="shared" ca="1" si="8"/>
        <v>68</v>
      </c>
    </row>
    <row r="36" spans="2:6" x14ac:dyDescent="0.25">
      <c r="B36" s="26">
        <f t="shared" ca="1" si="6"/>
        <v>41</v>
      </c>
      <c r="C36" s="26">
        <f t="shared" ca="1" si="9"/>
        <v>78</v>
      </c>
      <c r="D36" s="26">
        <f t="shared" ca="1" si="7"/>
        <v>68</v>
      </c>
      <c r="E36" s="26">
        <f t="shared" ca="1" si="10"/>
        <v>16</v>
      </c>
      <c r="F36" s="26">
        <f t="shared" ca="1" si="8"/>
        <v>59</v>
      </c>
    </row>
    <row r="37" spans="2:6" x14ac:dyDescent="0.25">
      <c r="B37" s="26">
        <f t="shared" ca="1" si="6"/>
        <v>74</v>
      </c>
      <c r="C37" s="26">
        <f t="shared" ca="1" si="9"/>
        <v>84</v>
      </c>
      <c r="D37" s="26">
        <f t="shared" ca="1" si="7"/>
        <v>43</v>
      </c>
      <c r="E37" s="26">
        <f t="shared" ca="1" si="10"/>
        <v>24</v>
      </c>
      <c r="F37" s="26">
        <f t="shared" ca="1" si="8"/>
        <v>31</v>
      </c>
    </row>
    <row r="38" spans="2:6" x14ac:dyDescent="0.25">
      <c r="B38" s="26">
        <f t="shared" ca="1" si="6"/>
        <v>40</v>
      </c>
      <c r="C38" s="26">
        <f t="shared" ca="1" si="9"/>
        <v>35</v>
      </c>
      <c r="D38" s="26">
        <f t="shared" ca="1" si="7"/>
        <v>53</v>
      </c>
      <c r="E38" s="26">
        <f t="shared" ca="1" si="10"/>
        <v>69</v>
      </c>
      <c r="F38" s="26">
        <f t="shared" ca="1" si="8"/>
        <v>77</v>
      </c>
    </row>
    <row r="39" spans="2:6" x14ac:dyDescent="0.25">
      <c r="B39" s="26">
        <f t="shared" ca="1" si="6"/>
        <v>63</v>
      </c>
      <c r="C39" s="26">
        <f t="shared" ca="1" si="9"/>
        <v>38</v>
      </c>
      <c r="D39" s="26">
        <f t="shared" ca="1" si="7"/>
        <v>45</v>
      </c>
      <c r="E39" s="26">
        <f t="shared" ca="1" si="10"/>
        <v>45</v>
      </c>
      <c r="F39" s="26">
        <f t="shared" ca="1" si="8"/>
        <v>60</v>
      </c>
    </row>
    <row r="40" spans="2:6" x14ac:dyDescent="0.25">
      <c r="B40" s="26">
        <f t="shared" ca="1" si="6"/>
        <v>43</v>
      </c>
      <c r="C40" s="26">
        <f t="shared" ca="1" si="9"/>
        <v>57</v>
      </c>
      <c r="D40" s="26">
        <f t="shared" ca="1" si="7"/>
        <v>5</v>
      </c>
      <c r="E40" s="26">
        <f t="shared" ca="1" si="10"/>
        <v>33</v>
      </c>
      <c r="F40" s="26">
        <f t="shared" ca="1" si="8"/>
        <v>71</v>
      </c>
    </row>
    <row r="41" spans="2:6" x14ac:dyDescent="0.25">
      <c r="B41" s="26">
        <f t="shared" ca="1" si="6"/>
        <v>0</v>
      </c>
      <c r="C41" s="26">
        <f t="shared" ca="1" si="9"/>
        <v>8</v>
      </c>
      <c r="D41" s="26">
        <f t="shared" ca="1" si="7"/>
        <v>43</v>
      </c>
      <c r="E41" s="26">
        <f t="shared" ca="1" si="10"/>
        <v>51</v>
      </c>
      <c r="F41" s="26">
        <f t="shared" ca="1" si="8"/>
        <v>61</v>
      </c>
    </row>
    <row r="42" spans="2:6" x14ac:dyDescent="0.25">
      <c r="B42" s="26">
        <f t="shared" ca="1" si="6"/>
        <v>33</v>
      </c>
      <c r="C42" s="26">
        <f t="shared" ca="1" si="9"/>
        <v>88</v>
      </c>
      <c r="D42" s="26">
        <f t="shared" ca="1" si="7"/>
        <v>55</v>
      </c>
      <c r="E42" s="26">
        <f t="shared" ca="1" si="10"/>
        <v>16</v>
      </c>
      <c r="F42" s="26">
        <f t="shared" ca="1" si="8"/>
        <v>53</v>
      </c>
    </row>
    <row r="43" spans="2:6" x14ac:dyDescent="0.25">
      <c r="B43" s="26">
        <f t="shared" ca="1" si="6"/>
        <v>46</v>
      </c>
      <c r="C43" s="26">
        <f t="shared" ca="1" si="9"/>
        <v>72</v>
      </c>
      <c r="D43" s="26">
        <f t="shared" ca="1" si="7"/>
        <v>48</v>
      </c>
      <c r="E43" s="26">
        <f t="shared" ca="1" si="10"/>
        <v>51</v>
      </c>
      <c r="F43" s="26">
        <f t="shared" ca="1" si="8"/>
        <v>36</v>
      </c>
    </row>
    <row r="44" spans="2:6" x14ac:dyDescent="0.25">
      <c r="B44" s="26">
        <f t="shared" ca="1" si="6"/>
        <v>23</v>
      </c>
      <c r="C44" s="26">
        <f t="shared" ca="1" si="9"/>
        <v>64</v>
      </c>
      <c r="D44" s="26">
        <f t="shared" ca="1" si="7"/>
        <v>36</v>
      </c>
      <c r="E44" s="26">
        <f t="shared" ca="1" si="10"/>
        <v>32</v>
      </c>
      <c r="F44" s="26">
        <f t="shared" ca="1" si="8"/>
        <v>51</v>
      </c>
    </row>
    <row r="45" spans="2:6" x14ac:dyDescent="0.25">
      <c r="B45" s="26">
        <f t="shared" ca="1" si="6"/>
        <v>57</v>
      </c>
      <c r="C45" s="26">
        <f t="shared" ca="1" si="9"/>
        <v>45</v>
      </c>
      <c r="D45" s="26">
        <f t="shared" ca="1" si="7"/>
        <v>56</v>
      </c>
      <c r="E45" s="26">
        <f t="shared" ca="1" si="10"/>
        <v>62</v>
      </c>
      <c r="F45" s="26">
        <f t="shared" ca="1" si="8"/>
        <v>65</v>
      </c>
    </row>
    <row r="46" spans="2:6" x14ac:dyDescent="0.25">
      <c r="B46" s="26">
        <f t="shared" ca="1" si="6"/>
        <v>62</v>
      </c>
      <c r="C46" s="26">
        <f t="shared" ca="1" si="9"/>
        <v>42</v>
      </c>
      <c r="D46" s="26">
        <f t="shared" ca="1" si="7"/>
        <v>43</v>
      </c>
      <c r="E46" s="26">
        <f t="shared" ca="1" si="10"/>
        <v>48</v>
      </c>
      <c r="F46" s="26">
        <f t="shared" ca="1" si="8"/>
        <v>71</v>
      </c>
    </row>
    <row r="47" spans="2:6" x14ac:dyDescent="0.25">
      <c r="B47" s="26">
        <f t="shared" ca="1" si="6"/>
        <v>14</v>
      </c>
      <c r="C47" s="26">
        <f t="shared" ca="1" si="9"/>
        <v>48</v>
      </c>
      <c r="D47" s="26">
        <f t="shared" ca="1" si="7"/>
        <v>58</v>
      </c>
      <c r="E47" s="26">
        <f t="shared" ca="1" si="10"/>
        <v>29</v>
      </c>
      <c r="F47" s="26">
        <f t="shared" ca="1" si="8"/>
        <v>63</v>
      </c>
    </row>
    <row r="48" spans="2:6" x14ac:dyDescent="0.25">
      <c r="B48" s="26">
        <f t="shared" ca="1" si="6"/>
        <v>69</v>
      </c>
      <c r="C48" s="26">
        <f t="shared" ca="1" si="9"/>
        <v>43</v>
      </c>
      <c r="D48" s="26">
        <f t="shared" ca="1" si="7"/>
        <v>40</v>
      </c>
      <c r="E48" s="26">
        <f t="shared" ca="1" si="10"/>
        <v>25</v>
      </c>
      <c r="F48" s="26">
        <f t="shared" ca="1" si="8"/>
        <v>34</v>
      </c>
    </row>
    <row r="49" spans="2:6" x14ac:dyDescent="0.25">
      <c r="B49" s="26">
        <f t="shared" ca="1" si="6"/>
        <v>82</v>
      </c>
      <c r="C49" s="26">
        <f t="shared" ca="1" si="9"/>
        <v>35</v>
      </c>
      <c r="D49" s="26">
        <f t="shared" ca="1" si="7"/>
        <v>55</v>
      </c>
      <c r="E49" s="26">
        <f t="shared" ca="1" si="10"/>
        <v>64</v>
      </c>
      <c r="F49" s="26">
        <f t="shared" ca="1" si="8"/>
        <v>20</v>
      </c>
    </row>
    <row r="50" spans="2:6" x14ac:dyDescent="0.25">
      <c r="B50" s="26">
        <f t="shared" ca="1" si="6"/>
        <v>61</v>
      </c>
      <c r="C50" s="26">
        <f t="shared" ca="1" si="9"/>
        <v>36</v>
      </c>
      <c r="D50" s="26">
        <f t="shared" ca="1" si="7"/>
        <v>66</v>
      </c>
      <c r="E50" s="26">
        <f t="shared" ca="1" si="10"/>
        <v>41</v>
      </c>
      <c r="F50" s="26">
        <f t="shared" ca="1" si="8"/>
        <v>71</v>
      </c>
    </row>
    <row r="51" spans="2:6" x14ac:dyDescent="0.25">
      <c r="B51" s="26">
        <f t="shared" ca="1" si="6"/>
        <v>47</v>
      </c>
      <c r="C51" s="26">
        <f t="shared" ca="1" si="9"/>
        <v>69</v>
      </c>
      <c r="D51" s="26">
        <f t="shared" ca="1" si="7"/>
        <v>22</v>
      </c>
      <c r="E51" s="26">
        <f t="shared" ca="1" si="10"/>
        <v>64</v>
      </c>
      <c r="F51" s="26">
        <f t="shared" ca="1" si="8"/>
        <v>68</v>
      </c>
    </row>
    <row r="52" spans="2:6" x14ac:dyDescent="0.25">
      <c r="B52" s="26">
        <f t="shared" ca="1" si="6"/>
        <v>48</v>
      </c>
      <c r="C52" s="26">
        <f t="shared" ca="1" si="9"/>
        <v>43</v>
      </c>
      <c r="D52" s="26">
        <f t="shared" ca="1" si="7"/>
        <v>90</v>
      </c>
      <c r="E52" s="26">
        <f t="shared" ca="1" si="10"/>
        <v>24</v>
      </c>
      <c r="F52" s="26">
        <f t="shared" ca="1" si="8"/>
        <v>54</v>
      </c>
    </row>
    <row r="53" spans="2:6" x14ac:dyDescent="0.25">
      <c r="B53" s="26">
        <f t="shared" ca="1" si="6"/>
        <v>33</v>
      </c>
      <c r="C53" s="26">
        <f t="shared" ca="1" si="9"/>
        <v>42</v>
      </c>
      <c r="D53" s="26">
        <f t="shared" ca="1" si="7"/>
        <v>78</v>
      </c>
      <c r="E53" s="26">
        <f t="shared" ca="1" si="10"/>
        <v>47</v>
      </c>
      <c r="F53" s="26">
        <f t="shared" ca="1" si="8"/>
        <v>71</v>
      </c>
    </row>
    <row r="54" spans="2:6" x14ac:dyDescent="0.25">
      <c r="B54" s="26">
        <f t="shared" ca="1" si="6"/>
        <v>75</v>
      </c>
      <c r="C54" s="26">
        <f t="shared" ca="1" si="9"/>
        <v>50</v>
      </c>
      <c r="D54" s="26">
        <f t="shared" ca="1" si="7"/>
        <v>53</v>
      </c>
      <c r="E54" s="26">
        <f t="shared" ca="1" si="10"/>
        <v>19</v>
      </c>
      <c r="F54" s="26">
        <f t="shared" ca="1" si="8"/>
        <v>40</v>
      </c>
    </row>
    <row r="55" spans="2:6" x14ac:dyDescent="0.25">
      <c r="B55" s="26">
        <f t="shared" ca="1" si="6"/>
        <v>44</v>
      </c>
      <c r="C55" s="26">
        <f t="shared" ca="1" si="9"/>
        <v>24</v>
      </c>
      <c r="D55" s="26">
        <f t="shared" ca="1" si="7"/>
        <v>42</v>
      </c>
      <c r="E55" s="26">
        <f t="shared" ca="1" si="10"/>
        <v>52</v>
      </c>
      <c r="F55" s="26">
        <f t="shared" ca="1" si="8"/>
        <v>63</v>
      </c>
    </row>
    <row r="56" spans="2:6" x14ac:dyDescent="0.25">
      <c r="B56" s="26">
        <f t="shared" ca="1" si="6"/>
        <v>15</v>
      </c>
      <c r="C56" s="26">
        <f t="shared" ca="1" si="9"/>
        <v>65</v>
      </c>
      <c r="D56" s="26">
        <f t="shared" ca="1" si="7"/>
        <v>82</v>
      </c>
      <c r="E56" s="26">
        <f t="shared" ca="1" si="10"/>
        <v>60</v>
      </c>
      <c r="F56" s="26">
        <f t="shared" ca="1" si="8"/>
        <v>37</v>
      </c>
    </row>
    <row r="57" spans="2:6" x14ac:dyDescent="0.25">
      <c r="B57" s="26">
        <f t="shared" ca="1" si="6"/>
        <v>59</v>
      </c>
      <c r="C57" s="26">
        <f t="shared" ca="1" si="9"/>
        <v>43</v>
      </c>
      <c r="D57" s="26">
        <f t="shared" ca="1" si="7"/>
        <v>60</v>
      </c>
      <c r="E57" s="26">
        <f t="shared" ca="1" si="10"/>
        <v>48</v>
      </c>
      <c r="F57" s="26">
        <f t="shared" ca="1" si="8"/>
        <v>72</v>
      </c>
    </row>
    <row r="58" spans="2:6" x14ac:dyDescent="0.25">
      <c r="B58" s="26">
        <f t="shared" ca="1" si="6"/>
        <v>52</v>
      </c>
      <c r="C58" s="26">
        <f t="shared" ca="1" si="9"/>
        <v>42</v>
      </c>
      <c r="D58" s="26">
        <f t="shared" ca="1" si="7"/>
        <v>54</v>
      </c>
      <c r="E58" s="26">
        <f t="shared" ca="1" si="10"/>
        <v>26</v>
      </c>
      <c r="F58" s="26">
        <f t="shared" ca="1" si="8"/>
        <v>39</v>
      </c>
    </row>
    <row r="59" spans="2:6" x14ac:dyDescent="0.25">
      <c r="B59" s="26">
        <f t="shared" ca="1" si="6"/>
        <v>49</v>
      </c>
      <c r="C59" s="26">
        <f t="shared" ca="1" si="9"/>
        <v>76</v>
      </c>
      <c r="D59" s="26">
        <f t="shared" ca="1" si="7"/>
        <v>71</v>
      </c>
      <c r="E59" s="26">
        <f t="shared" ca="1" si="10"/>
        <v>65</v>
      </c>
      <c r="F59" s="26">
        <f t="shared" ca="1" si="8"/>
        <v>30</v>
      </c>
    </row>
    <row r="60" spans="2:6" x14ac:dyDescent="0.25">
      <c r="B60" s="26">
        <f t="shared" ca="1" si="6"/>
        <v>25</v>
      </c>
      <c r="C60" s="26">
        <f t="shared" ca="1" si="9"/>
        <v>37</v>
      </c>
      <c r="D60" s="26">
        <f t="shared" ca="1" si="7"/>
        <v>48</v>
      </c>
      <c r="E60" s="26">
        <f t="shared" ca="1" si="10"/>
        <v>40</v>
      </c>
      <c r="F60" s="26">
        <f t="shared" ca="1" si="8"/>
        <v>74</v>
      </c>
    </row>
    <row r="61" spans="2:6" x14ac:dyDescent="0.25">
      <c r="B61" s="26">
        <f t="shared" ca="1" si="6"/>
        <v>65</v>
      </c>
      <c r="C61" s="26">
        <f t="shared" ca="1" si="9"/>
        <v>61</v>
      </c>
      <c r="D61" s="26">
        <f t="shared" ca="1" si="7"/>
        <v>57</v>
      </c>
      <c r="E61" s="26">
        <f t="shared" ca="1" si="10"/>
        <v>61</v>
      </c>
      <c r="F61" s="26">
        <f t="shared" ca="1" si="8"/>
        <v>56</v>
      </c>
    </row>
    <row r="62" spans="2:6" x14ac:dyDescent="0.25">
      <c r="B62" s="26">
        <f t="shared" ca="1" si="6"/>
        <v>55</v>
      </c>
      <c r="C62" s="26">
        <f t="shared" ca="1" si="9"/>
        <v>48</v>
      </c>
      <c r="D62" s="26">
        <f t="shared" ca="1" si="7"/>
        <v>28</v>
      </c>
      <c r="E62" s="26">
        <f t="shared" ca="1" si="10"/>
        <v>47</v>
      </c>
      <c r="F62" s="26">
        <f t="shared" ca="1" si="8"/>
        <v>66</v>
      </c>
    </row>
    <row r="63" spans="2:6" x14ac:dyDescent="0.25">
      <c r="B63" s="26">
        <f t="shared" ca="1" si="6"/>
        <v>51</v>
      </c>
      <c r="C63" s="26">
        <f t="shared" ca="1" si="9"/>
        <v>39</v>
      </c>
      <c r="D63" s="26">
        <f t="shared" ca="1" si="7"/>
        <v>49</v>
      </c>
      <c r="E63" s="26">
        <f t="shared" ca="1" si="10"/>
        <v>58</v>
      </c>
      <c r="F63" s="26">
        <f t="shared" ca="1" si="8"/>
        <v>81</v>
      </c>
    </row>
    <row r="64" spans="2:6" x14ac:dyDescent="0.25">
      <c r="B64" s="26">
        <f t="shared" ca="1" si="6"/>
        <v>48</v>
      </c>
      <c r="C64" s="26">
        <f t="shared" ca="1" si="9"/>
        <v>47</v>
      </c>
      <c r="D64" s="26">
        <f t="shared" ca="1" si="7"/>
        <v>53</v>
      </c>
      <c r="E64" s="26">
        <f t="shared" ca="1" si="10"/>
        <v>64</v>
      </c>
      <c r="F64" s="26">
        <f t="shared" ca="1" si="8"/>
        <v>65</v>
      </c>
    </row>
    <row r="65" spans="2:6" x14ac:dyDescent="0.25">
      <c r="B65" s="26">
        <f t="shared" ca="1" si="6"/>
        <v>45</v>
      </c>
      <c r="C65" s="26">
        <f t="shared" ca="1" si="9"/>
        <v>55</v>
      </c>
      <c r="D65" s="26">
        <f t="shared" ca="1" si="7"/>
        <v>50</v>
      </c>
      <c r="E65" s="26">
        <f t="shared" ca="1" si="10"/>
        <v>22</v>
      </c>
      <c r="F65" s="26">
        <f t="shared" ca="1" si="8"/>
        <v>59</v>
      </c>
    </row>
    <row r="66" spans="2:6" x14ac:dyDescent="0.25">
      <c r="B66" s="26">
        <f t="shared" ca="1" si="6"/>
        <v>42</v>
      </c>
      <c r="C66" s="26">
        <f t="shared" ca="1" si="9"/>
        <v>57</v>
      </c>
      <c r="D66" s="26">
        <f t="shared" ca="1" si="7"/>
        <v>45</v>
      </c>
      <c r="E66" s="26">
        <f t="shared" ca="1" si="10"/>
        <v>38</v>
      </c>
      <c r="F66" s="26">
        <f t="shared" ca="1" si="8"/>
        <v>60</v>
      </c>
    </row>
    <row r="67" spans="2:6" x14ac:dyDescent="0.25">
      <c r="B67" s="26">
        <f t="shared" ca="1" si="6"/>
        <v>50</v>
      </c>
      <c r="C67" s="26">
        <f t="shared" ca="1" si="9"/>
        <v>45</v>
      </c>
      <c r="D67" s="26">
        <f t="shared" ca="1" si="7"/>
        <v>51</v>
      </c>
      <c r="E67" s="26">
        <f t="shared" ca="1" si="10"/>
        <v>65</v>
      </c>
      <c r="F67" s="26">
        <f t="shared" ca="1" si="8"/>
        <v>79</v>
      </c>
    </row>
    <row r="68" spans="2:6" x14ac:dyDescent="0.25">
      <c r="B68" s="26">
        <f t="shared" ca="1" si="6"/>
        <v>55</v>
      </c>
      <c r="C68" s="26">
        <f t="shared" ca="1" si="9"/>
        <v>66</v>
      </c>
      <c r="D68" s="26">
        <f t="shared" ca="1" si="7"/>
        <v>54</v>
      </c>
      <c r="E68" s="26">
        <f t="shared" ca="1" si="10"/>
        <v>35</v>
      </c>
      <c r="F68" s="26">
        <f t="shared" ca="1" si="8"/>
        <v>67</v>
      </c>
    </row>
    <row r="69" spans="2:6" x14ac:dyDescent="0.25">
      <c r="B69" s="26">
        <f t="shared" ca="1" si="6"/>
        <v>44</v>
      </c>
      <c r="C69" s="26">
        <f t="shared" ca="1" si="9"/>
        <v>32</v>
      </c>
      <c r="D69" s="26">
        <f t="shared" ca="1" si="7"/>
        <v>20</v>
      </c>
      <c r="E69" s="26">
        <f t="shared" ca="1" si="10"/>
        <v>22</v>
      </c>
      <c r="F69" s="26">
        <f t="shared" ca="1" si="8"/>
        <v>73</v>
      </c>
    </row>
    <row r="70" spans="2:6" x14ac:dyDescent="0.25">
      <c r="B70" s="26">
        <f t="shared" ca="1" si="6"/>
        <v>43</v>
      </c>
      <c r="C70" s="26">
        <f t="shared" ca="1" si="9"/>
        <v>77</v>
      </c>
      <c r="D70" s="26">
        <f t="shared" ca="1" si="7"/>
        <v>38</v>
      </c>
      <c r="E70" s="26">
        <f t="shared" ca="1" si="10"/>
        <v>28</v>
      </c>
      <c r="F70" s="26">
        <f t="shared" ca="1" si="8"/>
        <v>72</v>
      </c>
    </row>
    <row r="71" spans="2:6" x14ac:dyDescent="0.25">
      <c r="B71" s="26">
        <f t="shared" ca="1" si="6"/>
        <v>86</v>
      </c>
      <c r="C71" s="26">
        <f t="shared" ca="1" si="9"/>
        <v>46</v>
      </c>
      <c r="D71" s="26">
        <f t="shared" ca="1" si="7"/>
        <v>59</v>
      </c>
      <c r="E71" s="26">
        <f t="shared" ca="1" si="10"/>
        <v>23</v>
      </c>
      <c r="F71" s="26">
        <f t="shared" ca="1" si="8"/>
        <v>73</v>
      </c>
    </row>
    <row r="72" spans="2:6" x14ac:dyDescent="0.25">
      <c r="B72" s="26">
        <f t="shared" ca="1" si="6"/>
        <v>25</v>
      </c>
      <c r="C72" s="26">
        <f t="shared" ca="1" si="9"/>
        <v>9</v>
      </c>
      <c r="D72" s="26">
        <f t="shared" ca="1" si="7"/>
        <v>24</v>
      </c>
      <c r="E72" s="26">
        <f t="shared" ca="1" si="10"/>
        <v>55</v>
      </c>
      <c r="F72" s="26">
        <f t="shared" ca="1" si="8"/>
        <v>62</v>
      </c>
    </row>
    <row r="73" spans="2:6" x14ac:dyDescent="0.25">
      <c r="B73" s="26">
        <f t="shared" ca="1" si="6"/>
        <v>65</v>
      </c>
      <c r="C73" s="26">
        <f t="shared" ca="1" si="9"/>
        <v>70</v>
      </c>
      <c r="D73" s="26">
        <f t="shared" ca="1" si="7"/>
        <v>64</v>
      </c>
      <c r="E73" s="26">
        <f t="shared" ca="1" si="10"/>
        <v>62</v>
      </c>
      <c r="F73" s="26">
        <f t="shared" ca="1" si="8"/>
        <v>39</v>
      </c>
    </row>
    <row r="74" spans="2:6" x14ac:dyDescent="0.25">
      <c r="B74" s="26">
        <f t="shared" ca="1" si="6"/>
        <v>47</v>
      </c>
      <c r="C74" s="26">
        <f t="shared" ca="1" si="9"/>
        <v>70</v>
      </c>
      <c r="D74" s="26">
        <f t="shared" ca="1" si="7"/>
        <v>50</v>
      </c>
      <c r="E74" s="26">
        <f t="shared" ca="1" si="10"/>
        <v>77</v>
      </c>
      <c r="F74" s="26">
        <f t="shared" ca="1" si="8"/>
        <v>67</v>
      </c>
    </row>
    <row r="75" spans="2:6" x14ac:dyDescent="0.25">
      <c r="B75" s="26">
        <f t="shared" ca="1" si="6"/>
        <v>49</v>
      </c>
      <c r="C75" s="26">
        <f t="shared" ca="1" si="9"/>
        <v>45</v>
      </c>
      <c r="D75" s="26">
        <f t="shared" ca="1" si="7"/>
        <v>54</v>
      </c>
      <c r="E75" s="26">
        <f t="shared" ca="1" si="10"/>
        <v>53</v>
      </c>
      <c r="F75" s="26">
        <f t="shared" ca="1" si="8"/>
        <v>81</v>
      </c>
    </row>
    <row r="76" spans="2:6" x14ac:dyDescent="0.25">
      <c r="B76" s="26">
        <f t="shared" ca="1" si="6"/>
        <v>25</v>
      </c>
      <c r="C76" s="26">
        <f t="shared" ca="1" si="9"/>
        <v>26</v>
      </c>
      <c r="D76" s="26">
        <f t="shared" ca="1" si="7"/>
        <v>72</v>
      </c>
      <c r="E76" s="26">
        <f t="shared" ca="1" si="10"/>
        <v>63</v>
      </c>
      <c r="F76" s="26">
        <f t="shared" ca="1" si="8"/>
        <v>77</v>
      </c>
    </row>
    <row r="77" spans="2:6" x14ac:dyDescent="0.25">
      <c r="B77" s="26">
        <f t="shared" ca="1" si="6"/>
        <v>47</v>
      </c>
      <c r="C77" s="26">
        <f t="shared" ca="1" si="9"/>
        <v>58</v>
      </c>
      <c r="D77" s="26">
        <f t="shared" ca="1" si="7"/>
        <v>45</v>
      </c>
      <c r="E77" s="26">
        <f t="shared" ca="1" si="10"/>
        <v>24</v>
      </c>
      <c r="F77" s="26">
        <f t="shared" ca="1" si="8"/>
        <v>37</v>
      </c>
    </row>
    <row r="78" spans="2:6" x14ac:dyDescent="0.25">
      <c r="B78" s="26">
        <f t="shared" ca="1" si="6"/>
        <v>46</v>
      </c>
      <c r="C78" s="26">
        <f t="shared" ca="1" si="9"/>
        <v>51</v>
      </c>
      <c r="D78" s="26">
        <f t="shared" ca="1" si="7"/>
        <v>59</v>
      </c>
      <c r="E78" s="26">
        <f t="shared" ca="1" si="10"/>
        <v>48</v>
      </c>
      <c r="F78" s="26">
        <f t="shared" ca="1" si="8"/>
        <v>13</v>
      </c>
    </row>
    <row r="79" spans="2:6" x14ac:dyDescent="0.25">
      <c r="B79" s="26">
        <f t="shared" ca="1" si="6"/>
        <v>61</v>
      </c>
      <c r="C79" s="26">
        <f t="shared" ca="1" si="9"/>
        <v>87</v>
      </c>
      <c r="D79" s="26">
        <f t="shared" ca="1" si="7"/>
        <v>39</v>
      </c>
      <c r="E79" s="26">
        <f t="shared" ca="1" si="10"/>
        <v>63</v>
      </c>
      <c r="F79" s="26">
        <f t="shared" ca="1" si="8"/>
        <v>44</v>
      </c>
    </row>
    <row r="80" spans="2:6" x14ac:dyDescent="0.25">
      <c r="B80" s="26">
        <f t="shared" ref="B80:B143" ca="1" si="11">CHOOSE(RANDBETWEEN(1,5),RANDBETWEEN(RANDBETWEEN(0,50),RANDBETWEEN(51,100)),RANDBETWEEN(RANDBETWEEN(30,50),RANDBETWEEN(51,70)),RANDBETWEEN(RANDBETWEEN(40,50),RANDBETWEEN(51,60)),RANDBETWEEN(RANDBETWEEN(30,70),RANDBETWEEN(71,85)),RANDBETWEEN(RANDBETWEEN(0,25),RANDBETWEEN(26,85)))</f>
        <v>76</v>
      </c>
      <c r="C80" s="26">
        <f t="shared" ca="1" si="9"/>
        <v>54</v>
      </c>
      <c r="D80" s="26">
        <f t="shared" ref="D80:D143" ca="1" si="12">CHOOSE(RANDBETWEEN(1,5),RANDBETWEEN(RANDBETWEEN(0,50),RANDBETWEEN(51,100)),RANDBETWEEN(RANDBETWEEN(30,50),RANDBETWEEN(51,70)),RANDBETWEEN(RANDBETWEEN(40,50),RANDBETWEEN(51,60)),RANDBETWEEN(RANDBETWEEN(30,70),RANDBETWEEN(71,85)),RANDBETWEEN(RANDBETWEEN(0,25),RANDBETWEEN(26,85)))</f>
        <v>65</v>
      </c>
      <c r="E80" s="26">
        <f t="shared" ca="1" si="10"/>
        <v>68</v>
      </c>
      <c r="F80" s="26">
        <f t="shared" ref="F80:F143" ca="1" si="13">CHOOSE(RANDBETWEEN(1,3),INT(_xlfn.NORM.INV(RAND(),70,5)),RANDBETWEEN(10,90),INT(_xlfn.NORM.INV(RAND(),60,6)))</f>
        <v>58</v>
      </c>
    </row>
    <row r="81" spans="2:6" x14ac:dyDescent="0.25">
      <c r="B81" s="26">
        <f t="shared" ca="1" si="11"/>
        <v>42</v>
      </c>
      <c r="C81" s="26">
        <f t="shared" ref="C81:C144" ca="1" si="14">CHOOSE(RANDBETWEEN(1,5),INT(_xlfn.NORM.INV(RAND(),70,10)),RANDBETWEEN(RANDBETWEEN(30,50),RANDBETWEEN(51,70)),RANDBETWEEN(RANDBETWEEN(40,50),RANDBETWEEN(51,60)),RANDBETWEEN(RANDBETWEEN(30,70),RANDBETWEEN(71,85)),RANDBETWEEN(RANDBETWEEN(0,25),RANDBETWEEN(26,85)))</f>
        <v>78</v>
      </c>
      <c r="D81" s="26">
        <f t="shared" ca="1" si="12"/>
        <v>64</v>
      </c>
      <c r="E81" s="26">
        <f t="shared" ref="E81:E144" ca="1" si="15">CHOOSE(RANDBETWEEN(1,5),RANDBETWEEN(RANDBETWEEN(0,50),RANDBETWEEN(51,100)),RANDBETWEEN(RANDBETWEEN(30,50),RANDBETWEEN(51,70)),INT(_xlfn.NORM.INV(RAND(),62,8)),INT(_xlfn.NORM.INV(RAND(),50,15)),RANDBETWEEN(RANDBETWEEN(0,25),RANDBETWEEN(26,85)))</f>
        <v>62</v>
      </c>
      <c r="F81" s="26">
        <f t="shared" ca="1" si="13"/>
        <v>74</v>
      </c>
    </row>
    <row r="82" spans="2:6" x14ac:dyDescent="0.25">
      <c r="B82" s="26">
        <f t="shared" ca="1" si="11"/>
        <v>52</v>
      </c>
      <c r="C82" s="26">
        <f t="shared" ca="1" si="14"/>
        <v>65</v>
      </c>
      <c r="D82" s="26">
        <f t="shared" ca="1" si="12"/>
        <v>7</v>
      </c>
      <c r="E82" s="26">
        <f t="shared" ca="1" si="15"/>
        <v>48</v>
      </c>
      <c r="F82" s="26">
        <f t="shared" ca="1" si="13"/>
        <v>66</v>
      </c>
    </row>
    <row r="83" spans="2:6" x14ac:dyDescent="0.25">
      <c r="B83" s="26">
        <f t="shared" ca="1" si="11"/>
        <v>72</v>
      </c>
      <c r="C83" s="26">
        <f t="shared" ca="1" si="14"/>
        <v>72</v>
      </c>
      <c r="D83" s="26">
        <f t="shared" ca="1" si="12"/>
        <v>47</v>
      </c>
      <c r="E83" s="26">
        <f t="shared" ca="1" si="15"/>
        <v>37</v>
      </c>
      <c r="F83" s="26">
        <f t="shared" ca="1" si="13"/>
        <v>48</v>
      </c>
    </row>
    <row r="84" spans="2:6" x14ac:dyDescent="0.25">
      <c r="B84" s="26">
        <f t="shared" ca="1" si="11"/>
        <v>55</v>
      </c>
      <c r="C84" s="26">
        <f t="shared" ca="1" si="14"/>
        <v>48</v>
      </c>
      <c r="D84" s="26">
        <f t="shared" ca="1" si="12"/>
        <v>13</v>
      </c>
      <c r="E84" s="26">
        <f t="shared" ca="1" si="15"/>
        <v>60</v>
      </c>
      <c r="F84" s="26">
        <f t="shared" ca="1" si="13"/>
        <v>70</v>
      </c>
    </row>
    <row r="85" spans="2:6" x14ac:dyDescent="0.25">
      <c r="B85" s="26">
        <f t="shared" ca="1" si="11"/>
        <v>48</v>
      </c>
      <c r="C85" s="26">
        <f t="shared" ca="1" si="14"/>
        <v>45</v>
      </c>
      <c r="D85" s="26">
        <f t="shared" ca="1" si="12"/>
        <v>50</v>
      </c>
      <c r="E85" s="26">
        <f t="shared" ca="1" si="15"/>
        <v>59</v>
      </c>
      <c r="F85" s="26">
        <f t="shared" ca="1" si="13"/>
        <v>52</v>
      </c>
    </row>
    <row r="86" spans="2:6" x14ac:dyDescent="0.25">
      <c r="B86" s="26">
        <f t="shared" ca="1" si="11"/>
        <v>40</v>
      </c>
      <c r="C86" s="26">
        <f t="shared" ca="1" si="14"/>
        <v>52</v>
      </c>
      <c r="D86" s="26">
        <f t="shared" ca="1" si="12"/>
        <v>48</v>
      </c>
      <c r="E86" s="26">
        <f t="shared" ca="1" si="15"/>
        <v>16</v>
      </c>
      <c r="F86" s="26">
        <f t="shared" ca="1" si="13"/>
        <v>64</v>
      </c>
    </row>
    <row r="87" spans="2:6" x14ac:dyDescent="0.25">
      <c r="B87" s="26">
        <f t="shared" ca="1" si="11"/>
        <v>39</v>
      </c>
      <c r="C87" s="26">
        <f t="shared" ca="1" si="14"/>
        <v>40</v>
      </c>
      <c r="D87" s="26">
        <f t="shared" ca="1" si="12"/>
        <v>25</v>
      </c>
      <c r="E87" s="26">
        <f t="shared" ca="1" si="15"/>
        <v>52</v>
      </c>
      <c r="F87" s="26">
        <f t="shared" ca="1" si="13"/>
        <v>68</v>
      </c>
    </row>
    <row r="88" spans="2:6" x14ac:dyDescent="0.25">
      <c r="B88" s="26">
        <f t="shared" ca="1" si="11"/>
        <v>46</v>
      </c>
      <c r="C88" s="26">
        <f t="shared" ca="1" si="14"/>
        <v>46</v>
      </c>
      <c r="D88" s="26">
        <f t="shared" ca="1" si="12"/>
        <v>54</v>
      </c>
      <c r="E88" s="26">
        <f t="shared" ca="1" si="15"/>
        <v>56</v>
      </c>
      <c r="F88" s="26">
        <f t="shared" ca="1" si="13"/>
        <v>52</v>
      </c>
    </row>
    <row r="89" spans="2:6" x14ac:dyDescent="0.25">
      <c r="B89" s="26">
        <f t="shared" ca="1" si="11"/>
        <v>77</v>
      </c>
      <c r="C89" s="26">
        <f t="shared" ca="1" si="14"/>
        <v>29</v>
      </c>
      <c r="D89" s="26">
        <f t="shared" ca="1" si="12"/>
        <v>48</v>
      </c>
      <c r="E89" s="26">
        <f t="shared" ca="1" si="15"/>
        <v>60</v>
      </c>
      <c r="F89" s="26">
        <f t="shared" ca="1" si="13"/>
        <v>63</v>
      </c>
    </row>
    <row r="90" spans="2:6" x14ac:dyDescent="0.25">
      <c r="B90" s="26">
        <f t="shared" ca="1" si="11"/>
        <v>45</v>
      </c>
      <c r="C90" s="26">
        <f t="shared" ca="1" si="14"/>
        <v>20</v>
      </c>
      <c r="D90" s="26">
        <f t="shared" ca="1" si="12"/>
        <v>74</v>
      </c>
      <c r="E90" s="26">
        <f t="shared" ca="1" si="15"/>
        <v>59</v>
      </c>
      <c r="F90" s="26">
        <f t="shared" ca="1" si="13"/>
        <v>68</v>
      </c>
    </row>
    <row r="91" spans="2:6" x14ac:dyDescent="0.25">
      <c r="B91" s="26">
        <f t="shared" ca="1" si="11"/>
        <v>51</v>
      </c>
      <c r="C91" s="26">
        <f t="shared" ca="1" si="14"/>
        <v>52</v>
      </c>
      <c r="D91" s="26">
        <f t="shared" ca="1" si="12"/>
        <v>65</v>
      </c>
      <c r="E91" s="26">
        <f t="shared" ca="1" si="15"/>
        <v>61</v>
      </c>
      <c r="F91" s="26">
        <f t="shared" ca="1" si="13"/>
        <v>59</v>
      </c>
    </row>
    <row r="92" spans="2:6" x14ac:dyDescent="0.25">
      <c r="B92" s="26">
        <f t="shared" ca="1" si="11"/>
        <v>40</v>
      </c>
      <c r="C92" s="26">
        <f t="shared" ca="1" si="14"/>
        <v>60</v>
      </c>
      <c r="D92" s="26">
        <f t="shared" ca="1" si="12"/>
        <v>44</v>
      </c>
      <c r="E92" s="26">
        <f t="shared" ca="1" si="15"/>
        <v>53</v>
      </c>
      <c r="F92" s="26">
        <f t="shared" ca="1" si="13"/>
        <v>57</v>
      </c>
    </row>
    <row r="93" spans="2:6" x14ac:dyDescent="0.25">
      <c r="B93" s="26">
        <f t="shared" ca="1" si="11"/>
        <v>62</v>
      </c>
      <c r="C93" s="26">
        <f t="shared" ca="1" si="14"/>
        <v>57</v>
      </c>
      <c r="D93" s="26">
        <f t="shared" ca="1" si="12"/>
        <v>57</v>
      </c>
      <c r="E93" s="26">
        <f t="shared" ca="1" si="15"/>
        <v>71</v>
      </c>
      <c r="F93" s="26">
        <f t="shared" ca="1" si="13"/>
        <v>66</v>
      </c>
    </row>
    <row r="94" spans="2:6" x14ac:dyDescent="0.25">
      <c r="B94" s="26">
        <f t="shared" ca="1" si="11"/>
        <v>17</v>
      </c>
      <c r="C94" s="26">
        <f t="shared" ca="1" si="14"/>
        <v>44</v>
      </c>
      <c r="D94" s="26">
        <f t="shared" ca="1" si="12"/>
        <v>75</v>
      </c>
      <c r="E94" s="26">
        <f t="shared" ca="1" si="15"/>
        <v>39</v>
      </c>
      <c r="F94" s="26">
        <f t="shared" ca="1" si="13"/>
        <v>56</v>
      </c>
    </row>
    <row r="95" spans="2:6" x14ac:dyDescent="0.25">
      <c r="B95" s="26">
        <f t="shared" ca="1" si="11"/>
        <v>35</v>
      </c>
      <c r="C95" s="26">
        <f t="shared" ca="1" si="14"/>
        <v>25</v>
      </c>
      <c r="D95" s="26">
        <f t="shared" ca="1" si="12"/>
        <v>66</v>
      </c>
      <c r="E95" s="26">
        <f t="shared" ca="1" si="15"/>
        <v>37</v>
      </c>
      <c r="F95" s="26">
        <f t="shared" ca="1" si="13"/>
        <v>75</v>
      </c>
    </row>
    <row r="96" spans="2:6" x14ac:dyDescent="0.25">
      <c r="B96" s="26">
        <f t="shared" ca="1" si="11"/>
        <v>19</v>
      </c>
      <c r="C96" s="26">
        <f t="shared" ca="1" si="14"/>
        <v>22</v>
      </c>
      <c r="D96" s="26">
        <f t="shared" ca="1" si="12"/>
        <v>21</v>
      </c>
      <c r="E96" s="26">
        <f t="shared" ca="1" si="15"/>
        <v>56</v>
      </c>
      <c r="F96" s="26">
        <f t="shared" ca="1" si="13"/>
        <v>73</v>
      </c>
    </row>
    <row r="97" spans="2:6" x14ac:dyDescent="0.25">
      <c r="B97" s="26">
        <f t="shared" ca="1" si="11"/>
        <v>44</v>
      </c>
      <c r="C97" s="26">
        <f t="shared" ca="1" si="14"/>
        <v>36</v>
      </c>
      <c r="D97" s="26">
        <f t="shared" ca="1" si="12"/>
        <v>44</v>
      </c>
      <c r="E97" s="26">
        <f t="shared" ca="1" si="15"/>
        <v>50</v>
      </c>
      <c r="F97" s="26">
        <f t="shared" ca="1" si="13"/>
        <v>57</v>
      </c>
    </row>
    <row r="98" spans="2:6" x14ac:dyDescent="0.25">
      <c r="B98" s="26">
        <f t="shared" ca="1" si="11"/>
        <v>17</v>
      </c>
      <c r="C98" s="26">
        <f t="shared" ca="1" si="14"/>
        <v>45</v>
      </c>
      <c r="D98" s="26">
        <f t="shared" ca="1" si="12"/>
        <v>55</v>
      </c>
      <c r="E98" s="26">
        <f t="shared" ca="1" si="15"/>
        <v>53</v>
      </c>
      <c r="F98" s="26">
        <f t="shared" ca="1" si="13"/>
        <v>20</v>
      </c>
    </row>
    <row r="99" spans="2:6" x14ac:dyDescent="0.25">
      <c r="B99" s="26">
        <f t="shared" ca="1" si="11"/>
        <v>60</v>
      </c>
      <c r="C99" s="26">
        <f t="shared" ca="1" si="14"/>
        <v>58</v>
      </c>
      <c r="D99" s="26">
        <f t="shared" ca="1" si="12"/>
        <v>68</v>
      </c>
      <c r="E99" s="26">
        <f t="shared" ca="1" si="15"/>
        <v>49</v>
      </c>
      <c r="F99" s="26">
        <f t="shared" ca="1" si="13"/>
        <v>63</v>
      </c>
    </row>
    <row r="100" spans="2:6" x14ac:dyDescent="0.25">
      <c r="B100" s="26">
        <f t="shared" ca="1" si="11"/>
        <v>49</v>
      </c>
      <c r="C100" s="26">
        <f t="shared" ca="1" si="14"/>
        <v>58</v>
      </c>
      <c r="D100" s="26">
        <f t="shared" ca="1" si="12"/>
        <v>45</v>
      </c>
      <c r="E100" s="26">
        <f t="shared" ca="1" si="15"/>
        <v>32</v>
      </c>
      <c r="F100" s="26">
        <f t="shared" ca="1" si="13"/>
        <v>61</v>
      </c>
    </row>
    <row r="101" spans="2:6" x14ac:dyDescent="0.25">
      <c r="B101" s="26">
        <f t="shared" ca="1" si="11"/>
        <v>81</v>
      </c>
      <c r="C101" s="26">
        <f t="shared" ca="1" si="14"/>
        <v>45</v>
      </c>
      <c r="D101" s="26">
        <f t="shared" ca="1" si="12"/>
        <v>64</v>
      </c>
      <c r="E101" s="26">
        <f t="shared" ca="1" si="15"/>
        <v>40</v>
      </c>
      <c r="F101" s="26">
        <f t="shared" ca="1" si="13"/>
        <v>63</v>
      </c>
    </row>
    <row r="102" spans="2:6" x14ac:dyDescent="0.25">
      <c r="B102" s="26">
        <f t="shared" ca="1" si="11"/>
        <v>53</v>
      </c>
      <c r="C102" s="26">
        <f t="shared" ca="1" si="14"/>
        <v>52</v>
      </c>
      <c r="D102" s="26">
        <f t="shared" ca="1" si="12"/>
        <v>63</v>
      </c>
      <c r="E102" s="26">
        <f t="shared" ca="1" si="15"/>
        <v>48</v>
      </c>
      <c r="F102" s="26">
        <f t="shared" ca="1" si="13"/>
        <v>60</v>
      </c>
    </row>
    <row r="103" spans="2:6" x14ac:dyDescent="0.25">
      <c r="B103" s="26">
        <f t="shared" ca="1" si="11"/>
        <v>51</v>
      </c>
      <c r="C103" s="26">
        <f t="shared" ca="1" si="14"/>
        <v>55</v>
      </c>
      <c r="D103" s="26">
        <f t="shared" ca="1" si="12"/>
        <v>50</v>
      </c>
      <c r="E103" s="26">
        <f t="shared" ca="1" si="15"/>
        <v>38</v>
      </c>
      <c r="F103" s="26">
        <f t="shared" ca="1" si="13"/>
        <v>53</v>
      </c>
    </row>
    <row r="104" spans="2:6" x14ac:dyDescent="0.25">
      <c r="B104" s="26">
        <f t="shared" ca="1" si="11"/>
        <v>25</v>
      </c>
      <c r="C104" s="26">
        <f t="shared" ca="1" si="14"/>
        <v>16</v>
      </c>
      <c r="D104" s="26">
        <f t="shared" ca="1" si="12"/>
        <v>73</v>
      </c>
      <c r="E104" s="26">
        <f t="shared" ca="1" si="15"/>
        <v>50</v>
      </c>
      <c r="F104" s="26">
        <f t="shared" ca="1" si="13"/>
        <v>55</v>
      </c>
    </row>
    <row r="105" spans="2:6" x14ac:dyDescent="0.25">
      <c r="B105" s="26">
        <f t="shared" ca="1" si="11"/>
        <v>32</v>
      </c>
      <c r="C105" s="26">
        <f t="shared" ca="1" si="14"/>
        <v>49</v>
      </c>
      <c r="D105" s="26">
        <f t="shared" ca="1" si="12"/>
        <v>68</v>
      </c>
      <c r="E105" s="26">
        <f t="shared" ca="1" si="15"/>
        <v>54</v>
      </c>
      <c r="F105" s="26">
        <f t="shared" ca="1" si="13"/>
        <v>72</v>
      </c>
    </row>
    <row r="106" spans="2:6" x14ac:dyDescent="0.25">
      <c r="B106" s="26">
        <f t="shared" ca="1" si="11"/>
        <v>48</v>
      </c>
      <c r="C106" s="26">
        <f t="shared" ca="1" si="14"/>
        <v>50</v>
      </c>
      <c r="D106" s="26">
        <f t="shared" ca="1" si="12"/>
        <v>57</v>
      </c>
      <c r="E106" s="26">
        <f t="shared" ca="1" si="15"/>
        <v>51</v>
      </c>
      <c r="F106" s="26">
        <f t="shared" ca="1" si="13"/>
        <v>25</v>
      </c>
    </row>
    <row r="107" spans="2:6" x14ac:dyDescent="0.25">
      <c r="B107" s="26">
        <f t="shared" ca="1" si="11"/>
        <v>2</v>
      </c>
      <c r="C107" s="26">
        <f t="shared" ca="1" si="14"/>
        <v>60</v>
      </c>
      <c r="D107" s="26">
        <f t="shared" ca="1" si="12"/>
        <v>54</v>
      </c>
      <c r="E107" s="26">
        <f t="shared" ca="1" si="15"/>
        <v>44</v>
      </c>
      <c r="F107" s="26">
        <f t="shared" ca="1" si="13"/>
        <v>64</v>
      </c>
    </row>
    <row r="108" spans="2:6" x14ac:dyDescent="0.25">
      <c r="B108" s="26">
        <f t="shared" ca="1" si="11"/>
        <v>44</v>
      </c>
      <c r="C108" s="26">
        <f t="shared" ca="1" si="14"/>
        <v>69</v>
      </c>
      <c r="D108" s="26">
        <f t="shared" ca="1" si="12"/>
        <v>62</v>
      </c>
      <c r="E108" s="26">
        <f t="shared" ca="1" si="15"/>
        <v>58</v>
      </c>
      <c r="F108" s="26">
        <f t="shared" ca="1" si="13"/>
        <v>30</v>
      </c>
    </row>
    <row r="109" spans="2:6" x14ac:dyDescent="0.25">
      <c r="B109" s="26">
        <f t="shared" ca="1" si="11"/>
        <v>47</v>
      </c>
      <c r="C109" s="26">
        <f t="shared" ca="1" si="14"/>
        <v>49</v>
      </c>
      <c r="D109" s="26">
        <f t="shared" ca="1" si="12"/>
        <v>45</v>
      </c>
      <c r="E109" s="26">
        <f t="shared" ca="1" si="15"/>
        <v>61</v>
      </c>
      <c r="F109" s="26">
        <f t="shared" ca="1" si="13"/>
        <v>63</v>
      </c>
    </row>
    <row r="110" spans="2:6" x14ac:dyDescent="0.25">
      <c r="B110" s="26">
        <f t="shared" ca="1" si="11"/>
        <v>65</v>
      </c>
      <c r="C110" s="26">
        <f t="shared" ca="1" si="14"/>
        <v>48</v>
      </c>
      <c r="D110" s="26">
        <f t="shared" ca="1" si="12"/>
        <v>81</v>
      </c>
      <c r="E110" s="26">
        <f t="shared" ca="1" si="15"/>
        <v>47</v>
      </c>
      <c r="F110" s="26">
        <f t="shared" ca="1" si="13"/>
        <v>54</v>
      </c>
    </row>
    <row r="111" spans="2:6" x14ac:dyDescent="0.25">
      <c r="B111" s="26">
        <f t="shared" ca="1" si="11"/>
        <v>68</v>
      </c>
      <c r="C111" s="26">
        <f t="shared" ca="1" si="14"/>
        <v>60</v>
      </c>
      <c r="D111" s="26">
        <f t="shared" ca="1" si="12"/>
        <v>37</v>
      </c>
      <c r="E111" s="26">
        <f t="shared" ca="1" si="15"/>
        <v>35</v>
      </c>
      <c r="F111" s="26">
        <f t="shared" ca="1" si="13"/>
        <v>65</v>
      </c>
    </row>
    <row r="112" spans="2:6" x14ac:dyDescent="0.25">
      <c r="B112" s="26">
        <f t="shared" ca="1" si="11"/>
        <v>28</v>
      </c>
      <c r="C112" s="26">
        <f t="shared" ca="1" si="14"/>
        <v>45</v>
      </c>
      <c r="D112" s="26">
        <f t="shared" ca="1" si="12"/>
        <v>40</v>
      </c>
      <c r="E112" s="26">
        <f t="shared" ca="1" si="15"/>
        <v>20</v>
      </c>
      <c r="F112" s="26">
        <f t="shared" ca="1" si="13"/>
        <v>70</v>
      </c>
    </row>
    <row r="113" spans="2:6" x14ac:dyDescent="0.25">
      <c r="B113" s="26">
        <f t="shared" ca="1" si="11"/>
        <v>41</v>
      </c>
      <c r="C113" s="26">
        <f t="shared" ca="1" si="14"/>
        <v>78</v>
      </c>
      <c r="D113" s="26">
        <f t="shared" ca="1" si="12"/>
        <v>47</v>
      </c>
      <c r="E113" s="26">
        <f t="shared" ca="1" si="15"/>
        <v>55</v>
      </c>
      <c r="F113" s="26">
        <f t="shared" ca="1" si="13"/>
        <v>55</v>
      </c>
    </row>
    <row r="114" spans="2:6" x14ac:dyDescent="0.25">
      <c r="B114" s="26">
        <f t="shared" ca="1" si="11"/>
        <v>51</v>
      </c>
      <c r="C114" s="26">
        <f t="shared" ca="1" si="14"/>
        <v>42</v>
      </c>
      <c r="D114" s="26">
        <f t="shared" ca="1" si="12"/>
        <v>42</v>
      </c>
      <c r="E114" s="26">
        <f t="shared" ca="1" si="15"/>
        <v>47</v>
      </c>
      <c r="F114" s="26">
        <f t="shared" ca="1" si="13"/>
        <v>52</v>
      </c>
    </row>
    <row r="115" spans="2:6" x14ac:dyDescent="0.25">
      <c r="B115" s="26">
        <f t="shared" ca="1" si="11"/>
        <v>75</v>
      </c>
      <c r="C115" s="26">
        <f t="shared" ca="1" si="14"/>
        <v>80</v>
      </c>
      <c r="D115" s="26">
        <f t="shared" ca="1" si="12"/>
        <v>55</v>
      </c>
      <c r="E115" s="26">
        <f t="shared" ca="1" si="15"/>
        <v>53</v>
      </c>
      <c r="F115" s="26">
        <f t="shared" ca="1" si="13"/>
        <v>75</v>
      </c>
    </row>
    <row r="116" spans="2:6" x14ac:dyDescent="0.25">
      <c r="B116" s="26">
        <f t="shared" ca="1" si="11"/>
        <v>43</v>
      </c>
      <c r="C116" s="26">
        <f t="shared" ca="1" si="14"/>
        <v>50</v>
      </c>
      <c r="D116" s="26">
        <f t="shared" ca="1" si="12"/>
        <v>67</v>
      </c>
      <c r="E116" s="26">
        <f t="shared" ca="1" si="15"/>
        <v>46</v>
      </c>
      <c r="F116" s="26">
        <f t="shared" ca="1" si="13"/>
        <v>59</v>
      </c>
    </row>
    <row r="117" spans="2:6" x14ac:dyDescent="0.25">
      <c r="B117" s="26">
        <f t="shared" ca="1" si="11"/>
        <v>42</v>
      </c>
      <c r="C117" s="26">
        <f t="shared" ca="1" si="14"/>
        <v>35</v>
      </c>
      <c r="D117" s="26">
        <f t="shared" ca="1" si="12"/>
        <v>48</v>
      </c>
      <c r="E117" s="26">
        <f t="shared" ca="1" si="15"/>
        <v>23</v>
      </c>
      <c r="F117" s="26">
        <f t="shared" ca="1" si="13"/>
        <v>18</v>
      </c>
    </row>
    <row r="118" spans="2:6" x14ac:dyDescent="0.25">
      <c r="B118" s="26">
        <f t="shared" ca="1" si="11"/>
        <v>71</v>
      </c>
      <c r="C118" s="26">
        <f t="shared" ca="1" si="14"/>
        <v>15</v>
      </c>
      <c r="D118" s="26">
        <f t="shared" ca="1" si="12"/>
        <v>59</v>
      </c>
      <c r="E118" s="26">
        <f t="shared" ca="1" si="15"/>
        <v>53</v>
      </c>
      <c r="F118" s="26">
        <f t="shared" ca="1" si="13"/>
        <v>71</v>
      </c>
    </row>
    <row r="119" spans="2:6" x14ac:dyDescent="0.25">
      <c r="B119" s="26">
        <f t="shared" ca="1" si="11"/>
        <v>26</v>
      </c>
      <c r="C119" s="26">
        <f t="shared" ca="1" si="14"/>
        <v>46</v>
      </c>
      <c r="D119" s="26">
        <f t="shared" ca="1" si="12"/>
        <v>64</v>
      </c>
      <c r="E119" s="26">
        <f t="shared" ca="1" si="15"/>
        <v>28</v>
      </c>
      <c r="F119" s="26">
        <f t="shared" ca="1" si="13"/>
        <v>58</v>
      </c>
    </row>
    <row r="120" spans="2:6" x14ac:dyDescent="0.25">
      <c r="B120" s="26">
        <f t="shared" ca="1" si="11"/>
        <v>58</v>
      </c>
      <c r="C120" s="26">
        <f t="shared" ca="1" si="14"/>
        <v>66</v>
      </c>
      <c r="D120" s="26">
        <f t="shared" ca="1" si="12"/>
        <v>22</v>
      </c>
      <c r="E120" s="26">
        <f t="shared" ca="1" si="15"/>
        <v>67</v>
      </c>
      <c r="F120" s="26">
        <f t="shared" ca="1" si="13"/>
        <v>68</v>
      </c>
    </row>
    <row r="121" spans="2:6" x14ac:dyDescent="0.25">
      <c r="B121" s="26">
        <f t="shared" ca="1" si="11"/>
        <v>70</v>
      </c>
      <c r="C121" s="26">
        <f t="shared" ca="1" si="14"/>
        <v>64</v>
      </c>
      <c r="D121" s="26">
        <f t="shared" ca="1" si="12"/>
        <v>74</v>
      </c>
      <c r="E121" s="26">
        <f t="shared" ca="1" si="15"/>
        <v>60</v>
      </c>
      <c r="F121" s="26">
        <f t="shared" ca="1" si="13"/>
        <v>51</v>
      </c>
    </row>
    <row r="122" spans="2:6" x14ac:dyDescent="0.25">
      <c r="B122" s="26">
        <f t="shared" ca="1" si="11"/>
        <v>23</v>
      </c>
      <c r="C122" s="26">
        <f t="shared" ca="1" si="14"/>
        <v>74</v>
      </c>
      <c r="D122" s="26">
        <f t="shared" ca="1" si="12"/>
        <v>36</v>
      </c>
      <c r="E122" s="26">
        <f t="shared" ca="1" si="15"/>
        <v>52</v>
      </c>
      <c r="F122" s="26">
        <f t="shared" ca="1" si="13"/>
        <v>62</v>
      </c>
    </row>
    <row r="123" spans="2:6" x14ac:dyDescent="0.25">
      <c r="B123" s="26">
        <f t="shared" ca="1" si="11"/>
        <v>64</v>
      </c>
      <c r="C123" s="26">
        <f t="shared" ca="1" si="14"/>
        <v>50</v>
      </c>
      <c r="D123" s="26">
        <f t="shared" ca="1" si="12"/>
        <v>52</v>
      </c>
      <c r="E123" s="26">
        <f t="shared" ca="1" si="15"/>
        <v>40</v>
      </c>
      <c r="F123" s="26">
        <f t="shared" ca="1" si="13"/>
        <v>79</v>
      </c>
    </row>
    <row r="124" spans="2:6" x14ac:dyDescent="0.25">
      <c r="B124" s="26">
        <f t="shared" ca="1" si="11"/>
        <v>71</v>
      </c>
      <c r="C124" s="26">
        <f t="shared" ca="1" si="14"/>
        <v>47</v>
      </c>
      <c r="D124" s="26">
        <f t="shared" ca="1" si="12"/>
        <v>40</v>
      </c>
      <c r="E124" s="26">
        <f t="shared" ca="1" si="15"/>
        <v>56</v>
      </c>
      <c r="F124" s="26">
        <f t="shared" ca="1" si="13"/>
        <v>71</v>
      </c>
    </row>
    <row r="125" spans="2:6" x14ac:dyDescent="0.25">
      <c r="B125" s="26">
        <f t="shared" ca="1" si="11"/>
        <v>36</v>
      </c>
      <c r="C125" s="26">
        <f t="shared" ca="1" si="14"/>
        <v>19</v>
      </c>
      <c r="D125" s="26">
        <f t="shared" ca="1" si="12"/>
        <v>28</v>
      </c>
      <c r="E125" s="26">
        <f t="shared" ca="1" si="15"/>
        <v>65</v>
      </c>
      <c r="F125" s="26">
        <f t="shared" ca="1" si="13"/>
        <v>69</v>
      </c>
    </row>
    <row r="126" spans="2:6" x14ac:dyDescent="0.25">
      <c r="B126" s="26">
        <f t="shared" ca="1" si="11"/>
        <v>55</v>
      </c>
      <c r="C126" s="26">
        <f t="shared" ca="1" si="14"/>
        <v>50</v>
      </c>
      <c r="D126" s="26">
        <f t="shared" ca="1" si="12"/>
        <v>43</v>
      </c>
      <c r="E126" s="26">
        <f t="shared" ca="1" si="15"/>
        <v>37</v>
      </c>
      <c r="F126" s="26">
        <f t="shared" ca="1" si="13"/>
        <v>47</v>
      </c>
    </row>
    <row r="127" spans="2:6" x14ac:dyDescent="0.25">
      <c r="B127" s="26">
        <f t="shared" ca="1" si="11"/>
        <v>54</v>
      </c>
      <c r="C127" s="26">
        <f t="shared" ca="1" si="14"/>
        <v>57</v>
      </c>
      <c r="D127" s="26">
        <f t="shared" ca="1" si="12"/>
        <v>58</v>
      </c>
      <c r="E127" s="26">
        <f t="shared" ca="1" si="15"/>
        <v>30</v>
      </c>
      <c r="F127" s="26">
        <f t="shared" ca="1" si="13"/>
        <v>52</v>
      </c>
    </row>
    <row r="128" spans="2:6" x14ac:dyDescent="0.25">
      <c r="B128" s="26">
        <f t="shared" ca="1" si="11"/>
        <v>56</v>
      </c>
      <c r="C128" s="26">
        <f t="shared" ca="1" si="14"/>
        <v>34</v>
      </c>
      <c r="D128" s="26">
        <f t="shared" ca="1" si="12"/>
        <v>64</v>
      </c>
      <c r="E128" s="26">
        <f t="shared" ca="1" si="15"/>
        <v>42</v>
      </c>
      <c r="F128" s="26">
        <f t="shared" ca="1" si="13"/>
        <v>62</v>
      </c>
    </row>
    <row r="129" spans="2:6" x14ac:dyDescent="0.25">
      <c r="B129" s="26">
        <f t="shared" ca="1" si="11"/>
        <v>73</v>
      </c>
      <c r="C129" s="26">
        <f t="shared" ca="1" si="14"/>
        <v>94</v>
      </c>
      <c r="D129" s="26">
        <f t="shared" ca="1" si="12"/>
        <v>61</v>
      </c>
      <c r="E129" s="26">
        <f t="shared" ca="1" si="15"/>
        <v>69</v>
      </c>
      <c r="F129" s="26">
        <f t="shared" ca="1" si="13"/>
        <v>66</v>
      </c>
    </row>
    <row r="130" spans="2:6" x14ac:dyDescent="0.25">
      <c r="B130" s="26">
        <f t="shared" ca="1" si="11"/>
        <v>49</v>
      </c>
      <c r="C130" s="26">
        <f t="shared" ca="1" si="14"/>
        <v>70</v>
      </c>
      <c r="D130" s="26">
        <f t="shared" ca="1" si="12"/>
        <v>48</v>
      </c>
      <c r="E130" s="26">
        <f t="shared" ca="1" si="15"/>
        <v>14</v>
      </c>
      <c r="F130" s="26">
        <f t="shared" ca="1" si="13"/>
        <v>68</v>
      </c>
    </row>
    <row r="131" spans="2:6" x14ac:dyDescent="0.25">
      <c r="B131" s="26">
        <f t="shared" ca="1" si="11"/>
        <v>55</v>
      </c>
      <c r="C131" s="26">
        <f t="shared" ca="1" si="14"/>
        <v>53</v>
      </c>
      <c r="D131" s="26">
        <f t="shared" ca="1" si="12"/>
        <v>51</v>
      </c>
      <c r="E131" s="26">
        <f t="shared" ca="1" si="15"/>
        <v>44</v>
      </c>
      <c r="F131" s="26">
        <f t="shared" ca="1" si="13"/>
        <v>51</v>
      </c>
    </row>
    <row r="132" spans="2:6" x14ac:dyDescent="0.25">
      <c r="B132" s="26">
        <f t="shared" ca="1" si="11"/>
        <v>55</v>
      </c>
      <c r="C132" s="26">
        <f t="shared" ca="1" si="14"/>
        <v>68</v>
      </c>
      <c r="D132" s="26">
        <f t="shared" ca="1" si="12"/>
        <v>53</v>
      </c>
      <c r="E132" s="26">
        <f t="shared" ca="1" si="15"/>
        <v>48</v>
      </c>
      <c r="F132" s="26">
        <f t="shared" ca="1" si="13"/>
        <v>19</v>
      </c>
    </row>
    <row r="133" spans="2:6" x14ac:dyDescent="0.25">
      <c r="B133" s="26">
        <f t="shared" ca="1" si="11"/>
        <v>73</v>
      </c>
      <c r="C133" s="26">
        <f t="shared" ca="1" si="14"/>
        <v>44</v>
      </c>
      <c r="D133" s="26">
        <f t="shared" ca="1" si="12"/>
        <v>59</v>
      </c>
      <c r="E133" s="26">
        <f t="shared" ca="1" si="15"/>
        <v>43</v>
      </c>
      <c r="F133" s="26">
        <f t="shared" ca="1" si="13"/>
        <v>75</v>
      </c>
    </row>
    <row r="134" spans="2:6" x14ac:dyDescent="0.25">
      <c r="B134" s="26">
        <f t="shared" ca="1" si="11"/>
        <v>26</v>
      </c>
      <c r="C134" s="26">
        <f t="shared" ca="1" si="14"/>
        <v>76</v>
      </c>
      <c r="D134" s="26">
        <f t="shared" ca="1" si="12"/>
        <v>41</v>
      </c>
      <c r="E134" s="26">
        <f t="shared" ca="1" si="15"/>
        <v>66</v>
      </c>
      <c r="F134" s="26">
        <f t="shared" ca="1" si="13"/>
        <v>61</v>
      </c>
    </row>
    <row r="135" spans="2:6" x14ac:dyDescent="0.25">
      <c r="B135" s="26">
        <f t="shared" ca="1" si="11"/>
        <v>88</v>
      </c>
      <c r="C135" s="26">
        <f t="shared" ca="1" si="14"/>
        <v>41</v>
      </c>
      <c r="D135" s="26">
        <f t="shared" ca="1" si="12"/>
        <v>52</v>
      </c>
      <c r="E135" s="26">
        <f t="shared" ca="1" si="15"/>
        <v>83</v>
      </c>
      <c r="F135" s="26">
        <f t="shared" ca="1" si="13"/>
        <v>44</v>
      </c>
    </row>
    <row r="136" spans="2:6" x14ac:dyDescent="0.25">
      <c r="B136" s="26">
        <f t="shared" ca="1" si="11"/>
        <v>49</v>
      </c>
      <c r="C136" s="26">
        <f t="shared" ca="1" si="14"/>
        <v>54</v>
      </c>
      <c r="D136" s="26">
        <f t="shared" ca="1" si="12"/>
        <v>39</v>
      </c>
      <c r="E136" s="26">
        <f t="shared" ca="1" si="15"/>
        <v>41</v>
      </c>
      <c r="F136" s="26">
        <f t="shared" ca="1" si="13"/>
        <v>67</v>
      </c>
    </row>
    <row r="137" spans="2:6" x14ac:dyDescent="0.25">
      <c r="B137" s="26">
        <f t="shared" ca="1" si="11"/>
        <v>40</v>
      </c>
      <c r="C137" s="26">
        <f t="shared" ca="1" si="14"/>
        <v>67</v>
      </c>
      <c r="D137" s="26">
        <f t="shared" ca="1" si="12"/>
        <v>66</v>
      </c>
      <c r="E137" s="26">
        <f t="shared" ca="1" si="15"/>
        <v>49</v>
      </c>
      <c r="F137" s="26">
        <f t="shared" ca="1" si="13"/>
        <v>58</v>
      </c>
    </row>
    <row r="138" spans="2:6" x14ac:dyDescent="0.25">
      <c r="B138" s="26">
        <f t="shared" ca="1" si="11"/>
        <v>73</v>
      </c>
      <c r="C138" s="26">
        <f t="shared" ca="1" si="14"/>
        <v>46</v>
      </c>
      <c r="D138" s="26">
        <f t="shared" ca="1" si="12"/>
        <v>73</v>
      </c>
      <c r="E138" s="26">
        <f t="shared" ca="1" si="15"/>
        <v>58</v>
      </c>
      <c r="F138" s="26">
        <f t="shared" ca="1" si="13"/>
        <v>61</v>
      </c>
    </row>
    <row r="139" spans="2:6" x14ac:dyDescent="0.25">
      <c r="B139" s="26">
        <f t="shared" ca="1" si="11"/>
        <v>75</v>
      </c>
      <c r="C139" s="26">
        <f t="shared" ca="1" si="14"/>
        <v>53</v>
      </c>
      <c r="D139" s="26">
        <f t="shared" ca="1" si="12"/>
        <v>56</v>
      </c>
      <c r="E139" s="26">
        <f t="shared" ca="1" si="15"/>
        <v>47</v>
      </c>
      <c r="F139" s="26">
        <f t="shared" ca="1" si="13"/>
        <v>55</v>
      </c>
    </row>
    <row r="140" spans="2:6" x14ac:dyDescent="0.25">
      <c r="B140" s="26">
        <f t="shared" ca="1" si="11"/>
        <v>48</v>
      </c>
      <c r="C140" s="26">
        <f t="shared" ca="1" si="14"/>
        <v>62</v>
      </c>
      <c r="D140" s="26">
        <f t="shared" ca="1" si="12"/>
        <v>32</v>
      </c>
      <c r="E140" s="26">
        <f t="shared" ca="1" si="15"/>
        <v>31</v>
      </c>
      <c r="F140" s="26">
        <f t="shared" ca="1" si="13"/>
        <v>72</v>
      </c>
    </row>
    <row r="141" spans="2:6" x14ac:dyDescent="0.25">
      <c r="B141" s="26">
        <f t="shared" ca="1" si="11"/>
        <v>65</v>
      </c>
      <c r="C141" s="26">
        <f t="shared" ca="1" si="14"/>
        <v>54</v>
      </c>
      <c r="D141" s="26">
        <f t="shared" ca="1" si="12"/>
        <v>46</v>
      </c>
      <c r="E141" s="26">
        <f t="shared" ca="1" si="15"/>
        <v>60</v>
      </c>
      <c r="F141" s="26">
        <f t="shared" ca="1" si="13"/>
        <v>67</v>
      </c>
    </row>
    <row r="142" spans="2:6" x14ac:dyDescent="0.25">
      <c r="B142" s="26">
        <f t="shared" ca="1" si="11"/>
        <v>75</v>
      </c>
      <c r="C142" s="26">
        <f t="shared" ca="1" si="14"/>
        <v>34</v>
      </c>
      <c r="D142" s="26">
        <f t="shared" ca="1" si="12"/>
        <v>64</v>
      </c>
      <c r="E142" s="26">
        <f t="shared" ca="1" si="15"/>
        <v>17</v>
      </c>
      <c r="F142" s="26">
        <f t="shared" ca="1" si="13"/>
        <v>21</v>
      </c>
    </row>
    <row r="143" spans="2:6" x14ac:dyDescent="0.25">
      <c r="B143" s="26">
        <f t="shared" ca="1" si="11"/>
        <v>48</v>
      </c>
      <c r="C143" s="26">
        <f t="shared" ca="1" si="14"/>
        <v>52</v>
      </c>
      <c r="D143" s="26">
        <f t="shared" ca="1" si="12"/>
        <v>12</v>
      </c>
      <c r="E143" s="26">
        <f t="shared" ca="1" si="15"/>
        <v>84</v>
      </c>
      <c r="F143" s="26">
        <f t="shared" ca="1" si="13"/>
        <v>11</v>
      </c>
    </row>
    <row r="144" spans="2:6" x14ac:dyDescent="0.25">
      <c r="B144" s="26">
        <f t="shared" ref="B144:B207" ca="1" si="16">CHOOSE(RANDBETWEEN(1,5),RANDBETWEEN(RANDBETWEEN(0,50),RANDBETWEEN(51,100)),RANDBETWEEN(RANDBETWEEN(30,50),RANDBETWEEN(51,70)),RANDBETWEEN(RANDBETWEEN(40,50),RANDBETWEEN(51,60)),RANDBETWEEN(RANDBETWEEN(30,70),RANDBETWEEN(71,85)),RANDBETWEEN(RANDBETWEEN(0,25),RANDBETWEEN(26,85)))</f>
        <v>55</v>
      </c>
      <c r="C144" s="26">
        <f t="shared" ca="1" si="14"/>
        <v>62</v>
      </c>
      <c r="D144" s="26">
        <f t="shared" ref="D144:D207" ca="1" si="17">CHOOSE(RANDBETWEEN(1,5),RANDBETWEEN(RANDBETWEEN(0,50),RANDBETWEEN(51,100)),RANDBETWEEN(RANDBETWEEN(30,50),RANDBETWEEN(51,70)),RANDBETWEEN(RANDBETWEEN(40,50),RANDBETWEEN(51,60)),RANDBETWEEN(RANDBETWEEN(30,70),RANDBETWEEN(71,85)),RANDBETWEEN(RANDBETWEEN(0,25),RANDBETWEEN(26,85)))</f>
        <v>47</v>
      </c>
      <c r="E144" s="26">
        <f t="shared" ca="1" si="15"/>
        <v>63</v>
      </c>
      <c r="F144" s="26">
        <f t="shared" ref="F144:F207" ca="1" si="18">CHOOSE(RANDBETWEEN(1,3),INT(_xlfn.NORM.INV(RAND(),70,5)),RANDBETWEEN(10,90),INT(_xlfn.NORM.INV(RAND(),60,6)))</f>
        <v>67</v>
      </c>
    </row>
    <row r="145" spans="2:6" x14ac:dyDescent="0.25">
      <c r="B145" s="26">
        <f t="shared" ca="1" si="16"/>
        <v>46</v>
      </c>
      <c r="C145" s="26">
        <f t="shared" ref="C145:C208" ca="1" si="19">CHOOSE(RANDBETWEEN(1,5),INT(_xlfn.NORM.INV(RAND(),70,10)),RANDBETWEEN(RANDBETWEEN(30,50),RANDBETWEEN(51,70)),RANDBETWEEN(RANDBETWEEN(40,50),RANDBETWEEN(51,60)),RANDBETWEEN(RANDBETWEEN(30,70),RANDBETWEEN(71,85)),RANDBETWEEN(RANDBETWEEN(0,25),RANDBETWEEN(26,85)))</f>
        <v>62</v>
      </c>
      <c r="D145" s="26">
        <f t="shared" ca="1" si="17"/>
        <v>59</v>
      </c>
      <c r="E145" s="26">
        <f t="shared" ref="E145:E208" ca="1" si="20">CHOOSE(RANDBETWEEN(1,5),RANDBETWEEN(RANDBETWEEN(0,50),RANDBETWEEN(51,100)),RANDBETWEEN(RANDBETWEEN(30,50),RANDBETWEEN(51,70)),INT(_xlfn.NORM.INV(RAND(),62,8)),INT(_xlfn.NORM.INV(RAND(),50,15)),RANDBETWEEN(RANDBETWEEN(0,25),RANDBETWEEN(26,85)))</f>
        <v>69</v>
      </c>
      <c r="F145" s="26">
        <f t="shared" ca="1" si="18"/>
        <v>64</v>
      </c>
    </row>
    <row r="146" spans="2:6" x14ac:dyDescent="0.25">
      <c r="B146" s="26">
        <f t="shared" ca="1" si="16"/>
        <v>26</v>
      </c>
      <c r="C146" s="26">
        <f t="shared" ca="1" si="19"/>
        <v>51</v>
      </c>
      <c r="D146" s="26">
        <f t="shared" ca="1" si="17"/>
        <v>55</v>
      </c>
      <c r="E146" s="26">
        <f t="shared" ca="1" si="20"/>
        <v>69</v>
      </c>
      <c r="F146" s="26">
        <f t="shared" ca="1" si="18"/>
        <v>57</v>
      </c>
    </row>
    <row r="147" spans="2:6" x14ac:dyDescent="0.25">
      <c r="B147" s="26">
        <f t="shared" ca="1" si="16"/>
        <v>36</v>
      </c>
      <c r="C147" s="26">
        <f t="shared" ca="1" si="19"/>
        <v>73</v>
      </c>
      <c r="D147" s="26">
        <f t="shared" ca="1" si="17"/>
        <v>33</v>
      </c>
      <c r="E147" s="26">
        <f t="shared" ca="1" si="20"/>
        <v>66</v>
      </c>
      <c r="F147" s="26">
        <f t="shared" ca="1" si="18"/>
        <v>66</v>
      </c>
    </row>
    <row r="148" spans="2:6" x14ac:dyDescent="0.25">
      <c r="B148" s="26">
        <f t="shared" ca="1" si="16"/>
        <v>46</v>
      </c>
      <c r="C148" s="26">
        <f t="shared" ca="1" si="19"/>
        <v>66</v>
      </c>
      <c r="D148" s="26">
        <f t="shared" ca="1" si="17"/>
        <v>42</v>
      </c>
      <c r="E148" s="26">
        <f t="shared" ca="1" si="20"/>
        <v>60</v>
      </c>
      <c r="F148" s="26">
        <f t="shared" ca="1" si="18"/>
        <v>80</v>
      </c>
    </row>
    <row r="149" spans="2:6" x14ac:dyDescent="0.25">
      <c r="B149" s="26">
        <f t="shared" ca="1" si="16"/>
        <v>54</v>
      </c>
      <c r="C149" s="26">
        <f t="shared" ca="1" si="19"/>
        <v>72</v>
      </c>
      <c r="D149" s="26">
        <f t="shared" ca="1" si="17"/>
        <v>56</v>
      </c>
      <c r="E149" s="26">
        <f t="shared" ca="1" si="20"/>
        <v>50</v>
      </c>
      <c r="F149" s="26">
        <f t="shared" ca="1" si="18"/>
        <v>66</v>
      </c>
    </row>
    <row r="150" spans="2:6" x14ac:dyDescent="0.25">
      <c r="B150" s="26">
        <f t="shared" ca="1" si="16"/>
        <v>28</v>
      </c>
      <c r="C150" s="26">
        <f t="shared" ca="1" si="19"/>
        <v>41</v>
      </c>
      <c r="D150" s="26">
        <f t="shared" ca="1" si="17"/>
        <v>63</v>
      </c>
      <c r="E150" s="26">
        <f t="shared" ca="1" si="20"/>
        <v>43</v>
      </c>
      <c r="F150" s="26">
        <f t="shared" ca="1" si="18"/>
        <v>24</v>
      </c>
    </row>
    <row r="151" spans="2:6" x14ac:dyDescent="0.25">
      <c r="B151" s="26">
        <f t="shared" ca="1" si="16"/>
        <v>54</v>
      </c>
      <c r="C151" s="26">
        <f t="shared" ca="1" si="19"/>
        <v>57</v>
      </c>
      <c r="D151" s="26">
        <f t="shared" ca="1" si="17"/>
        <v>64</v>
      </c>
      <c r="E151" s="26">
        <f t="shared" ca="1" si="20"/>
        <v>51</v>
      </c>
      <c r="F151" s="26">
        <f t="shared" ca="1" si="18"/>
        <v>67</v>
      </c>
    </row>
    <row r="152" spans="2:6" x14ac:dyDescent="0.25">
      <c r="B152" s="26">
        <f t="shared" ca="1" si="16"/>
        <v>53</v>
      </c>
      <c r="C152" s="26">
        <f t="shared" ca="1" si="19"/>
        <v>24</v>
      </c>
      <c r="D152" s="26">
        <f t="shared" ca="1" si="17"/>
        <v>44</v>
      </c>
      <c r="E152" s="26">
        <f t="shared" ca="1" si="20"/>
        <v>57</v>
      </c>
      <c r="F152" s="26">
        <f t="shared" ca="1" si="18"/>
        <v>71</v>
      </c>
    </row>
    <row r="153" spans="2:6" x14ac:dyDescent="0.25">
      <c r="B153" s="26">
        <f t="shared" ca="1" si="16"/>
        <v>55</v>
      </c>
      <c r="C153" s="26">
        <f t="shared" ca="1" si="19"/>
        <v>64</v>
      </c>
      <c r="D153" s="26">
        <f t="shared" ca="1" si="17"/>
        <v>58</v>
      </c>
      <c r="E153" s="26">
        <f t="shared" ca="1" si="20"/>
        <v>59</v>
      </c>
      <c r="F153" s="26">
        <f t="shared" ca="1" si="18"/>
        <v>58</v>
      </c>
    </row>
    <row r="154" spans="2:6" x14ac:dyDescent="0.25">
      <c r="B154" s="26">
        <f t="shared" ca="1" si="16"/>
        <v>51</v>
      </c>
      <c r="C154" s="26">
        <f t="shared" ca="1" si="19"/>
        <v>72</v>
      </c>
      <c r="D154" s="26">
        <f t="shared" ca="1" si="17"/>
        <v>34</v>
      </c>
      <c r="E154" s="26">
        <f t="shared" ca="1" si="20"/>
        <v>44</v>
      </c>
      <c r="F154" s="26">
        <f t="shared" ca="1" si="18"/>
        <v>69</v>
      </c>
    </row>
    <row r="155" spans="2:6" x14ac:dyDescent="0.25">
      <c r="B155" s="26">
        <f t="shared" ca="1" si="16"/>
        <v>52</v>
      </c>
      <c r="C155" s="26">
        <f t="shared" ca="1" si="19"/>
        <v>27</v>
      </c>
      <c r="D155" s="26">
        <f t="shared" ca="1" si="17"/>
        <v>51</v>
      </c>
      <c r="E155" s="26">
        <f t="shared" ca="1" si="20"/>
        <v>52</v>
      </c>
      <c r="F155" s="26">
        <f t="shared" ca="1" si="18"/>
        <v>76</v>
      </c>
    </row>
    <row r="156" spans="2:6" x14ac:dyDescent="0.25">
      <c r="B156" s="26">
        <f t="shared" ca="1" si="16"/>
        <v>43</v>
      </c>
      <c r="C156" s="26">
        <f t="shared" ca="1" si="19"/>
        <v>70</v>
      </c>
      <c r="D156" s="26">
        <f t="shared" ca="1" si="17"/>
        <v>36</v>
      </c>
      <c r="E156" s="26">
        <f t="shared" ca="1" si="20"/>
        <v>49</v>
      </c>
      <c r="F156" s="26">
        <f t="shared" ca="1" si="18"/>
        <v>59</v>
      </c>
    </row>
    <row r="157" spans="2:6" x14ac:dyDescent="0.25">
      <c r="B157" s="26">
        <f t="shared" ca="1" si="16"/>
        <v>48</v>
      </c>
      <c r="C157" s="26">
        <f t="shared" ca="1" si="19"/>
        <v>32</v>
      </c>
      <c r="D157" s="26">
        <f t="shared" ca="1" si="17"/>
        <v>49</v>
      </c>
      <c r="E157" s="26">
        <f t="shared" ca="1" si="20"/>
        <v>52</v>
      </c>
      <c r="F157" s="26">
        <f t="shared" ca="1" si="18"/>
        <v>62</v>
      </c>
    </row>
    <row r="158" spans="2:6" x14ac:dyDescent="0.25">
      <c r="B158" s="26">
        <f t="shared" ca="1" si="16"/>
        <v>49</v>
      </c>
      <c r="C158" s="26">
        <f t="shared" ca="1" si="19"/>
        <v>45</v>
      </c>
      <c r="D158" s="26">
        <f t="shared" ca="1" si="17"/>
        <v>34</v>
      </c>
      <c r="E158" s="26">
        <f t="shared" ca="1" si="20"/>
        <v>48</v>
      </c>
      <c r="F158" s="26">
        <f t="shared" ca="1" si="18"/>
        <v>54</v>
      </c>
    </row>
    <row r="159" spans="2:6" x14ac:dyDescent="0.25">
      <c r="B159" s="26">
        <f t="shared" ca="1" si="16"/>
        <v>48</v>
      </c>
      <c r="C159" s="26">
        <f t="shared" ca="1" si="19"/>
        <v>52</v>
      </c>
      <c r="D159" s="26">
        <f t="shared" ca="1" si="17"/>
        <v>46</v>
      </c>
      <c r="E159" s="26">
        <f t="shared" ca="1" si="20"/>
        <v>35</v>
      </c>
      <c r="F159" s="26">
        <f t="shared" ca="1" si="18"/>
        <v>69</v>
      </c>
    </row>
    <row r="160" spans="2:6" x14ac:dyDescent="0.25">
      <c r="B160" s="26">
        <f t="shared" ca="1" si="16"/>
        <v>52</v>
      </c>
      <c r="C160" s="26">
        <f t="shared" ca="1" si="19"/>
        <v>26</v>
      </c>
      <c r="D160" s="26">
        <f t="shared" ca="1" si="17"/>
        <v>78</v>
      </c>
      <c r="E160" s="26">
        <f t="shared" ca="1" si="20"/>
        <v>52</v>
      </c>
      <c r="F160" s="26">
        <f t="shared" ca="1" si="18"/>
        <v>40</v>
      </c>
    </row>
    <row r="161" spans="2:6" x14ac:dyDescent="0.25">
      <c r="B161" s="26">
        <f t="shared" ca="1" si="16"/>
        <v>46</v>
      </c>
      <c r="C161" s="26">
        <f t="shared" ca="1" si="19"/>
        <v>58</v>
      </c>
      <c r="D161" s="26">
        <f t="shared" ca="1" si="17"/>
        <v>42</v>
      </c>
      <c r="E161" s="26">
        <f t="shared" ca="1" si="20"/>
        <v>29</v>
      </c>
      <c r="F161" s="26">
        <f t="shared" ca="1" si="18"/>
        <v>68</v>
      </c>
    </row>
    <row r="162" spans="2:6" x14ac:dyDescent="0.25">
      <c r="B162" s="26">
        <f t="shared" ca="1" si="16"/>
        <v>65</v>
      </c>
      <c r="C162" s="26">
        <f t="shared" ca="1" si="19"/>
        <v>63</v>
      </c>
      <c r="D162" s="26">
        <f t="shared" ca="1" si="17"/>
        <v>47</v>
      </c>
      <c r="E162" s="26">
        <f t="shared" ca="1" si="20"/>
        <v>71</v>
      </c>
      <c r="F162" s="26">
        <f t="shared" ca="1" si="18"/>
        <v>48</v>
      </c>
    </row>
    <row r="163" spans="2:6" x14ac:dyDescent="0.25">
      <c r="B163" s="26">
        <f t="shared" ca="1" si="16"/>
        <v>23</v>
      </c>
      <c r="C163" s="26">
        <f t="shared" ca="1" si="19"/>
        <v>62</v>
      </c>
      <c r="D163" s="26">
        <f t="shared" ca="1" si="17"/>
        <v>43</v>
      </c>
      <c r="E163" s="26">
        <f t="shared" ca="1" si="20"/>
        <v>52</v>
      </c>
      <c r="F163" s="26">
        <f t="shared" ca="1" si="18"/>
        <v>55</v>
      </c>
    </row>
    <row r="164" spans="2:6" x14ac:dyDescent="0.25">
      <c r="B164" s="26">
        <f t="shared" ca="1" si="16"/>
        <v>61</v>
      </c>
      <c r="C164" s="26">
        <f t="shared" ca="1" si="19"/>
        <v>69</v>
      </c>
      <c r="D164" s="26">
        <f t="shared" ca="1" si="17"/>
        <v>51</v>
      </c>
      <c r="E164" s="26">
        <f t="shared" ca="1" si="20"/>
        <v>49</v>
      </c>
      <c r="F164" s="26">
        <f t="shared" ca="1" si="18"/>
        <v>64</v>
      </c>
    </row>
    <row r="165" spans="2:6" x14ac:dyDescent="0.25">
      <c r="B165" s="26">
        <f t="shared" ca="1" si="16"/>
        <v>61</v>
      </c>
      <c r="C165" s="26">
        <f t="shared" ca="1" si="19"/>
        <v>45</v>
      </c>
      <c r="D165" s="26">
        <f t="shared" ca="1" si="17"/>
        <v>62</v>
      </c>
      <c r="E165" s="26">
        <f t="shared" ca="1" si="20"/>
        <v>19</v>
      </c>
      <c r="F165" s="26">
        <f t="shared" ca="1" si="18"/>
        <v>57</v>
      </c>
    </row>
    <row r="166" spans="2:6" x14ac:dyDescent="0.25">
      <c r="B166" s="26">
        <f t="shared" ca="1" si="16"/>
        <v>68</v>
      </c>
      <c r="C166" s="26">
        <f t="shared" ca="1" si="19"/>
        <v>76</v>
      </c>
      <c r="D166" s="26">
        <f t="shared" ca="1" si="17"/>
        <v>47</v>
      </c>
      <c r="E166" s="26">
        <f t="shared" ca="1" si="20"/>
        <v>44</v>
      </c>
      <c r="F166" s="26">
        <f t="shared" ca="1" si="18"/>
        <v>70</v>
      </c>
    </row>
    <row r="167" spans="2:6" x14ac:dyDescent="0.25">
      <c r="B167" s="26">
        <f t="shared" ca="1" si="16"/>
        <v>61</v>
      </c>
      <c r="C167" s="26">
        <f t="shared" ca="1" si="19"/>
        <v>47</v>
      </c>
      <c r="D167" s="26">
        <f t="shared" ca="1" si="17"/>
        <v>56</v>
      </c>
      <c r="E167" s="26">
        <f t="shared" ca="1" si="20"/>
        <v>61</v>
      </c>
      <c r="F167" s="26">
        <f t="shared" ca="1" si="18"/>
        <v>75</v>
      </c>
    </row>
    <row r="168" spans="2:6" x14ac:dyDescent="0.25">
      <c r="B168" s="26">
        <f t="shared" ca="1" si="16"/>
        <v>47</v>
      </c>
      <c r="C168" s="26">
        <f t="shared" ca="1" si="19"/>
        <v>53</v>
      </c>
      <c r="D168" s="26">
        <f t="shared" ca="1" si="17"/>
        <v>7</v>
      </c>
      <c r="E168" s="26">
        <f t="shared" ca="1" si="20"/>
        <v>9</v>
      </c>
      <c r="F168" s="26">
        <f t="shared" ca="1" si="18"/>
        <v>65</v>
      </c>
    </row>
    <row r="169" spans="2:6" x14ac:dyDescent="0.25">
      <c r="B169" s="26">
        <f t="shared" ca="1" si="16"/>
        <v>33</v>
      </c>
      <c r="C169" s="26">
        <f t="shared" ca="1" si="19"/>
        <v>34</v>
      </c>
      <c r="D169" s="26">
        <f t="shared" ca="1" si="17"/>
        <v>30</v>
      </c>
      <c r="E169" s="26">
        <f t="shared" ca="1" si="20"/>
        <v>51</v>
      </c>
      <c r="F169" s="26">
        <f t="shared" ca="1" si="18"/>
        <v>46</v>
      </c>
    </row>
    <row r="170" spans="2:6" x14ac:dyDescent="0.25">
      <c r="B170" s="26">
        <f t="shared" ca="1" si="16"/>
        <v>49</v>
      </c>
      <c r="C170" s="26">
        <f t="shared" ca="1" si="19"/>
        <v>43</v>
      </c>
      <c r="D170" s="26">
        <f t="shared" ca="1" si="17"/>
        <v>45</v>
      </c>
      <c r="E170" s="26">
        <f t="shared" ca="1" si="20"/>
        <v>67</v>
      </c>
      <c r="F170" s="26">
        <f t="shared" ca="1" si="18"/>
        <v>16</v>
      </c>
    </row>
    <row r="171" spans="2:6" x14ac:dyDescent="0.25">
      <c r="B171" s="26">
        <f t="shared" ca="1" si="16"/>
        <v>20</v>
      </c>
      <c r="C171" s="26">
        <f t="shared" ca="1" si="19"/>
        <v>49</v>
      </c>
      <c r="D171" s="26">
        <f t="shared" ca="1" si="17"/>
        <v>47</v>
      </c>
      <c r="E171" s="26">
        <f t="shared" ca="1" si="20"/>
        <v>72</v>
      </c>
      <c r="F171" s="26">
        <f t="shared" ca="1" si="18"/>
        <v>76</v>
      </c>
    </row>
    <row r="172" spans="2:6" x14ac:dyDescent="0.25">
      <c r="B172" s="26">
        <f t="shared" ca="1" si="16"/>
        <v>27</v>
      </c>
      <c r="C172" s="26">
        <f t="shared" ca="1" si="19"/>
        <v>78</v>
      </c>
      <c r="D172" s="26">
        <f t="shared" ca="1" si="17"/>
        <v>57</v>
      </c>
      <c r="E172" s="26">
        <f t="shared" ca="1" si="20"/>
        <v>53</v>
      </c>
      <c r="F172" s="26">
        <f t="shared" ca="1" si="18"/>
        <v>49</v>
      </c>
    </row>
    <row r="173" spans="2:6" x14ac:dyDescent="0.25">
      <c r="B173" s="26">
        <f t="shared" ca="1" si="16"/>
        <v>47</v>
      </c>
      <c r="C173" s="26">
        <f t="shared" ca="1" si="19"/>
        <v>70</v>
      </c>
      <c r="D173" s="26">
        <f t="shared" ca="1" si="17"/>
        <v>64</v>
      </c>
      <c r="E173" s="26">
        <f t="shared" ca="1" si="20"/>
        <v>72</v>
      </c>
      <c r="F173" s="26">
        <f t="shared" ca="1" si="18"/>
        <v>54</v>
      </c>
    </row>
    <row r="174" spans="2:6" x14ac:dyDescent="0.25">
      <c r="B174" s="26">
        <f t="shared" ca="1" si="16"/>
        <v>72</v>
      </c>
      <c r="C174" s="26">
        <f t="shared" ca="1" si="19"/>
        <v>51</v>
      </c>
      <c r="D174" s="26">
        <f t="shared" ca="1" si="17"/>
        <v>27</v>
      </c>
      <c r="E174" s="26">
        <f t="shared" ca="1" si="20"/>
        <v>36</v>
      </c>
      <c r="F174" s="26">
        <f t="shared" ca="1" si="18"/>
        <v>74</v>
      </c>
    </row>
    <row r="175" spans="2:6" x14ac:dyDescent="0.25">
      <c r="B175" s="26">
        <f t="shared" ca="1" si="16"/>
        <v>55</v>
      </c>
      <c r="C175" s="26">
        <f t="shared" ca="1" si="19"/>
        <v>60</v>
      </c>
      <c r="D175" s="26">
        <f t="shared" ca="1" si="17"/>
        <v>59</v>
      </c>
      <c r="E175" s="26">
        <f t="shared" ca="1" si="20"/>
        <v>54</v>
      </c>
      <c r="F175" s="26">
        <f t="shared" ca="1" si="18"/>
        <v>66</v>
      </c>
    </row>
    <row r="176" spans="2:6" x14ac:dyDescent="0.25">
      <c r="B176" s="26">
        <f t="shared" ca="1" si="16"/>
        <v>33</v>
      </c>
      <c r="C176" s="26">
        <f t="shared" ca="1" si="19"/>
        <v>67</v>
      </c>
      <c r="D176" s="26">
        <f t="shared" ca="1" si="17"/>
        <v>49</v>
      </c>
      <c r="E176" s="26">
        <f t="shared" ca="1" si="20"/>
        <v>25</v>
      </c>
      <c r="F176" s="26">
        <f t="shared" ca="1" si="18"/>
        <v>67</v>
      </c>
    </row>
    <row r="177" spans="2:6" x14ac:dyDescent="0.25">
      <c r="B177" s="26">
        <f t="shared" ca="1" si="16"/>
        <v>64</v>
      </c>
      <c r="C177" s="26">
        <f t="shared" ca="1" si="19"/>
        <v>44</v>
      </c>
      <c r="D177" s="26">
        <f t="shared" ca="1" si="17"/>
        <v>9</v>
      </c>
      <c r="E177" s="26">
        <f t="shared" ca="1" si="20"/>
        <v>55</v>
      </c>
      <c r="F177" s="26">
        <f t="shared" ca="1" si="18"/>
        <v>74</v>
      </c>
    </row>
    <row r="178" spans="2:6" x14ac:dyDescent="0.25">
      <c r="B178" s="26">
        <f t="shared" ca="1" si="16"/>
        <v>59</v>
      </c>
      <c r="C178" s="26">
        <f t="shared" ca="1" si="19"/>
        <v>69</v>
      </c>
      <c r="D178" s="26">
        <f t="shared" ca="1" si="17"/>
        <v>48</v>
      </c>
      <c r="E178" s="26">
        <f t="shared" ca="1" si="20"/>
        <v>58</v>
      </c>
      <c r="F178" s="26">
        <f t="shared" ca="1" si="18"/>
        <v>66</v>
      </c>
    </row>
    <row r="179" spans="2:6" x14ac:dyDescent="0.25">
      <c r="B179" s="26">
        <f t="shared" ca="1" si="16"/>
        <v>46</v>
      </c>
      <c r="C179" s="26">
        <f t="shared" ca="1" si="19"/>
        <v>29</v>
      </c>
      <c r="D179" s="26">
        <f t="shared" ca="1" si="17"/>
        <v>34</v>
      </c>
      <c r="E179" s="26">
        <f t="shared" ca="1" si="20"/>
        <v>56</v>
      </c>
      <c r="F179" s="26">
        <f t="shared" ca="1" si="18"/>
        <v>57</v>
      </c>
    </row>
    <row r="180" spans="2:6" x14ac:dyDescent="0.25">
      <c r="B180" s="26">
        <f t="shared" ca="1" si="16"/>
        <v>63</v>
      </c>
      <c r="C180" s="26">
        <f t="shared" ca="1" si="19"/>
        <v>64</v>
      </c>
      <c r="D180" s="26">
        <f t="shared" ca="1" si="17"/>
        <v>62</v>
      </c>
      <c r="E180" s="26">
        <f t="shared" ca="1" si="20"/>
        <v>36</v>
      </c>
      <c r="F180" s="26">
        <f t="shared" ca="1" si="18"/>
        <v>66</v>
      </c>
    </row>
    <row r="181" spans="2:6" x14ac:dyDescent="0.25">
      <c r="B181" s="26">
        <f t="shared" ca="1" si="16"/>
        <v>52</v>
      </c>
      <c r="C181" s="26">
        <f t="shared" ca="1" si="19"/>
        <v>67</v>
      </c>
      <c r="D181" s="26">
        <f t="shared" ca="1" si="17"/>
        <v>32</v>
      </c>
      <c r="E181" s="26">
        <f t="shared" ca="1" si="20"/>
        <v>17</v>
      </c>
      <c r="F181" s="26">
        <f t="shared" ca="1" si="18"/>
        <v>82</v>
      </c>
    </row>
    <row r="182" spans="2:6" x14ac:dyDescent="0.25">
      <c r="B182" s="26">
        <f t="shared" ca="1" si="16"/>
        <v>47</v>
      </c>
      <c r="C182" s="26">
        <f t="shared" ca="1" si="19"/>
        <v>18</v>
      </c>
      <c r="D182" s="26">
        <f t="shared" ca="1" si="17"/>
        <v>74</v>
      </c>
      <c r="E182" s="26">
        <f t="shared" ca="1" si="20"/>
        <v>64</v>
      </c>
      <c r="F182" s="26">
        <f t="shared" ca="1" si="18"/>
        <v>63</v>
      </c>
    </row>
    <row r="183" spans="2:6" x14ac:dyDescent="0.25">
      <c r="B183" s="26">
        <f t="shared" ca="1" si="16"/>
        <v>17</v>
      </c>
      <c r="C183" s="26">
        <f t="shared" ca="1" si="19"/>
        <v>49</v>
      </c>
      <c r="D183" s="26">
        <f t="shared" ca="1" si="17"/>
        <v>58</v>
      </c>
      <c r="E183" s="26">
        <f t="shared" ca="1" si="20"/>
        <v>36</v>
      </c>
      <c r="F183" s="26">
        <f t="shared" ca="1" si="18"/>
        <v>59</v>
      </c>
    </row>
    <row r="184" spans="2:6" x14ac:dyDescent="0.25">
      <c r="B184" s="26">
        <f t="shared" ca="1" si="16"/>
        <v>40</v>
      </c>
      <c r="C184" s="26">
        <f t="shared" ca="1" si="19"/>
        <v>53</v>
      </c>
      <c r="D184" s="26">
        <f t="shared" ca="1" si="17"/>
        <v>25</v>
      </c>
      <c r="E184" s="26">
        <f t="shared" ca="1" si="20"/>
        <v>14</v>
      </c>
      <c r="F184" s="26">
        <f t="shared" ca="1" si="18"/>
        <v>11</v>
      </c>
    </row>
    <row r="185" spans="2:6" x14ac:dyDescent="0.25">
      <c r="B185" s="26">
        <f t="shared" ca="1" si="16"/>
        <v>27</v>
      </c>
      <c r="C185" s="26">
        <f t="shared" ca="1" si="19"/>
        <v>60</v>
      </c>
      <c r="D185" s="26">
        <f t="shared" ca="1" si="17"/>
        <v>54</v>
      </c>
      <c r="E185" s="26">
        <f t="shared" ca="1" si="20"/>
        <v>31</v>
      </c>
      <c r="F185" s="26">
        <f t="shared" ca="1" si="18"/>
        <v>11</v>
      </c>
    </row>
    <row r="186" spans="2:6" x14ac:dyDescent="0.25">
      <c r="B186" s="26">
        <f t="shared" ca="1" si="16"/>
        <v>37</v>
      </c>
      <c r="C186" s="26">
        <f t="shared" ca="1" si="19"/>
        <v>78</v>
      </c>
      <c r="D186" s="26">
        <f t="shared" ca="1" si="17"/>
        <v>50</v>
      </c>
      <c r="E186" s="26">
        <f t="shared" ca="1" si="20"/>
        <v>77</v>
      </c>
      <c r="F186" s="26">
        <f t="shared" ca="1" si="18"/>
        <v>37</v>
      </c>
    </row>
    <row r="187" spans="2:6" x14ac:dyDescent="0.25">
      <c r="B187" s="26">
        <f t="shared" ca="1" si="16"/>
        <v>56</v>
      </c>
      <c r="C187" s="26">
        <f t="shared" ca="1" si="19"/>
        <v>59</v>
      </c>
      <c r="D187" s="26">
        <f t="shared" ca="1" si="17"/>
        <v>61</v>
      </c>
      <c r="E187" s="26">
        <f t="shared" ca="1" si="20"/>
        <v>62</v>
      </c>
      <c r="F187" s="26">
        <f t="shared" ca="1" si="18"/>
        <v>57</v>
      </c>
    </row>
    <row r="188" spans="2:6" x14ac:dyDescent="0.25">
      <c r="B188" s="26">
        <f t="shared" ca="1" si="16"/>
        <v>32</v>
      </c>
      <c r="C188" s="26">
        <f t="shared" ca="1" si="19"/>
        <v>48</v>
      </c>
      <c r="D188" s="26">
        <f t="shared" ca="1" si="17"/>
        <v>63</v>
      </c>
      <c r="E188" s="26">
        <f t="shared" ca="1" si="20"/>
        <v>16</v>
      </c>
      <c r="F188" s="26">
        <f t="shared" ca="1" si="18"/>
        <v>72</v>
      </c>
    </row>
    <row r="189" spans="2:6" x14ac:dyDescent="0.25">
      <c r="B189" s="26">
        <f t="shared" ca="1" si="16"/>
        <v>20</v>
      </c>
      <c r="C189" s="26">
        <f t="shared" ca="1" si="19"/>
        <v>64</v>
      </c>
      <c r="D189" s="26">
        <f t="shared" ca="1" si="17"/>
        <v>48</v>
      </c>
      <c r="E189" s="26">
        <f t="shared" ca="1" si="20"/>
        <v>85</v>
      </c>
      <c r="F189" s="26">
        <f t="shared" ca="1" si="18"/>
        <v>26</v>
      </c>
    </row>
    <row r="190" spans="2:6" x14ac:dyDescent="0.25">
      <c r="B190" s="26">
        <f t="shared" ca="1" si="16"/>
        <v>55</v>
      </c>
      <c r="C190" s="26">
        <f t="shared" ca="1" si="19"/>
        <v>57</v>
      </c>
      <c r="D190" s="26">
        <f t="shared" ca="1" si="17"/>
        <v>22</v>
      </c>
      <c r="E190" s="26">
        <f t="shared" ca="1" si="20"/>
        <v>39</v>
      </c>
      <c r="F190" s="26">
        <f t="shared" ca="1" si="18"/>
        <v>70</v>
      </c>
    </row>
    <row r="191" spans="2:6" x14ac:dyDescent="0.25">
      <c r="B191" s="26">
        <f t="shared" ca="1" si="16"/>
        <v>12</v>
      </c>
      <c r="C191" s="26">
        <f t="shared" ca="1" si="19"/>
        <v>58</v>
      </c>
      <c r="D191" s="26">
        <f t="shared" ca="1" si="17"/>
        <v>53</v>
      </c>
      <c r="E191" s="26">
        <f t="shared" ca="1" si="20"/>
        <v>69</v>
      </c>
      <c r="F191" s="26">
        <f t="shared" ca="1" si="18"/>
        <v>73</v>
      </c>
    </row>
    <row r="192" spans="2:6" x14ac:dyDescent="0.25">
      <c r="B192" s="26">
        <f t="shared" ca="1" si="16"/>
        <v>60</v>
      </c>
      <c r="C192" s="26">
        <f t="shared" ca="1" si="19"/>
        <v>48</v>
      </c>
      <c r="D192" s="26">
        <f t="shared" ca="1" si="17"/>
        <v>52</v>
      </c>
      <c r="E192" s="26">
        <f t="shared" ca="1" si="20"/>
        <v>39</v>
      </c>
      <c r="F192" s="26">
        <f t="shared" ca="1" si="18"/>
        <v>49</v>
      </c>
    </row>
    <row r="193" spans="2:6" x14ac:dyDescent="0.25">
      <c r="B193" s="26">
        <f t="shared" ca="1" si="16"/>
        <v>74</v>
      </c>
      <c r="C193" s="26">
        <f t="shared" ca="1" si="19"/>
        <v>67</v>
      </c>
      <c r="D193" s="26">
        <f t="shared" ca="1" si="17"/>
        <v>36</v>
      </c>
      <c r="E193" s="26">
        <f t="shared" ca="1" si="20"/>
        <v>46</v>
      </c>
      <c r="F193" s="26">
        <f t="shared" ca="1" si="18"/>
        <v>66</v>
      </c>
    </row>
    <row r="194" spans="2:6" x14ac:dyDescent="0.25">
      <c r="B194" s="26">
        <f t="shared" ca="1" si="16"/>
        <v>42</v>
      </c>
      <c r="C194" s="26">
        <f t="shared" ca="1" si="19"/>
        <v>56</v>
      </c>
      <c r="D194" s="26">
        <f t="shared" ca="1" si="17"/>
        <v>65</v>
      </c>
      <c r="E194" s="26">
        <f t="shared" ca="1" si="20"/>
        <v>43</v>
      </c>
      <c r="F194" s="26">
        <f t="shared" ca="1" si="18"/>
        <v>57</v>
      </c>
    </row>
    <row r="195" spans="2:6" x14ac:dyDescent="0.25">
      <c r="B195" s="26">
        <f t="shared" ca="1" si="16"/>
        <v>38</v>
      </c>
      <c r="C195" s="26">
        <f t="shared" ca="1" si="19"/>
        <v>50</v>
      </c>
      <c r="D195" s="26">
        <f t="shared" ca="1" si="17"/>
        <v>22</v>
      </c>
      <c r="E195" s="26">
        <f t="shared" ca="1" si="20"/>
        <v>13</v>
      </c>
      <c r="F195" s="26">
        <f t="shared" ca="1" si="18"/>
        <v>24</v>
      </c>
    </row>
    <row r="196" spans="2:6" x14ac:dyDescent="0.25">
      <c r="B196" s="26">
        <f t="shared" ca="1" si="16"/>
        <v>48</v>
      </c>
      <c r="C196" s="26">
        <f t="shared" ca="1" si="19"/>
        <v>72</v>
      </c>
      <c r="D196" s="26">
        <f t="shared" ca="1" si="17"/>
        <v>55</v>
      </c>
      <c r="E196" s="26">
        <f t="shared" ca="1" si="20"/>
        <v>23</v>
      </c>
      <c r="F196" s="26">
        <f t="shared" ca="1" si="18"/>
        <v>68</v>
      </c>
    </row>
    <row r="197" spans="2:6" x14ac:dyDescent="0.25">
      <c r="B197" s="26">
        <f t="shared" ca="1" si="16"/>
        <v>57</v>
      </c>
      <c r="C197" s="26">
        <f t="shared" ca="1" si="19"/>
        <v>45</v>
      </c>
      <c r="D197" s="26">
        <f t="shared" ca="1" si="17"/>
        <v>18</v>
      </c>
      <c r="E197" s="26">
        <f t="shared" ca="1" si="20"/>
        <v>62</v>
      </c>
      <c r="F197" s="26">
        <f t="shared" ca="1" si="18"/>
        <v>90</v>
      </c>
    </row>
    <row r="198" spans="2:6" x14ac:dyDescent="0.25">
      <c r="B198" s="26">
        <f t="shared" ca="1" si="16"/>
        <v>56</v>
      </c>
      <c r="C198" s="26">
        <f t="shared" ca="1" si="19"/>
        <v>74</v>
      </c>
      <c r="D198" s="26">
        <f t="shared" ca="1" si="17"/>
        <v>33</v>
      </c>
      <c r="E198" s="26">
        <f t="shared" ca="1" si="20"/>
        <v>41</v>
      </c>
      <c r="F198" s="26">
        <f t="shared" ca="1" si="18"/>
        <v>54</v>
      </c>
    </row>
    <row r="199" spans="2:6" x14ac:dyDescent="0.25">
      <c r="B199" s="26">
        <f t="shared" ca="1" si="16"/>
        <v>50</v>
      </c>
      <c r="C199" s="26">
        <f t="shared" ca="1" si="19"/>
        <v>71</v>
      </c>
      <c r="D199" s="26">
        <f t="shared" ca="1" si="17"/>
        <v>45</v>
      </c>
      <c r="E199" s="26">
        <f t="shared" ca="1" si="20"/>
        <v>11</v>
      </c>
      <c r="F199" s="26">
        <f t="shared" ca="1" si="18"/>
        <v>27</v>
      </c>
    </row>
    <row r="200" spans="2:6" x14ac:dyDescent="0.25">
      <c r="B200" s="26">
        <f t="shared" ca="1" si="16"/>
        <v>52</v>
      </c>
      <c r="C200" s="26">
        <f t="shared" ca="1" si="19"/>
        <v>53</v>
      </c>
      <c r="D200" s="26">
        <f t="shared" ca="1" si="17"/>
        <v>77</v>
      </c>
      <c r="E200" s="26">
        <f t="shared" ca="1" si="20"/>
        <v>49</v>
      </c>
      <c r="F200" s="26">
        <f t="shared" ca="1" si="18"/>
        <v>52</v>
      </c>
    </row>
    <row r="201" spans="2:6" x14ac:dyDescent="0.25">
      <c r="B201" s="26">
        <f t="shared" ca="1" si="16"/>
        <v>50</v>
      </c>
      <c r="C201" s="26">
        <f t="shared" ca="1" si="19"/>
        <v>76</v>
      </c>
      <c r="D201" s="26">
        <f t="shared" ca="1" si="17"/>
        <v>67</v>
      </c>
      <c r="E201" s="26">
        <f t="shared" ca="1" si="20"/>
        <v>63</v>
      </c>
      <c r="F201" s="26">
        <f t="shared" ca="1" si="18"/>
        <v>25</v>
      </c>
    </row>
    <row r="202" spans="2:6" x14ac:dyDescent="0.25">
      <c r="B202" s="26">
        <f t="shared" ca="1" si="16"/>
        <v>66</v>
      </c>
      <c r="C202" s="26">
        <f t="shared" ca="1" si="19"/>
        <v>44</v>
      </c>
      <c r="D202" s="26">
        <f t="shared" ca="1" si="17"/>
        <v>71</v>
      </c>
      <c r="E202" s="26">
        <f t="shared" ca="1" si="20"/>
        <v>67</v>
      </c>
      <c r="F202" s="26">
        <f t="shared" ca="1" si="18"/>
        <v>72</v>
      </c>
    </row>
    <row r="203" spans="2:6" x14ac:dyDescent="0.25">
      <c r="B203" s="26">
        <f t="shared" ca="1" si="16"/>
        <v>22</v>
      </c>
      <c r="C203" s="26">
        <f t="shared" ca="1" si="19"/>
        <v>66</v>
      </c>
      <c r="D203" s="26">
        <f t="shared" ca="1" si="17"/>
        <v>53</v>
      </c>
      <c r="E203" s="26">
        <f t="shared" ca="1" si="20"/>
        <v>32</v>
      </c>
      <c r="F203" s="26">
        <f t="shared" ca="1" si="18"/>
        <v>60</v>
      </c>
    </row>
    <row r="204" spans="2:6" x14ac:dyDescent="0.25">
      <c r="B204" s="26">
        <f t="shared" ca="1" si="16"/>
        <v>45</v>
      </c>
      <c r="C204" s="26">
        <f t="shared" ca="1" si="19"/>
        <v>59</v>
      </c>
      <c r="D204" s="26">
        <f t="shared" ca="1" si="17"/>
        <v>30</v>
      </c>
      <c r="E204" s="26">
        <f t="shared" ca="1" si="20"/>
        <v>66</v>
      </c>
      <c r="F204" s="26">
        <f t="shared" ca="1" si="18"/>
        <v>65</v>
      </c>
    </row>
    <row r="205" spans="2:6" x14ac:dyDescent="0.25">
      <c r="B205" s="26">
        <f t="shared" ca="1" si="16"/>
        <v>44</v>
      </c>
      <c r="C205" s="26">
        <f t="shared" ca="1" si="19"/>
        <v>50</v>
      </c>
      <c r="D205" s="26">
        <f t="shared" ca="1" si="17"/>
        <v>60</v>
      </c>
      <c r="E205" s="26">
        <f t="shared" ca="1" si="20"/>
        <v>32</v>
      </c>
      <c r="F205" s="26">
        <f t="shared" ca="1" si="18"/>
        <v>63</v>
      </c>
    </row>
    <row r="206" spans="2:6" x14ac:dyDescent="0.25">
      <c r="B206" s="26">
        <f t="shared" ca="1" si="16"/>
        <v>47</v>
      </c>
      <c r="C206" s="26">
        <f t="shared" ca="1" si="19"/>
        <v>46</v>
      </c>
      <c r="D206" s="26">
        <f t="shared" ca="1" si="17"/>
        <v>43</v>
      </c>
      <c r="E206" s="26">
        <f t="shared" ca="1" si="20"/>
        <v>38</v>
      </c>
      <c r="F206" s="26">
        <f t="shared" ca="1" si="18"/>
        <v>26</v>
      </c>
    </row>
    <row r="207" spans="2:6" x14ac:dyDescent="0.25">
      <c r="B207" s="26">
        <f t="shared" ca="1" si="16"/>
        <v>62</v>
      </c>
      <c r="C207" s="26">
        <f t="shared" ca="1" si="19"/>
        <v>67</v>
      </c>
      <c r="D207" s="26">
        <f t="shared" ca="1" si="17"/>
        <v>53</v>
      </c>
      <c r="E207" s="26">
        <f t="shared" ca="1" si="20"/>
        <v>24</v>
      </c>
      <c r="F207" s="26">
        <f t="shared" ca="1" si="18"/>
        <v>76</v>
      </c>
    </row>
    <row r="208" spans="2:6" x14ac:dyDescent="0.25">
      <c r="B208" s="26">
        <f t="shared" ref="B208:B271" ca="1" si="21">CHOOSE(RANDBETWEEN(1,5),RANDBETWEEN(RANDBETWEEN(0,50),RANDBETWEEN(51,100)),RANDBETWEEN(RANDBETWEEN(30,50),RANDBETWEEN(51,70)),RANDBETWEEN(RANDBETWEEN(40,50),RANDBETWEEN(51,60)),RANDBETWEEN(RANDBETWEEN(30,70),RANDBETWEEN(71,85)),RANDBETWEEN(RANDBETWEEN(0,25),RANDBETWEEN(26,85)))</f>
        <v>54</v>
      </c>
      <c r="C208" s="26">
        <f t="shared" ca="1" si="19"/>
        <v>49</v>
      </c>
      <c r="D208" s="26">
        <f t="shared" ref="D208:D271" ca="1" si="22">CHOOSE(RANDBETWEEN(1,5),RANDBETWEEN(RANDBETWEEN(0,50),RANDBETWEEN(51,100)),RANDBETWEEN(RANDBETWEEN(30,50),RANDBETWEEN(51,70)),RANDBETWEEN(RANDBETWEEN(40,50),RANDBETWEEN(51,60)),RANDBETWEEN(RANDBETWEEN(30,70),RANDBETWEEN(71,85)),RANDBETWEEN(RANDBETWEEN(0,25),RANDBETWEEN(26,85)))</f>
        <v>52</v>
      </c>
      <c r="E208" s="26">
        <f t="shared" ca="1" si="20"/>
        <v>71</v>
      </c>
      <c r="F208" s="26">
        <f t="shared" ref="F208:F271" ca="1" si="23">CHOOSE(RANDBETWEEN(1,3),INT(_xlfn.NORM.INV(RAND(),70,5)),RANDBETWEEN(10,90),INT(_xlfn.NORM.INV(RAND(),60,6)))</f>
        <v>64</v>
      </c>
    </row>
    <row r="209" spans="2:6" x14ac:dyDescent="0.25">
      <c r="B209" s="26">
        <f t="shared" ca="1" si="21"/>
        <v>29</v>
      </c>
      <c r="C209" s="26">
        <f t="shared" ref="C209:C272" ca="1" si="24">CHOOSE(RANDBETWEEN(1,5),INT(_xlfn.NORM.INV(RAND(),70,10)),RANDBETWEEN(RANDBETWEEN(30,50),RANDBETWEEN(51,70)),RANDBETWEEN(RANDBETWEEN(40,50),RANDBETWEEN(51,60)),RANDBETWEEN(RANDBETWEEN(30,70),RANDBETWEEN(71,85)),RANDBETWEEN(RANDBETWEEN(0,25),RANDBETWEEN(26,85)))</f>
        <v>55</v>
      </c>
      <c r="D209" s="26">
        <f t="shared" ca="1" si="22"/>
        <v>11</v>
      </c>
      <c r="E209" s="26">
        <f t="shared" ref="E209:E272" ca="1" si="25">CHOOSE(RANDBETWEEN(1,5),RANDBETWEEN(RANDBETWEEN(0,50),RANDBETWEEN(51,100)),RANDBETWEEN(RANDBETWEEN(30,50),RANDBETWEEN(51,70)),INT(_xlfn.NORM.INV(RAND(),62,8)),INT(_xlfn.NORM.INV(RAND(),50,15)),RANDBETWEEN(RANDBETWEEN(0,25),RANDBETWEEN(26,85)))</f>
        <v>32</v>
      </c>
      <c r="F209" s="26">
        <f t="shared" ca="1" si="23"/>
        <v>70</v>
      </c>
    </row>
    <row r="210" spans="2:6" x14ac:dyDescent="0.25">
      <c r="B210" s="26">
        <f t="shared" ca="1" si="21"/>
        <v>78</v>
      </c>
      <c r="C210" s="26">
        <f t="shared" ca="1" si="24"/>
        <v>71</v>
      </c>
      <c r="D210" s="26">
        <f t="shared" ca="1" si="22"/>
        <v>40</v>
      </c>
      <c r="E210" s="26">
        <f t="shared" ca="1" si="25"/>
        <v>28</v>
      </c>
      <c r="F210" s="26">
        <f t="shared" ca="1" si="23"/>
        <v>68</v>
      </c>
    </row>
    <row r="211" spans="2:6" x14ac:dyDescent="0.25">
      <c r="B211" s="26">
        <f t="shared" ca="1" si="21"/>
        <v>45</v>
      </c>
      <c r="C211" s="26">
        <f t="shared" ca="1" si="24"/>
        <v>75</v>
      </c>
      <c r="D211" s="26">
        <f t="shared" ca="1" si="22"/>
        <v>58</v>
      </c>
      <c r="E211" s="26">
        <f t="shared" ca="1" si="25"/>
        <v>39</v>
      </c>
      <c r="F211" s="26">
        <f t="shared" ca="1" si="23"/>
        <v>62</v>
      </c>
    </row>
    <row r="212" spans="2:6" x14ac:dyDescent="0.25">
      <c r="B212" s="26">
        <f t="shared" ca="1" si="21"/>
        <v>17</v>
      </c>
      <c r="C212" s="26">
        <f t="shared" ca="1" si="24"/>
        <v>37</v>
      </c>
      <c r="D212" s="26">
        <f t="shared" ca="1" si="22"/>
        <v>61</v>
      </c>
      <c r="E212" s="26">
        <f t="shared" ca="1" si="25"/>
        <v>64</v>
      </c>
      <c r="F212" s="26">
        <f t="shared" ca="1" si="23"/>
        <v>68</v>
      </c>
    </row>
    <row r="213" spans="2:6" x14ac:dyDescent="0.25">
      <c r="B213" s="26">
        <f t="shared" ca="1" si="21"/>
        <v>53</v>
      </c>
      <c r="C213" s="26">
        <f t="shared" ca="1" si="24"/>
        <v>50</v>
      </c>
      <c r="D213" s="26">
        <f t="shared" ca="1" si="22"/>
        <v>66</v>
      </c>
      <c r="E213" s="26">
        <f t="shared" ca="1" si="25"/>
        <v>44</v>
      </c>
      <c r="F213" s="26">
        <f t="shared" ca="1" si="23"/>
        <v>55</v>
      </c>
    </row>
    <row r="214" spans="2:6" x14ac:dyDescent="0.25">
      <c r="B214" s="26">
        <f t="shared" ca="1" si="21"/>
        <v>63</v>
      </c>
      <c r="C214" s="26">
        <f t="shared" ca="1" si="24"/>
        <v>49</v>
      </c>
      <c r="D214" s="26">
        <f t="shared" ca="1" si="22"/>
        <v>53</v>
      </c>
      <c r="E214" s="26">
        <f t="shared" ca="1" si="25"/>
        <v>64</v>
      </c>
      <c r="F214" s="26">
        <f t="shared" ca="1" si="23"/>
        <v>12</v>
      </c>
    </row>
    <row r="215" spans="2:6" x14ac:dyDescent="0.25">
      <c r="B215" s="26">
        <f t="shared" ca="1" si="21"/>
        <v>63</v>
      </c>
      <c r="C215" s="26">
        <f t="shared" ca="1" si="24"/>
        <v>37</v>
      </c>
      <c r="D215" s="26">
        <f t="shared" ca="1" si="22"/>
        <v>48</v>
      </c>
      <c r="E215" s="26">
        <f t="shared" ca="1" si="25"/>
        <v>71</v>
      </c>
      <c r="F215" s="26">
        <f t="shared" ca="1" si="23"/>
        <v>76</v>
      </c>
    </row>
    <row r="216" spans="2:6" x14ac:dyDescent="0.25">
      <c r="B216" s="26">
        <f t="shared" ca="1" si="21"/>
        <v>44</v>
      </c>
      <c r="C216" s="26">
        <f t="shared" ca="1" si="24"/>
        <v>43</v>
      </c>
      <c r="D216" s="26">
        <f t="shared" ca="1" si="22"/>
        <v>69</v>
      </c>
      <c r="E216" s="26">
        <f t="shared" ca="1" si="25"/>
        <v>49</v>
      </c>
      <c r="F216" s="26">
        <f t="shared" ca="1" si="23"/>
        <v>74</v>
      </c>
    </row>
    <row r="217" spans="2:6" x14ac:dyDescent="0.25">
      <c r="B217" s="26">
        <f t="shared" ca="1" si="21"/>
        <v>65</v>
      </c>
      <c r="C217" s="26">
        <f t="shared" ca="1" si="24"/>
        <v>50</v>
      </c>
      <c r="D217" s="26">
        <f t="shared" ca="1" si="22"/>
        <v>74</v>
      </c>
      <c r="E217" s="26">
        <f t="shared" ca="1" si="25"/>
        <v>56</v>
      </c>
      <c r="F217" s="26">
        <f t="shared" ca="1" si="23"/>
        <v>71</v>
      </c>
    </row>
    <row r="218" spans="2:6" x14ac:dyDescent="0.25">
      <c r="B218" s="26">
        <f t="shared" ca="1" si="21"/>
        <v>54</v>
      </c>
      <c r="C218" s="26">
        <f t="shared" ca="1" si="24"/>
        <v>64</v>
      </c>
      <c r="D218" s="26">
        <f t="shared" ca="1" si="22"/>
        <v>59</v>
      </c>
      <c r="E218" s="26">
        <f t="shared" ca="1" si="25"/>
        <v>63</v>
      </c>
      <c r="F218" s="26">
        <f t="shared" ca="1" si="23"/>
        <v>55</v>
      </c>
    </row>
    <row r="219" spans="2:6" x14ac:dyDescent="0.25">
      <c r="B219" s="26">
        <f t="shared" ca="1" si="21"/>
        <v>47</v>
      </c>
      <c r="C219" s="26">
        <f t="shared" ca="1" si="24"/>
        <v>31</v>
      </c>
      <c r="D219" s="26">
        <f t="shared" ca="1" si="22"/>
        <v>31</v>
      </c>
      <c r="E219" s="26">
        <f t="shared" ca="1" si="25"/>
        <v>65</v>
      </c>
      <c r="F219" s="26">
        <f t="shared" ca="1" si="23"/>
        <v>68</v>
      </c>
    </row>
    <row r="220" spans="2:6" x14ac:dyDescent="0.25">
      <c r="B220" s="26">
        <f t="shared" ca="1" si="21"/>
        <v>51</v>
      </c>
      <c r="C220" s="26">
        <f t="shared" ca="1" si="24"/>
        <v>51</v>
      </c>
      <c r="D220" s="26">
        <f t="shared" ca="1" si="22"/>
        <v>56</v>
      </c>
      <c r="E220" s="26">
        <f t="shared" ca="1" si="25"/>
        <v>78</v>
      </c>
      <c r="F220" s="26">
        <f t="shared" ca="1" si="23"/>
        <v>90</v>
      </c>
    </row>
    <row r="221" spans="2:6" x14ac:dyDescent="0.25">
      <c r="B221" s="26">
        <f t="shared" ca="1" si="21"/>
        <v>50</v>
      </c>
      <c r="C221" s="26">
        <f t="shared" ca="1" si="24"/>
        <v>70</v>
      </c>
      <c r="D221" s="26">
        <f t="shared" ca="1" si="22"/>
        <v>40</v>
      </c>
      <c r="E221" s="26">
        <f t="shared" ca="1" si="25"/>
        <v>39</v>
      </c>
      <c r="F221" s="26">
        <f t="shared" ca="1" si="23"/>
        <v>48</v>
      </c>
    </row>
    <row r="222" spans="2:6" x14ac:dyDescent="0.25">
      <c r="B222" s="26">
        <f t="shared" ca="1" si="21"/>
        <v>48</v>
      </c>
      <c r="C222" s="26">
        <f t="shared" ca="1" si="24"/>
        <v>56</v>
      </c>
      <c r="D222" s="26">
        <f t="shared" ca="1" si="22"/>
        <v>44</v>
      </c>
      <c r="E222" s="26">
        <f t="shared" ca="1" si="25"/>
        <v>19</v>
      </c>
      <c r="F222" s="26">
        <f t="shared" ca="1" si="23"/>
        <v>68</v>
      </c>
    </row>
    <row r="223" spans="2:6" x14ac:dyDescent="0.25">
      <c r="B223" s="26">
        <f t="shared" ca="1" si="21"/>
        <v>60</v>
      </c>
      <c r="C223" s="26">
        <f t="shared" ca="1" si="24"/>
        <v>71</v>
      </c>
      <c r="D223" s="26">
        <f t="shared" ca="1" si="22"/>
        <v>50</v>
      </c>
      <c r="E223" s="26">
        <f t="shared" ca="1" si="25"/>
        <v>48</v>
      </c>
      <c r="F223" s="26">
        <f t="shared" ca="1" si="23"/>
        <v>61</v>
      </c>
    </row>
    <row r="224" spans="2:6" x14ac:dyDescent="0.25">
      <c r="B224" s="26">
        <f t="shared" ca="1" si="21"/>
        <v>49</v>
      </c>
      <c r="C224" s="26">
        <f t="shared" ca="1" si="24"/>
        <v>62</v>
      </c>
      <c r="D224" s="26">
        <f t="shared" ca="1" si="22"/>
        <v>24</v>
      </c>
      <c r="E224" s="26">
        <f t="shared" ca="1" si="25"/>
        <v>41</v>
      </c>
      <c r="F224" s="26">
        <f t="shared" ca="1" si="23"/>
        <v>68</v>
      </c>
    </row>
    <row r="225" spans="2:6" x14ac:dyDescent="0.25">
      <c r="B225" s="26">
        <f t="shared" ca="1" si="21"/>
        <v>51</v>
      </c>
      <c r="C225" s="26">
        <f t="shared" ca="1" si="24"/>
        <v>51</v>
      </c>
      <c r="D225" s="26">
        <f t="shared" ca="1" si="22"/>
        <v>40</v>
      </c>
      <c r="E225" s="26">
        <f t="shared" ca="1" si="25"/>
        <v>36</v>
      </c>
      <c r="F225" s="26">
        <f t="shared" ca="1" si="23"/>
        <v>87</v>
      </c>
    </row>
    <row r="226" spans="2:6" x14ac:dyDescent="0.25">
      <c r="B226" s="26">
        <f t="shared" ca="1" si="21"/>
        <v>49</v>
      </c>
      <c r="C226" s="26">
        <f t="shared" ca="1" si="24"/>
        <v>77</v>
      </c>
      <c r="D226" s="26">
        <f t="shared" ca="1" si="22"/>
        <v>46</v>
      </c>
      <c r="E226" s="26">
        <f t="shared" ca="1" si="25"/>
        <v>45</v>
      </c>
      <c r="F226" s="26">
        <f t="shared" ca="1" si="23"/>
        <v>67</v>
      </c>
    </row>
    <row r="227" spans="2:6" x14ac:dyDescent="0.25">
      <c r="B227" s="26">
        <f t="shared" ca="1" si="21"/>
        <v>70</v>
      </c>
      <c r="C227" s="26">
        <f t="shared" ca="1" si="24"/>
        <v>57</v>
      </c>
      <c r="D227" s="26">
        <f t="shared" ca="1" si="22"/>
        <v>48</v>
      </c>
      <c r="E227" s="26">
        <f t="shared" ca="1" si="25"/>
        <v>53</v>
      </c>
      <c r="F227" s="26">
        <f t="shared" ca="1" si="23"/>
        <v>57</v>
      </c>
    </row>
    <row r="228" spans="2:6" x14ac:dyDescent="0.25">
      <c r="B228" s="26">
        <f t="shared" ca="1" si="21"/>
        <v>52</v>
      </c>
      <c r="C228" s="26">
        <f t="shared" ca="1" si="24"/>
        <v>63</v>
      </c>
      <c r="D228" s="26">
        <f t="shared" ca="1" si="22"/>
        <v>67</v>
      </c>
      <c r="E228" s="26">
        <f t="shared" ca="1" si="25"/>
        <v>52</v>
      </c>
      <c r="F228" s="26">
        <f t="shared" ca="1" si="23"/>
        <v>61</v>
      </c>
    </row>
    <row r="229" spans="2:6" x14ac:dyDescent="0.25">
      <c r="B229" s="26">
        <f t="shared" ca="1" si="21"/>
        <v>51</v>
      </c>
      <c r="C229" s="26">
        <f t="shared" ca="1" si="24"/>
        <v>51</v>
      </c>
      <c r="D229" s="26">
        <f t="shared" ca="1" si="22"/>
        <v>13</v>
      </c>
      <c r="E229" s="26">
        <f t="shared" ca="1" si="25"/>
        <v>46</v>
      </c>
      <c r="F229" s="26">
        <f t="shared" ca="1" si="23"/>
        <v>57</v>
      </c>
    </row>
    <row r="230" spans="2:6" x14ac:dyDescent="0.25">
      <c r="B230" s="26">
        <f t="shared" ca="1" si="21"/>
        <v>48</v>
      </c>
      <c r="C230" s="26">
        <f t="shared" ca="1" si="24"/>
        <v>57</v>
      </c>
      <c r="D230" s="26">
        <f t="shared" ca="1" si="22"/>
        <v>48</v>
      </c>
      <c r="E230" s="26">
        <f t="shared" ca="1" si="25"/>
        <v>60</v>
      </c>
      <c r="F230" s="26">
        <f t="shared" ca="1" si="23"/>
        <v>64</v>
      </c>
    </row>
    <row r="231" spans="2:6" x14ac:dyDescent="0.25">
      <c r="B231" s="26">
        <f t="shared" ca="1" si="21"/>
        <v>53</v>
      </c>
      <c r="C231" s="26">
        <f t="shared" ca="1" si="24"/>
        <v>77</v>
      </c>
      <c r="D231" s="26">
        <f t="shared" ca="1" si="22"/>
        <v>59</v>
      </c>
      <c r="E231" s="26">
        <f t="shared" ca="1" si="25"/>
        <v>67</v>
      </c>
      <c r="F231" s="26">
        <f t="shared" ca="1" si="23"/>
        <v>83</v>
      </c>
    </row>
    <row r="232" spans="2:6" x14ac:dyDescent="0.25">
      <c r="B232" s="26">
        <f t="shared" ca="1" si="21"/>
        <v>31</v>
      </c>
      <c r="C232" s="26">
        <f t="shared" ca="1" si="24"/>
        <v>47</v>
      </c>
      <c r="D232" s="26">
        <f t="shared" ca="1" si="22"/>
        <v>46</v>
      </c>
      <c r="E232" s="26">
        <f t="shared" ca="1" si="25"/>
        <v>29</v>
      </c>
      <c r="F232" s="26">
        <f t="shared" ca="1" si="23"/>
        <v>57</v>
      </c>
    </row>
    <row r="233" spans="2:6" x14ac:dyDescent="0.25">
      <c r="B233" s="26">
        <f t="shared" ca="1" si="21"/>
        <v>54</v>
      </c>
      <c r="C233" s="26">
        <f t="shared" ca="1" si="24"/>
        <v>67</v>
      </c>
      <c r="D233" s="26">
        <f t="shared" ca="1" si="22"/>
        <v>39</v>
      </c>
      <c r="E233" s="26">
        <f t="shared" ca="1" si="25"/>
        <v>36</v>
      </c>
      <c r="F233" s="26">
        <f t="shared" ca="1" si="23"/>
        <v>11</v>
      </c>
    </row>
    <row r="234" spans="2:6" x14ac:dyDescent="0.25">
      <c r="B234" s="26">
        <f t="shared" ca="1" si="21"/>
        <v>43</v>
      </c>
      <c r="C234" s="26">
        <f t="shared" ca="1" si="24"/>
        <v>33</v>
      </c>
      <c r="D234" s="26">
        <f t="shared" ca="1" si="22"/>
        <v>50</v>
      </c>
      <c r="E234" s="26">
        <f t="shared" ca="1" si="25"/>
        <v>55</v>
      </c>
      <c r="F234" s="26">
        <f t="shared" ca="1" si="23"/>
        <v>55</v>
      </c>
    </row>
    <row r="235" spans="2:6" x14ac:dyDescent="0.25">
      <c r="B235" s="26">
        <f t="shared" ca="1" si="21"/>
        <v>51</v>
      </c>
      <c r="C235" s="26">
        <f t="shared" ca="1" si="24"/>
        <v>55</v>
      </c>
      <c r="D235" s="26">
        <f t="shared" ca="1" si="22"/>
        <v>44</v>
      </c>
      <c r="E235" s="26">
        <f t="shared" ca="1" si="25"/>
        <v>66</v>
      </c>
      <c r="F235" s="26">
        <f t="shared" ca="1" si="23"/>
        <v>46</v>
      </c>
    </row>
    <row r="236" spans="2:6" x14ac:dyDescent="0.25">
      <c r="B236" s="26">
        <f t="shared" ca="1" si="21"/>
        <v>27</v>
      </c>
      <c r="C236" s="26">
        <f t="shared" ca="1" si="24"/>
        <v>82</v>
      </c>
      <c r="D236" s="26">
        <f t="shared" ca="1" si="22"/>
        <v>42</v>
      </c>
      <c r="E236" s="26">
        <f t="shared" ca="1" si="25"/>
        <v>37</v>
      </c>
      <c r="F236" s="26">
        <f t="shared" ca="1" si="23"/>
        <v>16</v>
      </c>
    </row>
    <row r="237" spans="2:6" x14ac:dyDescent="0.25">
      <c r="B237" s="26">
        <f t="shared" ca="1" si="21"/>
        <v>47</v>
      </c>
      <c r="C237" s="26">
        <f t="shared" ca="1" si="24"/>
        <v>55</v>
      </c>
      <c r="D237" s="26">
        <f t="shared" ca="1" si="22"/>
        <v>26</v>
      </c>
      <c r="E237" s="26">
        <f t="shared" ca="1" si="25"/>
        <v>31</v>
      </c>
      <c r="F237" s="26">
        <f t="shared" ca="1" si="23"/>
        <v>59</v>
      </c>
    </row>
    <row r="238" spans="2:6" x14ac:dyDescent="0.25">
      <c r="B238" s="26">
        <f t="shared" ca="1" si="21"/>
        <v>42</v>
      </c>
      <c r="C238" s="26">
        <f t="shared" ca="1" si="24"/>
        <v>59</v>
      </c>
      <c r="D238" s="26">
        <f t="shared" ca="1" si="22"/>
        <v>79</v>
      </c>
      <c r="E238" s="26">
        <f t="shared" ca="1" si="25"/>
        <v>44</v>
      </c>
      <c r="F238" s="26">
        <f t="shared" ca="1" si="23"/>
        <v>60</v>
      </c>
    </row>
    <row r="239" spans="2:6" x14ac:dyDescent="0.25">
      <c r="B239" s="26">
        <f t="shared" ca="1" si="21"/>
        <v>47</v>
      </c>
      <c r="C239" s="26">
        <f t="shared" ca="1" si="24"/>
        <v>83</v>
      </c>
      <c r="D239" s="26">
        <f t="shared" ca="1" si="22"/>
        <v>67</v>
      </c>
      <c r="E239" s="26">
        <f t="shared" ca="1" si="25"/>
        <v>57</v>
      </c>
      <c r="F239" s="26">
        <f t="shared" ca="1" si="23"/>
        <v>71</v>
      </c>
    </row>
    <row r="240" spans="2:6" x14ac:dyDescent="0.25">
      <c r="B240" s="26">
        <f t="shared" ca="1" si="21"/>
        <v>66</v>
      </c>
      <c r="C240" s="26">
        <f t="shared" ca="1" si="24"/>
        <v>55</v>
      </c>
      <c r="D240" s="26">
        <f t="shared" ca="1" si="22"/>
        <v>41</v>
      </c>
      <c r="E240" s="26">
        <f t="shared" ca="1" si="25"/>
        <v>65</v>
      </c>
      <c r="F240" s="26">
        <f t="shared" ca="1" si="23"/>
        <v>69</v>
      </c>
    </row>
    <row r="241" spans="2:6" x14ac:dyDescent="0.25">
      <c r="B241" s="26">
        <f t="shared" ca="1" si="21"/>
        <v>46</v>
      </c>
      <c r="C241" s="26">
        <f t="shared" ca="1" si="24"/>
        <v>34</v>
      </c>
      <c r="D241" s="26">
        <f t="shared" ca="1" si="22"/>
        <v>47</v>
      </c>
      <c r="E241" s="26">
        <f t="shared" ca="1" si="25"/>
        <v>37</v>
      </c>
      <c r="F241" s="26">
        <f t="shared" ca="1" si="23"/>
        <v>76</v>
      </c>
    </row>
    <row r="242" spans="2:6" x14ac:dyDescent="0.25">
      <c r="B242" s="26">
        <f t="shared" ca="1" si="21"/>
        <v>73</v>
      </c>
      <c r="C242" s="26">
        <f t="shared" ca="1" si="24"/>
        <v>44</v>
      </c>
      <c r="D242" s="26">
        <f t="shared" ca="1" si="22"/>
        <v>53</v>
      </c>
      <c r="E242" s="26">
        <f t="shared" ca="1" si="25"/>
        <v>66</v>
      </c>
      <c r="F242" s="26">
        <f t="shared" ca="1" si="23"/>
        <v>70</v>
      </c>
    </row>
    <row r="243" spans="2:6" x14ac:dyDescent="0.25">
      <c r="B243" s="26">
        <f t="shared" ca="1" si="21"/>
        <v>44</v>
      </c>
      <c r="C243" s="26">
        <f t="shared" ca="1" si="24"/>
        <v>62</v>
      </c>
      <c r="D243" s="26">
        <f t="shared" ca="1" si="22"/>
        <v>63</v>
      </c>
      <c r="E243" s="26">
        <f t="shared" ca="1" si="25"/>
        <v>63</v>
      </c>
      <c r="F243" s="26">
        <f t="shared" ca="1" si="23"/>
        <v>63</v>
      </c>
    </row>
    <row r="244" spans="2:6" x14ac:dyDescent="0.25">
      <c r="B244" s="26">
        <f t="shared" ca="1" si="21"/>
        <v>9</v>
      </c>
      <c r="C244" s="26">
        <f t="shared" ca="1" si="24"/>
        <v>41</v>
      </c>
      <c r="D244" s="26">
        <f t="shared" ca="1" si="22"/>
        <v>57</v>
      </c>
      <c r="E244" s="26">
        <f t="shared" ca="1" si="25"/>
        <v>43</v>
      </c>
      <c r="F244" s="26">
        <f t="shared" ca="1" si="23"/>
        <v>79</v>
      </c>
    </row>
    <row r="245" spans="2:6" x14ac:dyDescent="0.25">
      <c r="B245" s="26">
        <f t="shared" ca="1" si="21"/>
        <v>70</v>
      </c>
      <c r="C245" s="26">
        <f t="shared" ca="1" si="24"/>
        <v>68</v>
      </c>
      <c r="D245" s="26">
        <f t="shared" ca="1" si="22"/>
        <v>76</v>
      </c>
      <c r="E245" s="26">
        <f t="shared" ca="1" si="25"/>
        <v>51</v>
      </c>
      <c r="F245" s="26">
        <f t="shared" ca="1" si="23"/>
        <v>66</v>
      </c>
    </row>
    <row r="246" spans="2:6" x14ac:dyDescent="0.25">
      <c r="B246" s="26">
        <f t="shared" ca="1" si="21"/>
        <v>77</v>
      </c>
      <c r="C246" s="26">
        <f t="shared" ca="1" si="24"/>
        <v>61</v>
      </c>
      <c r="D246" s="26">
        <f t="shared" ca="1" si="22"/>
        <v>76</v>
      </c>
      <c r="E246" s="26">
        <f t="shared" ca="1" si="25"/>
        <v>45</v>
      </c>
      <c r="F246" s="26">
        <f t="shared" ca="1" si="23"/>
        <v>71</v>
      </c>
    </row>
    <row r="247" spans="2:6" x14ac:dyDescent="0.25">
      <c r="B247" s="26">
        <f t="shared" ca="1" si="21"/>
        <v>53</v>
      </c>
      <c r="C247" s="26">
        <f t="shared" ca="1" si="24"/>
        <v>72</v>
      </c>
      <c r="D247" s="26">
        <f t="shared" ca="1" si="22"/>
        <v>35</v>
      </c>
      <c r="E247" s="26">
        <f t="shared" ca="1" si="25"/>
        <v>61</v>
      </c>
      <c r="F247" s="26">
        <f t="shared" ca="1" si="23"/>
        <v>70</v>
      </c>
    </row>
    <row r="248" spans="2:6" x14ac:dyDescent="0.25">
      <c r="B248" s="26">
        <f t="shared" ca="1" si="21"/>
        <v>47</v>
      </c>
      <c r="C248" s="26">
        <f t="shared" ca="1" si="24"/>
        <v>58</v>
      </c>
      <c r="D248" s="26">
        <f t="shared" ca="1" si="22"/>
        <v>45</v>
      </c>
      <c r="E248" s="26">
        <f t="shared" ca="1" si="25"/>
        <v>33</v>
      </c>
      <c r="F248" s="26">
        <f t="shared" ca="1" si="23"/>
        <v>78</v>
      </c>
    </row>
    <row r="249" spans="2:6" x14ac:dyDescent="0.25">
      <c r="B249" s="26">
        <f t="shared" ca="1" si="21"/>
        <v>58</v>
      </c>
      <c r="C249" s="26">
        <f t="shared" ca="1" si="24"/>
        <v>43</v>
      </c>
      <c r="D249" s="26">
        <f t="shared" ca="1" si="22"/>
        <v>62</v>
      </c>
      <c r="E249" s="26">
        <f t="shared" ca="1" si="25"/>
        <v>33</v>
      </c>
      <c r="F249" s="26">
        <f t="shared" ca="1" si="23"/>
        <v>13</v>
      </c>
    </row>
    <row r="250" spans="2:6" x14ac:dyDescent="0.25">
      <c r="B250" s="26">
        <f t="shared" ca="1" si="21"/>
        <v>49</v>
      </c>
      <c r="C250" s="26">
        <f t="shared" ca="1" si="24"/>
        <v>68</v>
      </c>
      <c r="D250" s="26">
        <f t="shared" ca="1" si="22"/>
        <v>29</v>
      </c>
      <c r="E250" s="26">
        <f t="shared" ca="1" si="25"/>
        <v>55</v>
      </c>
      <c r="F250" s="26">
        <f t="shared" ca="1" si="23"/>
        <v>61</v>
      </c>
    </row>
    <row r="251" spans="2:6" x14ac:dyDescent="0.25">
      <c r="B251" s="26">
        <f t="shared" ca="1" si="21"/>
        <v>36</v>
      </c>
      <c r="C251" s="26">
        <f t="shared" ca="1" si="24"/>
        <v>45</v>
      </c>
      <c r="D251" s="26">
        <f t="shared" ca="1" si="22"/>
        <v>50</v>
      </c>
      <c r="E251" s="26">
        <f t="shared" ca="1" si="25"/>
        <v>64</v>
      </c>
      <c r="F251" s="26">
        <f t="shared" ca="1" si="23"/>
        <v>48</v>
      </c>
    </row>
    <row r="252" spans="2:6" x14ac:dyDescent="0.25">
      <c r="B252" s="26">
        <f t="shared" ca="1" si="21"/>
        <v>50</v>
      </c>
      <c r="C252" s="26">
        <f t="shared" ca="1" si="24"/>
        <v>53</v>
      </c>
      <c r="D252" s="26">
        <f t="shared" ca="1" si="22"/>
        <v>27</v>
      </c>
      <c r="E252" s="26">
        <f t="shared" ca="1" si="25"/>
        <v>55</v>
      </c>
      <c r="F252" s="26">
        <f t="shared" ca="1" si="23"/>
        <v>63</v>
      </c>
    </row>
    <row r="253" spans="2:6" x14ac:dyDescent="0.25">
      <c r="B253" s="26">
        <f t="shared" ca="1" si="21"/>
        <v>63</v>
      </c>
      <c r="C253" s="26">
        <f t="shared" ca="1" si="24"/>
        <v>28</v>
      </c>
      <c r="D253" s="26">
        <f t="shared" ca="1" si="22"/>
        <v>50</v>
      </c>
      <c r="E253" s="26">
        <f t="shared" ca="1" si="25"/>
        <v>59</v>
      </c>
      <c r="F253" s="26">
        <f t="shared" ca="1" si="23"/>
        <v>55</v>
      </c>
    </row>
    <row r="254" spans="2:6" x14ac:dyDescent="0.25">
      <c r="B254" s="26">
        <f t="shared" ca="1" si="21"/>
        <v>73</v>
      </c>
      <c r="C254" s="26">
        <f t="shared" ca="1" si="24"/>
        <v>54</v>
      </c>
      <c r="D254" s="26">
        <f t="shared" ca="1" si="22"/>
        <v>44</v>
      </c>
      <c r="E254" s="26">
        <f t="shared" ca="1" si="25"/>
        <v>72</v>
      </c>
      <c r="F254" s="26">
        <f t="shared" ca="1" si="23"/>
        <v>68</v>
      </c>
    </row>
    <row r="255" spans="2:6" x14ac:dyDescent="0.25">
      <c r="B255" s="26">
        <f t="shared" ca="1" si="21"/>
        <v>16</v>
      </c>
      <c r="C255" s="26">
        <f t="shared" ca="1" si="24"/>
        <v>73</v>
      </c>
      <c r="D255" s="26">
        <f t="shared" ca="1" si="22"/>
        <v>86</v>
      </c>
      <c r="E255" s="26">
        <f t="shared" ca="1" si="25"/>
        <v>40</v>
      </c>
      <c r="F255" s="26">
        <f t="shared" ca="1" si="23"/>
        <v>41</v>
      </c>
    </row>
    <row r="256" spans="2:6" x14ac:dyDescent="0.25">
      <c r="B256" s="26">
        <f t="shared" ca="1" si="21"/>
        <v>56</v>
      </c>
      <c r="C256" s="26">
        <f t="shared" ca="1" si="24"/>
        <v>67</v>
      </c>
      <c r="D256" s="26">
        <f t="shared" ca="1" si="22"/>
        <v>20</v>
      </c>
      <c r="E256" s="26">
        <f t="shared" ca="1" si="25"/>
        <v>19</v>
      </c>
      <c r="F256" s="26">
        <f t="shared" ca="1" si="23"/>
        <v>89</v>
      </c>
    </row>
    <row r="257" spans="2:6" x14ac:dyDescent="0.25">
      <c r="B257" s="26">
        <f t="shared" ca="1" si="21"/>
        <v>49</v>
      </c>
      <c r="C257" s="26">
        <f t="shared" ca="1" si="24"/>
        <v>30</v>
      </c>
      <c r="D257" s="26">
        <f t="shared" ca="1" si="22"/>
        <v>50</v>
      </c>
      <c r="E257" s="26">
        <f t="shared" ca="1" si="25"/>
        <v>41</v>
      </c>
      <c r="F257" s="26">
        <f t="shared" ca="1" si="23"/>
        <v>73</v>
      </c>
    </row>
    <row r="258" spans="2:6" x14ac:dyDescent="0.25">
      <c r="B258" s="26">
        <f t="shared" ca="1" si="21"/>
        <v>59</v>
      </c>
      <c r="C258" s="26">
        <f t="shared" ca="1" si="24"/>
        <v>40</v>
      </c>
      <c r="D258" s="26">
        <f t="shared" ca="1" si="22"/>
        <v>48</v>
      </c>
      <c r="E258" s="26">
        <f t="shared" ca="1" si="25"/>
        <v>63</v>
      </c>
      <c r="F258" s="26">
        <f t="shared" ca="1" si="23"/>
        <v>54</v>
      </c>
    </row>
    <row r="259" spans="2:6" x14ac:dyDescent="0.25">
      <c r="B259" s="26">
        <f t="shared" ca="1" si="21"/>
        <v>70</v>
      </c>
      <c r="C259" s="26">
        <f t="shared" ca="1" si="24"/>
        <v>60</v>
      </c>
      <c r="D259" s="26">
        <f t="shared" ca="1" si="22"/>
        <v>42</v>
      </c>
      <c r="E259" s="26">
        <f t="shared" ca="1" si="25"/>
        <v>47</v>
      </c>
      <c r="F259" s="26">
        <f t="shared" ca="1" si="23"/>
        <v>75</v>
      </c>
    </row>
    <row r="260" spans="2:6" x14ac:dyDescent="0.25">
      <c r="B260" s="26">
        <f t="shared" ca="1" si="21"/>
        <v>53</v>
      </c>
      <c r="C260" s="26">
        <f t="shared" ca="1" si="24"/>
        <v>42</v>
      </c>
      <c r="D260" s="26">
        <f t="shared" ca="1" si="22"/>
        <v>51</v>
      </c>
      <c r="E260" s="26">
        <f t="shared" ca="1" si="25"/>
        <v>59</v>
      </c>
      <c r="F260" s="26">
        <f t="shared" ca="1" si="23"/>
        <v>21</v>
      </c>
    </row>
    <row r="261" spans="2:6" x14ac:dyDescent="0.25">
      <c r="B261" s="26">
        <f t="shared" ca="1" si="21"/>
        <v>74</v>
      </c>
      <c r="C261" s="26">
        <f t="shared" ca="1" si="24"/>
        <v>34</v>
      </c>
      <c r="D261" s="26">
        <f t="shared" ca="1" si="22"/>
        <v>50</v>
      </c>
      <c r="E261" s="26">
        <f t="shared" ca="1" si="25"/>
        <v>57</v>
      </c>
      <c r="F261" s="26">
        <f t="shared" ca="1" si="23"/>
        <v>67</v>
      </c>
    </row>
    <row r="262" spans="2:6" x14ac:dyDescent="0.25">
      <c r="B262" s="26">
        <f t="shared" ca="1" si="21"/>
        <v>52</v>
      </c>
      <c r="C262" s="26">
        <f t="shared" ca="1" si="24"/>
        <v>54</v>
      </c>
      <c r="D262" s="26">
        <f t="shared" ca="1" si="22"/>
        <v>46</v>
      </c>
      <c r="E262" s="26">
        <f t="shared" ca="1" si="25"/>
        <v>43</v>
      </c>
      <c r="F262" s="26">
        <f t="shared" ca="1" si="23"/>
        <v>58</v>
      </c>
    </row>
    <row r="263" spans="2:6" x14ac:dyDescent="0.25">
      <c r="B263" s="26">
        <f t="shared" ca="1" si="21"/>
        <v>27</v>
      </c>
      <c r="C263" s="26">
        <f t="shared" ca="1" si="24"/>
        <v>70</v>
      </c>
      <c r="D263" s="26">
        <f t="shared" ca="1" si="22"/>
        <v>42</v>
      </c>
      <c r="E263" s="26">
        <f t="shared" ca="1" si="25"/>
        <v>42</v>
      </c>
      <c r="F263" s="26">
        <f t="shared" ca="1" si="23"/>
        <v>62</v>
      </c>
    </row>
    <row r="264" spans="2:6" x14ac:dyDescent="0.25">
      <c r="B264" s="26">
        <f t="shared" ca="1" si="21"/>
        <v>60</v>
      </c>
      <c r="C264" s="26">
        <f t="shared" ca="1" si="24"/>
        <v>72</v>
      </c>
      <c r="D264" s="26">
        <f t="shared" ca="1" si="22"/>
        <v>49</v>
      </c>
      <c r="E264" s="26">
        <f t="shared" ca="1" si="25"/>
        <v>19</v>
      </c>
      <c r="F264" s="26">
        <f t="shared" ca="1" si="23"/>
        <v>55</v>
      </c>
    </row>
    <row r="265" spans="2:6" x14ac:dyDescent="0.25">
      <c r="B265" s="26">
        <f t="shared" ca="1" si="21"/>
        <v>29</v>
      </c>
      <c r="C265" s="26">
        <f t="shared" ca="1" si="24"/>
        <v>84</v>
      </c>
      <c r="D265" s="26">
        <f t="shared" ca="1" si="22"/>
        <v>66</v>
      </c>
      <c r="E265" s="26">
        <f t="shared" ca="1" si="25"/>
        <v>46</v>
      </c>
      <c r="F265" s="26">
        <f t="shared" ca="1" si="23"/>
        <v>79</v>
      </c>
    </row>
    <row r="266" spans="2:6" x14ac:dyDescent="0.25">
      <c r="B266" s="26">
        <f t="shared" ca="1" si="21"/>
        <v>48</v>
      </c>
      <c r="C266" s="26">
        <f t="shared" ca="1" si="24"/>
        <v>48</v>
      </c>
      <c r="D266" s="26">
        <f t="shared" ca="1" si="22"/>
        <v>75</v>
      </c>
      <c r="E266" s="26">
        <f t="shared" ca="1" si="25"/>
        <v>50</v>
      </c>
      <c r="F266" s="26">
        <f t="shared" ca="1" si="23"/>
        <v>56</v>
      </c>
    </row>
    <row r="267" spans="2:6" x14ac:dyDescent="0.25">
      <c r="B267" s="26">
        <f t="shared" ca="1" si="21"/>
        <v>82</v>
      </c>
      <c r="C267" s="26">
        <f t="shared" ca="1" si="24"/>
        <v>30</v>
      </c>
      <c r="D267" s="26">
        <f t="shared" ca="1" si="22"/>
        <v>50</v>
      </c>
      <c r="E267" s="26">
        <f t="shared" ca="1" si="25"/>
        <v>59</v>
      </c>
      <c r="F267" s="26">
        <f t="shared" ca="1" si="23"/>
        <v>63</v>
      </c>
    </row>
    <row r="268" spans="2:6" x14ac:dyDescent="0.25">
      <c r="B268" s="26">
        <f t="shared" ca="1" si="21"/>
        <v>30</v>
      </c>
      <c r="C268" s="26">
        <f t="shared" ca="1" si="24"/>
        <v>61</v>
      </c>
      <c r="D268" s="26">
        <f t="shared" ca="1" si="22"/>
        <v>32</v>
      </c>
      <c r="E268" s="26">
        <f t="shared" ca="1" si="25"/>
        <v>64</v>
      </c>
      <c r="F268" s="26">
        <f t="shared" ca="1" si="23"/>
        <v>64</v>
      </c>
    </row>
    <row r="269" spans="2:6" x14ac:dyDescent="0.25">
      <c r="B269" s="26">
        <f t="shared" ca="1" si="21"/>
        <v>63</v>
      </c>
      <c r="C269" s="26">
        <f t="shared" ca="1" si="24"/>
        <v>59</v>
      </c>
      <c r="D269" s="26">
        <f t="shared" ca="1" si="22"/>
        <v>22</v>
      </c>
      <c r="E269" s="26">
        <f t="shared" ca="1" si="25"/>
        <v>37</v>
      </c>
      <c r="F269" s="26">
        <f t="shared" ca="1" si="23"/>
        <v>51</v>
      </c>
    </row>
    <row r="270" spans="2:6" x14ac:dyDescent="0.25">
      <c r="B270" s="26">
        <f t="shared" ca="1" si="21"/>
        <v>50</v>
      </c>
      <c r="C270" s="26">
        <f t="shared" ca="1" si="24"/>
        <v>41</v>
      </c>
      <c r="D270" s="26">
        <f t="shared" ca="1" si="22"/>
        <v>56</v>
      </c>
      <c r="E270" s="26">
        <f t="shared" ca="1" si="25"/>
        <v>39</v>
      </c>
      <c r="F270" s="26">
        <f t="shared" ca="1" si="23"/>
        <v>20</v>
      </c>
    </row>
    <row r="271" spans="2:6" x14ac:dyDescent="0.25">
      <c r="B271" s="26">
        <f t="shared" ca="1" si="21"/>
        <v>57</v>
      </c>
      <c r="C271" s="26">
        <f t="shared" ca="1" si="24"/>
        <v>23</v>
      </c>
      <c r="D271" s="26">
        <f t="shared" ca="1" si="22"/>
        <v>51</v>
      </c>
      <c r="E271" s="26">
        <f t="shared" ca="1" si="25"/>
        <v>40</v>
      </c>
      <c r="F271" s="26">
        <f t="shared" ca="1" si="23"/>
        <v>71</v>
      </c>
    </row>
    <row r="272" spans="2:6" x14ac:dyDescent="0.25">
      <c r="B272" s="26">
        <f t="shared" ref="B272:B335" ca="1" si="26">CHOOSE(RANDBETWEEN(1,5),RANDBETWEEN(RANDBETWEEN(0,50),RANDBETWEEN(51,100)),RANDBETWEEN(RANDBETWEEN(30,50),RANDBETWEEN(51,70)),RANDBETWEEN(RANDBETWEEN(40,50),RANDBETWEEN(51,60)),RANDBETWEEN(RANDBETWEEN(30,70),RANDBETWEEN(71,85)),RANDBETWEEN(RANDBETWEEN(0,25),RANDBETWEEN(26,85)))</f>
        <v>49</v>
      </c>
      <c r="C272" s="26">
        <f t="shared" ca="1" si="24"/>
        <v>64</v>
      </c>
      <c r="D272" s="26">
        <f t="shared" ref="D272:D335" ca="1" si="27">CHOOSE(RANDBETWEEN(1,5),RANDBETWEEN(RANDBETWEEN(0,50),RANDBETWEEN(51,100)),RANDBETWEEN(RANDBETWEEN(30,50),RANDBETWEEN(51,70)),RANDBETWEEN(RANDBETWEEN(40,50),RANDBETWEEN(51,60)),RANDBETWEEN(RANDBETWEEN(30,70),RANDBETWEEN(71,85)),RANDBETWEEN(RANDBETWEEN(0,25),RANDBETWEEN(26,85)))</f>
        <v>54</v>
      </c>
      <c r="E272" s="26">
        <f t="shared" ca="1" si="25"/>
        <v>25</v>
      </c>
      <c r="F272" s="26">
        <f t="shared" ref="F272:F335" ca="1" si="28">CHOOSE(RANDBETWEEN(1,3),INT(_xlfn.NORM.INV(RAND(),70,5)),RANDBETWEEN(10,90),INT(_xlfn.NORM.INV(RAND(),60,6)))</f>
        <v>56</v>
      </c>
    </row>
    <row r="273" spans="2:6" x14ac:dyDescent="0.25">
      <c r="B273" s="26">
        <f t="shared" ca="1" si="26"/>
        <v>58</v>
      </c>
      <c r="C273" s="26">
        <f t="shared" ref="C273:C336" ca="1" si="29">CHOOSE(RANDBETWEEN(1,5),INT(_xlfn.NORM.INV(RAND(),70,10)),RANDBETWEEN(RANDBETWEEN(30,50),RANDBETWEEN(51,70)),RANDBETWEEN(RANDBETWEEN(40,50),RANDBETWEEN(51,60)),RANDBETWEEN(RANDBETWEEN(30,70),RANDBETWEEN(71,85)),RANDBETWEEN(RANDBETWEEN(0,25),RANDBETWEEN(26,85)))</f>
        <v>49</v>
      </c>
      <c r="D273" s="26">
        <f t="shared" ca="1" si="27"/>
        <v>36</v>
      </c>
      <c r="E273" s="26">
        <f t="shared" ref="E273:E336" ca="1" si="30">CHOOSE(RANDBETWEEN(1,5),RANDBETWEEN(RANDBETWEEN(0,50),RANDBETWEEN(51,100)),RANDBETWEEN(RANDBETWEEN(30,50),RANDBETWEEN(51,70)),INT(_xlfn.NORM.INV(RAND(),62,8)),INT(_xlfn.NORM.INV(RAND(),50,15)),RANDBETWEEN(RANDBETWEEN(0,25),RANDBETWEEN(26,85)))</f>
        <v>64</v>
      </c>
      <c r="F273" s="26">
        <f t="shared" ca="1" si="28"/>
        <v>71</v>
      </c>
    </row>
    <row r="274" spans="2:6" x14ac:dyDescent="0.25">
      <c r="B274" s="26">
        <f t="shared" ca="1" si="26"/>
        <v>33</v>
      </c>
      <c r="C274" s="26">
        <f t="shared" ca="1" si="29"/>
        <v>70</v>
      </c>
      <c r="D274" s="26">
        <f t="shared" ca="1" si="27"/>
        <v>74</v>
      </c>
      <c r="E274" s="26">
        <f t="shared" ca="1" si="30"/>
        <v>55</v>
      </c>
      <c r="F274" s="26">
        <f t="shared" ca="1" si="28"/>
        <v>58</v>
      </c>
    </row>
    <row r="275" spans="2:6" x14ac:dyDescent="0.25">
      <c r="B275" s="26">
        <f t="shared" ca="1" si="26"/>
        <v>56</v>
      </c>
      <c r="C275" s="26">
        <f t="shared" ca="1" si="29"/>
        <v>70</v>
      </c>
      <c r="D275" s="26">
        <f t="shared" ca="1" si="27"/>
        <v>49</v>
      </c>
      <c r="E275" s="26">
        <f t="shared" ca="1" si="30"/>
        <v>47</v>
      </c>
      <c r="F275" s="26">
        <f t="shared" ca="1" si="28"/>
        <v>56</v>
      </c>
    </row>
    <row r="276" spans="2:6" x14ac:dyDescent="0.25">
      <c r="B276" s="26">
        <f t="shared" ca="1" si="26"/>
        <v>46</v>
      </c>
      <c r="C276" s="26">
        <f t="shared" ca="1" si="29"/>
        <v>37</v>
      </c>
      <c r="D276" s="26">
        <f t="shared" ca="1" si="27"/>
        <v>64</v>
      </c>
      <c r="E276" s="26">
        <f t="shared" ca="1" si="30"/>
        <v>76</v>
      </c>
      <c r="F276" s="26">
        <f t="shared" ca="1" si="28"/>
        <v>81</v>
      </c>
    </row>
    <row r="277" spans="2:6" x14ac:dyDescent="0.25">
      <c r="B277" s="26">
        <f t="shared" ca="1" si="26"/>
        <v>45</v>
      </c>
      <c r="C277" s="26">
        <f t="shared" ca="1" si="29"/>
        <v>26</v>
      </c>
      <c r="D277" s="26">
        <f t="shared" ca="1" si="27"/>
        <v>49</v>
      </c>
      <c r="E277" s="26">
        <f t="shared" ca="1" si="30"/>
        <v>44</v>
      </c>
      <c r="F277" s="26">
        <f t="shared" ca="1" si="28"/>
        <v>64</v>
      </c>
    </row>
    <row r="278" spans="2:6" x14ac:dyDescent="0.25">
      <c r="B278" s="26">
        <f t="shared" ca="1" si="26"/>
        <v>22</v>
      </c>
      <c r="C278" s="26">
        <f t="shared" ca="1" si="29"/>
        <v>54</v>
      </c>
      <c r="D278" s="26">
        <f t="shared" ca="1" si="27"/>
        <v>53</v>
      </c>
      <c r="E278" s="26">
        <f t="shared" ca="1" si="30"/>
        <v>82</v>
      </c>
      <c r="F278" s="26">
        <f t="shared" ca="1" si="28"/>
        <v>54</v>
      </c>
    </row>
    <row r="279" spans="2:6" x14ac:dyDescent="0.25">
      <c r="B279" s="26">
        <f t="shared" ca="1" si="26"/>
        <v>54</v>
      </c>
      <c r="C279" s="26">
        <f t="shared" ca="1" si="29"/>
        <v>51</v>
      </c>
      <c r="D279" s="26">
        <f t="shared" ca="1" si="27"/>
        <v>44</v>
      </c>
      <c r="E279" s="26">
        <f t="shared" ca="1" si="30"/>
        <v>53</v>
      </c>
      <c r="F279" s="26">
        <f t="shared" ca="1" si="28"/>
        <v>73</v>
      </c>
    </row>
    <row r="280" spans="2:6" x14ac:dyDescent="0.25">
      <c r="B280" s="26">
        <f t="shared" ca="1" si="26"/>
        <v>39</v>
      </c>
      <c r="C280" s="26">
        <f t="shared" ca="1" si="29"/>
        <v>50</v>
      </c>
      <c r="D280" s="26">
        <f t="shared" ca="1" si="27"/>
        <v>70</v>
      </c>
      <c r="E280" s="26">
        <f t="shared" ca="1" si="30"/>
        <v>20</v>
      </c>
      <c r="F280" s="26">
        <f t="shared" ca="1" si="28"/>
        <v>79</v>
      </c>
    </row>
    <row r="281" spans="2:6" x14ac:dyDescent="0.25">
      <c r="B281" s="26">
        <f t="shared" ca="1" si="26"/>
        <v>59</v>
      </c>
      <c r="C281" s="26">
        <f t="shared" ca="1" si="29"/>
        <v>73</v>
      </c>
      <c r="D281" s="26">
        <f t="shared" ca="1" si="27"/>
        <v>40</v>
      </c>
      <c r="E281" s="26">
        <f t="shared" ca="1" si="30"/>
        <v>57</v>
      </c>
      <c r="F281" s="26">
        <f t="shared" ca="1" si="28"/>
        <v>68</v>
      </c>
    </row>
    <row r="282" spans="2:6" x14ac:dyDescent="0.25">
      <c r="B282" s="26">
        <f t="shared" ca="1" si="26"/>
        <v>9</v>
      </c>
      <c r="C282" s="26">
        <f t="shared" ca="1" si="29"/>
        <v>48</v>
      </c>
      <c r="D282" s="26">
        <f t="shared" ca="1" si="27"/>
        <v>24</v>
      </c>
      <c r="E282" s="26">
        <f t="shared" ca="1" si="30"/>
        <v>62</v>
      </c>
      <c r="F282" s="26">
        <f t="shared" ca="1" si="28"/>
        <v>69</v>
      </c>
    </row>
    <row r="283" spans="2:6" x14ac:dyDescent="0.25">
      <c r="B283" s="26">
        <f t="shared" ca="1" si="26"/>
        <v>65</v>
      </c>
      <c r="C283" s="26">
        <f t="shared" ca="1" si="29"/>
        <v>62</v>
      </c>
      <c r="D283" s="26">
        <f t="shared" ca="1" si="27"/>
        <v>56</v>
      </c>
      <c r="E283" s="26">
        <f t="shared" ca="1" si="30"/>
        <v>47</v>
      </c>
      <c r="F283" s="26">
        <f t="shared" ca="1" si="28"/>
        <v>88</v>
      </c>
    </row>
    <row r="284" spans="2:6" x14ac:dyDescent="0.25">
      <c r="B284" s="26">
        <f t="shared" ca="1" si="26"/>
        <v>50</v>
      </c>
      <c r="C284" s="26">
        <f t="shared" ca="1" si="29"/>
        <v>62</v>
      </c>
      <c r="D284" s="26">
        <f t="shared" ca="1" si="27"/>
        <v>50</v>
      </c>
      <c r="E284" s="26">
        <f t="shared" ca="1" si="30"/>
        <v>53</v>
      </c>
      <c r="F284" s="26">
        <f t="shared" ca="1" si="28"/>
        <v>59</v>
      </c>
    </row>
    <row r="285" spans="2:6" x14ac:dyDescent="0.25">
      <c r="B285" s="26">
        <f t="shared" ca="1" si="26"/>
        <v>62</v>
      </c>
      <c r="C285" s="26">
        <f t="shared" ca="1" si="29"/>
        <v>62</v>
      </c>
      <c r="D285" s="26">
        <f t="shared" ca="1" si="27"/>
        <v>68</v>
      </c>
      <c r="E285" s="26">
        <f t="shared" ca="1" si="30"/>
        <v>43</v>
      </c>
      <c r="F285" s="26">
        <f t="shared" ca="1" si="28"/>
        <v>52</v>
      </c>
    </row>
    <row r="286" spans="2:6" x14ac:dyDescent="0.25">
      <c r="B286" s="26">
        <f t="shared" ca="1" si="26"/>
        <v>68</v>
      </c>
      <c r="C286" s="26">
        <f t="shared" ca="1" si="29"/>
        <v>52</v>
      </c>
      <c r="D286" s="26">
        <f t="shared" ca="1" si="27"/>
        <v>61</v>
      </c>
      <c r="E286" s="26">
        <f t="shared" ca="1" si="30"/>
        <v>56</v>
      </c>
      <c r="F286" s="26">
        <f t="shared" ca="1" si="28"/>
        <v>71</v>
      </c>
    </row>
    <row r="287" spans="2:6" x14ac:dyDescent="0.25">
      <c r="B287" s="26">
        <f t="shared" ca="1" si="26"/>
        <v>72</v>
      </c>
      <c r="C287" s="26">
        <f t="shared" ca="1" si="29"/>
        <v>54</v>
      </c>
      <c r="D287" s="26">
        <f t="shared" ca="1" si="27"/>
        <v>39</v>
      </c>
      <c r="E287" s="26">
        <f t="shared" ca="1" si="30"/>
        <v>47</v>
      </c>
      <c r="F287" s="26">
        <f t="shared" ca="1" si="28"/>
        <v>66</v>
      </c>
    </row>
    <row r="288" spans="2:6" x14ac:dyDescent="0.25">
      <c r="B288" s="26">
        <f t="shared" ca="1" si="26"/>
        <v>56</v>
      </c>
      <c r="C288" s="26">
        <f t="shared" ca="1" si="29"/>
        <v>67</v>
      </c>
      <c r="D288" s="26">
        <f t="shared" ca="1" si="27"/>
        <v>29</v>
      </c>
      <c r="E288" s="26">
        <f t="shared" ca="1" si="30"/>
        <v>23</v>
      </c>
      <c r="F288" s="26">
        <f t="shared" ca="1" si="28"/>
        <v>58</v>
      </c>
    </row>
    <row r="289" spans="2:6" x14ac:dyDescent="0.25">
      <c r="B289" s="26">
        <f t="shared" ca="1" si="26"/>
        <v>38</v>
      </c>
      <c r="C289" s="26">
        <f t="shared" ca="1" si="29"/>
        <v>63</v>
      </c>
      <c r="D289" s="26">
        <f t="shared" ca="1" si="27"/>
        <v>66</v>
      </c>
      <c r="E289" s="26">
        <f t="shared" ca="1" si="30"/>
        <v>73</v>
      </c>
      <c r="F289" s="26">
        <f t="shared" ca="1" si="28"/>
        <v>77</v>
      </c>
    </row>
    <row r="290" spans="2:6" x14ac:dyDescent="0.25">
      <c r="B290" s="26">
        <f t="shared" ca="1" si="26"/>
        <v>52</v>
      </c>
      <c r="C290" s="26">
        <f t="shared" ca="1" si="29"/>
        <v>52</v>
      </c>
      <c r="D290" s="26">
        <f t="shared" ca="1" si="27"/>
        <v>19</v>
      </c>
      <c r="E290" s="26">
        <f t="shared" ca="1" si="30"/>
        <v>52</v>
      </c>
      <c r="F290" s="26">
        <f t="shared" ca="1" si="28"/>
        <v>36</v>
      </c>
    </row>
    <row r="291" spans="2:6" x14ac:dyDescent="0.25">
      <c r="B291" s="26">
        <f t="shared" ca="1" si="26"/>
        <v>4</v>
      </c>
      <c r="C291" s="26">
        <f t="shared" ca="1" si="29"/>
        <v>52</v>
      </c>
      <c r="D291" s="26">
        <f t="shared" ca="1" si="27"/>
        <v>49</v>
      </c>
      <c r="E291" s="26">
        <f t="shared" ca="1" si="30"/>
        <v>45</v>
      </c>
      <c r="F291" s="26">
        <f t="shared" ca="1" si="28"/>
        <v>68</v>
      </c>
    </row>
    <row r="292" spans="2:6" x14ac:dyDescent="0.25">
      <c r="B292" s="26">
        <f t="shared" ca="1" si="26"/>
        <v>60</v>
      </c>
      <c r="C292" s="26">
        <f t="shared" ca="1" si="29"/>
        <v>48</v>
      </c>
      <c r="D292" s="26">
        <f t="shared" ca="1" si="27"/>
        <v>48</v>
      </c>
      <c r="E292" s="26">
        <f t="shared" ca="1" si="30"/>
        <v>64</v>
      </c>
      <c r="F292" s="26">
        <f t="shared" ca="1" si="28"/>
        <v>65</v>
      </c>
    </row>
    <row r="293" spans="2:6" x14ac:dyDescent="0.25">
      <c r="B293" s="26">
        <f t="shared" ca="1" si="26"/>
        <v>20</v>
      </c>
      <c r="C293" s="26">
        <f t="shared" ca="1" si="29"/>
        <v>35</v>
      </c>
      <c r="D293" s="26">
        <f t="shared" ca="1" si="27"/>
        <v>38</v>
      </c>
      <c r="E293" s="26">
        <f t="shared" ca="1" si="30"/>
        <v>54</v>
      </c>
      <c r="F293" s="26">
        <f t="shared" ca="1" si="28"/>
        <v>62</v>
      </c>
    </row>
    <row r="294" spans="2:6" x14ac:dyDescent="0.25">
      <c r="B294" s="26">
        <f t="shared" ca="1" si="26"/>
        <v>18</v>
      </c>
      <c r="C294" s="26">
        <f t="shared" ca="1" si="29"/>
        <v>33</v>
      </c>
      <c r="D294" s="26">
        <f t="shared" ca="1" si="27"/>
        <v>52</v>
      </c>
      <c r="E294" s="26">
        <f t="shared" ca="1" si="30"/>
        <v>19</v>
      </c>
      <c r="F294" s="26">
        <f t="shared" ca="1" si="28"/>
        <v>70</v>
      </c>
    </row>
    <row r="295" spans="2:6" x14ac:dyDescent="0.25">
      <c r="B295" s="26">
        <f t="shared" ca="1" si="26"/>
        <v>31</v>
      </c>
      <c r="C295" s="26">
        <f t="shared" ca="1" si="29"/>
        <v>54</v>
      </c>
      <c r="D295" s="26">
        <f t="shared" ca="1" si="27"/>
        <v>41</v>
      </c>
      <c r="E295" s="26">
        <f t="shared" ca="1" si="30"/>
        <v>44</v>
      </c>
      <c r="F295" s="26">
        <f t="shared" ca="1" si="28"/>
        <v>68</v>
      </c>
    </row>
    <row r="296" spans="2:6" x14ac:dyDescent="0.25">
      <c r="B296" s="26">
        <f t="shared" ca="1" si="26"/>
        <v>42</v>
      </c>
      <c r="C296" s="26">
        <f t="shared" ca="1" si="29"/>
        <v>63</v>
      </c>
      <c r="D296" s="26">
        <f t="shared" ca="1" si="27"/>
        <v>46</v>
      </c>
      <c r="E296" s="26">
        <f t="shared" ca="1" si="30"/>
        <v>79</v>
      </c>
      <c r="F296" s="26">
        <f t="shared" ca="1" si="28"/>
        <v>54</v>
      </c>
    </row>
    <row r="297" spans="2:6" x14ac:dyDescent="0.25">
      <c r="B297" s="26">
        <f t="shared" ca="1" si="26"/>
        <v>58</v>
      </c>
      <c r="C297" s="26">
        <f t="shared" ca="1" si="29"/>
        <v>67</v>
      </c>
      <c r="D297" s="26">
        <f t="shared" ca="1" si="27"/>
        <v>52</v>
      </c>
      <c r="E297" s="26">
        <f t="shared" ca="1" si="30"/>
        <v>54</v>
      </c>
      <c r="F297" s="26">
        <f t="shared" ca="1" si="28"/>
        <v>70</v>
      </c>
    </row>
    <row r="298" spans="2:6" x14ac:dyDescent="0.25">
      <c r="B298" s="26">
        <f t="shared" ca="1" si="26"/>
        <v>66</v>
      </c>
      <c r="C298" s="26">
        <f t="shared" ca="1" si="29"/>
        <v>45</v>
      </c>
      <c r="D298" s="26">
        <f t="shared" ca="1" si="27"/>
        <v>46</v>
      </c>
      <c r="E298" s="26">
        <f t="shared" ca="1" si="30"/>
        <v>61</v>
      </c>
      <c r="F298" s="26">
        <f t="shared" ca="1" si="28"/>
        <v>66</v>
      </c>
    </row>
    <row r="299" spans="2:6" x14ac:dyDescent="0.25">
      <c r="B299" s="26">
        <f t="shared" ca="1" si="26"/>
        <v>54</v>
      </c>
      <c r="C299" s="26">
        <f t="shared" ca="1" si="29"/>
        <v>53</v>
      </c>
      <c r="D299" s="26">
        <f t="shared" ca="1" si="27"/>
        <v>54</v>
      </c>
      <c r="E299" s="26">
        <f t="shared" ca="1" si="30"/>
        <v>53</v>
      </c>
      <c r="F299" s="26">
        <f t="shared" ca="1" si="28"/>
        <v>67</v>
      </c>
    </row>
    <row r="300" spans="2:6" x14ac:dyDescent="0.25">
      <c r="B300" s="26">
        <f t="shared" ca="1" si="26"/>
        <v>74</v>
      </c>
      <c r="C300" s="26">
        <f t="shared" ca="1" si="29"/>
        <v>59</v>
      </c>
      <c r="D300" s="26">
        <f t="shared" ca="1" si="27"/>
        <v>81</v>
      </c>
      <c r="E300" s="26">
        <f t="shared" ca="1" si="30"/>
        <v>59</v>
      </c>
      <c r="F300" s="26">
        <f t="shared" ca="1" si="28"/>
        <v>39</v>
      </c>
    </row>
    <row r="301" spans="2:6" x14ac:dyDescent="0.25">
      <c r="B301" s="26">
        <f t="shared" ca="1" si="26"/>
        <v>48</v>
      </c>
      <c r="C301" s="26">
        <f t="shared" ca="1" si="29"/>
        <v>47</v>
      </c>
      <c r="D301" s="26">
        <f t="shared" ca="1" si="27"/>
        <v>73</v>
      </c>
      <c r="E301" s="26">
        <f t="shared" ca="1" si="30"/>
        <v>46</v>
      </c>
      <c r="F301" s="26">
        <f t="shared" ca="1" si="28"/>
        <v>61</v>
      </c>
    </row>
    <row r="302" spans="2:6" x14ac:dyDescent="0.25">
      <c r="B302" s="26">
        <f t="shared" ca="1" si="26"/>
        <v>58</v>
      </c>
      <c r="C302" s="26">
        <f t="shared" ca="1" si="29"/>
        <v>62</v>
      </c>
      <c r="D302" s="26">
        <f t="shared" ca="1" si="27"/>
        <v>36</v>
      </c>
      <c r="E302" s="26">
        <f t="shared" ca="1" si="30"/>
        <v>45</v>
      </c>
      <c r="F302" s="26">
        <f t="shared" ca="1" si="28"/>
        <v>77</v>
      </c>
    </row>
    <row r="303" spans="2:6" x14ac:dyDescent="0.25">
      <c r="B303" s="26">
        <f t="shared" ca="1" si="26"/>
        <v>64</v>
      </c>
      <c r="C303" s="26">
        <f t="shared" ca="1" si="29"/>
        <v>66</v>
      </c>
      <c r="D303" s="26">
        <f t="shared" ca="1" si="27"/>
        <v>70</v>
      </c>
      <c r="E303" s="26">
        <f t="shared" ca="1" si="30"/>
        <v>8</v>
      </c>
      <c r="F303" s="26">
        <f t="shared" ca="1" si="28"/>
        <v>69</v>
      </c>
    </row>
    <row r="304" spans="2:6" x14ac:dyDescent="0.25">
      <c r="B304" s="26">
        <f t="shared" ca="1" si="26"/>
        <v>41</v>
      </c>
      <c r="C304" s="26">
        <f t="shared" ca="1" si="29"/>
        <v>71</v>
      </c>
      <c r="D304" s="26">
        <f t="shared" ca="1" si="27"/>
        <v>41</v>
      </c>
      <c r="E304" s="26">
        <f t="shared" ca="1" si="30"/>
        <v>24</v>
      </c>
      <c r="F304" s="26">
        <f t="shared" ca="1" si="28"/>
        <v>56</v>
      </c>
    </row>
    <row r="305" spans="2:6" x14ac:dyDescent="0.25">
      <c r="B305" s="26">
        <f t="shared" ca="1" si="26"/>
        <v>29</v>
      </c>
      <c r="C305" s="26">
        <f t="shared" ca="1" si="29"/>
        <v>34</v>
      </c>
      <c r="D305" s="26">
        <f t="shared" ca="1" si="27"/>
        <v>66</v>
      </c>
      <c r="E305" s="26">
        <f t="shared" ca="1" si="30"/>
        <v>50</v>
      </c>
      <c r="F305" s="26">
        <f t="shared" ca="1" si="28"/>
        <v>42</v>
      </c>
    </row>
    <row r="306" spans="2:6" x14ac:dyDescent="0.25">
      <c r="B306" s="26">
        <f t="shared" ca="1" si="26"/>
        <v>55</v>
      </c>
      <c r="C306" s="26">
        <f t="shared" ca="1" si="29"/>
        <v>66</v>
      </c>
      <c r="D306" s="26">
        <f t="shared" ca="1" si="27"/>
        <v>45</v>
      </c>
      <c r="E306" s="26">
        <f t="shared" ca="1" si="30"/>
        <v>76</v>
      </c>
      <c r="F306" s="26">
        <f t="shared" ca="1" si="28"/>
        <v>75</v>
      </c>
    </row>
    <row r="307" spans="2:6" x14ac:dyDescent="0.25">
      <c r="B307" s="26">
        <f t="shared" ca="1" si="26"/>
        <v>50</v>
      </c>
      <c r="C307" s="26">
        <f t="shared" ca="1" si="29"/>
        <v>31</v>
      </c>
      <c r="D307" s="26">
        <f t="shared" ca="1" si="27"/>
        <v>30</v>
      </c>
      <c r="E307" s="26">
        <f t="shared" ca="1" si="30"/>
        <v>55</v>
      </c>
      <c r="F307" s="26">
        <f t="shared" ca="1" si="28"/>
        <v>63</v>
      </c>
    </row>
    <row r="308" spans="2:6" x14ac:dyDescent="0.25">
      <c r="B308" s="26">
        <f t="shared" ca="1" si="26"/>
        <v>46</v>
      </c>
      <c r="C308" s="26">
        <f t="shared" ca="1" si="29"/>
        <v>55</v>
      </c>
      <c r="D308" s="26">
        <f t="shared" ca="1" si="27"/>
        <v>68</v>
      </c>
      <c r="E308" s="26">
        <f t="shared" ca="1" si="30"/>
        <v>33</v>
      </c>
      <c r="F308" s="26">
        <f t="shared" ca="1" si="28"/>
        <v>60</v>
      </c>
    </row>
    <row r="309" spans="2:6" x14ac:dyDescent="0.25">
      <c r="B309" s="26">
        <f t="shared" ca="1" si="26"/>
        <v>49</v>
      </c>
      <c r="C309" s="26">
        <f t="shared" ca="1" si="29"/>
        <v>30</v>
      </c>
      <c r="D309" s="26">
        <f t="shared" ca="1" si="27"/>
        <v>31</v>
      </c>
      <c r="E309" s="26">
        <f t="shared" ca="1" si="30"/>
        <v>68</v>
      </c>
      <c r="F309" s="26">
        <f t="shared" ca="1" si="28"/>
        <v>64</v>
      </c>
    </row>
    <row r="310" spans="2:6" x14ac:dyDescent="0.25">
      <c r="B310" s="26">
        <f t="shared" ca="1" si="26"/>
        <v>53</v>
      </c>
      <c r="C310" s="26">
        <f t="shared" ca="1" si="29"/>
        <v>55</v>
      </c>
      <c r="D310" s="26">
        <f t="shared" ca="1" si="27"/>
        <v>22</v>
      </c>
      <c r="E310" s="26">
        <f t="shared" ca="1" si="30"/>
        <v>22</v>
      </c>
      <c r="F310" s="26">
        <f t="shared" ca="1" si="28"/>
        <v>63</v>
      </c>
    </row>
    <row r="311" spans="2:6" x14ac:dyDescent="0.25">
      <c r="B311" s="26">
        <f t="shared" ca="1" si="26"/>
        <v>31</v>
      </c>
      <c r="C311" s="26">
        <f t="shared" ca="1" si="29"/>
        <v>48</v>
      </c>
      <c r="D311" s="26">
        <f t="shared" ca="1" si="27"/>
        <v>17</v>
      </c>
      <c r="E311" s="26">
        <f t="shared" ca="1" si="30"/>
        <v>47</v>
      </c>
      <c r="F311" s="26">
        <f t="shared" ca="1" si="28"/>
        <v>75</v>
      </c>
    </row>
    <row r="312" spans="2:6" x14ac:dyDescent="0.25">
      <c r="B312" s="26">
        <f t="shared" ca="1" si="26"/>
        <v>42</v>
      </c>
      <c r="C312" s="26">
        <f t="shared" ca="1" si="29"/>
        <v>34</v>
      </c>
      <c r="D312" s="26">
        <f t="shared" ca="1" si="27"/>
        <v>39</v>
      </c>
      <c r="E312" s="26">
        <f t="shared" ca="1" si="30"/>
        <v>57</v>
      </c>
      <c r="F312" s="26">
        <f t="shared" ca="1" si="28"/>
        <v>54</v>
      </c>
    </row>
    <row r="313" spans="2:6" x14ac:dyDescent="0.25">
      <c r="B313" s="26">
        <f t="shared" ca="1" si="26"/>
        <v>10</v>
      </c>
      <c r="C313" s="26">
        <f t="shared" ca="1" si="29"/>
        <v>44</v>
      </c>
      <c r="D313" s="26">
        <f t="shared" ca="1" si="27"/>
        <v>66</v>
      </c>
      <c r="E313" s="26">
        <f t="shared" ca="1" si="30"/>
        <v>51</v>
      </c>
      <c r="F313" s="26">
        <f t="shared" ca="1" si="28"/>
        <v>63</v>
      </c>
    </row>
    <row r="314" spans="2:6" x14ac:dyDescent="0.25">
      <c r="B314" s="26">
        <f t="shared" ca="1" si="26"/>
        <v>27</v>
      </c>
      <c r="C314" s="26">
        <f t="shared" ca="1" si="29"/>
        <v>44</v>
      </c>
      <c r="D314" s="26">
        <f t="shared" ca="1" si="27"/>
        <v>57</v>
      </c>
      <c r="E314" s="26">
        <f t="shared" ca="1" si="30"/>
        <v>61</v>
      </c>
      <c r="F314" s="26">
        <f t="shared" ca="1" si="28"/>
        <v>53</v>
      </c>
    </row>
    <row r="315" spans="2:6" x14ac:dyDescent="0.25">
      <c r="B315" s="26">
        <f t="shared" ca="1" si="26"/>
        <v>47</v>
      </c>
      <c r="C315" s="26">
        <f t="shared" ca="1" si="29"/>
        <v>49</v>
      </c>
      <c r="D315" s="26">
        <f t="shared" ca="1" si="27"/>
        <v>42</v>
      </c>
      <c r="E315" s="26">
        <f t="shared" ca="1" si="30"/>
        <v>69</v>
      </c>
      <c r="F315" s="26">
        <f t="shared" ca="1" si="28"/>
        <v>73</v>
      </c>
    </row>
    <row r="316" spans="2:6" x14ac:dyDescent="0.25">
      <c r="B316" s="26">
        <f t="shared" ca="1" si="26"/>
        <v>1</v>
      </c>
      <c r="C316" s="26">
        <f t="shared" ca="1" si="29"/>
        <v>58</v>
      </c>
      <c r="D316" s="26">
        <f t="shared" ca="1" si="27"/>
        <v>20</v>
      </c>
      <c r="E316" s="26">
        <f t="shared" ca="1" si="30"/>
        <v>62</v>
      </c>
      <c r="F316" s="26">
        <f t="shared" ca="1" si="28"/>
        <v>73</v>
      </c>
    </row>
    <row r="317" spans="2:6" x14ac:dyDescent="0.25">
      <c r="B317" s="26">
        <f t="shared" ca="1" si="26"/>
        <v>68</v>
      </c>
      <c r="C317" s="26">
        <f t="shared" ca="1" si="29"/>
        <v>53</v>
      </c>
      <c r="D317" s="26">
        <f t="shared" ca="1" si="27"/>
        <v>67</v>
      </c>
      <c r="E317" s="26">
        <f t="shared" ca="1" si="30"/>
        <v>62</v>
      </c>
      <c r="F317" s="26">
        <f t="shared" ca="1" si="28"/>
        <v>12</v>
      </c>
    </row>
    <row r="318" spans="2:6" x14ac:dyDescent="0.25">
      <c r="B318" s="26">
        <f t="shared" ca="1" si="26"/>
        <v>43</v>
      </c>
      <c r="C318" s="26">
        <f t="shared" ca="1" si="29"/>
        <v>39</v>
      </c>
      <c r="D318" s="26">
        <f t="shared" ca="1" si="27"/>
        <v>35</v>
      </c>
      <c r="E318" s="26">
        <f t="shared" ca="1" si="30"/>
        <v>46</v>
      </c>
      <c r="F318" s="26">
        <f t="shared" ca="1" si="28"/>
        <v>14</v>
      </c>
    </row>
    <row r="319" spans="2:6" x14ac:dyDescent="0.25">
      <c r="B319" s="26">
        <f t="shared" ca="1" si="26"/>
        <v>73</v>
      </c>
      <c r="C319" s="26">
        <f t="shared" ca="1" si="29"/>
        <v>22</v>
      </c>
      <c r="D319" s="26">
        <f t="shared" ca="1" si="27"/>
        <v>67</v>
      </c>
      <c r="E319" s="26">
        <f t="shared" ca="1" si="30"/>
        <v>82</v>
      </c>
      <c r="F319" s="26">
        <f t="shared" ca="1" si="28"/>
        <v>76</v>
      </c>
    </row>
    <row r="320" spans="2:6" x14ac:dyDescent="0.25">
      <c r="B320" s="26">
        <f t="shared" ca="1" si="26"/>
        <v>20</v>
      </c>
      <c r="C320" s="26">
        <f t="shared" ca="1" si="29"/>
        <v>69</v>
      </c>
      <c r="D320" s="26">
        <f t="shared" ca="1" si="27"/>
        <v>47</v>
      </c>
      <c r="E320" s="26">
        <f t="shared" ca="1" si="30"/>
        <v>28</v>
      </c>
      <c r="F320" s="26">
        <f t="shared" ca="1" si="28"/>
        <v>83</v>
      </c>
    </row>
    <row r="321" spans="2:6" x14ac:dyDescent="0.25">
      <c r="B321" s="26">
        <f t="shared" ca="1" si="26"/>
        <v>71</v>
      </c>
      <c r="C321" s="26">
        <f t="shared" ca="1" si="29"/>
        <v>58</v>
      </c>
      <c r="D321" s="26">
        <f t="shared" ca="1" si="27"/>
        <v>77</v>
      </c>
      <c r="E321" s="26">
        <f t="shared" ca="1" si="30"/>
        <v>10</v>
      </c>
      <c r="F321" s="26">
        <f t="shared" ca="1" si="28"/>
        <v>46</v>
      </c>
    </row>
    <row r="322" spans="2:6" x14ac:dyDescent="0.25">
      <c r="B322" s="26">
        <f t="shared" ca="1" si="26"/>
        <v>56</v>
      </c>
      <c r="C322" s="26">
        <f t="shared" ca="1" si="29"/>
        <v>53</v>
      </c>
      <c r="D322" s="26">
        <f t="shared" ca="1" si="27"/>
        <v>51</v>
      </c>
      <c r="E322" s="26">
        <f t="shared" ca="1" si="30"/>
        <v>31</v>
      </c>
      <c r="F322" s="26">
        <f t="shared" ca="1" si="28"/>
        <v>59</v>
      </c>
    </row>
    <row r="323" spans="2:6" x14ac:dyDescent="0.25">
      <c r="B323" s="26">
        <f t="shared" ca="1" si="26"/>
        <v>65</v>
      </c>
      <c r="C323" s="26">
        <f t="shared" ca="1" si="29"/>
        <v>77</v>
      </c>
      <c r="D323" s="26">
        <f t="shared" ca="1" si="27"/>
        <v>72</v>
      </c>
      <c r="E323" s="26">
        <f t="shared" ca="1" si="30"/>
        <v>48</v>
      </c>
      <c r="F323" s="26">
        <f t="shared" ca="1" si="28"/>
        <v>40</v>
      </c>
    </row>
    <row r="324" spans="2:6" x14ac:dyDescent="0.25">
      <c r="B324" s="26">
        <f t="shared" ca="1" si="26"/>
        <v>20</v>
      </c>
      <c r="C324" s="26">
        <f t="shared" ca="1" si="29"/>
        <v>33</v>
      </c>
      <c r="D324" s="26">
        <f t="shared" ca="1" si="27"/>
        <v>52</v>
      </c>
      <c r="E324" s="26">
        <f t="shared" ca="1" si="30"/>
        <v>38</v>
      </c>
      <c r="F324" s="26">
        <f t="shared" ca="1" si="28"/>
        <v>16</v>
      </c>
    </row>
    <row r="325" spans="2:6" x14ac:dyDescent="0.25">
      <c r="B325" s="26">
        <f t="shared" ca="1" si="26"/>
        <v>38</v>
      </c>
      <c r="C325" s="26">
        <f t="shared" ca="1" si="29"/>
        <v>61</v>
      </c>
      <c r="D325" s="26">
        <f t="shared" ca="1" si="27"/>
        <v>50</v>
      </c>
      <c r="E325" s="26">
        <f t="shared" ca="1" si="30"/>
        <v>66</v>
      </c>
      <c r="F325" s="26">
        <f t="shared" ca="1" si="28"/>
        <v>25</v>
      </c>
    </row>
    <row r="326" spans="2:6" x14ac:dyDescent="0.25">
      <c r="B326" s="26">
        <f t="shared" ca="1" si="26"/>
        <v>36</v>
      </c>
      <c r="C326" s="26">
        <f t="shared" ca="1" si="29"/>
        <v>60</v>
      </c>
      <c r="D326" s="26">
        <f t="shared" ca="1" si="27"/>
        <v>43</v>
      </c>
      <c r="E326" s="26">
        <f t="shared" ca="1" si="30"/>
        <v>31</v>
      </c>
      <c r="F326" s="26">
        <f t="shared" ca="1" si="28"/>
        <v>44</v>
      </c>
    </row>
    <row r="327" spans="2:6" x14ac:dyDescent="0.25">
      <c r="B327" s="26">
        <f t="shared" ca="1" si="26"/>
        <v>56</v>
      </c>
      <c r="C327" s="26">
        <f t="shared" ca="1" si="29"/>
        <v>42</v>
      </c>
      <c r="D327" s="26">
        <f t="shared" ca="1" si="27"/>
        <v>47</v>
      </c>
      <c r="E327" s="26">
        <f t="shared" ca="1" si="30"/>
        <v>69</v>
      </c>
      <c r="F327" s="26">
        <f t="shared" ca="1" si="28"/>
        <v>68</v>
      </c>
    </row>
    <row r="328" spans="2:6" x14ac:dyDescent="0.25">
      <c r="B328" s="26">
        <f t="shared" ca="1" si="26"/>
        <v>60</v>
      </c>
      <c r="C328" s="26">
        <f t="shared" ca="1" si="29"/>
        <v>50</v>
      </c>
      <c r="D328" s="26">
        <f t="shared" ca="1" si="27"/>
        <v>67</v>
      </c>
      <c r="E328" s="26">
        <f t="shared" ca="1" si="30"/>
        <v>48</v>
      </c>
      <c r="F328" s="26">
        <f t="shared" ca="1" si="28"/>
        <v>89</v>
      </c>
    </row>
    <row r="329" spans="2:6" x14ac:dyDescent="0.25">
      <c r="B329" s="26">
        <f t="shared" ca="1" si="26"/>
        <v>68</v>
      </c>
      <c r="C329" s="26">
        <f t="shared" ca="1" si="29"/>
        <v>47</v>
      </c>
      <c r="D329" s="26">
        <f t="shared" ca="1" si="27"/>
        <v>53</v>
      </c>
      <c r="E329" s="26">
        <f t="shared" ca="1" si="30"/>
        <v>58</v>
      </c>
      <c r="F329" s="26">
        <f t="shared" ca="1" si="28"/>
        <v>65</v>
      </c>
    </row>
    <row r="330" spans="2:6" x14ac:dyDescent="0.25">
      <c r="B330" s="26">
        <f t="shared" ca="1" si="26"/>
        <v>66</v>
      </c>
      <c r="C330" s="26">
        <f t="shared" ca="1" si="29"/>
        <v>54</v>
      </c>
      <c r="D330" s="26">
        <f t="shared" ca="1" si="27"/>
        <v>58</v>
      </c>
      <c r="E330" s="26">
        <f t="shared" ca="1" si="30"/>
        <v>9</v>
      </c>
      <c r="F330" s="26">
        <f t="shared" ca="1" si="28"/>
        <v>47</v>
      </c>
    </row>
    <row r="331" spans="2:6" x14ac:dyDescent="0.25">
      <c r="B331" s="26">
        <f t="shared" ca="1" si="26"/>
        <v>33</v>
      </c>
      <c r="C331" s="26">
        <f t="shared" ca="1" si="29"/>
        <v>49</v>
      </c>
      <c r="D331" s="26">
        <f t="shared" ca="1" si="27"/>
        <v>52</v>
      </c>
      <c r="E331" s="26">
        <f t="shared" ca="1" si="30"/>
        <v>70</v>
      </c>
      <c r="F331" s="26">
        <f t="shared" ca="1" si="28"/>
        <v>69</v>
      </c>
    </row>
    <row r="332" spans="2:6" x14ac:dyDescent="0.25">
      <c r="B332" s="26">
        <f t="shared" ca="1" si="26"/>
        <v>30</v>
      </c>
      <c r="C332" s="26">
        <f t="shared" ca="1" si="29"/>
        <v>80</v>
      </c>
      <c r="D332" s="26">
        <f t="shared" ca="1" si="27"/>
        <v>69</v>
      </c>
      <c r="E332" s="26">
        <f t="shared" ca="1" si="30"/>
        <v>35</v>
      </c>
      <c r="F332" s="26">
        <f t="shared" ca="1" si="28"/>
        <v>75</v>
      </c>
    </row>
    <row r="333" spans="2:6" x14ac:dyDescent="0.25">
      <c r="B333" s="26">
        <f t="shared" ca="1" si="26"/>
        <v>52</v>
      </c>
      <c r="C333" s="26">
        <f t="shared" ca="1" si="29"/>
        <v>76</v>
      </c>
      <c r="D333" s="26">
        <f t="shared" ca="1" si="27"/>
        <v>54</v>
      </c>
      <c r="E333" s="26">
        <f t="shared" ca="1" si="30"/>
        <v>26</v>
      </c>
      <c r="F333" s="26">
        <f t="shared" ca="1" si="28"/>
        <v>61</v>
      </c>
    </row>
    <row r="334" spans="2:6" x14ac:dyDescent="0.25">
      <c r="B334" s="26">
        <f t="shared" ca="1" si="26"/>
        <v>48</v>
      </c>
      <c r="C334" s="26">
        <f t="shared" ca="1" si="29"/>
        <v>53</v>
      </c>
      <c r="D334" s="26">
        <f t="shared" ca="1" si="27"/>
        <v>77</v>
      </c>
      <c r="E334" s="26">
        <f t="shared" ca="1" si="30"/>
        <v>22</v>
      </c>
      <c r="F334" s="26">
        <f t="shared" ca="1" si="28"/>
        <v>67</v>
      </c>
    </row>
    <row r="335" spans="2:6" x14ac:dyDescent="0.25">
      <c r="B335" s="26">
        <f t="shared" ca="1" si="26"/>
        <v>64</v>
      </c>
      <c r="C335" s="26">
        <f t="shared" ca="1" si="29"/>
        <v>76</v>
      </c>
      <c r="D335" s="26">
        <f t="shared" ca="1" si="27"/>
        <v>49</v>
      </c>
      <c r="E335" s="26">
        <f t="shared" ca="1" si="30"/>
        <v>62</v>
      </c>
      <c r="F335" s="26">
        <f t="shared" ca="1" si="28"/>
        <v>78</v>
      </c>
    </row>
    <row r="336" spans="2:6" x14ac:dyDescent="0.25">
      <c r="B336" s="26">
        <f t="shared" ref="B336:B398" ca="1" si="31">CHOOSE(RANDBETWEEN(1,5),RANDBETWEEN(RANDBETWEEN(0,50),RANDBETWEEN(51,100)),RANDBETWEEN(RANDBETWEEN(30,50),RANDBETWEEN(51,70)),RANDBETWEEN(RANDBETWEEN(40,50),RANDBETWEEN(51,60)),RANDBETWEEN(RANDBETWEEN(30,70),RANDBETWEEN(71,85)),RANDBETWEEN(RANDBETWEEN(0,25),RANDBETWEEN(26,85)))</f>
        <v>41</v>
      </c>
      <c r="C336" s="26">
        <f t="shared" ca="1" si="29"/>
        <v>35</v>
      </c>
      <c r="D336" s="26">
        <f t="shared" ref="D336:D398" ca="1" si="32">CHOOSE(RANDBETWEEN(1,5),RANDBETWEEN(RANDBETWEEN(0,50),RANDBETWEEN(51,100)),RANDBETWEEN(RANDBETWEEN(30,50),RANDBETWEEN(51,70)),RANDBETWEEN(RANDBETWEEN(40,50),RANDBETWEEN(51,60)),RANDBETWEEN(RANDBETWEEN(30,70),RANDBETWEEN(71,85)),RANDBETWEEN(RANDBETWEEN(0,25),RANDBETWEEN(26,85)))</f>
        <v>38</v>
      </c>
      <c r="E336" s="26">
        <f t="shared" ca="1" si="30"/>
        <v>17</v>
      </c>
      <c r="F336" s="26">
        <f t="shared" ref="F336:F398" ca="1" si="33">CHOOSE(RANDBETWEEN(1,3),INT(_xlfn.NORM.INV(RAND(),70,5)),RANDBETWEEN(10,90),INT(_xlfn.NORM.INV(RAND(),60,6)))</f>
        <v>69</v>
      </c>
    </row>
    <row r="337" spans="2:6" x14ac:dyDescent="0.25">
      <c r="B337" s="26">
        <f t="shared" ca="1" si="31"/>
        <v>69</v>
      </c>
      <c r="C337" s="26">
        <f t="shared" ref="C337:C398" ca="1" si="34">CHOOSE(RANDBETWEEN(1,5),INT(_xlfn.NORM.INV(RAND(),70,10)),RANDBETWEEN(RANDBETWEEN(30,50),RANDBETWEEN(51,70)),RANDBETWEEN(RANDBETWEEN(40,50),RANDBETWEEN(51,60)),RANDBETWEEN(RANDBETWEEN(30,70),RANDBETWEEN(71,85)),RANDBETWEEN(RANDBETWEEN(0,25),RANDBETWEEN(26,85)))</f>
        <v>56</v>
      </c>
      <c r="D337" s="26">
        <f t="shared" ca="1" si="32"/>
        <v>20</v>
      </c>
      <c r="E337" s="26">
        <f t="shared" ref="E337:E398" ca="1" si="35">CHOOSE(RANDBETWEEN(1,5),RANDBETWEEN(RANDBETWEEN(0,50),RANDBETWEEN(51,100)),RANDBETWEEN(RANDBETWEEN(30,50),RANDBETWEEN(51,70)),INT(_xlfn.NORM.INV(RAND(),62,8)),INT(_xlfn.NORM.INV(RAND(),50,15)),RANDBETWEEN(RANDBETWEEN(0,25),RANDBETWEEN(26,85)))</f>
        <v>20</v>
      </c>
      <c r="F337" s="26">
        <f t="shared" ca="1" si="33"/>
        <v>66</v>
      </c>
    </row>
    <row r="338" spans="2:6" x14ac:dyDescent="0.25">
      <c r="B338" s="26">
        <f t="shared" ca="1" si="31"/>
        <v>45</v>
      </c>
      <c r="C338" s="26">
        <f t="shared" ca="1" si="34"/>
        <v>74</v>
      </c>
      <c r="D338" s="26">
        <f t="shared" ca="1" si="32"/>
        <v>42</v>
      </c>
      <c r="E338" s="26">
        <f t="shared" ca="1" si="35"/>
        <v>32</v>
      </c>
      <c r="F338" s="26">
        <f t="shared" ca="1" si="33"/>
        <v>58</v>
      </c>
    </row>
    <row r="339" spans="2:6" x14ac:dyDescent="0.25">
      <c r="B339" s="26">
        <f t="shared" ca="1" si="31"/>
        <v>60</v>
      </c>
      <c r="C339" s="26">
        <f t="shared" ca="1" si="34"/>
        <v>48</v>
      </c>
      <c r="D339" s="26">
        <f t="shared" ca="1" si="32"/>
        <v>24</v>
      </c>
      <c r="E339" s="26">
        <f t="shared" ca="1" si="35"/>
        <v>24</v>
      </c>
      <c r="F339" s="26">
        <f t="shared" ca="1" si="33"/>
        <v>59</v>
      </c>
    </row>
    <row r="340" spans="2:6" x14ac:dyDescent="0.25">
      <c r="B340" s="26">
        <f t="shared" ca="1" si="31"/>
        <v>43</v>
      </c>
      <c r="C340" s="26">
        <f t="shared" ca="1" si="34"/>
        <v>40</v>
      </c>
      <c r="D340" s="26">
        <f t="shared" ca="1" si="32"/>
        <v>59</v>
      </c>
      <c r="E340" s="26">
        <f t="shared" ca="1" si="35"/>
        <v>45</v>
      </c>
      <c r="F340" s="26">
        <f t="shared" ca="1" si="33"/>
        <v>61</v>
      </c>
    </row>
    <row r="341" spans="2:6" x14ac:dyDescent="0.25">
      <c r="B341" s="26">
        <f t="shared" ca="1" si="31"/>
        <v>39</v>
      </c>
      <c r="C341" s="26">
        <f t="shared" ca="1" si="34"/>
        <v>48</v>
      </c>
      <c r="D341" s="26">
        <f t="shared" ca="1" si="32"/>
        <v>64</v>
      </c>
      <c r="E341" s="26">
        <f t="shared" ca="1" si="35"/>
        <v>58</v>
      </c>
      <c r="F341" s="26">
        <f t="shared" ca="1" si="33"/>
        <v>76</v>
      </c>
    </row>
    <row r="342" spans="2:6" x14ac:dyDescent="0.25">
      <c r="B342" s="26">
        <f t="shared" ca="1" si="31"/>
        <v>79</v>
      </c>
      <c r="C342" s="26">
        <f t="shared" ca="1" si="34"/>
        <v>49</v>
      </c>
      <c r="D342" s="26">
        <f t="shared" ca="1" si="32"/>
        <v>91</v>
      </c>
      <c r="E342" s="26">
        <f t="shared" ca="1" si="35"/>
        <v>54</v>
      </c>
      <c r="F342" s="26">
        <f t="shared" ca="1" si="33"/>
        <v>63</v>
      </c>
    </row>
    <row r="343" spans="2:6" x14ac:dyDescent="0.25">
      <c r="B343" s="26">
        <f t="shared" ca="1" si="31"/>
        <v>48</v>
      </c>
      <c r="C343" s="26">
        <f t="shared" ca="1" si="34"/>
        <v>67</v>
      </c>
      <c r="D343" s="26">
        <f t="shared" ca="1" si="32"/>
        <v>45</v>
      </c>
      <c r="E343" s="26">
        <f t="shared" ca="1" si="35"/>
        <v>75</v>
      </c>
      <c r="F343" s="26">
        <f t="shared" ca="1" si="33"/>
        <v>67</v>
      </c>
    </row>
    <row r="344" spans="2:6" x14ac:dyDescent="0.25">
      <c r="B344" s="26">
        <f t="shared" ca="1" si="31"/>
        <v>30</v>
      </c>
      <c r="C344" s="26">
        <f t="shared" ca="1" si="34"/>
        <v>53</v>
      </c>
      <c r="D344" s="26">
        <f t="shared" ca="1" si="32"/>
        <v>54</v>
      </c>
      <c r="E344" s="26">
        <f t="shared" ca="1" si="35"/>
        <v>40</v>
      </c>
      <c r="F344" s="26">
        <f t="shared" ca="1" si="33"/>
        <v>60</v>
      </c>
    </row>
    <row r="345" spans="2:6" x14ac:dyDescent="0.25">
      <c r="B345" s="26">
        <f t="shared" ca="1" si="31"/>
        <v>72</v>
      </c>
      <c r="C345" s="26">
        <f t="shared" ca="1" si="34"/>
        <v>38</v>
      </c>
      <c r="D345" s="26">
        <f t="shared" ca="1" si="32"/>
        <v>44</v>
      </c>
      <c r="E345" s="26">
        <f t="shared" ca="1" si="35"/>
        <v>53</v>
      </c>
      <c r="F345" s="26">
        <f t="shared" ca="1" si="33"/>
        <v>69</v>
      </c>
    </row>
    <row r="346" spans="2:6" x14ac:dyDescent="0.25">
      <c r="B346" s="26">
        <f t="shared" ca="1" si="31"/>
        <v>52</v>
      </c>
      <c r="C346" s="26">
        <f t="shared" ca="1" si="34"/>
        <v>47</v>
      </c>
      <c r="D346" s="26">
        <f t="shared" ca="1" si="32"/>
        <v>69</v>
      </c>
      <c r="E346" s="26">
        <f t="shared" ca="1" si="35"/>
        <v>45</v>
      </c>
      <c r="F346" s="26">
        <f t="shared" ca="1" si="33"/>
        <v>15</v>
      </c>
    </row>
    <row r="347" spans="2:6" x14ac:dyDescent="0.25">
      <c r="B347" s="26">
        <f t="shared" ca="1" si="31"/>
        <v>35</v>
      </c>
      <c r="C347" s="26">
        <f t="shared" ca="1" si="34"/>
        <v>17</v>
      </c>
      <c r="D347" s="26">
        <f t="shared" ca="1" si="32"/>
        <v>50</v>
      </c>
      <c r="E347" s="26">
        <f t="shared" ca="1" si="35"/>
        <v>29</v>
      </c>
      <c r="F347" s="26">
        <f t="shared" ca="1" si="33"/>
        <v>61</v>
      </c>
    </row>
    <row r="348" spans="2:6" x14ac:dyDescent="0.25">
      <c r="B348" s="26">
        <f t="shared" ca="1" si="31"/>
        <v>46</v>
      </c>
      <c r="C348" s="26">
        <f t="shared" ca="1" si="34"/>
        <v>70</v>
      </c>
      <c r="D348" s="26">
        <f t="shared" ca="1" si="32"/>
        <v>48</v>
      </c>
      <c r="E348" s="26">
        <f t="shared" ca="1" si="35"/>
        <v>52</v>
      </c>
      <c r="F348" s="26">
        <f t="shared" ca="1" si="33"/>
        <v>66</v>
      </c>
    </row>
    <row r="349" spans="2:6" x14ac:dyDescent="0.25">
      <c r="B349" s="26">
        <f t="shared" ca="1" si="31"/>
        <v>53</v>
      </c>
      <c r="C349" s="26">
        <f t="shared" ca="1" si="34"/>
        <v>64</v>
      </c>
      <c r="D349" s="26">
        <f t="shared" ca="1" si="32"/>
        <v>35</v>
      </c>
      <c r="E349" s="26">
        <f t="shared" ca="1" si="35"/>
        <v>50</v>
      </c>
      <c r="F349" s="26">
        <f t="shared" ca="1" si="33"/>
        <v>67</v>
      </c>
    </row>
    <row r="350" spans="2:6" x14ac:dyDescent="0.25">
      <c r="B350" s="26">
        <f t="shared" ca="1" si="31"/>
        <v>47</v>
      </c>
      <c r="C350" s="26">
        <f t="shared" ca="1" si="34"/>
        <v>67</v>
      </c>
      <c r="D350" s="26">
        <f t="shared" ca="1" si="32"/>
        <v>63</v>
      </c>
      <c r="E350" s="26">
        <f t="shared" ca="1" si="35"/>
        <v>59</v>
      </c>
      <c r="F350" s="26">
        <f t="shared" ca="1" si="33"/>
        <v>80</v>
      </c>
    </row>
    <row r="351" spans="2:6" x14ac:dyDescent="0.25">
      <c r="B351" s="26">
        <f t="shared" ca="1" si="31"/>
        <v>57</v>
      </c>
      <c r="C351" s="26">
        <f t="shared" ca="1" si="34"/>
        <v>75</v>
      </c>
      <c r="D351" s="26">
        <f t="shared" ca="1" si="32"/>
        <v>79</v>
      </c>
      <c r="E351" s="26">
        <f t="shared" ca="1" si="35"/>
        <v>70</v>
      </c>
      <c r="F351" s="26">
        <f t="shared" ca="1" si="33"/>
        <v>78</v>
      </c>
    </row>
    <row r="352" spans="2:6" x14ac:dyDescent="0.25">
      <c r="B352" s="26">
        <f t="shared" ca="1" si="31"/>
        <v>29</v>
      </c>
      <c r="C352" s="26">
        <f t="shared" ca="1" si="34"/>
        <v>49</v>
      </c>
      <c r="D352" s="26">
        <f t="shared" ca="1" si="32"/>
        <v>14</v>
      </c>
      <c r="E352" s="26">
        <f t="shared" ca="1" si="35"/>
        <v>32</v>
      </c>
      <c r="F352" s="26">
        <f t="shared" ca="1" si="33"/>
        <v>71</v>
      </c>
    </row>
    <row r="353" spans="2:6" x14ac:dyDescent="0.25">
      <c r="B353" s="26">
        <f t="shared" ca="1" si="31"/>
        <v>53</v>
      </c>
      <c r="C353" s="26">
        <f t="shared" ca="1" si="34"/>
        <v>46</v>
      </c>
      <c r="D353" s="26">
        <f t="shared" ca="1" si="32"/>
        <v>40</v>
      </c>
      <c r="E353" s="26">
        <f t="shared" ca="1" si="35"/>
        <v>42</v>
      </c>
      <c r="F353" s="26">
        <f t="shared" ca="1" si="33"/>
        <v>67</v>
      </c>
    </row>
    <row r="354" spans="2:6" x14ac:dyDescent="0.25">
      <c r="B354" s="26">
        <f t="shared" ca="1" si="31"/>
        <v>50</v>
      </c>
      <c r="C354" s="26">
        <f t="shared" ca="1" si="34"/>
        <v>42</v>
      </c>
      <c r="D354" s="26">
        <f t="shared" ca="1" si="32"/>
        <v>51</v>
      </c>
      <c r="E354" s="26">
        <f t="shared" ca="1" si="35"/>
        <v>80</v>
      </c>
      <c r="F354" s="26">
        <f t="shared" ca="1" si="33"/>
        <v>59</v>
      </c>
    </row>
    <row r="355" spans="2:6" x14ac:dyDescent="0.25">
      <c r="B355" s="26">
        <f t="shared" ca="1" si="31"/>
        <v>54</v>
      </c>
      <c r="C355" s="26">
        <f t="shared" ca="1" si="34"/>
        <v>51</v>
      </c>
      <c r="D355" s="26">
        <f t="shared" ca="1" si="32"/>
        <v>71</v>
      </c>
      <c r="E355" s="26">
        <f t="shared" ca="1" si="35"/>
        <v>38</v>
      </c>
      <c r="F355" s="26">
        <f t="shared" ca="1" si="33"/>
        <v>72</v>
      </c>
    </row>
    <row r="356" spans="2:6" x14ac:dyDescent="0.25">
      <c r="B356" s="26">
        <f t="shared" ca="1" si="31"/>
        <v>50</v>
      </c>
      <c r="C356" s="26">
        <f t="shared" ca="1" si="34"/>
        <v>49</v>
      </c>
      <c r="D356" s="26">
        <f t="shared" ca="1" si="32"/>
        <v>48</v>
      </c>
      <c r="E356" s="26">
        <f t="shared" ca="1" si="35"/>
        <v>53</v>
      </c>
      <c r="F356" s="26">
        <f t="shared" ca="1" si="33"/>
        <v>69</v>
      </c>
    </row>
    <row r="357" spans="2:6" x14ac:dyDescent="0.25">
      <c r="B357" s="26">
        <f t="shared" ca="1" si="31"/>
        <v>34</v>
      </c>
      <c r="C357" s="26">
        <f t="shared" ca="1" si="34"/>
        <v>34</v>
      </c>
      <c r="D357" s="26">
        <f t="shared" ca="1" si="32"/>
        <v>61</v>
      </c>
      <c r="E357" s="26">
        <f t="shared" ca="1" si="35"/>
        <v>71</v>
      </c>
      <c r="F357" s="26">
        <f t="shared" ca="1" si="33"/>
        <v>54</v>
      </c>
    </row>
    <row r="358" spans="2:6" x14ac:dyDescent="0.25">
      <c r="B358" s="26">
        <f t="shared" ca="1" si="31"/>
        <v>50</v>
      </c>
      <c r="C358" s="26">
        <f t="shared" ca="1" si="34"/>
        <v>51</v>
      </c>
      <c r="D358" s="26">
        <f t="shared" ca="1" si="32"/>
        <v>48</v>
      </c>
      <c r="E358" s="26">
        <f t="shared" ca="1" si="35"/>
        <v>46</v>
      </c>
      <c r="F358" s="26">
        <f t="shared" ca="1" si="33"/>
        <v>40</v>
      </c>
    </row>
    <row r="359" spans="2:6" x14ac:dyDescent="0.25">
      <c r="B359" s="26">
        <f t="shared" ca="1" si="31"/>
        <v>44</v>
      </c>
      <c r="C359" s="26">
        <f t="shared" ca="1" si="34"/>
        <v>13</v>
      </c>
      <c r="D359" s="26">
        <f t="shared" ca="1" si="32"/>
        <v>51</v>
      </c>
      <c r="E359" s="26">
        <f t="shared" ca="1" si="35"/>
        <v>16</v>
      </c>
      <c r="F359" s="26">
        <f t="shared" ca="1" si="33"/>
        <v>65</v>
      </c>
    </row>
    <row r="360" spans="2:6" x14ac:dyDescent="0.25">
      <c r="B360" s="26">
        <f t="shared" ca="1" si="31"/>
        <v>73</v>
      </c>
      <c r="C360" s="26">
        <f t="shared" ca="1" si="34"/>
        <v>56</v>
      </c>
      <c r="D360" s="26">
        <f t="shared" ca="1" si="32"/>
        <v>50</v>
      </c>
      <c r="E360" s="26">
        <f t="shared" ca="1" si="35"/>
        <v>19</v>
      </c>
      <c r="F360" s="26">
        <f t="shared" ca="1" si="33"/>
        <v>56</v>
      </c>
    </row>
    <row r="361" spans="2:6" x14ac:dyDescent="0.25">
      <c r="B361" s="26">
        <f t="shared" ca="1" si="31"/>
        <v>11</v>
      </c>
      <c r="C361" s="26">
        <f t="shared" ca="1" si="34"/>
        <v>54</v>
      </c>
      <c r="D361" s="26">
        <f t="shared" ca="1" si="32"/>
        <v>6</v>
      </c>
      <c r="E361" s="26">
        <f t="shared" ca="1" si="35"/>
        <v>68</v>
      </c>
      <c r="F361" s="26">
        <f t="shared" ca="1" si="33"/>
        <v>69</v>
      </c>
    </row>
    <row r="362" spans="2:6" x14ac:dyDescent="0.25">
      <c r="B362" s="26">
        <f t="shared" ca="1" si="31"/>
        <v>52</v>
      </c>
      <c r="C362" s="26">
        <f t="shared" ca="1" si="34"/>
        <v>63</v>
      </c>
      <c r="D362" s="26">
        <f t="shared" ca="1" si="32"/>
        <v>71</v>
      </c>
      <c r="E362" s="26">
        <f t="shared" ca="1" si="35"/>
        <v>31</v>
      </c>
      <c r="F362" s="26">
        <f t="shared" ca="1" si="33"/>
        <v>56</v>
      </c>
    </row>
    <row r="363" spans="2:6" x14ac:dyDescent="0.25">
      <c r="B363" s="26">
        <f t="shared" ca="1" si="31"/>
        <v>43</v>
      </c>
      <c r="C363" s="26">
        <f t="shared" ca="1" si="34"/>
        <v>47</v>
      </c>
      <c r="D363" s="26">
        <f t="shared" ca="1" si="32"/>
        <v>33</v>
      </c>
      <c r="E363" s="26">
        <f t="shared" ca="1" si="35"/>
        <v>39</v>
      </c>
      <c r="F363" s="26">
        <f t="shared" ca="1" si="33"/>
        <v>69</v>
      </c>
    </row>
    <row r="364" spans="2:6" x14ac:dyDescent="0.25">
      <c r="B364" s="26">
        <f t="shared" ca="1" si="31"/>
        <v>86</v>
      </c>
      <c r="C364" s="26">
        <f t="shared" ca="1" si="34"/>
        <v>44</v>
      </c>
      <c r="D364" s="26">
        <f t="shared" ca="1" si="32"/>
        <v>27</v>
      </c>
      <c r="E364" s="26">
        <f t="shared" ca="1" si="35"/>
        <v>71</v>
      </c>
      <c r="F364" s="26">
        <f t="shared" ca="1" si="33"/>
        <v>69</v>
      </c>
    </row>
    <row r="365" spans="2:6" x14ac:dyDescent="0.25">
      <c r="B365" s="26">
        <f t="shared" ca="1" si="31"/>
        <v>61</v>
      </c>
      <c r="C365" s="26">
        <f t="shared" ca="1" si="34"/>
        <v>63</v>
      </c>
      <c r="D365" s="26">
        <f t="shared" ca="1" si="32"/>
        <v>59</v>
      </c>
      <c r="E365" s="26">
        <f t="shared" ca="1" si="35"/>
        <v>50</v>
      </c>
      <c r="F365" s="26">
        <f t="shared" ca="1" si="33"/>
        <v>61</v>
      </c>
    </row>
    <row r="366" spans="2:6" x14ac:dyDescent="0.25">
      <c r="B366" s="26">
        <f t="shared" ca="1" si="31"/>
        <v>72</v>
      </c>
      <c r="C366" s="26">
        <f t="shared" ca="1" si="34"/>
        <v>75</v>
      </c>
      <c r="D366" s="26">
        <f t="shared" ca="1" si="32"/>
        <v>46</v>
      </c>
      <c r="E366" s="26">
        <f t="shared" ca="1" si="35"/>
        <v>68</v>
      </c>
      <c r="F366" s="26">
        <f t="shared" ca="1" si="33"/>
        <v>55</v>
      </c>
    </row>
    <row r="367" spans="2:6" x14ac:dyDescent="0.25">
      <c r="B367" s="26">
        <f t="shared" ca="1" si="31"/>
        <v>79</v>
      </c>
      <c r="C367" s="26">
        <f t="shared" ca="1" si="34"/>
        <v>49</v>
      </c>
      <c r="D367" s="26">
        <f t="shared" ca="1" si="32"/>
        <v>73</v>
      </c>
      <c r="E367" s="26">
        <f t="shared" ca="1" si="35"/>
        <v>53</v>
      </c>
      <c r="F367" s="26">
        <f t="shared" ca="1" si="33"/>
        <v>45</v>
      </c>
    </row>
    <row r="368" spans="2:6" x14ac:dyDescent="0.25">
      <c r="B368" s="26">
        <f t="shared" ca="1" si="31"/>
        <v>61</v>
      </c>
      <c r="C368" s="26">
        <f t="shared" ca="1" si="34"/>
        <v>64</v>
      </c>
      <c r="D368" s="26">
        <f t="shared" ca="1" si="32"/>
        <v>55</v>
      </c>
      <c r="E368" s="26">
        <f t="shared" ca="1" si="35"/>
        <v>80</v>
      </c>
      <c r="F368" s="26">
        <f t="shared" ca="1" si="33"/>
        <v>63</v>
      </c>
    </row>
    <row r="369" spans="2:6" x14ac:dyDescent="0.25">
      <c r="B369" s="26">
        <f t="shared" ca="1" si="31"/>
        <v>66</v>
      </c>
      <c r="C369" s="26">
        <f t="shared" ca="1" si="34"/>
        <v>49</v>
      </c>
      <c r="D369" s="26">
        <f t="shared" ca="1" si="32"/>
        <v>65</v>
      </c>
      <c r="E369" s="26">
        <f t="shared" ca="1" si="35"/>
        <v>33</v>
      </c>
      <c r="F369" s="26">
        <f t="shared" ca="1" si="33"/>
        <v>79</v>
      </c>
    </row>
    <row r="370" spans="2:6" x14ac:dyDescent="0.25">
      <c r="B370" s="26">
        <f t="shared" ca="1" si="31"/>
        <v>70</v>
      </c>
      <c r="C370" s="26">
        <f t="shared" ca="1" si="34"/>
        <v>46</v>
      </c>
      <c r="D370" s="26">
        <f t="shared" ca="1" si="32"/>
        <v>64</v>
      </c>
      <c r="E370" s="26">
        <f t="shared" ca="1" si="35"/>
        <v>25</v>
      </c>
      <c r="F370" s="26">
        <f t="shared" ca="1" si="33"/>
        <v>66</v>
      </c>
    </row>
    <row r="371" spans="2:6" x14ac:dyDescent="0.25">
      <c r="B371" s="26">
        <f t="shared" ca="1" si="31"/>
        <v>11</v>
      </c>
      <c r="C371" s="26">
        <f t="shared" ca="1" si="34"/>
        <v>57</v>
      </c>
      <c r="D371" s="26">
        <f t="shared" ca="1" si="32"/>
        <v>44</v>
      </c>
      <c r="E371" s="26">
        <f t="shared" ca="1" si="35"/>
        <v>52</v>
      </c>
      <c r="F371" s="26">
        <f t="shared" ca="1" si="33"/>
        <v>65</v>
      </c>
    </row>
    <row r="372" spans="2:6" x14ac:dyDescent="0.25">
      <c r="B372" s="26">
        <f t="shared" ca="1" si="31"/>
        <v>77</v>
      </c>
      <c r="C372" s="26">
        <f t="shared" ca="1" si="34"/>
        <v>56</v>
      </c>
      <c r="D372" s="26">
        <f t="shared" ca="1" si="32"/>
        <v>37</v>
      </c>
      <c r="E372" s="26">
        <f t="shared" ca="1" si="35"/>
        <v>51</v>
      </c>
      <c r="F372" s="26">
        <f t="shared" ca="1" si="33"/>
        <v>80</v>
      </c>
    </row>
    <row r="373" spans="2:6" x14ac:dyDescent="0.25">
      <c r="B373" s="26">
        <f t="shared" ca="1" si="31"/>
        <v>45</v>
      </c>
      <c r="C373" s="26">
        <f t="shared" ca="1" si="34"/>
        <v>56</v>
      </c>
      <c r="D373" s="26">
        <f t="shared" ca="1" si="32"/>
        <v>53</v>
      </c>
      <c r="E373" s="26">
        <f t="shared" ca="1" si="35"/>
        <v>48</v>
      </c>
      <c r="F373" s="26">
        <f t="shared" ca="1" si="33"/>
        <v>63</v>
      </c>
    </row>
    <row r="374" spans="2:6" x14ac:dyDescent="0.25">
      <c r="B374" s="26">
        <f t="shared" ca="1" si="31"/>
        <v>54</v>
      </c>
      <c r="C374" s="26">
        <f t="shared" ca="1" si="34"/>
        <v>59</v>
      </c>
      <c r="D374" s="26">
        <f t="shared" ca="1" si="32"/>
        <v>48</v>
      </c>
      <c r="E374" s="26">
        <f t="shared" ca="1" si="35"/>
        <v>43</v>
      </c>
      <c r="F374" s="26">
        <f t="shared" ca="1" si="33"/>
        <v>53</v>
      </c>
    </row>
    <row r="375" spans="2:6" x14ac:dyDescent="0.25">
      <c r="B375" s="26">
        <f t="shared" ca="1" si="31"/>
        <v>47</v>
      </c>
      <c r="C375" s="26">
        <f t="shared" ca="1" si="34"/>
        <v>43</v>
      </c>
      <c r="D375" s="26">
        <f t="shared" ca="1" si="32"/>
        <v>12</v>
      </c>
      <c r="E375" s="26">
        <f t="shared" ca="1" si="35"/>
        <v>93</v>
      </c>
      <c r="F375" s="26">
        <f t="shared" ca="1" si="33"/>
        <v>72</v>
      </c>
    </row>
    <row r="376" spans="2:6" x14ac:dyDescent="0.25">
      <c r="B376" s="26">
        <f t="shared" ca="1" si="31"/>
        <v>75</v>
      </c>
      <c r="C376" s="26">
        <f t="shared" ca="1" si="34"/>
        <v>32</v>
      </c>
      <c r="D376" s="26">
        <f t="shared" ca="1" si="32"/>
        <v>50</v>
      </c>
      <c r="E376" s="26">
        <f t="shared" ca="1" si="35"/>
        <v>70</v>
      </c>
      <c r="F376" s="26">
        <f t="shared" ca="1" si="33"/>
        <v>62</v>
      </c>
    </row>
    <row r="377" spans="2:6" x14ac:dyDescent="0.25">
      <c r="B377" s="26">
        <f t="shared" ca="1" si="31"/>
        <v>55</v>
      </c>
      <c r="C377" s="26">
        <f t="shared" ca="1" si="34"/>
        <v>61</v>
      </c>
      <c r="D377" s="26">
        <f t="shared" ca="1" si="32"/>
        <v>51</v>
      </c>
      <c r="E377" s="26">
        <f t="shared" ca="1" si="35"/>
        <v>49</v>
      </c>
      <c r="F377" s="26">
        <f t="shared" ca="1" si="33"/>
        <v>64</v>
      </c>
    </row>
    <row r="378" spans="2:6" x14ac:dyDescent="0.25">
      <c r="B378" s="26">
        <f t="shared" ca="1" si="31"/>
        <v>60</v>
      </c>
      <c r="C378" s="26">
        <f t="shared" ca="1" si="34"/>
        <v>74</v>
      </c>
      <c r="D378" s="26">
        <f t="shared" ca="1" si="32"/>
        <v>58</v>
      </c>
      <c r="E378" s="26">
        <f t="shared" ca="1" si="35"/>
        <v>25</v>
      </c>
      <c r="F378" s="26">
        <f t="shared" ca="1" si="33"/>
        <v>67</v>
      </c>
    </row>
    <row r="379" spans="2:6" x14ac:dyDescent="0.25">
      <c r="B379" s="26">
        <f t="shared" ca="1" si="31"/>
        <v>42</v>
      </c>
      <c r="C379" s="26">
        <f t="shared" ca="1" si="34"/>
        <v>22</v>
      </c>
      <c r="D379" s="26">
        <f t="shared" ca="1" si="32"/>
        <v>55</v>
      </c>
      <c r="E379" s="26">
        <f t="shared" ca="1" si="35"/>
        <v>42</v>
      </c>
      <c r="F379" s="26">
        <f t="shared" ca="1" si="33"/>
        <v>72</v>
      </c>
    </row>
    <row r="380" spans="2:6" x14ac:dyDescent="0.25">
      <c r="B380" s="26">
        <f t="shared" ca="1" si="31"/>
        <v>46</v>
      </c>
      <c r="C380" s="26">
        <f t="shared" ca="1" si="34"/>
        <v>46</v>
      </c>
      <c r="D380" s="26">
        <f t="shared" ca="1" si="32"/>
        <v>28</v>
      </c>
      <c r="E380" s="26">
        <f t="shared" ca="1" si="35"/>
        <v>68</v>
      </c>
      <c r="F380" s="26">
        <f t="shared" ca="1" si="33"/>
        <v>68</v>
      </c>
    </row>
    <row r="381" spans="2:6" x14ac:dyDescent="0.25">
      <c r="B381" s="26">
        <f t="shared" ca="1" si="31"/>
        <v>55</v>
      </c>
      <c r="C381" s="26">
        <f t="shared" ca="1" si="34"/>
        <v>51</v>
      </c>
      <c r="D381" s="26">
        <f t="shared" ca="1" si="32"/>
        <v>37</v>
      </c>
      <c r="E381" s="26">
        <f t="shared" ca="1" si="35"/>
        <v>58</v>
      </c>
      <c r="F381" s="26">
        <f t="shared" ca="1" si="33"/>
        <v>31</v>
      </c>
    </row>
    <row r="382" spans="2:6" x14ac:dyDescent="0.25">
      <c r="B382" s="26">
        <f t="shared" ca="1" si="31"/>
        <v>79</v>
      </c>
      <c r="C382" s="26">
        <f t="shared" ca="1" si="34"/>
        <v>26</v>
      </c>
      <c r="D382" s="26">
        <f t="shared" ca="1" si="32"/>
        <v>68</v>
      </c>
      <c r="E382" s="26">
        <f t="shared" ca="1" si="35"/>
        <v>65</v>
      </c>
      <c r="F382" s="26">
        <f t="shared" ca="1" si="33"/>
        <v>52</v>
      </c>
    </row>
    <row r="383" spans="2:6" x14ac:dyDescent="0.25">
      <c r="B383" s="26">
        <f t="shared" ca="1" si="31"/>
        <v>62</v>
      </c>
      <c r="C383" s="26">
        <f t="shared" ca="1" si="34"/>
        <v>50</v>
      </c>
      <c r="D383" s="26">
        <f t="shared" ca="1" si="32"/>
        <v>53</v>
      </c>
      <c r="E383" s="26">
        <f t="shared" ca="1" si="35"/>
        <v>50</v>
      </c>
      <c r="F383" s="26">
        <f t="shared" ca="1" si="33"/>
        <v>70</v>
      </c>
    </row>
    <row r="384" spans="2:6" x14ac:dyDescent="0.25">
      <c r="B384" s="26">
        <f t="shared" ca="1" si="31"/>
        <v>45</v>
      </c>
      <c r="C384" s="26">
        <f t="shared" ca="1" si="34"/>
        <v>62</v>
      </c>
      <c r="D384" s="26">
        <f t="shared" ca="1" si="32"/>
        <v>56</v>
      </c>
      <c r="E384" s="26">
        <f t="shared" ca="1" si="35"/>
        <v>68</v>
      </c>
      <c r="F384" s="26">
        <f t="shared" ca="1" si="33"/>
        <v>78</v>
      </c>
    </row>
    <row r="385" spans="2:6" x14ac:dyDescent="0.25">
      <c r="B385" s="26">
        <f t="shared" ca="1" si="31"/>
        <v>66</v>
      </c>
      <c r="C385" s="26">
        <f t="shared" ca="1" si="34"/>
        <v>68</v>
      </c>
      <c r="D385" s="26">
        <f t="shared" ca="1" si="32"/>
        <v>42</v>
      </c>
      <c r="E385" s="26">
        <f t="shared" ca="1" si="35"/>
        <v>48</v>
      </c>
      <c r="F385" s="26">
        <f t="shared" ca="1" si="33"/>
        <v>61</v>
      </c>
    </row>
    <row r="386" spans="2:6" x14ac:dyDescent="0.25">
      <c r="B386" s="26">
        <f t="shared" ca="1" si="31"/>
        <v>71</v>
      </c>
      <c r="C386" s="26">
        <f t="shared" ca="1" si="34"/>
        <v>58</v>
      </c>
      <c r="D386" s="26">
        <f t="shared" ca="1" si="32"/>
        <v>60</v>
      </c>
      <c r="E386" s="26">
        <f t="shared" ca="1" si="35"/>
        <v>58</v>
      </c>
      <c r="F386" s="26">
        <f t="shared" ca="1" si="33"/>
        <v>25</v>
      </c>
    </row>
    <row r="387" spans="2:6" x14ac:dyDescent="0.25">
      <c r="B387" s="26">
        <f t="shared" ca="1" si="31"/>
        <v>54</v>
      </c>
      <c r="C387" s="26">
        <f t="shared" ca="1" si="34"/>
        <v>68</v>
      </c>
      <c r="D387" s="26">
        <f t="shared" ca="1" si="32"/>
        <v>48</v>
      </c>
      <c r="E387" s="26">
        <f t="shared" ca="1" si="35"/>
        <v>55</v>
      </c>
      <c r="F387" s="26">
        <f t="shared" ca="1" si="33"/>
        <v>73</v>
      </c>
    </row>
    <row r="388" spans="2:6" x14ac:dyDescent="0.25">
      <c r="B388" s="26">
        <f t="shared" ca="1" si="31"/>
        <v>56</v>
      </c>
      <c r="C388" s="26">
        <f t="shared" ca="1" si="34"/>
        <v>44</v>
      </c>
      <c r="D388" s="26">
        <f t="shared" ca="1" si="32"/>
        <v>46</v>
      </c>
      <c r="E388" s="26">
        <f t="shared" ca="1" si="35"/>
        <v>67</v>
      </c>
      <c r="F388" s="26">
        <f t="shared" ca="1" si="33"/>
        <v>57</v>
      </c>
    </row>
    <row r="389" spans="2:6" x14ac:dyDescent="0.25">
      <c r="B389" s="26">
        <f t="shared" ca="1" si="31"/>
        <v>51</v>
      </c>
      <c r="C389" s="26">
        <f t="shared" ca="1" si="34"/>
        <v>82</v>
      </c>
      <c r="D389" s="26">
        <f t="shared" ca="1" si="32"/>
        <v>46</v>
      </c>
      <c r="E389" s="26">
        <f t="shared" ca="1" si="35"/>
        <v>57</v>
      </c>
      <c r="F389" s="26">
        <f t="shared" ca="1" si="33"/>
        <v>70</v>
      </c>
    </row>
    <row r="390" spans="2:6" x14ac:dyDescent="0.25">
      <c r="B390" s="26">
        <f t="shared" ca="1" si="31"/>
        <v>52</v>
      </c>
      <c r="C390" s="26">
        <f t="shared" ca="1" si="34"/>
        <v>72</v>
      </c>
      <c r="D390" s="26">
        <f t="shared" ca="1" si="32"/>
        <v>46</v>
      </c>
      <c r="E390" s="26">
        <f t="shared" ca="1" si="35"/>
        <v>24</v>
      </c>
      <c r="F390" s="26">
        <f t="shared" ca="1" si="33"/>
        <v>11</v>
      </c>
    </row>
    <row r="391" spans="2:6" x14ac:dyDescent="0.25">
      <c r="B391" s="26">
        <f t="shared" ca="1" si="31"/>
        <v>65</v>
      </c>
      <c r="C391" s="26">
        <f t="shared" ca="1" si="34"/>
        <v>15</v>
      </c>
      <c r="D391" s="26">
        <f t="shared" ca="1" si="32"/>
        <v>59</v>
      </c>
      <c r="E391" s="26">
        <f t="shared" ca="1" si="35"/>
        <v>74</v>
      </c>
      <c r="F391" s="26">
        <f t="shared" ca="1" si="33"/>
        <v>75</v>
      </c>
    </row>
    <row r="392" spans="2:6" x14ac:dyDescent="0.25">
      <c r="B392" s="26">
        <f t="shared" ca="1" si="31"/>
        <v>49</v>
      </c>
      <c r="C392" s="26">
        <f t="shared" ca="1" si="34"/>
        <v>10</v>
      </c>
      <c r="D392" s="26">
        <f t="shared" ca="1" si="32"/>
        <v>57</v>
      </c>
      <c r="E392" s="26">
        <f t="shared" ca="1" si="35"/>
        <v>56</v>
      </c>
      <c r="F392" s="26">
        <f t="shared" ca="1" si="33"/>
        <v>57</v>
      </c>
    </row>
    <row r="393" spans="2:6" x14ac:dyDescent="0.25">
      <c r="B393" s="26">
        <f t="shared" ca="1" si="31"/>
        <v>27</v>
      </c>
      <c r="C393" s="26">
        <f t="shared" ca="1" si="34"/>
        <v>66</v>
      </c>
      <c r="D393" s="26">
        <f t="shared" ca="1" si="32"/>
        <v>68</v>
      </c>
      <c r="E393" s="26">
        <f t="shared" ca="1" si="35"/>
        <v>32</v>
      </c>
      <c r="F393" s="26">
        <f t="shared" ca="1" si="33"/>
        <v>78</v>
      </c>
    </row>
    <row r="394" spans="2:6" x14ac:dyDescent="0.25">
      <c r="B394" s="26">
        <f t="shared" ca="1" si="31"/>
        <v>50</v>
      </c>
      <c r="C394" s="26">
        <f t="shared" ca="1" si="34"/>
        <v>5</v>
      </c>
      <c r="D394" s="26">
        <f t="shared" ca="1" si="32"/>
        <v>29</v>
      </c>
      <c r="E394" s="26">
        <f t="shared" ca="1" si="35"/>
        <v>46</v>
      </c>
      <c r="F394" s="26">
        <f t="shared" ca="1" si="33"/>
        <v>60</v>
      </c>
    </row>
    <row r="395" spans="2:6" x14ac:dyDescent="0.25">
      <c r="B395" s="26">
        <f t="shared" ca="1" si="31"/>
        <v>48</v>
      </c>
      <c r="C395" s="26">
        <f t="shared" ca="1" si="34"/>
        <v>62</v>
      </c>
      <c r="D395" s="26">
        <f t="shared" ca="1" si="32"/>
        <v>30</v>
      </c>
      <c r="E395" s="26">
        <f t="shared" ca="1" si="35"/>
        <v>55</v>
      </c>
      <c r="F395" s="26">
        <f t="shared" ca="1" si="33"/>
        <v>47</v>
      </c>
    </row>
    <row r="396" spans="2:6" x14ac:dyDescent="0.25">
      <c r="B396" s="26">
        <f t="shared" ca="1" si="31"/>
        <v>73</v>
      </c>
      <c r="C396" s="26">
        <f t="shared" ca="1" si="34"/>
        <v>69</v>
      </c>
      <c r="D396" s="26">
        <f t="shared" ca="1" si="32"/>
        <v>62</v>
      </c>
      <c r="E396" s="26">
        <f t="shared" ca="1" si="35"/>
        <v>45</v>
      </c>
      <c r="F396" s="26">
        <f t="shared" ca="1" si="33"/>
        <v>49</v>
      </c>
    </row>
    <row r="397" spans="2:6" x14ac:dyDescent="0.25">
      <c r="B397" s="26">
        <f t="shared" ca="1" si="31"/>
        <v>54</v>
      </c>
      <c r="C397" s="26">
        <f t="shared" ca="1" si="34"/>
        <v>78</v>
      </c>
      <c r="D397" s="26">
        <f t="shared" ca="1" si="32"/>
        <v>25</v>
      </c>
      <c r="E397" s="26">
        <f t="shared" ca="1" si="35"/>
        <v>39</v>
      </c>
      <c r="F397" s="26">
        <f t="shared" ca="1" si="33"/>
        <v>47</v>
      </c>
    </row>
    <row r="398" spans="2:6" x14ac:dyDescent="0.25">
      <c r="B398" s="26">
        <f t="shared" ca="1" si="31"/>
        <v>13</v>
      </c>
      <c r="C398" s="26">
        <f t="shared" ca="1" si="34"/>
        <v>41</v>
      </c>
      <c r="D398" s="26">
        <f t="shared" ca="1" si="32"/>
        <v>51</v>
      </c>
      <c r="E398" s="26">
        <f t="shared" ca="1" si="35"/>
        <v>54</v>
      </c>
      <c r="F398" s="26">
        <f t="shared" ca="1" si="33"/>
        <v>70</v>
      </c>
    </row>
  </sheetData>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67">
    <tabColor rgb="FF0000FF"/>
  </sheetPr>
  <dimension ref="A1:G104"/>
  <sheetViews>
    <sheetView zoomScale="85" zoomScaleNormal="85" workbookViewId="0"/>
  </sheetViews>
  <sheetFormatPr defaultRowHeight="15" x14ac:dyDescent="0.25"/>
  <cols>
    <col min="1" max="1" width="10.5703125" customWidth="1"/>
    <col min="3" max="3" width="29.7109375" customWidth="1"/>
    <col min="4" max="4" width="17.140625" customWidth="1"/>
    <col min="6" max="6" width="18.85546875" customWidth="1"/>
  </cols>
  <sheetData>
    <row r="1" spans="1:6" x14ac:dyDescent="0.25">
      <c r="A1" s="198" t="s">
        <v>730</v>
      </c>
      <c r="C1" s="89" t="s">
        <v>318</v>
      </c>
      <c r="D1" s="46">
        <f>MIN(A2:A104)</f>
        <v>2510</v>
      </c>
      <c r="F1" s="89" t="s">
        <v>300</v>
      </c>
    </row>
    <row r="2" spans="1:6" x14ac:dyDescent="0.25">
      <c r="A2" s="195">
        <v>3822</v>
      </c>
      <c r="C2" s="89" t="s">
        <v>285</v>
      </c>
      <c r="D2" s="30">
        <f>_xlfn.QUARTILE.EXC(A2:A104,F2)</f>
        <v>4003</v>
      </c>
      <c r="F2" s="26">
        <v>1</v>
      </c>
    </row>
    <row r="3" spans="1:6" x14ac:dyDescent="0.25">
      <c r="A3" s="196">
        <v>4024</v>
      </c>
      <c r="C3" s="89" t="s">
        <v>86</v>
      </c>
      <c r="D3" s="30">
        <f>_xlfn.QUARTILE.EXC(A2:A104,F3)</f>
        <v>4319</v>
      </c>
      <c r="F3" s="26">
        <v>2</v>
      </c>
    </row>
    <row r="4" spans="1:6" x14ac:dyDescent="0.25">
      <c r="A4" s="197">
        <v>4015</v>
      </c>
      <c r="C4" s="89" t="s">
        <v>287</v>
      </c>
      <c r="D4" s="30">
        <f>_xlfn.QUARTILE.EXC(A2:A104,F4)</f>
        <v>4664</v>
      </c>
      <c r="F4" s="26">
        <v>3</v>
      </c>
    </row>
    <row r="5" spans="1:6" x14ac:dyDescent="0.25">
      <c r="A5" s="196">
        <v>4442</v>
      </c>
      <c r="C5" s="89" t="s">
        <v>319</v>
      </c>
      <c r="D5" s="46">
        <f>MAX(A2:A104)</f>
        <v>6987</v>
      </c>
    </row>
    <row r="6" spans="1:6" x14ac:dyDescent="0.25">
      <c r="A6" s="197">
        <v>4174</v>
      </c>
      <c r="C6" s="89" t="s">
        <v>96</v>
      </c>
      <c r="D6" s="30">
        <f>D4-D2</f>
        <v>661</v>
      </c>
    </row>
    <row r="7" spans="1:6" x14ac:dyDescent="0.25">
      <c r="A7" s="196">
        <v>3751</v>
      </c>
      <c r="C7" s="89" t="s">
        <v>670</v>
      </c>
      <c r="D7" s="26">
        <v>1.5</v>
      </c>
    </row>
    <row r="8" spans="1:6" x14ac:dyDescent="0.25">
      <c r="A8" s="197">
        <v>5802</v>
      </c>
    </row>
    <row r="9" spans="1:6" x14ac:dyDescent="0.25">
      <c r="A9" s="196">
        <v>4068</v>
      </c>
      <c r="D9" s="89" t="s">
        <v>729</v>
      </c>
      <c r="E9" s="89" t="s">
        <v>675</v>
      </c>
    </row>
    <row r="10" spans="1:6" x14ac:dyDescent="0.25">
      <c r="A10" s="197">
        <v>4239</v>
      </c>
      <c r="D10" s="30">
        <f>D2-D7*D6</f>
        <v>3011.5</v>
      </c>
      <c r="E10" s="26">
        <v>0</v>
      </c>
    </row>
    <row r="11" spans="1:6" x14ac:dyDescent="0.25">
      <c r="A11" s="196">
        <v>4426</v>
      </c>
      <c r="D11" s="30">
        <f>D10</f>
        <v>3011.5</v>
      </c>
      <c r="E11" s="26">
        <v>2</v>
      </c>
    </row>
    <row r="12" spans="1:6" x14ac:dyDescent="0.25">
      <c r="A12" s="197">
        <v>4246</v>
      </c>
    </row>
    <row r="13" spans="1:6" x14ac:dyDescent="0.25">
      <c r="A13" s="196">
        <v>4279</v>
      </c>
      <c r="D13" s="89" t="s">
        <v>728</v>
      </c>
      <c r="E13" s="89" t="s">
        <v>675</v>
      </c>
    </row>
    <row r="14" spans="1:6" x14ac:dyDescent="0.25">
      <c r="A14" s="197">
        <v>4431</v>
      </c>
      <c r="D14" s="30">
        <f>D4+D6*D7</f>
        <v>5655.5</v>
      </c>
      <c r="E14" s="30">
        <f>E10</f>
        <v>0</v>
      </c>
    </row>
    <row r="15" spans="1:6" x14ac:dyDescent="0.25">
      <c r="A15" s="196">
        <v>4623</v>
      </c>
      <c r="D15" s="30">
        <f>D14</f>
        <v>5655.5</v>
      </c>
      <c r="E15" s="30">
        <f>E11</f>
        <v>2</v>
      </c>
    </row>
    <row r="16" spans="1:6" x14ac:dyDescent="0.25">
      <c r="A16" s="197">
        <v>4228</v>
      </c>
    </row>
    <row r="17" spans="1:7" x14ac:dyDescent="0.25">
      <c r="A17" s="196">
        <v>4311</v>
      </c>
      <c r="D17" s="89" t="s">
        <v>85</v>
      </c>
      <c r="E17" s="89" t="s">
        <v>675</v>
      </c>
    </row>
    <row r="18" spans="1:7" x14ac:dyDescent="0.25">
      <c r="A18" s="197">
        <v>4524</v>
      </c>
      <c r="D18" s="46">
        <f>AVERAGE(A2:A104)</f>
        <v>4377.7864077669901</v>
      </c>
      <c r="E18" s="26">
        <v>2</v>
      </c>
    </row>
    <row r="19" spans="1:7" x14ac:dyDescent="0.25">
      <c r="A19" s="196">
        <v>4634</v>
      </c>
    </row>
    <row r="20" spans="1:7" x14ac:dyDescent="0.25">
      <c r="A20" s="197">
        <v>5490</v>
      </c>
      <c r="C20" s="151" t="s">
        <v>727</v>
      </c>
    </row>
    <row r="21" spans="1:7" x14ac:dyDescent="0.25">
      <c r="A21" s="196">
        <v>4441</v>
      </c>
      <c r="C21" s="89" t="s">
        <v>726</v>
      </c>
      <c r="D21" s="30">
        <f>_xlfn.AGGREGATE(15,6,A2:A104/(A2:A104&gt;D10),1)</f>
        <v>3184</v>
      </c>
    </row>
    <row r="22" spans="1:7" x14ac:dyDescent="0.25">
      <c r="A22" s="197">
        <v>3541</v>
      </c>
      <c r="C22" s="89" t="s">
        <v>725</v>
      </c>
      <c r="D22" s="30">
        <f>_xlfn.AGGREGATE(14,6,A2:A104/(A2:A104&lt;D14),1)</f>
        <v>5620</v>
      </c>
    </row>
    <row r="23" spans="1:7" x14ac:dyDescent="0.25">
      <c r="A23" s="196">
        <v>4383</v>
      </c>
    </row>
    <row r="24" spans="1:7" x14ac:dyDescent="0.25">
      <c r="A24" s="197">
        <v>4155</v>
      </c>
      <c r="C24" s="89" t="str">
        <f>C21</f>
        <v>Smallest value Inside Limit</v>
      </c>
      <c r="D24" s="30">
        <f>D21</f>
        <v>3184</v>
      </c>
    </row>
    <row r="25" spans="1:7" x14ac:dyDescent="0.25">
      <c r="A25" s="196">
        <v>4590</v>
      </c>
      <c r="C25" s="89" t="str">
        <f>C2</f>
        <v>Quartile 1</v>
      </c>
      <c r="D25" s="30">
        <f>D2-D21</f>
        <v>819</v>
      </c>
    </row>
    <row r="26" spans="1:7" x14ac:dyDescent="0.25">
      <c r="A26" s="197">
        <v>3891</v>
      </c>
      <c r="C26" s="89" t="str">
        <f>C3</f>
        <v>Median</v>
      </c>
      <c r="D26" s="30">
        <f>D3-D2</f>
        <v>316</v>
      </c>
    </row>
    <row r="27" spans="1:7" x14ac:dyDescent="0.25">
      <c r="A27" s="196">
        <v>5942</v>
      </c>
      <c r="C27" s="89" t="str">
        <f>C4</f>
        <v>Quartile 3</v>
      </c>
      <c r="D27" s="30">
        <f>D4-D3</f>
        <v>345</v>
      </c>
    </row>
    <row r="28" spans="1:7" x14ac:dyDescent="0.25">
      <c r="A28" s="197">
        <v>3957</v>
      </c>
      <c r="C28" s="89" t="s">
        <v>725</v>
      </c>
      <c r="D28" s="30">
        <f>D22-D4</f>
        <v>956</v>
      </c>
    </row>
    <row r="29" spans="1:7" x14ac:dyDescent="0.25">
      <c r="A29" s="196">
        <v>3234</v>
      </c>
    </row>
    <row r="30" spans="1:7" x14ac:dyDescent="0.25">
      <c r="A30" s="197">
        <v>4224</v>
      </c>
      <c r="C30" s="22" t="s">
        <v>724</v>
      </c>
      <c r="D30" s="30">
        <f>COUNTIFS(A2:A104,"&lt;"&amp;D10)</f>
        <v>2</v>
      </c>
      <c r="F30" s="22" t="s">
        <v>723</v>
      </c>
      <c r="G30" s="30">
        <f>COUNTIFS($A$2:$A$104,"&gt;"&amp;D14)</f>
        <v>5</v>
      </c>
    </row>
    <row r="31" spans="1:7" x14ac:dyDescent="0.25">
      <c r="A31" s="196">
        <v>4474</v>
      </c>
    </row>
    <row r="32" spans="1:7" x14ac:dyDescent="0.25">
      <c r="A32" s="197">
        <v>5942</v>
      </c>
      <c r="C32" s="22" t="s">
        <v>722</v>
      </c>
      <c r="F32" s="22" t="s">
        <v>721</v>
      </c>
    </row>
    <row r="33" spans="1:7" x14ac:dyDescent="0.25">
      <c r="A33" s="196">
        <v>4533</v>
      </c>
      <c r="C33" s="89" t="s">
        <v>719</v>
      </c>
      <c r="D33" s="89" t="s">
        <v>718</v>
      </c>
      <c r="E33" s="22"/>
      <c r="F33" s="89" t="s">
        <v>719</v>
      </c>
      <c r="G33" s="89" t="s">
        <v>718</v>
      </c>
    </row>
    <row r="34" spans="1:7" x14ac:dyDescent="0.25">
      <c r="A34" s="197">
        <v>4563</v>
      </c>
      <c r="C34" s="30">
        <f>IF(ROWS(C$34:C34)&gt;D$30,"",_xlfn.AGGREGATE(15,6,$A$2:$A$104/($A$2:$A$104&lt;$D$10),ROWS(C$34:C34)))</f>
        <v>2510</v>
      </c>
      <c r="D34" s="26">
        <v>1</v>
      </c>
      <c r="F34" s="30">
        <f>IF(ROWS(F$34:F34)&gt;G$30,"",_xlfn.AGGREGATE(14,6,$A$2:$A$104/($A$2:$A$104&gt;$D$14),ROWS(F$34:F34)))</f>
        <v>6987</v>
      </c>
      <c r="G34" s="26">
        <v>1</v>
      </c>
    </row>
    <row r="35" spans="1:7" x14ac:dyDescent="0.25">
      <c r="A35" s="196">
        <v>3893</v>
      </c>
      <c r="C35" s="30">
        <f>IF(ROWS(C$34:C35)&gt;D$30,"",_xlfn.AGGREGATE(15,6,$A$2:$A$104/($A$2:$A$104&lt;$D$10),ROWS(C$34:C35)))</f>
        <v>3008</v>
      </c>
      <c r="D35" s="26">
        <v>1</v>
      </c>
      <c r="F35" s="30">
        <f>IF(ROWS(F$34:F35)&gt;G$30,"",_xlfn.AGGREGATE(14,6,$A$2:$A$104/($A$2:$A$104&gt;$D$14),ROWS(F$34:F35)))</f>
        <v>5942</v>
      </c>
      <c r="G35" s="26">
        <v>1</v>
      </c>
    </row>
    <row r="36" spans="1:7" x14ac:dyDescent="0.25">
      <c r="A36" s="197">
        <v>5367</v>
      </c>
      <c r="C36" s="30" t="str">
        <f>IF(ROWS(C$34:C36)&gt;D$30,"",_xlfn.AGGREGATE(15,6,$A$2:$A$104/($A$2:$A$104&lt;$D$10),ROWS(C$34:C36)))</f>
        <v/>
      </c>
      <c r="D36" s="26">
        <v>1</v>
      </c>
      <c r="F36" s="30">
        <f>IF(ROWS(F$34:F36)&gt;G$30,"",_xlfn.AGGREGATE(14,6,$A$2:$A$104/($A$2:$A$104&gt;$D$14),ROWS(F$34:F36)))</f>
        <v>5942</v>
      </c>
      <c r="G36" s="26">
        <v>1</v>
      </c>
    </row>
    <row r="37" spans="1:7" x14ac:dyDescent="0.25">
      <c r="A37" s="196">
        <v>3593</v>
      </c>
      <c r="C37" s="30" t="str">
        <f>IF(ROWS(C$34:C37)&gt;D$30,"",_xlfn.AGGREGATE(15,6,$A$2:$A$104/($A$2:$A$104&lt;$D$10),ROWS(C$34:C37)))</f>
        <v/>
      </c>
      <c r="D37" s="26">
        <v>1</v>
      </c>
      <c r="F37" s="30">
        <f>IF(ROWS(F$34:F37)&gt;G$30,"",_xlfn.AGGREGATE(14,6,$A$2:$A$104/($A$2:$A$104&gt;$D$14),ROWS(F$34:F37)))</f>
        <v>5802</v>
      </c>
      <c r="G37" s="26">
        <v>1</v>
      </c>
    </row>
    <row r="38" spans="1:7" x14ac:dyDescent="0.25">
      <c r="A38" s="197">
        <v>4710</v>
      </c>
      <c r="C38" s="30" t="str">
        <f>IF(ROWS(C$34:C38)&gt;D$30,"",_xlfn.AGGREGATE(15,6,$A$2:$A$104/($A$2:$A$104&lt;$D$10),ROWS(C$34:C38)))</f>
        <v/>
      </c>
      <c r="D38" s="26">
        <v>1</v>
      </c>
      <c r="F38" s="30">
        <f>IF(ROWS(F$34:F38)&gt;G$30,"",_xlfn.AGGREGATE(14,6,$A$2:$A$104/($A$2:$A$104&gt;$D$14),ROWS(F$34:F38)))</f>
        <v>5767</v>
      </c>
      <c r="G38" s="26">
        <v>1</v>
      </c>
    </row>
    <row r="39" spans="1:7" x14ac:dyDescent="0.25">
      <c r="A39" s="196">
        <v>4899</v>
      </c>
      <c r="C39" s="30" t="str">
        <f>IF(ROWS(C$34:C39)&gt;D$30,"",_xlfn.AGGREGATE(15,6,$A$2:$A$104/($A$2:$A$104&lt;$D$10),ROWS(C$34:C39)))</f>
        <v/>
      </c>
      <c r="D39" s="26">
        <v>1</v>
      </c>
      <c r="F39" s="30" t="str">
        <f>IF(ROWS(F$34:F39)&gt;G$30,"",_xlfn.AGGREGATE(14,6,$A$2:$A$104/($A$2:$A$104&gt;$D$14),ROWS(F$34:F39)))</f>
        <v/>
      </c>
      <c r="G39" s="26">
        <v>1</v>
      </c>
    </row>
    <row r="40" spans="1:7" x14ac:dyDescent="0.25">
      <c r="A40" s="197">
        <v>4381</v>
      </c>
      <c r="C40" s="30" t="str">
        <f>IF(ROWS(C$34:C40)&gt;D$30,"",_xlfn.AGGREGATE(15,6,$A$2:$A$104/($A$2:$A$104&lt;$D$10),ROWS(C$34:C40)))</f>
        <v/>
      </c>
      <c r="D40" s="26">
        <v>1</v>
      </c>
      <c r="F40" s="30" t="str">
        <f>IF(ROWS(F$34:F40)&gt;G$30,"",_xlfn.AGGREGATE(14,6,$A$2:$A$104/($A$2:$A$104&gt;$D$14),ROWS(F$34:F40)))</f>
        <v/>
      </c>
      <c r="G40" s="26">
        <v>1</v>
      </c>
    </row>
    <row r="41" spans="1:7" x14ac:dyDescent="0.25">
      <c r="A41" s="196">
        <v>3894</v>
      </c>
      <c r="C41" s="30" t="str">
        <f>IF(ROWS(C$34:C41)&gt;D$30,"",_xlfn.AGGREGATE(15,6,$A$2:$A$104/($A$2:$A$104&lt;$D$10),ROWS(C$34:C41)))</f>
        <v/>
      </c>
      <c r="D41" s="26">
        <v>1</v>
      </c>
      <c r="F41" s="30" t="str">
        <f>IF(ROWS(F$34:F41)&gt;G$30,"",_xlfn.AGGREGATE(14,6,$A$2:$A$104/($A$2:$A$104&gt;$D$14),ROWS(F$34:F41)))</f>
        <v/>
      </c>
      <c r="G41" s="26">
        <v>1</v>
      </c>
    </row>
    <row r="42" spans="1:7" x14ac:dyDescent="0.25">
      <c r="A42" s="197">
        <v>3877</v>
      </c>
      <c r="C42" s="30" t="str">
        <f>IF(ROWS(C$34:C42)&gt;D$30,"",_xlfn.AGGREGATE(15,6,$A$2:$A$104/($A$2:$A$104&lt;$D$10),ROWS(C$34:C42)))</f>
        <v/>
      </c>
      <c r="D42" s="26">
        <v>1</v>
      </c>
      <c r="F42" s="30" t="str">
        <f>IF(ROWS(F$34:F42)&gt;G$30,"",_xlfn.AGGREGATE(14,6,$A$2:$A$104/($A$2:$A$104&gt;$D$14),ROWS(F$34:F42)))</f>
        <v/>
      </c>
      <c r="G42" s="26">
        <v>1</v>
      </c>
    </row>
    <row r="43" spans="1:7" x14ac:dyDescent="0.25">
      <c r="A43" s="196">
        <v>5414</v>
      </c>
    </row>
    <row r="44" spans="1:7" x14ac:dyDescent="0.25">
      <c r="A44" s="197">
        <v>4837</v>
      </c>
      <c r="C44" s="22" t="s">
        <v>720</v>
      </c>
    </row>
    <row r="45" spans="1:7" x14ac:dyDescent="0.25">
      <c r="A45" s="196">
        <v>3718</v>
      </c>
      <c r="C45" s="89" t="s">
        <v>719</v>
      </c>
      <c r="D45" s="89" t="s">
        <v>718</v>
      </c>
      <c r="E45" s="22"/>
      <c r="F45" s="89" t="s">
        <v>719</v>
      </c>
      <c r="G45" s="89" t="s">
        <v>718</v>
      </c>
    </row>
    <row r="46" spans="1:7" x14ac:dyDescent="0.25">
      <c r="A46" s="197">
        <v>4437</v>
      </c>
      <c r="C46" s="30">
        <f t="array" aca="1" ref="C46" ca="1">OFFSET($C$34,,,$D$30)</f>
        <v>2510</v>
      </c>
      <c r="D46" s="30">
        <f t="array" aca="1" ref="D46" ca="1">OFFSET($D$34,,,$D$30)</f>
        <v>1</v>
      </c>
      <c r="F46" s="30">
        <f t="array" aca="1" ref="F46" ca="1">OFFSET($F$34,,,$G$30)</f>
        <v>6987</v>
      </c>
      <c r="G46" s="30">
        <f t="array" aca="1" ref="G46" ca="1">OFFSET($G$34,,,$G$30)</f>
        <v>1</v>
      </c>
    </row>
    <row r="47" spans="1:7" x14ac:dyDescent="0.25">
      <c r="A47" s="196">
        <v>4466</v>
      </c>
    </row>
    <row r="48" spans="1:7" x14ac:dyDescent="0.25">
      <c r="A48" s="197">
        <v>4312</v>
      </c>
    </row>
    <row r="49" spans="1:1" x14ac:dyDescent="0.25">
      <c r="A49" s="196">
        <v>4623</v>
      </c>
    </row>
    <row r="50" spans="1:1" x14ac:dyDescent="0.25">
      <c r="A50" s="197">
        <v>4512</v>
      </c>
    </row>
    <row r="51" spans="1:1" x14ac:dyDescent="0.25">
      <c r="A51" s="196">
        <v>4186</v>
      </c>
    </row>
    <row r="52" spans="1:1" x14ac:dyDescent="0.25">
      <c r="A52" s="197">
        <v>4316</v>
      </c>
    </row>
    <row r="53" spans="1:1" x14ac:dyDescent="0.25">
      <c r="A53" s="196">
        <v>4836</v>
      </c>
    </row>
    <row r="54" spans="1:1" x14ac:dyDescent="0.25">
      <c r="A54" s="197">
        <v>5620</v>
      </c>
    </row>
    <row r="55" spans="1:1" x14ac:dyDescent="0.25">
      <c r="A55" s="196">
        <v>4085</v>
      </c>
    </row>
    <row r="56" spans="1:1" x14ac:dyDescent="0.25">
      <c r="A56" s="197">
        <v>4104</v>
      </c>
    </row>
    <row r="57" spans="1:1" x14ac:dyDescent="0.25">
      <c r="A57" s="196">
        <v>3366</v>
      </c>
    </row>
    <row r="58" spans="1:1" x14ac:dyDescent="0.25">
      <c r="A58" s="197">
        <v>4250</v>
      </c>
    </row>
    <row r="59" spans="1:1" x14ac:dyDescent="0.25">
      <c r="A59" s="196">
        <v>4438</v>
      </c>
    </row>
    <row r="60" spans="1:1" x14ac:dyDescent="0.25">
      <c r="A60" s="197">
        <v>4614</v>
      </c>
    </row>
    <row r="61" spans="1:1" x14ac:dyDescent="0.25">
      <c r="A61" s="196">
        <v>4207</v>
      </c>
    </row>
    <row r="62" spans="1:1" x14ac:dyDescent="0.25">
      <c r="A62" s="197">
        <v>3945</v>
      </c>
    </row>
    <row r="63" spans="1:1" x14ac:dyDescent="0.25">
      <c r="A63" s="196">
        <v>4323</v>
      </c>
    </row>
    <row r="64" spans="1:1" x14ac:dyDescent="0.25">
      <c r="A64" s="197">
        <v>4750</v>
      </c>
    </row>
    <row r="65" spans="1:1" x14ac:dyDescent="0.25">
      <c r="A65" s="196">
        <v>3950</v>
      </c>
    </row>
    <row r="66" spans="1:1" x14ac:dyDescent="0.25">
      <c r="A66" s="197">
        <v>5180</v>
      </c>
    </row>
    <row r="67" spans="1:1" x14ac:dyDescent="0.25">
      <c r="A67" s="196">
        <v>4735</v>
      </c>
    </row>
    <row r="68" spans="1:1" x14ac:dyDescent="0.25">
      <c r="A68" s="197">
        <v>3904</v>
      </c>
    </row>
    <row r="69" spans="1:1" x14ac:dyDescent="0.25">
      <c r="A69" s="196">
        <v>4663</v>
      </c>
    </row>
    <row r="70" spans="1:1" x14ac:dyDescent="0.25">
      <c r="A70" s="197">
        <v>4612</v>
      </c>
    </row>
    <row r="71" spans="1:1" x14ac:dyDescent="0.25">
      <c r="A71" s="196">
        <v>4544</v>
      </c>
    </row>
    <row r="72" spans="1:1" x14ac:dyDescent="0.25">
      <c r="A72" s="197">
        <v>4724</v>
      </c>
    </row>
    <row r="73" spans="1:1" x14ac:dyDescent="0.25">
      <c r="A73" s="196">
        <v>4674</v>
      </c>
    </row>
    <row r="74" spans="1:1" x14ac:dyDescent="0.25">
      <c r="A74" s="197">
        <v>3184</v>
      </c>
    </row>
    <row r="75" spans="1:1" x14ac:dyDescent="0.25">
      <c r="A75" s="196">
        <v>4351</v>
      </c>
    </row>
    <row r="76" spans="1:1" x14ac:dyDescent="0.25">
      <c r="A76" s="197">
        <v>4182</v>
      </c>
    </row>
    <row r="77" spans="1:1" x14ac:dyDescent="0.25">
      <c r="A77" s="196">
        <v>3851</v>
      </c>
    </row>
    <row r="78" spans="1:1" x14ac:dyDescent="0.25">
      <c r="A78" s="197">
        <v>3373</v>
      </c>
    </row>
    <row r="79" spans="1:1" x14ac:dyDescent="0.25">
      <c r="A79" s="196">
        <v>3401</v>
      </c>
    </row>
    <row r="80" spans="1:1" x14ac:dyDescent="0.25">
      <c r="A80" s="197">
        <v>5492</v>
      </c>
    </row>
    <row r="81" spans="1:1" x14ac:dyDescent="0.25">
      <c r="A81" s="196">
        <v>4048</v>
      </c>
    </row>
    <row r="82" spans="1:1" x14ac:dyDescent="0.25">
      <c r="A82" s="197">
        <v>4011</v>
      </c>
    </row>
    <row r="83" spans="1:1" x14ac:dyDescent="0.25">
      <c r="A83" s="196">
        <v>4077</v>
      </c>
    </row>
    <row r="84" spans="1:1" x14ac:dyDescent="0.25">
      <c r="A84" s="197">
        <v>4003</v>
      </c>
    </row>
    <row r="85" spans="1:1" x14ac:dyDescent="0.25">
      <c r="A85" s="196">
        <v>4355</v>
      </c>
    </row>
    <row r="86" spans="1:1" x14ac:dyDescent="0.25">
      <c r="A86" s="197">
        <v>5280</v>
      </c>
    </row>
    <row r="87" spans="1:1" x14ac:dyDescent="0.25">
      <c r="A87" s="196">
        <v>4033</v>
      </c>
    </row>
    <row r="88" spans="1:1" x14ac:dyDescent="0.25">
      <c r="A88" s="197">
        <v>2510</v>
      </c>
    </row>
    <row r="89" spans="1:1" x14ac:dyDescent="0.25">
      <c r="A89" s="196">
        <v>3987</v>
      </c>
    </row>
    <row r="90" spans="1:1" x14ac:dyDescent="0.25">
      <c r="A90" s="197">
        <v>5767</v>
      </c>
    </row>
    <row r="91" spans="1:1" x14ac:dyDescent="0.25">
      <c r="A91" s="196">
        <v>4005</v>
      </c>
    </row>
    <row r="92" spans="1:1" x14ac:dyDescent="0.25">
      <c r="A92" s="197">
        <v>4144</v>
      </c>
    </row>
    <row r="93" spans="1:1" x14ac:dyDescent="0.25">
      <c r="A93" s="196">
        <v>3008</v>
      </c>
    </row>
    <row r="94" spans="1:1" x14ac:dyDescent="0.25">
      <c r="A94" s="197">
        <v>4674</v>
      </c>
    </row>
    <row r="95" spans="1:1" x14ac:dyDescent="0.25">
      <c r="A95" s="196">
        <v>3199</v>
      </c>
    </row>
    <row r="96" spans="1:1" x14ac:dyDescent="0.25">
      <c r="A96" s="197">
        <v>4698</v>
      </c>
    </row>
    <row r="97" spans="1:1" x14ac:dyDescent="0.25">
      <c r="A97" s="196">
        <v>4319</v>
      </c>
    </row>
    <row r="98" spans="1:1" x14ac:dyDescent="0.25">
      <c r="A98" s="197">
        <v>4664</v>
      </c>
    </row>
    <row r="99" spans="1:1" x14ac:dyDescent="0.25">
      <c r="A99" s="196">
        <v>3891</v>
      </c>
    </row>
    <row r="100" spans="1:1" x14ac:dyDescent="0.25">
      <c r="A100" s="197">
        <v>5301</v>
      </c>
    </row>
    <row r="101" spans="1:1" x14ac:dyDescent="0.25">
      <c r="A101" s="196">
        <v>3501</v>
      </c>
    </row>
    <row r="102" spans="1:1" x14ac:dyDescent="0.25">
      <c r="A102" s="197">
        <v>4767</v>
      </c>
    </row>
    <row r="103" spans="1:1" x14ac:dyDescent="0.25">
      <c r="A103" s="196">
        <v>6987</v>
      </c>
    </row>
    <row r="104" spans="1:1" x14ac:dyDescent="0.25">
      <c r="A104" s="197">
        <v>5491</v>
      </c>
    </row>
  </sheetData>
  <pageMargins left="0.7" right="0.7" top="0.75" bottom="0.75" header="0.3" footer="0.3"/>
  <drawing r:id="rId1"/>
  <tableParts count="1">
    <tablePart r:id="rId2"/>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68">
    <tabColor rgb="FF0000FF"/>
  </sheetPr>
  <dimension ref="A1:A23"/>
  <sheetViews>
    <sheetView zoomScaleNormal="100" workbookViewId="0">
      <selection sqref="A1:A23"/>
    </sheetView>
  </sheetViews>
  <sheetFormatPr defaultRowHeight="15" x14ac:dyDescent="0.25"/>
  <cols>
    <col min="1" max="1" width="101.42578125" customWidth="1"/>
    <col min="3" max="3" width="13.28515625" customWidth="1"/>
  </cols>
  <sheetData>
    <row r="1" spans="1:1" x14ac:dyDescent="0.25">
      <c r="A1" s="211" t="s">
        <v>804</v>
      </c>
    </row>
    <row r="2" spans="1:1" x14ac:dyDescent="0.25">
      <c r="A2" s="212" t="s">
        <v>805</v>
      </c>
    </row>
    <row r="3" spans="1:1" x14ac:dyDescent="0.25">
      <c r="A3" s="159" t="s">
        <v>811</v>
      </c>
    </row>
    <row r="4" spans="1:1" ht="18" x14ac:dyDescent="0.35">
      <c r="A4" s="159" t="s">
        <v>806</v>
      </c>
    </row>
    <row r="5" spans="1:1" x14ac:dyDescent="0.25">
      <c r="A5" s="159" t="s">
        <v>807</v>
      </c>
    </row>
    <row r="6" spans="1:1" ht="18" x14ac:dyDescent="0.35">
      <c r="A6" s="159" t="s">
        <v>808</v>
      </c>
    </row>
    <row r="7" spans="1:1" x14ac:dyDescent="0.25">
      <c r="A7" s="159" t="s">
        <v>809</v>
      </c>
    </row>
    <row r="8" spans="1:1" x14ac:dyDescent="0.25">
      <c r="A8" s="159" t="s">
        <v>810</v>
      </c>
    </row>
    <row r="9" spans="1:1" x14ac:dyDescent="0.25">
      <c r="A9" s="159" t="s">
        <v>812</v>
      </c>
    </row>
    <row r="10" spans="1:1" ht="30" x14ac:dyDescent="0.25">
      <c r="A10" s="159" t="s">
        <v>814</v>
      </c>
    </row>
    <row r="11" spans="1:1" ht="30" x14ac:dyDescent="0.25">
      <c r="A11" s="159" t="s">
        <v>817</v>
      </c>
    </row>
    <row r="12" spans="1:1" ht="30" x14ac:dyDescent="0.25">
      <c r="A12" s="159" t="s">
        <v>815</v>
      </c>
    </row>
    <row r="13" spans="1:1" ht="126" x14ac:dyDescent="0.25">
      <c r="A13" s="159" t="s">
        <v>822</v>
      </c>
    </row>
    <row r="14" spans="1:1" x14ac:dyDescent="0.25">
      <c r="A14" s="212" t="s">
        <v>819</v>
      </c>
    </row>
    <row r="15" spans="1:1" x14ac:dyDescent="0.25">
      <c r="A15" s="157" t="s">
        <v>820</v>
      </c>
    </row>
    <row r="16" spans="1:1" ht="30" x14ac:dyDescent="0.25">
      <c r="A16" s="157" t="s">
        <v>816</v>
      </c>
    </row>
    <row r="17" spans="1:1" ht="75" x14ac:dyDescent="0.25">
      <c r="A17" s="157" t="s">
        <v>818</v>
      </c>
    </row>
    <row r="18" spans="1:1" ht="45" x14ac:dyDescent="0.25">
      <c r="A18" s="157" t="s">
        <v>825</v>
      </c>
    </row>
    <row r="19" spans="1:1" ht="18" x14ac:dyDescent="0.35">
      <c r="A19" s="159" t="s">
        <v>821</v>
      </c>
    </row>
    <row r="20" spans="1:1" x14ac:dyDescent="0.25">
      <c r="A20" s="159" t="s">
        <v>813</v>
      </c>
    </row>
    <row r="21" spans="1:1" ht="18" x14ac:dyDescent="0.35">
      <c r="A21" s="159" t="s">
        <v>823</v>
      </c>
    </row>
    <row r="22" spans="1:1" x14ac:dyDescent="0.25">
      <c r="A22" s="159" t="s">
        <v>813</v>
      </c>
    </row>
    <row r="23" spans="1:1" ht="18" x14ac:dyDescent="0.35">
      <c r="A23" s="159" t="s">
        <v>824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69">
    <tabColor rgb="FF0000FF"/>
  </sheetPr>
  <dimension ref="A1:AB471"/>
  <sheetViews>
    <sheetView zoomScale="85" zoomScaleNormal="85" workbookViewId="0">
      <selection activeCell="A12" sqref="A12"/>
    </sheetView>
  </sheetViews>
  <sheetFormatPr defaultRowHeight="15" x14ac:dyDescent="0.25"/>
  <cols>
    <col min="1" max="1" width="13.140625" customWidth="1"/>
    <col min="2" max="2" width="20.7109375" bestFit="1" customWidth="1"/>
    <col min="3" max="3" width="19.140625" bestFit="1" customWidth="1"/>
    <col min="6" max="6" width="12.85546875" customWidth="1"/>
    <col min="13" max="13" width="9.85546875" bestFit="1" customWidth="1"/>
  </cols>
  <sheetData>
    <row r="1" spans="1:6" x14ac:dyDescent="0.25">
      <c r="A1" s="194" t="s">
        <v>833</v>
      </c>
      <c r="B1" s="193"/>
      <c r="C1" s="193"/>
      <c r="D1" s="193"/>
      <c r="E1" s="193"/>
      <c r="F1" s="192"/>
    </row>
    <row r="2" spans="1:6" x14ac:dyDescent="0.25">
      <c r="A2" s="200" t="s">
        <v>757</v>
      </c>
      <c r="B2" s="190"/>
      <c r="C2" s="190"/>
      <c r="D2" s="190"/>
      <c r="E2" s="190"/>
      <c r="F2" s="189"/>
    </row>
    <row r="3" spans="1:6" x14ac:dyDescent="0.25">
      <c r="A3" s="200" t="s">
        <v>770</v>
      </c>
      <c r="B3" s="190"/>
      <c r="C3" s="190"/>
      <c r="D3" s="190"/>
      <c r="E3" s="190"/>
      <c r="F3" s="189"/>
    </row>
    <row r="4" spans="1:6" x14ac:dyDescent="0.25">
      <c r="A4" s="191" t="s">
        <v>731</v>
      </c>
      <c r="B4" s="190"/>
      <c r="C4" s="190"/>
      <c r="D4" s="190"/>
      <c r="E4" s="190"/>
      <c r="F4" s="189"/>
    </row>
    <row r="5" spans="1:6" x14ac:dyDescent="0.25">
      <c r="A5" s="191" t="s">
        <v>732</v>
      </c>
      <c r="B5" s="190"/>
      <c r="C5" s="190"/>
      <c r="D5" s="190"/>
      <c r="E5" s="190"/>
      <c r="F5" s="189"/>
    </row>
    <row r="6" spans="1:6" x14ac:dyDescent="0.25">
      <c r="A6" s="191" t="s">
        <v>736</v>
      </c>
      <c r="B6" s="190"/>
      <c r="C6" s="190"/>
      <c r="D6" s="190"/>
      <c r="E6" s="190"/>
      <c r="F6" s="189"/>
    </row>
    <row r="7" spans="1:6" x14ac:dyDescent="0.25">
      <c r="A7" s="191" t="s">
        <v>733</v>
      </c>
      <c r="B7" s="190"/>
      <c r="C7" s="190"/>
      <c r="D7" s="190"/>
      <c r="E7" s="190"/>
      <c r="F7" s="189"/>
    </row>
    <row r="8" spans="1:6" x14ac:dyDescent="0.25">
      <c r="A8" s="191" t="s">
        <v>734</v>
      </c>
      <c r="B8" s="190"/>
      <c r="C8" s="190"/>
      <c r="D8" s="190"/>
      <c r="E8" s="190"/>
      <c r="F8" s="189"/>
    </row>
    <row r="9" spans="1:6" x14ac:dyDescent="0.25">
      <c r="A9" s="188" t="s">
        <v>735</v>
      </c>
      <c r="B9" s="187"/>
      <c r="C9" s="187"/>
      <c r="D9" s="187"/>
      <c r="E9" s="187"/>
      <c r="F9" s="186"/>
    </row>
    <row r="11" spans="1:6" x14ac:dyDescent="0.25">
      <c r="A11" s="22" t="s">
        <v>737</v>
      </c>
      <c r="B11" s="22" t="s">
        <v>753</v>
      </c>
    </row>
    <row r="12" spans="1:6" x14ac:dyDescent="0.25">
      <c r="B12" t="s">
        <v>738</v>
      </c>
      <c r="C12" t="s">
        <v>739</v>
      </c>
    </row>
    <row r="13" spans="1:6" x14ac:dyDescent="0.25">
      <c r="B13" t="s">
        <v>740</v>
      </c>
      <c r="C13" t="s">
        <v>741</v>
      </c>
    </row>
    <row r="14" spans="1:6" x14ac:dyDescent="0.25">
      <c r="A14" s="199" t="s">
        <v>742</v>
      </c>
      <c r="B14" s="199" t="s">
        <v>719</v>
      </c>
      <c r="C14" s="199" t="s">
        <v>718</v>
      </c>
    </row>
    <row r="16" spans="1:6" x14ac:dyDescent="0.25">
      <c r="A16" s="1" t="s">
        <v>520</v>
      </c>
      <c r="B16" s="1" t="s">
        <v>746</v>
      </c>
      <c r="C16" s="1" t="s">
        <v>749</v>
      </c>
    </row>
    <row r="17" spans="1:3" x14ac:dyDescent="0.25">
      <c r="A17" s="26">
        <v>1</v>
      </c>
      <c r="B17" s="26">
        <v>91</v>
      </c>
      <c r="C17" s="48">
        <v>7113</v>
      </c>
    </row>
    <row r="18" spans="1:3" x14ac:dyDescent="0.25">
      <c r="A18" s="26">
        <v>2</v>
      </c>
      <c r="B18" s="26">
        <v>45</v>
      </c>
      <c r="C18" s="48">
        <v>2044</v>
      </c>
    </row>
    <row r="19" spans="1:3" x14ac:dyDescent="0.25">
      <c r="A19" s="26">
        <v>3</v>
      </c>
      <c r="B19" s="26">
        <v>46</v>
      </c>
      <c r="C19" s="48">
        <v>1108</v>
      </c>
    </row>
    <row r="20" spans="1:3" x14ac:dyDescent="0.25">
      <c r="A20" s="26">
        <v>4</v>
      </c>
      <c r="B20" s="26">
        <v>83</v>
      </c>
      <c r="C20" s="48">
        <v>7093</v>
      </c>
    </row>
    <row r="21" spans="1:3" x14ac:dyDescent="0.25">
      <c r="A21" s="26">
        <v>5</v>
      </c>
      <c r="B21" s="26">
        <v>76</v>
      </c>
      <c r="C21" s="48">
        <v>3902</v>
      </c>
    </row>
    <row r="22" spans="1:3" x14ac:dyDescent="0.25">
      <c r="A22" s="26">
        <v>6</v>
      </c>
      <c r="B22" s="26">
        <v>96</v>
      </c>
      <c r="C22" s="48">
        <v>6676</v>
      </c>
    </row>
    <row r="23" spans="1:3" x14ac:dyDescent="0.25">
      <c r="A23" s="26">
        <v>7</v>
      </c>
      <c r="B23" s="26">
        <v>75</v>
      </c>
      <c r="C23" s="48">
        <v>5403</v>
      </c>
    </row>
    <row r="24" spans="1:3" x14ac:dyDescent="0.25">
      <c r="A24" s="26">
        <v>8</v>
      </c>
      <c r="B24" s="26">
        <v>42</v>
      </c>
      <c r="C24" s="48">
        <v>886</v>
      </c>
    </row>
    <row r="25" spans="1:3" x14ac:dyDescent="0.25">
      <c r="A25" s="26">
        <v>9</v>
      </c>
      <c r="B25" s="26">
        <v>70</v>
      </c>
      <c r="C25" s="48">
        <v>4740</v>
      </c>
    </row>
    <row r="26" spans="1:3" x14ac:dyDescent="0.25">
      <c r="A26" s="26">
        <v>10</v>
      </c>
      <c r="B26" s="26">
        <v>47</v>
      </c>
      <c r="C26" s="48">
        <v>2637</v>
      </c>
    </row>
    <row r="27" spans="1:3" x14ac:dyDescent="0.25">
      <c r="A27" s="26">
        <v>11</v>
      </c>
      <c r="B27" s="26">
        <v>58</v>
      </c>
      <c r="C27" s="48">
        <v>3150</v>
      </c>
    </row>
    <row r="29" spans="1:3" x14ac:dyDescent="0.25">
      <c r="A29" s="22" t="s">
        <v>745</v>
      </c>
      <c r="B29" s="22" t="s">
        <v>754</v>
      </c>
    </row>
    <row r="30" spans="1:3" x14ac:dyDescent="0.25">
      <c r="B30" t="s">
        <v>738</v>
      </c>
      <c r="C30" t="s">
        <v>739</v>
      </c>
    </row>
    <row r="31" spans="1:3" x14ac:dyDescent="0.25">
      <c r="B31" t="s">
        <v>740</v>
      </c>
      <c r="C31" t="s">
        <v>741</v>
      </c>
    </row>
    <row r="32" spans="1:3" x14ac:dyDescent="0.25">
      <c r="A32" s="199" t="s">
        <v>742</v>
      </c>
      <c r="B32" s="199" t="s">
        <v>719</v>
      </c>
      <c r="C32" s="199" t="s">
        <v>718</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3" x14ac:dyDescent="0.25">
      <c r="A49" s="26">
        <v>15</v>
      </c>
      <c r="B49" s="26">
        <v>43</v>
      </c>
      <c r="C49" s="48">
        <v>6210</v>
      </c>
    </row>
    <row r="52" spans="1:3" x14ac:dyDescent="0.25">
      <c r="A52" s="22" t="s">
        <v>748</v>
      </c>
      <c r="B52" s="22" t="s">
        <v>755</v>
      </c>
    </row>
    <row r="53" spans="1:3" x14ac:dyDescent="0.25">
      <c r="B53" t="s">
        <v>738</v>
      </c>
      <c r="C53" t="s">
        <v>739</v>
      </c>
    </row>
    <row r="54" spans="1:3" x14ac:dyDescent="0.25">
      <c r="B54" t="s">
        <v>740</v>
      </c>
      <c r="C54" t="s">
        <v>741</v>
      </c>
    </row>
    <row r="55" spans="1:3" x14ac:dyDescent="0.25">
      <c r="A55" s="199" t="s">
        <v>742</v>
      </c>
      <c r="B55" s="199" t="s">
        <v>719</v>
      </c>
      <c r="C55" s="199" t="s">
        <v>718</v>
      </c>
    </row>
    <row r="57" spans="1:3" ht="30" x14ac:dyDescent="0.25">
      <c r="A57" s="1" t="s">
        <v>520</v>
      </c>
      <c r="B57" s="33" t="s">
        <v>743</v>
      </c>
      <c r="C57" s="33" t="s">
        <v>744</v>
      </c>
    </row>
    <row r="58" spans="1:3" x14ac:dyDescent="0.25">
      <c r="A58" s="26">
        <v>1</v>
      </c>
      <c r="B58" s="26">
        <v>3</v>
      </c>
      <c r="C58" s="26">
        <v>49</v>
      </c>
    </row>
    <row r="59" spans="1:3" x14ac:dyDescent="0.25">
      <c r="A59" s="26">
        <v>2</v>
      </c>
      <c r="B59" s="26">
        <v>11</v>
      </c>
      <c r="C59" s="26">
        <v>87</v>
      </c>
    </row>
    <row r="60" spans="1:3" x14ac:dyDescent="0.25">
      <c r="A60" s="26">
        <v>3</v>
      </c>
      <c r="B60" s="26">
        <v>2</v>
      </c>
      <c r="C60" s="26">
        <v>50</v>
      </c>
    </row>
    <row r="61" spans="1:3" x14ac:dyDescent="0.25">
      <c r="A61" s="26">
        <v>4</v>
      </c>
      <c r="B61" s="26">
        <v>13</v>
      </c>
      <c r="C61" s="26">
        <v>89</v>
      </c>
    </row>
    <row r="62" spans="1:3" x14ac:dyDescent="0.25">
      <c r="A62" s="26">
        <v>5</v>
      </c>
      <c r="B62" s="26">
        <v>8</v>
      </c>
      <c r="C62" s="26">
        <v>84</v>
      </c>
    </row>
    <row r="63" spans="1:3" x14ac:dyDescent="0.25">
      <c r="A63" s="26">
        <v>6</v>
      </c>
      <c r="B63" s="26">
        <v>12</v>
      </c>
      <c r="C63" s="26">
        <v>79</v>
      </c>
    </row>
    <row r="64" spans="1:3" x14ac:dyDescent="0.25">
      <c r="A64" s="26">
        <v>7</v>
      </c>
      <c r="B64" s="26">
        <v>13</v>
      </c>
      <c r="C64" s="26">
        <v>100</v>
      </c>
    </row>
    <row r="65" spans="1:3" x14ac:dyDescent="0.25">
      <c r="A65" s="26">
        <v>8</v>
      </c>
      <c r="B65" s="26">
        <v>4</v>
      </c>
      <c r="C65" s="26">
        <v>57</v>
      </c>
    </row>
    <row r="66" spans="1:3" x14ac:dyDescent="0.25">
      <c r="A66" s="26">
        <v>9</v>
      </c>
      <c r="B66" s="26">
        <v>7</v>
      </c>
      <c r="C66" s="26">
        <v>64</v>
      </c>
    </row>
    <row r="67" spans="1:3" x14ac:dyDescent="0.25">
      <c r="A67" s="26">
        <v>10</v>
      </c>
      <c r="B67" s="26">
        <v>14</v>
      </c>
      <c r="C67" s="26">
        <v>98</v>
      </c>
    </row>
    <row r="68" spans="1:3" x14ac:dyDescent="0.25">
      <c r="A68" s="26">
        <v>11</v>
      </c>
      <c r="B68" s="26">
        <v>7</v>
      </c>
      <c r="C68" s="26">
        <v>81</v>
      </c>
    </row>
    <row r="69" spans="1:3" x14ac:dyDescent="0.25">
      <c r="A69" s="26">
        <v>12</v>
      </c>
      <c r="B69" s="26">
        <v>7</v>
      </c>
      <c r="C69" s="26">
        <v>68</v>
      </c>
    </row>
    <row r="70" spans="1:3" x14ac:dyDescent="0.25">
      <c r="A70" s="26">
        <v>13</v>
      </c>
      <c r="B70" s="26">
        <v>14</v>
      </c>
      <c r="C70" s="26">
        <v>88</v>
      </c>
    </row>
    <row r="71" spans="1:3" x14ac:dyDescent="0.25">
      <c r="A71" s="26">
        <v>14</v>
      </c>
      <c r="B71" s="26">
        <v>4</v>
      </c>
      <c r="C71" s="26">
        <v>45</v>
      </c>
    </row>
    <row r="72" spans="1:3" x14ac:dyDescent="0.25">
      <c r="A72" s="26">
        <v>15</v>
      </c>
      <c r="B72" s="26">
        <v>4</v>
      </c>
      <c r="C72" s="26">
        <v>52</v>
      </c>
    </row>
    <row r="73" spans="1:3" x14ac:dyDescent="0.25">
      <c r="A73" s="26">
        <v>16</v>
      </c>
      <c r="B73" s="26">
        <v>5</v>
      </c>
      <c r="C73" s="26">
        <v>15</v>
      </c>
    </row>
    <row r="74" spans="1:3" x14ac:dyDescent="0.25">
      <c r="A74" s="26">
        <v>17</v>
      </c>
      <c r="B74" s="26">
        <v>12</v>
      </c>
      <c r="C74" s="26">
        <v>72</v>
      </c>
    </row>
    <row r="75" spans="1:3" x14ac:dyDescent="0.25">
      <c r="A75" s="26">
        <v>18</v>
      </c>
      <c r="B75" s="26">
        <v>16</v>
      </c>
      <c r="C75" s="26">
        <v>97</v>
      </c>
    </row>
    <row r="76" spans="1:3" x14ac:dyDescent="0.25">
      <c r="A76" s="26">
        <v>19</v>
      </c>
      <c r="B76" s="26">
        <v>12</v>
      </c>
      <c r="C76" s="26">
        <v>89</v>
      </c>
    </row>
    <row r="77" spans="1:3" x14ac:dyDescent="0.25">
      <c r="A77" s="26">
        <v>20</v>
      </c>
      <c r="B77" s="26">
        <v>14</v>
      </c>
      <c r="C77" s="26">
        <v>87</v>
      </c>
    </row>
    <row r="78" spans="1:3" x14ac:dyDescent="0.25">
      <c r="A78" s="26">
        <v>21</v>
      </c>
      <c r="B78" s="26">
        <v>2</v>
      </c>
      <c r="C78" s="26">
        <v>48</v>
      </c>
    </row>
    <row r="79" spans="1:3" x14ac:dyDescent="0.25">
      <c r="A79" s="26">
        <v>22</v>
      </c>
      <c r="B79" s="26">
        <v>12</v>
      </c>
      <c r="C79" s="26">
        <v>92</v>
      </c>
    </row>
    <row r="80" spans="1:3" x14ac:dyDescent="0.25">
      <c r="A80" s="26">
        <v>23</v>
      </c>
      <c r="B80" s="26">
        <v>11</v>
      </c>
      <c r="C80" s="26">
        <v>89</v>
      </c>
    </row>
    <row r="81" spans="1:3" x14ac:dyDescent="0.25">
      <c r="A81" s="26">
        <v>24</v>
      </c>
      <c r="B81" s="26">
        <v>6</v>
      </c>
      <c r="C81" s="26">
        <v>52</v>
      </c>
    </row>
    <row r="82" spans="1:3" x14ac:dyDescent="0.25">
      <c r="A82" s="26">
        <v>25</v>
      </c>
      <c r="B82" s="26">
        <v>11</v>
      </c>
      <c r="C82" s="26">
        <v>84</v>
      </c>
    </row>
    <row r="83" spans="1:3" x14ac:dyDescent="0.25">
      <c r="A83" s="26">
        <v>26</v>
      </c>
      <c r="B83" s="26">
        <v>14</v>
      </c>
      <c r="C83" s="26">
        <v>94</v>
      </c>
    </row>
    <row r="84" spans="1:3" x14ac:dyDescent="0.25">
      <c r="A84" s="26">
        <v>27</v>
      </c>
      <c r="B84" s="26">
        <v>10</v>
      </c>
      <c r="C84" s="26">
        <v>79</v>
      </c>
    </row>
    <row r="85" spans="1:3" x14ac:dyDescent="0.25">
      <c r="A85" s="26">
        <v>28</v>
      </c>
      <c r="B85" s="26">
        <v>6</v>
      </c>
      <c r="C85" s="26">
        <v>59</v>
      </c>
    </row>
    <row r="86" spans="1:3" x14ac:dyDescent="0.25">
      <c r="A86" s="26">
        <v>29</v>
      </c>
      <c r="B86" s="26">
        <v>10</v>
      </c>
      <c r="C86" s="26">
        <v>66</v>
      </c>
    </row>
    <row r="87" spans="1:3" x14ac:dyDescent="0.25">
      <c r="A87" s="26">
        <v>30</v>
      </c>
      <c r="B87" s="26">
        <v>11</v>
      </c>
      <c r="C87" s="26">
        <v>97</v>
      </c>
    </row>
    <row r="90" spans="1:3" x14ac:dyDescent="0.25">
      <c r="A90" s="22" t="s">
        <v>750</v>
      </c>
      <c r="B90" s="22" t="s">
        <v>756</v>
      </c>
    </row>
    <row r="91" spans="1:3" x14ac:dyDescent="0.25">
      <c r="B91" t="s">
        <v>738</v>
      </c>
      <c r="C91" t="s">
        <v>739</v>
      </c>
    </row>
    <row r="92" spans="1:3" x14ac:dyDescent="0.25">
      <c r="B92" t="s">
        <v>740</v>
      </c>
      <c r="C92" t="s">
        <v>741</v>
      </c>
    </row>
    <row r="93" spans="1:3" x14ac:dyDescent="0.25">
      <c r="A93" s="199" t="s">
        <v>742</v>
      </c>
      <c r="B93" s="199" t="s">
        <v>719</v>
      </c>
      <c r="C93" s="199" t="s">
        <v>718</v>
      </c>
    </row>
    <row r="95" spans="1:3" ht="30" x14ac:dyDescent="0.25">
      <c r="A95" s="1" t="s">
        <v>520</v>
      </c>
      <c r="B95" s="33" t="s">
        <v>752</v>
      </c>
      <c r="C95" s="33" t="s">
        <v>751</v>
      </c>
    </row>
    <row r="96" spans="1:3" x14ac:dyDescent="0.25">
      <c r="A96" s="26">
        <v>1</v>
      </c>
      <c r="B96" s="26">
        <v>3</v>
      </c>
      <c r="C96" s="26">
        <v>5</v>
      </c>
    </row>
    <row r="97" spans="1:3" x14ac:dyDescent="0.25">
      <c r="A97" s="26">
        <v>2</v>
      </c>
      <c r="B97" s="26">
        <v>8</v>
      </c>
      <c r="C97" s="26">
        <v>1</v>
      </c>
    </row>
    <row r="98" spans="1:3" x14ac:dyDescent="0.25">
      <c r="A98" s="26">
        <v>3</v>
      </c>
      <c r="B98" s="26">
        <v>6</v>
      </c>
      <c r="C98" s="26">
        <v>9</v>
      </c>
    </row>
    <row r="99" spans="1:3" x14ac:dyDescent="0.25">
      <c r="A99" s="26">
        <v>4</v>
      </c>
      <c r="B99" s="26">
        <v>11</v>
      </c>
      <c r="C99" s="26">
        <v>5</v>
      </c>
    </row>
    <row r="100" spans="1:3" x14ac:dyDescent="0.25">
      <c r="A100" s="26">
        <v>5</v>
      </c>
      <c r="B100" s="26">
        <v>20</v>
      </c>
      <c r="C100" s="26">
        <v>3</v>
      </c>
    </row>
    <row r="101" spans="1:3" x14ac:dyDescent="0.25">
      <c r="A101" s="26">
        <v>6</v>
      </c>
      <c r="B101" s="26">
        <v>7</v>
      </c>
      <c r="C101" s="26">
        <v>4</v>
      </c>
    </row>
    <row r="102" spans="1:3" x14ac:dyDescent="0.25">
      <c r="A102" s="26">
        <v>7</v>
      </c>
      <c r="B102" s="26">
        <v>9</v>
      </c>
      <c r="C102" s="26">
        <v>10</v>
      </c>
    </row>
    <row r="103" spans="1:3" x14ac:dyDescent="0.25">
      <c r="A103" s="26">
        <v>8</v>
      </c>
      <c r="B103" s="26">
        <v>3</v>
      </c>
      <c r="C103" s="26">
        <v>6</v>
      </c>
    </row>
    <row r="104" spans="1:3" x14ac:dyDescent="0.25">
      <c r="A104" s="26">
        <v>9</v>
      </c>
      <c r="B104" s="26">
        <v>19</v>
      </c>
      <c r="C104" s="26">
        <v>10</v>
      </c>
    </row>
    <row r="105" spans="1:3" x14ac:dyDescent="0.25">
      <c r="A105" s="26">
        <v>10</v>
      </c>
      <c r="B105" s="26">
        <v>2</v>
      </c>
      <c r="C105" s="26">
        <v>1</v>
      </c>
    </row>
    <row r="106" spans="1:3" x14ac:dyDescent="0.25">
      <c r="A106" s="26">
        <v>11</v>
      </c>
      <c r="B106" s="26">
        <v>16</v>
      </c>
      <c r="C106" s="26">
        <v>2</v>
      </c>
    </row>
    <row r="107" spans="1:3" x14ac:dyDescent="0.25">
      <c r="A107" s="26">
        <v>12</v>
      </c>
      <c r="B107" s="26">
        <v>12</v>
      </c>
      <c r="C107" s="26">
        <v>7</v>
      </c>
    </row>
    <row r="108" spans="1:3" x14ac:dyDescent="0.25">
      <c r="A108" s="26">
        <v>13</v>
      </c>
      <c r="B108" s="26">
        <v>1</v>
      </c>
      <c r="C108" s="26">
        <v>6</v>
      </c>
    </row>
    <row r="112" spans="1:3" x14ac:dyDescent="0.25">
      <c r="A112" s="22" t="s">
        <v>828</v>
      </c>
      <c r="B112" s="22" t="s">
        <v>829</v>
      </c>
    </row>
    <row r="115" spans="1:28" x14ac:dyDescent="0.25">
      <c r="A115" s="199" t="s">
        <v>742</v>
      </c>
      <c r="B115" s="199" t="s">
        <v>719</v>
      </c>
      <c r="C115" s="199" t="s">
        <v>718</v>
      </c>
    </row>
    <row r="117" spans="1:28" x14ac:dyDescent="0.25">
      <c r="A117" s="62" t="s">
        <v>192</v>
      </c>
      <c r="B117" s="62" t="s">
        <v>826</v>
      </c>
      <c r="C117" s="62" t="s">
        <v>827</v>
      </c>
    </row>
    <row r="118" spans="1:28" x14ac:dyDescent="0.25">
      <c r="A118" s="63">
        <v>42016</v>
      </c>
      <c r="B118" s="26">
        <v>46</v>
      </c>
      <c r="C118" s="48">
        <v>236</v>
      </c>
      <c r="S118" s="213">
        <v>42005</v>
      </c>
      <c r="T118">
        <v>34</v>
      </c>
      <c r="U118">
        <v>56</v>
      </c>
      <c r="W118">
        <v>20</v>
      </c>
      <c r="X118">
        <v>2.5</v>
      </c>
      <c r="Z118" t="s">
        <v>192</v>
      </c>
      <c r="AA118" t="s">
        <v>826</v>
      </c>
      <c r="AB118" t="s">
        <v>827</v>
      </c>
    </row>
    <row r="119" spans="1:28" x14ac:dyDescent="0.25">
      <c r="A119" s="63">
        <v>42017</v>
      </c>
      <c r="B119" s="26">
        <v>52</v>
      </c>
      <c r="C119" s="48">
        <v>304</v>
      </c>
      <c r="S119" s="213">
        <v>42036</v>
      </c>
      <c r="T119">
        <v>27</v>
      </c>
      <c r="U119">
        <v>59</v>
      </c>
      <c r="W119">
        <v>34</v>
      </c>
      <c r="X119">
        <v>2.15</v>
      </c>
      <c r="Z119" s="213">
        <v>42016</v>
      </c>
      <c r="AA119">
        <f ca="1">RANDBETWEEN(VLOOKUP(Z119,$S$118:$U$130,2),VLOOKUP(Z119,$S$118:$U$130,3))</f>
        <v>40</v>
      </c>
      <c r="AB119">
        <f ca="1">RANDBETWEEN(100,300)*VLOOKUP(AA119,$W$118:$X$128,2)</f>
        <v>442.9</v>
      </c>
    </row>
    <row r="120" spans="1:28" x14ac:dyDescent="0.25">
      <c r="A120" s="63">
        <v>42018</v>
      </c>
      <c r="B120" s="26">
        <v>55</v>
      </c>
      <c r="C120" s="48">
        <v>163.5</v>
      </c>
      <c r="S120" s="213">
        <v>42064</v>
      </c>
      <c r="T120">
        <v>21</v>
      </c>
      <c r="U120">
        <v>55</v>
      </c>
      <c r="W120">
        <v>44</v>
      </c>
      <c r="X120">
        <v>2</v>
      </c>
    </row>
    <row r="121" spans="1:28" x14ac:dyDescent="0.25">
      <c r="A121" s="63">
        <v>42019</v>
      </c>
      <c r="B121" s="26">
        <v>46</v>
      </c>
      <c r="C121" s="48">
        <v>214</v>
      </c>
      <c r="S121" s="213">
        <v>42095</v>
      </c>
      <c r="T121">
        <v>38</v>
      </c>
      <c r="U121">
        <v>69</v>
      </c>
      <c r="W121">
        <v>55</v>
      </c>
      <c r="X121">
        <v>1.5</v>
      </c>
    </row>
    <row r="122" spans="1:28" x14ac:dyDescent="0.25">
      <c r="A122" s="63">
        <v>42020</v>
      </c>
      <c r="B122" s="26">
        <v>47</v>
      </c>
      <c r="C122" s="48">
        <v>210</v>
      </c>
      <c r="S122" s="213">
        <v>42125</v>
      </c>
      <c r="T122">
        <v>44</v>
      </c>
      <c r="U122">
        <v>82</v>
      </c>
      <c r="W122">
        <v>65</v>
      </c>
      <c r="X122">
        <v>1</v>
      </c>
    </row>
    <row r="123" spans="1:28" x14ac:dyDescent="0.25">
      <c r="A123" s="63">
        <v>42021</v>
      </c>
      <c r="B123" s="26">
        <v>50</v>
      </c>
      <c r="C123" s="48">
        <v>508</v>
      </c>
      <c r="S123" s="213">
        <v>42156</v>
      </c>
      <c r="T123">
        <v>54</v>
      </c>
      <c r="U123">
        <v>78</v>
      </c>
      <c r="W123">
        <v>75</v>
      </c>
      <c r="X123">
        <v>1</v>
      </c>
    </row>
    <row r="124" spans="1:28" x14ac:dyDescent="0.25">
      <c r="A124" s="63">
        <v>42022</v>
      </c>
      <c r="B124" s="26">
        <v>36</v>
      </c>
      <c r="C124" s="48">
        <v>294.55</v>
      </c>
      <c r="S124" s="213">
        <v>42186</v>
      </c>
      <c r="T124">
        <v>60</v>
      </c>
      <c r="U124">
        <v>92</v>
      </c>
      <c r="W124">
        <v>85</v>
      </c>
      <c r="X124">
        <v>1.5</v>
      </c>
    </row>
    <row r="125" spans="1:28" x14ac:dyDescent="0.25">
      <c r="A125" s="63">
        <v>42023</v>
      </c>
      <c r="B125" s="26">
        <v>47</v>
      </c>
      <c r="C125" s="48">
        <v>250</v>
      </c>
      <c r="S125" s="213">
        <v>42217</v>
      </c>
      <c r="T125">
        <v>70</v>
      </c>
      <c r="U125">
        <v>102</v>
      </c>
      <c r="W125">
        <v>90</v>
      </c>
      <c r="X125">
        <v>2</v>
      </c>
    </row>
    <row r="126" spans="1:28" x14ac:dyDescent="0.25">
      <c r="A126" s="63">
        <v>42024</v>
      </c>
      <c r="B126" s="26">
        <v>40</v>
      </c>
      <c r="C126" s="48">
        <v>371.95</v>
      </c>
      <c r="S126" s="213">
        <v>42248</v>
      </c>
      <c r="T126">
        <v>65</v>
      </c>
      <c r="U126">
        <v>97</v>
      </c>
      <c r="W126">
        <v>95</v>
      </c>
      <c r="X126">
        <v>2.5</v>
      </c>
    </row>
    <row r="127" spans="1:28" x14ac:dyDescent="0.25">
      <c r="A127" s="63">
        <v>42025</v>
      </c>
      <c r="B127" s="26">
        <v>46</v>
      </c>
      <c r="C127" s="48">
        <v>478</v>
      </c>
      <c r="S127" s="213">
        <v>42278</v>
      </c>
      <c r="T127">
        <v>52</v>
      </c>
      <c r="U127">
        <v>89</v>
      </c>
      <c r="W127">
        <v>100</v>
      </c>
      <c r="X127">
        <v>2.75</v>
      </c>
    </row>
    <row r="128" spans="1:28" x14ac:dyDescent="0.25">
      <c r="A128" s="63">
        <v>42026</v>
      </c>
      <c r="B128" s="26">
        <v>55</v>
      </c>
      <c r="C128" s="48">
        <v>258</v>
      </c>
      <c r="S128" s="213">
        <v>42309</v>
      </c>
      <c r="T128">
        <v>45</v>
      </c>
      <c r="U128">
        <v>69</v>
      </c>
      <c r="W128">
        <v>110</v>
      </c>
      <c r="X128">
        <v>2.8</v>
      </c>
    </row>
    <row r="129" spans="1:21" x14ac:dyDescent="0.25">
      <c r="A129" s="63">
        <v>42027</v>
      </c>
      <c r="B129" s="26">
        <v>40</v>
      </c>
      <c r="C129" s="48">
        <v>559</v>
      </c>
      <c r="S129" s="213">
        <v>42348</v>
      </c>
      <c r="T129">
        <v>28</v>
      </c>
      <c r="U129">
        <v>65</v>
      </c>
    </row>
    <row r="130" spans="1:21" x14ac:dyDescent="0.25">
      <c r="A130" s="63">
        <v>42028</v>
      </c>
      <c r="B130" s="26">
        <v>53</v>
      </c>
      <c r="C130" s="48">
        <v>536</v>
      </c>
      <c r="S130" s="213">
        <v>42369</v>
      </c>
      <c r="T130">
        <v>30</v>
      </c>
      <c r="U130">
        <v>55</v>
      </c>
    </row>
    <row r="131" spans="1:21" x14ac:dyDescent="0.25">
      <c r="A131" s="63">
        <v>42029</v>
      </c>
      <c r="B131" s="26">
        <v>44</v>
      </c>
      <c r="C131" s="48">
        <v>576</v>
      </c>
    </row>
    <row r="132" spans="1:21" x14ac:dyDescent="0.25">
      <c r="A132" s="63">
        <v>42030</v>
      </c>
      <c r="B132" s="26">
        <v>48</v>
      </c>
      <c r="C132" s="48">
        <v>446</v>
      </c>
    </row>
    <row r="133" spans="1:21" x14ac:dyDescent="0.25">
      <c r="A133" s="63">
        <v>42031</v>
      </c>
      <c r="B133" s="26">
        <v>46</v>
      </c>
      <c r="C133" s="48">
        <v>300</v>
      </c>
    </row>
    <row r="134" spans="1:21" x14ac:dyDescent="0.25">
      <c r="A134" s="63">
        <v>42032</v>
      </c>
      <c r="B134" s="26">
        <v>56</v>
      </c>
      <c r="C134" s="48">
        <v>250.5</v>
      </c>
    </row>
    <row r="135" spans="1:21" x14ac:dyDescent="0.25">
      <c r="A135" s="63">
        <v>42033</v>
      </c>
      <c r="B135" s="26">
        <v>36</v>
      </c>
      <c r="C135" s="48">
        <v>412.79999999999995</v>
      </c>
    </row>
    <row r="136" spans="1:21" x14ac:dyDescent="0.25">
      <c r="A136" s="63">
        <v>42034</v>
      </c>
      <c r="B136" s="26">
        <v>38</v>
      </c>
      <c r="C136" s="48">
        <v>511.7</v>
      </c>
    </row>
    <row r="137" spans="1:21" x14ac:dyDescent="0.25">
      <c r="A137" s="63">
        <v>42035</v>
      </c>
      <c r="B137" s="26">
        <v>37</v>
      </c>
      <c r="C137" s="48">
        <v>311.75</v>
      </c>
    </row>
    <row r="138" spans="1:21" x14ac:dyDescent="0.25">
      <c r="A138" s="63">
        <v>42036</v>
      </c>
      <c r="B138" s="26">
        <v>44</v>
      </c>
      <c r="C138" s="48">
        <v>478</v>
      </c>
    </row>
    <row r="139" spans="1:21" x14ac:dyDescent="0.25">
      <c r="A139" s="63">
        <v>42037</v>
      </c>
      <c r="B139" s="26">
        <v>30</v>
      </c>
      <c r="C139" s="48">
        <v>282.5</v>
      </c>
    </row>
    <row r="140" spans="1:21" x14ac:dyDescent="0.25">
      <c r="A140" s="63">
        <v>42038</v>
      </c>
      <c r="B140" s="26">
        <v>48</v>
      </c>
      <c r="C140" s="48">
        <v>476</v>
      </c>
    </row>
    <row r="141" spans="1:21" x14ac:dyDescent="0.25">
      <c r="A141" s="63">
        <v>42039</v>
      </c>
      <c r="B141" s="26">
        <v>37</v>
      </c>
      <c r="C141" s="48">
        <v>565.44999999999993</v>
      </c>
    </row>
    <row r="142" spans="1:21" x14ac:dyDescent="0.25">
      <c r="A142" s="63">
        <v>42040</v>
      </c>
      <c r="B142" s="26">
        <v>43</v>
      </c>
      <c r="C142" s="48">
        <v>567.6</v>
      </c>
    </row>
    <row r="143" spans="1:21" x14ac:dyDescent="0.25">
      <c r="A143" s="63">
        <v>42041</v>
      </c>
      <c r="B143" s="26">
        <v>39</v>
      </c>
      <c r="C143" s="48">
        <v>634.25</v>
      </c>
    </row>
    <row r="144" spans="1:21" x14ac:dyDescent="0.25">
      <c r="A144" s="63">
        <v>42042</v>
      </c>
      <c r="B144" s="26">
        <v>34</v>
      </c>
      <c r="C144" s="48">
        <v>266.59999999999997</v>
      </c>
    </row>
    <row r="145" spans="1:3" x14ac:dyDescent="0.25">
      <c r="A145" s="63">
        <v>42043</v>
      </c>
      <c r="B145" s="26">
        <v>33</v>
      </c>
      <c r="C145" s="48">
        <v>345</v>
      </c>
    </row>
    <row r="146" spans="1:3" x14ac:dyDescent="0.25">
      <c r="A146" s="63">
        <v>42044</v>
      </c>
      <c r="B146" s="26">
        <v>38</v>
      </c>
      <c r="C146" s="48">
        <v>393.45</v>
      </c>
    </row>
    <row r="147" spans="1:3" x14ac:dyDescent="0.25">
      <c r="A147" s="63">
        <v>42045</v>
      </c>
      <c r="B147" s="26">
        <v>38</v>
      </c>
      <c r="C147" s="48">
        <v>567.6</v>
      </c>
    </row>
    <row r="148" spans="1:3" x14ac:dyDescent="0.25">
      <c r="A148" s="63">
        <v>42046</v>
      </c>
      <c r="B148" s="26">
        <v>37</v>
      </c>
      <c r="C148" s="48">
        <v>266.59999999999997</v>
      </c>
    </row>
    <row r="149" spans="1:3" x14ac:dyDescent="0.25">
      <c r="A149" s="63">
        <v>42047</v>
      </c>
      <c r="B149" s="26">
        <v>35</v>
      </c>
      <c r="C149" s="48">
        <v>503.09999999999997</v>
      </c>
    </row>
    <row r="150" spans="1:3" x14ac:dyDescent="0.25">
      <c r="A150" s="63">
        <v>42048</v>
      </c>
      <c r="B150" s="26">
        <v>53</v>
      </c>
      <c r="C150" s="48">
        <v>242</v>
      </c>
    </row>
    <row r="151" spans="1:3" x14ac:dyDescent="0.25">
      <c r="A151" s="63">
        <v>42049</v>
      </c>
      <c r="B151" s="26">
        <v>55</v>
      </c>
      <c r="C151" s="48">
        <v>216</v>
      </c>
    </row>
    <row r="152" spans="1:3" x14ac:dyDescent="0.25">
      <c r="A152" s="63">
        <v>42050</v>
      </c>
      <c r="B152" s="26">
        <v>58</v>
      </c>
      <c r="C152" s="48">
        <v>354</v>
      </c>
    </row>
    <row r="153" spans="1:3" x14ac:dyDescent="0.25">
      <c r="A153" s="63">
        <v>42051</v>
      </c>
      <c r="B153" s="26">
        <v>41</v>
      </c>
      <c r="C153" s="48">
        <v>432.15</v>
      </c>
    </row>
    <row r="154" spans="1:3" x14ac:dyDescent="0.25">
      <c r="A154" s="63">
        <v>42052</v>
      </c>
      <c r="B154" s="26">
        <v>43</v>
      </c>
      <c r="C154" s="48">
        <v>406.34999999999997</v>
      </c>
    </row>
    <row r="155" spans="1:3" x14ac:dyDescent="0.25">
      <c r="A155" s="63">
        <v>42053</v>
      </c>
      <c r="B155" s="26">
        <v>43</v>
      </c>
      <c r="C155" s="48">
        <v>627.79999999999995</v>
      </c>
    </row>
    <row r="156" spans="1:3" x14ac:dyDescent="0.25">
      <c r="A156" s="63">
        <v>42054</v>
      </c>
      <c r="B156" s="26">
        <v>32</v>
      </c>
      <c r="C156" s="48">
        <v>705</v>
      </c>
    </row>
    <row r="157" spans="1:3" x14ac:dyDescent="0.25">
      <c r="A157" s="63">
        <v>42055</v>
      </c>
      <c r="B157" s="26">
        <v>53</v>
      </c>
      <c r="C157" s="48">
        <v>534</v>
      </c>
    </row>
    <row r="158" spans="1:3" x14ac:dyDescent="0.25">
      <c r="A158" s="63">
        <v>42056</v>
      </c>
      <c r="B158" s="26">
        <v>54</v>
      </c>
      <c r="C158" s="48">
        <v>282</v>
      </c>
    </row>
    <row r="159" spans="1:3" x14ac:dyDescent="0.25">
      <c r="A159" s="63">
        <v>42057</v>
      </c>
      <c r="B159" s="26">
        <v>56</v>
      </c>
      <c r="C159" s="48">
        <v>435</v>
      </c>
    </row>
    <row r="160" spans="1:3" x14ac:dyDescent="0.25">
      <c r="A160" s="63">
        <v>42058</v>
      </c>
      <c r="B160" s="26">
        <v>52</v>
      </c>
      <c r="C160" s="48">
        <v>380</v>
      </c>
    </row>
    <row r="161" spans="1:3" x14ac:dyDescent="0.25">
      <c r="A161" s="63">
        <v>42059</v>
      </c>
      <c r="B161" s="26">
        <v>57</v>
      </c>
      <c r="C161" s="48">
        <v>372</v>
      </c>
    </row>
    <row r="162" spans="1:3" x14ac:dyDescent="0.25">
      <c r="A162" s="63">
        <v>42060</v>
      </c>
      <c r="B162" s="26">
        <v>51</v>
      </c>
      <c r="C162" s="48">
        <v>240</v>
      </c>
    </row>
    <row r="163" spans="1:3" x14ac:dyDescent="0.25">
      <c r="A163" s="63">
        <v>42061</v>
      </c>
      <c r="B163" s="26">
        <v>40</v>
      </c>
      <c r="C163" s="48">
        <v>346.15</v>
      </c>
    </row>
    <row r="164" spans="1:3" x14ac:dyDescent="0.25">
      <c r="A164" s="63">
        <v>42062</v>
      </c>
      <c r="B164" s="26">
        <v>32</v>
      </c>
      <c r="C164" s="48">
        <v>577.5</v>
      </c>
    </row>
    <row r="165" spans="1:3" x14ac:dyDescent="0.25">
      <c r="A165" s="63">
        <v>42063</v>
      </c>
      <c r="B165" s="26">
        <v>34</v>
      </c>
      <c r="C165" s="48">
        <v>406.34999999999997</v>
      </c>
    </row>
    <row r="166" spans="1:3" x14ac:dyDescent="0.25">
      <c r="A166" s="63">
        <v>42064</v>
      </c>
      <c r="B166" s="26">
        <v>37</v>
      </c>
      <c r="C166" s="48">
        <v>468.7</v>
      </c>
    </row>
    <row r="167" spans="1:3" x14ac:dyDescent="0.25">
      <c r="A167" s="63">
        <v>42065</v>
      </c>
      <c r="B167" s="26">
        <v>39</v>
      </c>
      <c r="C167" s="48">
        <v>483.75</v>
      </c>
    </row>
    <row r="168" spans="1:3" x14ac:dyDescent="0.25">
      <c r="A168" s="63">
        <v>42066</v>
      </c>
      <c r="B168" s="26">
        <v>22</v>
      </c>
      <c r="C168" s="48">
        <v>462.5</v>
      </c>
    </row>
    <row r="169" spans="1:3" x14ac:dyDescent="0.25">
      <c r="A169" s="63">
        <v>42067</v>
      </c>
      <c r="B169" s="26">
        <v>38</v>
      </c>
      <c r="C169" s="48">
        <v>408.5</v>
      </c>
    </row>
    <row r="170" spans="1:3" x14ac:dyDescent="0.25">
      <c r="A170" s="63">
        <v>42068</v>
      </c>
      <c r="B170" s="26">
        <v>40</v>
      </c>
      <c r="C170" s="48">
        <v>311.75</v>
      </c>
    </row>
    <row r="171" spans="1:3" x14ac:dyDescent="0.25">
      <c r="A171" s="63">
        <v>42069</v>
      </c>
      <c r="B171" s="26">
        <v>51</v>
      </c>
      <c r="C171" s="48">
        <v>420</v>
      </c>
    </row>
    <row r="172" spans="1:3" x14ac:dyDescent="0.25">
      <c r="A172" s="63">
        <v>42070</v>
      </c>
      <c r="B172" s="26">
        <v>32</v>
      </c>
      <c r="C172" s="48">
        <v>410</v>
      </c>
    </row>
    <row r="173" spans="1:3" x14ac:dyDescent="0.25">
      <c r="A173" s="63">
        <v>42071</v>
      </c>
      <c r="B173" s="26">
        <v>45</v>
      </c>
      <c r="C173" s="48">
        <v>400</v>
      </c>
    </row>
    <row r="174" spans="1:3" x14ac:dyDescent="0.25">
      <c r="A174" s="63">
        <v>42072</v>
      </c>
      <c r="B174" s="26">
        <v>40</v>
      </c>
      <c r="C174" s="48">
        <v>460.09999999999997</v>
      </c>
    </row>
    <row r="175" spans="1:3" x14ac:dyDescent="0.25">
      <c r="A175" s="63">
        <v>42073</v>
      </c>
      <c r="B175" s="26">
        <v>52</v>
      </c>
      <c r="C175" s="48">
        <v>538</v>
      </c>
    </row>
    <row r="176" spans="1:3" x14ac:dyDescent="0.25">
      <c r="A176" s="63">
        <v>42074</v>
      </c>
      <c r="B176" s="26">
        <v>25</v>
      </c>
      <c r="C176" s="48">
        <v>597.5</v>
      </c>
    </row>
    <row r="177" spans="1:3" x14ac:dyDescent="0.25">
      <c r="A177" s="63">
        <v>42075</v>
      </c>
      <c r="B177" s="26">
        <v>42</v>
      </c>
      <c r="C177" s="48">
        <v>389.15</v>
      </c>
    </row>
    <row r="178" spans="1:3" x14ac:dyDescent="0.25">
      <c r="A178" s="63">
        <v>42076</v>
      </c>
      <c r="B178" s="26">
        <v>45</v>
      </c>
      <c r="C178" s="48">
        <v>228</v>
      </c>
    </row>
    <row r="179" spans="1:3" x14ac:dyDescent="0.25">
      <c r="A179" s="63">
        <v>42077</v>
      </c>
      <c r="B179" s="26">
        <v>31</v>
      </c>
      <c r="C179" s="48">
        <v>627.5</v>
      </c>
    </row>
    <row r="180" spans="1:3" x14ac:dyDescent="0.25">
      <c r="A180" s="63">
        <v>42078</v>
      </c>
      <c r="B180" s="26">
        <v>51</v>
      </c>
      <c r="C180" s="48">
        <v>408</v>
      </c>
    </row>
    <row r="181" spans="1:3" x14ac:dyDescent="0.25">
      <c r="A181" s="63">
        <v>42079</v>
      </c>
      <c r="B181" s="26">
        <v>34</v>
      </c>
      <c r="C181" s="48">
        <v>339.7</v>
      </c>
    </row>
    <row r="182" spans="1:3" x14ac:dyDescent="0.25">
      <c r="A182" s="63">
        <v>42080</v>
      </c>
      <c r="B182" s="26">
        <v>21</v>
      </c>
      <c r="C182" s="48">
        <v>527.5</v>
      </c>
    </row>
    <row r="183" spans="1:3" x14ac:dyDescent="0.25">
      <c r="A183" s="63">
        <v>42081</v>
      </c>
      <c r="B183" s="26">
        <v>55</v>
      </c>
      <c r="C183" s="48">
        <v>364.5</v>
      </c>
    </row>
    <row r="184" spans="1:3" x14ac:dyDescent="0.25">
      <c r="A184" s="63">
        <v>42082</v>
      </c>
      <c r="B184" s="26">
        <v>24</v>
      </c>
      <c r="C184" s="48">
        <v>695</v>
      </c>
    </row>
    <row r="185" spans="1:3" x14ac:dyDescent="0.25">
      <c r="A185" s="63">
        <v>42083</v>
      </c>
      <c r="B185" s="26">
        <v>42</v>
      </c>
      <c r="C185" s="48">
        <v>462.25</v>
      </c>
    </row>
    <row r="186" spans="1:3" x14ac:dyDescent="0.25">
      <c r="A186" s="63">
        <v>42084</v>
      </c>
      <c r="B186" s="26">
        <v>38</v>
      </c>
      <c r="C186" s="48">
        <v>277.34999999999997</v>
      </c>
    </row>
    <row r="187" spans="1:3" x14ac:dyDescent="0.25">
      <c r="A187" s="63">
        <v>42085</v>
      </c>
      <c r="B187" s="26">
        <v>48</v>
      </c>
      <c r="C187" s="48">
        <v>334</v>
      </c>
    </row>
    <row r="188" spans="1:3" x14ac:dyDescent="0.25">
      <c r="A188" s="63">
        <v>42086</v>
      </c>
      <c r="B188" s="26">
        <v>40</v>
      </c>
      <c r="C188" s="48">
        <v>445.04999999999995</v>
      </c>
    </row>
    <row r="189" spans="1:3" x14ac:dyDescent="0.25">
      <c r="A189" s="63">
        <v>42087</v>
      </c>
      <c r="B189" s="26">
        <v>45</v>
      </c>
      <c r="C189" s="48">
        <v>496</v>
      </c>
    </row>
    <row r="190" spans="1:3" x14ac:dyDescent="0.25">
      <c r="A190" s="63">
        <v>42088</v>
      </c>
      <c r="B190" s="26">
        <v>45</v>
      </c>
      <c r="C190" s="48">
        <v>514</v>
      </c>
    </row>
    <row r="191" spans="1:3" x14ac:dyDescent="0.25">
      <c r="A191" s="63">
        <v>42089</v>
      </c>
      <c r="B191" s="26">
        <v>46</v>
      </c>
      <c r="C191" s="48">
        <v>350</v>
      </c>
    </row>
    <row r="192" spans="1:3" x14ac:dyDescent="0.25">
      <c r="A192" s="63">
        <v>42090</v>
      </c>
      <c r="B192" s="26">
        <v>33</v>
      </c>
      <c r="C192" s="48">
        <v>697.5</v>
      </c>
    </row>
    <row r="193" spans="1:3" x14ac:dyDescent="0.25">
      <c r="A193" s="63">
        <v>42091</v>
      </c>
      <c r="B193" s="26">
        <v>37</v>
      </c>
      <c r="C193" s="48">
        <v>258</v>
      </c>
    </row>
    <row r="194" spans="1:3" x14ac:dyDescent="0.25">
      <c r="A194" s="63">
        <v>42092</v>
      </c>
      <c r="B194" s="26">
        <v>24</v>
      </c>
      <c r="C194" s="48">
        <v>257.5</v>
      </c>
    </row>
    <row r="195" spans="1:3" x14ac:dyDescent="0.25">
      <c r="A195" s="63">
        <v>42093</v>
      </c>
      <c r="B195" s="26">
        <v>36</v>
      </c>
      <c r="C195" s="48">
        <v>313.89999999999998</v>
      </c>
    </row>
    <row r="196" spans="1:3" x14ac:dyDescent="0.25">
      <c r="A196" s="63">
        <v>42094</v>
      </c>
      <c r="B196" s="26">
        <v>37</v>
      </c>
      <c r="C196" s="48">
        <v>481.59999999999997</v>
      </c>
    </row>
    <row r="197" spans="1:3" x14ac:dyDescent="0.25">
      <c r="A197" s="63">
        <v>42095</v>
      </c>
      <c r="B197" s="26">
        <v>47</v>
      </c>
      <c r="C197" s="48">
        <v>594</v>
      </c>
    </row>
    <row r="198" spans="1:3" x14ac:dyDescent="0.25">
      <c r="A198" s="63">
        <v>42096</v>
      </c>
      <c r="B198" s="26">
        <v>64</v>
      </c>
      <c r="C198" s="48">
        <v>442.5</v>
      </c>
    </row>
    <row r="199" spans="1:3" x14ac:dyDescent="0.25">
      <c r="A199" s="63">
        <v>42097</v>
      </c>
      <c r="B199" s="26">
        <v>60</v>
      </c>
      <c r="C199" s="48">
        <v>397.5</v>
      </c>
    </row>
    <row r="200" spans="1:3" x14ac:dyDescent="0.25">
      <c r="A200" s="63">
        <v>42098</v>
      </c>
      <c r="B200" s="26">
        <v>50</v>
      </c>
      <c r="C200" s="48">
        <v>272</v>
      </c>
    </row>
    <row r="201" spans="1:3" x14ac:dyDescent="0.25">
      <c r="A201" s="63">
        <v>42099</v>
      </c>
      <c r="B201" s="26">
        <v>62</v>
      </c>
      <c r="C201" s="48">
        <v>208.5</v>
      </c>
    </row>
    <row r="202" spans="1:3" x14ac:dyDescent="0.25">
      <c r="A202" s="63">
        <v>42100</v>
      </c>
      <c r="B202" s="26">
        <v>50</v>
      </c>
      <c r="C202" s="48">
        <v>200</v>
      </c>
    </row>
    <row r="203" spans="1:3" x14ac:dyDescent="0.25">
      <c r="A203" s="63">
        <v>42101</v>
      </c>
      <c r="B203" s="26">
        <v>62</v>
      </c>
      <c r="C203" s="48">
        <v>301.5</v>
      </c>
    </row>
    <row r="204" spans="1:3" x14ac:dyDescent="0.25">
      <c r="A204" s="63">
        <v>42102</v>
      </c>
      <c r="B204" s="26">
        <v>68</v>
      </c>
      <c r="C204" s="48">
        <v>187</v>
      </c>
    </row>
    <row r="205" spans="1:3" x14ac:dyDescent="0.25">
      <c r="A205" s="63">
        <v>42103</v>
      </c>
      <c r="B205" s="26">
        <v>65</v>
      </c>
      <c r="C205" s="48">
        <v>150</v>
      </c>
    </row>
    <row r="206" spans="1:3" x14ac:dyDescent="0.25">
      <c r="A206" s="63">
        <v>42104</v>
      </c>
      <c r="B206" s="26">
        <v>57</v>
      </c>
      <c r="C206" s="48">
        <v>445.5</v>
      </c>
    </row>
    <row r="207" spans="1:3" x14ac:dyDescent="0.25">
      <c r="A207" s="63">
        <v>42105</v>
      </c>
      <c r="B207" s="26">
        <v>53</v>
      </c>
      <c r="C207" s="48">
        <v>498</v>
      </c>
    </row>
    <row r="208" spans="1:3" x14ac:dyDescent="0.25">
      <c r="A208" s="63">
        <v>42106</v>
      </c>
      <c r="B208" s="26">
        <v>43</v>
      </c>
      <c r="C208" s="48">
        <v>599.85</v>
      </c>
    </row>
    <row r="209" spans="1:3" x14ac:dyDescent="0.25">
      <c r="A209" s="63">
        <v>42107</v>
      </c>
      <c r="B209" s="26">
        <v>39</v>
      </c>
      <c r="C209" s="48">
        <v>393.45</v>
      </c>
    </row>
    <row r="210" spans="1:3" x14ac:dyDescent="0.25">
      <c r="A210" s="63">
        <v>42108</v>
      </c>
      <c r="B210" s="26">
        <v>61</v>
      </c>
      <c r="C210" s="48">
        <v>196.5</v>
      </c>
    </row>
    <row r="211" spans="1:3" x14ac:dyDescent="0.25">
      <c r="A211" s="63">
        <v>42109</v>
      </c>
      <c r="B211" s="26">
        <v>42</v>
      </c>
      <c r="C211" s="48">
        <v>457.95</v>
      </c>
    </row>
    <row r="212" spans="1:3" x14ac:dyDescent="0.25">
      <c r="A212" s="63">
        <v>42110</v>
      </c>
      <c r="B212" s="26">
        <v>42</v>
      </c>
      <c r="C212" s="48">
        <v>225.75</v>
      </c>
    </row>
    <row r="213" spans="1:3" x14ac:dyDescent="0.25">
      <c r="A213" s="63">
        <v>42111</v>
      </c>
      <c r="B213" s="26">
        <v>52</v>
      </c>
      <c r="C213" s="48">
        <v>598</v>
      </c>
    </row>
    <row r="214" spans="1:3" x14ac:dyDescent="0.25">
      <c r="A214" s="63">
        <v>42112</v>
      </c>
      <c r="B214" s="26">
        <v>68</v>
      </c>
      <c r="C214" s="48">
        <v>268</v>
      </c>
    </row>
    <row r="215" spans="1:3" x14ac:dyDescent="0.25">
      <c r="A215" s="63">
        <v>42113</v>
      </c>
      <c r="B215" s="26">
        <v>50</v>
      </c>
      <c r="C215" s="48">
        <v>468</v>
      </c>
    </row>
    <row r="216" spans="1:3" x14ac:dyDescent="0.25">
      <c r="A216" s="63">
        <v>42114</v>
      </c>
      <c r="B216" s="26">
        <v>46</v>
      </c>
      <c r="C216" s="48">
        <v>236</v>
      </c>
    </row>
    <row r="217" spans="1:3" x14ac:dyDescent="0.25">
      <c r="A217" s="63">
        <v>42115</v>
      </c>
      <c r="B217" s="26">
        <v>58</v>
      </c>
      <c r="C217" s="48">
        <v>415.5</v>
      </c>
    </row>
    <row r="218" spans="1:3" x14ac:dyDescent="0.25">
      <c r="A218" s="63">
        <v>42116</v>
      </c>
      <c r="B218" s="26">
        <v>56</v>
      </c>
      <c r="C218" s="48">
        <v>418.5</v>
      </c>
    </row>
    <row r="219" spans="1:3" x14ac:dyDescent="0.25">
      <c r="A219" s="63">
        <v>42117</v>
      </c>
      <c r="B219" s="26">
        <v>61</v>
      </c>
      <c r="C219" s="48">
        <v>279</v>
      </c>
    </row>
    <row r="220" spans="1:3" x14ac:dyDescent="0.25">
      <c r="A220" s="63">
        <v>42118</v>
      </c>
      <c r="B220" s="26">
        <v>56</v>
      </c>
      <c r="C220" s="48">
        <v>195</v>
      </c>
    </row>
    <row r="221" spans="1:3" x14ac:dyDescent="0.25">
      <c r="A221" s="63">
        <v>42119</v>
      </c>
      <c r="B221" s="26">
        <v>61</v>
      </c>
      <c r="C221" s="48">
        <v>325.5</v>
      </c>
    </row>
    <row r="222" spans="1:3" x14ac:dyDescent="0.25">
      <c r="A222" s="63">
        <v>42120</v>
      </c>
      <c r="B222" s="26">
        <v>67</v>
      </c>
      <c r="C222" s="48">
        <v>283</v>
      </c>
    </row>
    <row r="223" spans="1:3" x14ac:dyDescent="0.25">
      <c r="A223" s="63">
        <v>42121</v>
      </c>
      <c r="B223" s="26">
        <v>68</v>
      </c>
      <c r="C223" s="48">
        <v>281</v>
      </c>
    </row>
    <row r="224" spans="1:3" x14ac:dyDescent="0.25">
      <c r="A224" s="63">
        <v>42122</v>
      </c>
      <c r="B224" s="26">
        <v>61</v>
      </c>
      <c r="C224" s="48">
        <v>313.5</v>
      </c>
    </row>
    <row r="225" spans="1:3" x14ac:dyDescent="0.25">
      <c r="A225" s="63">
        <v>42123</v>
      </c>
      <c r="B225" s="26">
        <v>52</v>
      </c>
      <c r="C225" s="48">
        <v>466</v>
      </c>
    </row>
    <row r="226" spans="1:3" x14ac:dyDescent="0.25">
      <c r="A226" s="63">
        <v>42124</v>
      </c>
      <c r="B226" s="26">
        <v>63</v>
      </c>
      <c r="C226" s="48">
        <v>351</v>
      </c>
    </row>
    <row r="227" spans="1:3" x14ac:dyDescent="0.25">
      <c r="A227" s="63">
        <v>42125</v>
      </c>
      <c r="B227" s="26">
        <v>80</v>
      </c>
      <c r="C227" s="48">
        <v>226</v>
      </c>
    </row>
    <row r="228" spans="1:3" x14ac:dyDescent="0.25">
      <c r="A228" s="63">
        <v>42126</v>
      </c>
      <c r="B228" s="26">
        <v>75</v>
      </c>
      <c r="C228" s="48">
        <v>165</v>
      </c>
    </row>
    <row r="229" spans="1:3" x14ac:dyDescent="0.25">
      <c r="A229" s="63">
        <v>42127</v>
      </c>
      <c r="B229" s="26">
        <v>51</v>
      </c>
      <c r="C229" s="48">
        <v>532</v>
      </c>
    </row>
    <row r="230" spans="1:3" x14ac:dyDescent="0.25">
      <c r="A230" s="63">
        <v>42128</v>
      </c>
      <c r="B230" s="26">
        <v>44</v>
      </c>
      <c r="C230" s="48">
        <v>410</v>
      </c>
    </row>
    <row r="231" spans="1:3" x14ac:dyDescent="0.25">
      <c r="A231" s="63">
        <v>42129</v>
      </c>
      <c r="B231" s="26">
        <v>79</v>
      </c>
      <c r="C231" s="48">
        <v>121</v>
      </c>
    </row>
    <row r="232" spans="1:3" x14ac:dyDescent="0.25">
      <c r="A232" s="63">
        <v>42130</v>
      </c>
      <c r="B232" s="26">
        <v>61</v>
      </c>
      <c r="C232" s="48">
        <v>340.5</v>
      </c>
    </row>
    <row r="233" spans="1:3" x14ac:dyDescent="0.25">
      <c r="A233" s="63">
        <v>42131</v>
      </c>
      <c r="B233" s="26">
        <v>49</v>
      </c>
      <c r="C233" s="48">
        <v>264</v>
      </c>
    </row>
    <row r="234" spans="1:3" x14ac:dyDescent="0.25">
      <c r="A234" s="63">
        <v>42132</v>
      </c>
      <c r="B234" s="26">
        <v>80</v>
      </c>
      <c r="C234" s="48">
        <v>212</v>
      </c>
    </row>
    <row r="235" spans="1:3" x14ac:dyDescent="0.25">
      <c r="A235" s="63">
        <v>42133</v>
      </c>
      <c r="B235" s="26">
        <v>47</v>
      </c>
      <c r="C235" s="48">
        <v>590</v>
      </c>
    </row>
    <row r="236" spans="1:3" x14ac:dyDescent="0.25">
      <c r="A236" s="63">
        <v>42134</v>
      </c>
      <c r="B236" s="26">
        <v>77</v>
      </c>
      <c r="C236" s="48">
        <v>153</v>
      </c>
    </row>
    <row r="237" spans="1:3" x14ac:dyDescent="0.25">
      <c r="A237" s="63">
        <v>42135</v>
      </c>
      <c r="B237" s="26">
        <v>60</v>
      </c>
      <c r="C237" s="48">
        <v>202.5</v>
      </c>
    </row>
    <row r="238" spans="1:3" x14ac:dyDescent="0.25">
      <c r="A238" s="63">
        <v>42136</v>
      </c>
      <c r="B238" s="26">
        <v>54</v>
      </c>
      <c r="C238" s="48">
        <v>564</v>
      </c>
    </row>
    <row r="239" spans="1:3" x14ac:dyDescent="0.25">
      <c r="A239" s="63">
        <v>42137</v>
      </c>
      <c r="B239" s="26">
        <v>44</v>
      </c>
      <c r="C239" s="48">
        <v>326</v>
      </c>
    </row>
    <row r="240" spans="1:3" x14ac:dyDescent="0.25">
      <c r="A240" s="63">
        <v>42138</v>
      </c>
      <c r="B240" s="26">
        <v>50</v>
      </c>
      <c r="C240" s="48">
        <v>308</v>
      </c>
    </row>
    <row r="241" spans="1:3" x14ac:dyDescent="0.25">
      <c r="A241" s="63">
        <v>42139</v>
      </c>
      <c r="B241" s="26">
        <v>69</v>
      </c>
      <c r="C241" s="48">
        <v>220</v>
      </c>
    </row>
    <row r="242" spans="1:3" x14ac:dyDescent="0.25">
      <c r="A242" s="63">
        <v>42140</v>
      </c>
      <c r="B242" s="26">
        <v>59</v>
      </c>
      <c r="C242" s="48">
        <v>448.5</v>
      </c>
    </row>
    <row r="243" spans="1:3" x14ac:dyDescent="0.25">
      <c r="A243" s="63">
        <v>42141</v>
      </c>
      <c r="B243" s="26">
        <v>81</v>
      </c>
      <c r="C243" s="48">
        <v>239</v>
      </c>
    </row>
    <row r="244" spans="1:3" x14ac:dyDescent="0.25">
      <c r="A244" s="63">
        <v>42142</v>
      </c>
      <c r="B244" s="26">
        <v>82</v>
      </c>
      <c r="C244" s="48">
        <v>227</v>
      </c>
    </row>
    <row r="245" spans="1:3" x14ac:dyDescent="0.25">
      <c r="A245" s="63">
        <v>42143</v>
      </c>
      <c r="B245" s="26">
        <v>59</v>
      </c>
      <c r="C245" s="48">
        <v>222</v>
      </c>
    </row>
    <row r="246" spans="1:3" x14ac:dyDescent="0.25">
      <c r="A246" s="63">
        <v>42144</v>
      </c>
      <c r="B246" s="26">
        <v>47</v>
      </c>
      <c r="C246" s="48">
        <v>282</v>
      </c>
    </row>
    <row r="247" spans="1:3" x14ac:dyDescent="0.25">
      <c r="A247" s="63">
        <v>42145</v>
      </c>
      <c r="B247" s="26">
        <v>71</v>
      </c>
      <c r="C247" s="48">
        <v>225</v>
      </c>
    </row>
    <row r="248" spans="1:3" x14ac:dyDescent="0.25">
      <c r="A248" s="63">
        <v>42146</v>
      </c>
      <c r="B248" s="26">
        <v>45</v>
      </c>
      <c r="C248" s="48">
        <v>332</v>
      </c>
    </row>
    <row r="249" spans="1:3" x14ac:dyDescent="0.25">
      <c r="A249" s="63">
        <v>42147</v>
      </c>
      <c r="B249" s="26">
        <v>65</v>
      </c>
      <c r="C249" s="48">
        <v>178</v>
      </c>
    </row>
    <row r="250" spans="1:3" x14ac:dyDescent="0.25">
      <c r="A250" s="63">
        <v>42148</v>
      </c>
      <c r="B250" s="26">
        <v>78</v>
      </c>
      <c r="C250" s="48">
        <v>290</v>
      </c>
    </row>
    <row r="251" spans="1:3" x14ac:dyDescent="0.25">
      <c r="A251" s="63">
        <v>42149</v>
      </c>
      <c r="B251" s="26">
        <v>54</v>
      </c>
      <c r="C251" s="48">
        <v>246</v>
      </c>
    </row>
    <row r="252" spans="1:3" x14ac:dyDescent="0.25">
      <c r="A252" s="63">
        <v>42150</v>
      </c>
      <c r="B252" s="26">
        <v>46</v>
      </c>
      <c r="C252" s="48">
        <v>598</v>
      </c>
    </row>
    <row r="253" spans="1:3" x14ac:dyDescent="0.25">
      <c r="A253" s="63">
        <v>42151</v>
      </c>
      <c r="B253" s="26">
        <v>81</v>
      </c>
      <c r="C253" s="48">
        <v>186</v>
      </c>
    </row>
    <row r="254" spans="1:3" x14ac:dyDescent="0.25">
      <c r="A254" s="63">
        <v>42152</v>
      </c>
      <c r="B254" s="26">
        <v>52</v>
      </c>
      <c r="C254" s="48">
        <v>584</v>
      </c>
    </row>
    <row r="255" spans="1:3" x14ac:dyDescent="0.25">
      <c r="A255" s="63">
        <v>42153</v>
      </c>
      <c r="B255" s="26">
        <v>79</v>
      </c>
      <c r="C255" s="48">
        <v>259</v>
      </c>
    </row>
    <row r="256" spans="1:3" x14ac:dyDescent="0.25">
      <c r="A256" s="63">
        <v>42154</v>
      </c>
      <c r="B256" s="26">
        <v>77</v>
      </c>
      <c r="C256" s="48">
        <v>162</v>
      </c>
    </row>
    <row r="257" spans="1:3" x14ac:dyDescent="0.25">
      <c r="A257" s="63">
        <v>42155</v>
      </c>
      <c r="B257" s="26">
        <v>66</v>
      </c>
      <c r="C257" s="48">
        <v>162</v>
      </c>
    </row>
    <row r="258" spans="1:3" x14ac:dyDescent="0.25">
      <c r="A258" s="63">
        <v>42156</v>
      </c>
      <c r="B258" s="26">
        <v>60</v>
      </c>
      <c r="C258" s="48">
        <v>300</v>
      </c>
    </row>
    <row r="259" spans="1:3" x14ac:dyDescent="0.25">
      <c r="A259" s="63">
        <v>42157</v>
      </c>
      <c r="B259" s="26">
        <v>66</v>
      </c>
      <c r="C259" s="48">
        <v>228</v>
      </c>
    </row>
    <row r="260" spans="1:3" x14ac:dyDescent="0.25">
      <c r="A260" s="63">
        <v>42158</v>
      </c>
      <c r="B260" s="26">
        <v>63</v>
      </c>
      <c r="C260" s="48">
        <v>336</v>
      </c>
    </row>
    <row r="261" spans="1:3" x14ac:dyDescent="0.25">
      <c r="A261" s="63">
        <v>42159</v>
      </c>
      <c r="B261" s="26">
        <v>76</v>
      </c>
      <c r="C261" s="48">
        <v>164</v>
      </c>
    </row>
    <row r="262" spans="1:3" x14ac:dyDescent="0.25">
      <c r="A262" s="63">
        <v>42160</v>
      </c>
      <c r="B262" s="26">
        <v>64</v>
      </c>
      <c r="C262" s="48">
        <v>238.5</v>
      </c>
    </row>
    <row r="263" spans="1:3" x14ac:dyDescent="0.25">
      <c r="A263" s="63">
        <v>42161</v>
      </c>
      <c r="B263" s="26">
        <v>54</v>
      </c>
      <c r="C263" s="48">
        <v>548</v>
      </c>
    </row>
    <row r="264" spans="1:3" x14ac:dyDescent="0.25">
      <c r="A264" s="63">
        <v>42162</v>
      </c>
      <c r="B264" s="26">
        <v>62</v>
      </c>
      <c r="C264" s="48">
        <v>187.5</v>
      </c>
    </row>
    <row r="265" spans="1:3" x14ac:dyDescent="0.25">
      <c r="A265" s="63">
        <v>42163</v>
      </c>
      <c r="B265" s="26">
        <v>75</v>
      </c>
      <c r="C265" s="48">
        <v>208</v>
      </c>
    </row>
    <row r="266" spans="1:3" x14ac:dyDescent="0.25">
      <c r="A266" s="63">
        <v>42164</v>
      </c>
      <c r="B266" s="26">
        <v>60</v>
      </c>
      <c r="C266" s="48">
        <v>153</v>
      </c>
    </row>
    <row r="267" spans="1:3" x14ac:dyDescent="0.25">
      <c r="A267" s="63">
        <v>42165</v>
      </c>
      <c r="B267" s="26">
        <v>61</v>
      </c>
      <c r="C267" s="48">
        <v>343.5</v>
      </c>
    </row>
    <row r="268" spans="1:3" x14ac:dyDescent="0.25">
      <c r="A268" s="63">
        <v>42166</v>
      </c>
      <c r="B268" s="26">
        <v>74</v>
      </c>
      <c r="C268" s="48">
        <v>275</v>
      </c>
    </row>
    <row r="269" spans="1:3" x14ac:dyDescent="0.25">
      <c r="A269" s="63">
        <v>42167</v>
      </c>
      <c r="B269" s="26">
        <v>72</v>
      </c>
      <c r="C269" s="48">
        <v>138</v>
      </c>
    </row>
    <row r="270" spans="1:3" x14ac:dyDescent="0.25">
      <c r="A270" s="63">
        <v>42168</v>
      </c>
      <c r="B270" s="26">
        <v>77</v>
      </c>
      <c r="C270" s="48">
        <v>168</v>
      </c>
    </row>
    <row r="271" spans="1:3" x14ac:dyDescent="0.25">
      <c r="A271" s="63">
        <v>42169</v>
      </c>
      <c r="B271" s="26">
        <v>56</v>
      </c>
      <c r="C271" s="48">
        <v>289.5</v>
      </c>
    </row>
    <row r="272" spans="1:3" x14ac:dyDescent="0.25">
      <c r="A272" s="63">
        <v>42170</v>
      </c>
      <c r="B272" s="26">
        <v>73</v>
      </c>
      <c r="C272" s="48">
        <v>156</v>
      </c>
    </row>
    <row r="273" spans="1:3" x14ac:dyDescent="0.25">
      <c r="A273" s="63">
        <v>42171</v>
      </c>
      <c r="B273" s="26">
        <v>60</v>
      </c>
      <c r="C273" s="48">
        <v>345</v>
      </c>
    </row>
    <row r="274" spans="1:3" x14ac:dyDescent="0.25">
      <c r="A274" s="63">
        <v>42172</v>
      </c>
      <c r="B274" s="26">
        <v>72</v>
      </c>
      <c r="C274" s="48">
        <v>292</v>
      </c>
    </row>
    <row r="275" spans="1:3" x14ac:dyDescent="0.25">
      <c r="A275" s="63">
        <v>42173</v>
      </c>
      <c r="B275" s="26">
        <v>66</v>
      </c>
      <c r="C275" s="48">
        <v>100</v>
      </c>
    </row>
    <row r="276" spans="1:3" x14ac:dyDescent="0.25">
      <c r="A276" s="63">
        <v>42174</v>
      </c>
      <c r="B276" s="26">
        <v>57</v>
      </c>
      <c r="C276" s="48">
        <v>355.5</v>
      </c>
    </row>
    <row r="277" spans="1:3" x14ac:dyDescent="0.25">
      <c r="A277" s="63">
        <v>42175</v>
      </c>
      <c r="B277" s="26">
        <v>57</v>
      </c>
      <c r="C277" s="48">
        <v>171</v>
      </c>
    </row>
    <row r="278" spans="1:3" x14ac:dyDescent="0.25">
      <c r="A278" s="63">
        <v>42176</v>
      </c>
      <c r="B278" s="26">
        <v>78</v>
      </c>
      <c r="C278" s="48">
        <v>253</v>
      </c>
    </row>
    <row r="279" spans="1:3" x14ac:dyDescent="0.25">
      <c r="A279" s="63">
        <v>42177</v>
      </c>
      <c r="B279" s="26">
        <v>56</v>
      </c>
      <c r="C279" s="48">
        <v>303</v>
      </c>
    </row>
    <row r="280" spans="1:3" x14ac:dyDescent="0.25">
      <c r="A280" s="63">
        <v>42178</v>
      </c>
      <c r="B280" s="26">
        <v>59</v>
      </c>
      <c r="C280" s="48">
        <v>319.5</v>
      </c>
    </row>
    <row r="281" spans="1:3" x14ac:dyDescent="0.25">
      <c r="A281" s="63">
        <v>42179</v>
      </c>
      <c r="B281" s="26">
        <v>71</v>
      </c>
      <c r="C281" s="48">
        <v>115</v>
      </c>
    </row>
    <row r="282" spans="1:3" x14ac:dyDescent="0.25">
      <c r="A282" s="63">
        <v>42180</v>
      </c>
      <c r="B282" s="26">
        <v>66</v>
      </c>
      <c r="C282" s="48">
        <v>133</v>
      </c>
    </row>
    <row r="283" spans="1:3" x14ac:dyDescent="0.25">
      <c r="A283" s="63">
        <v>42181</v>
      </c>
      <c r="B283" s="26">
        <v>58</v>
      </c>
      <c r="C283" s="48">
        <v>318</v>
      </c>
    </row>
    <row r="284" spans="1:3" x14ac:dyDescent="0.25">
      <c r="A284" s="63">
        <v>42182</v>
      </c>
      <c r="B284" s="26">
        <v>67</v>
      </c>
      <c r="C284" s="48">
        <v>137</v>
      </c>
    </row>
    <row r="285" spans="1:3" x14ac:dyDescent="0.25">
      <c r="A285" s="63">
        <v>42183</v>
      </c>
      <c r="B285" s="26">
        <v>66</v>
      </c>
      <c r="C285" s="48">
        <v>275</v>
      </c>
    </row>
    <row r="286" spans="1:3" x14ac:dyDescent="0.25">
      <c r="A286" s="63">
        <v>42184</v>
      </c>
      <c r="B286" s="26">
        <v>76</v>
      </c>
      <c r="C286" s="48">
        <v>132</v>
      </c>
    </row>
    <row r="287" spans="1:3" x14ac:dyDescent="0.25">
      <c r="A287" s="63">
        <v>42185</v>
      </c>
      <c r="B287" s="26">
        <v>57</v>
      </c>
      <c r="C287" s="48">
        <v>244.5</v>
      </c>
    </row>
    <row r="288" spans="1:3" x14ac:dyDescent="0.25">
      <c r="A288" s="63">
        <v>42186</v>
      </c>
      <c r="B288" s="26">
        <v>72</v>
      </c>
      <c r="C288" s="48">
        <v>135</v>
      </c>
    </row>
    <row r="289" spans="1:3" x14ac:dyDescent="0.25">
      <c r="A289" s="63">
        <v>42187</v>
      </c>
      <c r="B289" s="26">
        <v>62</v>
      </c>
      <c r="C289" s="48">
        <v>246</v>
      </c>
    </row>
    <row r="290" spans="1:3" x14ac:dyDescent="0.25">
      <c r="A290" s="63">
        <v>42188</v>
      </c>
      <c r="B290" s="26">
        <v>79</v>
      </c>
      <c r="C290" s="48">
        <v>222</v>
      </c>
    </row>
    <row r="291" spans="1:3" x14ac:dyDescent="0.25">
      <c r="A291" s="63">
        <v>42189</v>
      </c>
      <c r="B291" s="26">
        <v>83</v>
      </c>
      <c r="C291" s="48">
        <v>297</v>
      </c>
    </row>
    <row r="292" spans="1:3" x14ac:dyDescent="0.25">
      <c r="A292" s="63">
        <v>42190</v>
      </c>
      <c r="B292" s="26">
        <v>71</v>
      </c>
      <c r="C292" s="48">
        <v>173</v>
      </c>
    </row>
    <row r="293" spans="1:3" x14ac:dyDescent="0.25">
      <c r="A293" s="63">
        <v>42191</v>
      </c>
      <c r="B293" s="26">
        <v>78</v>
      </c>
      <c r="C293" s="48">
        <v>154</v>
      </c>
    </row>
    <row r="294" spans="1:3" x14ac:dyDescent="0.25">
      <c r="A294" s="63">
        <v>42192</v>
      </c>
      <c r="B294" s="26">
        <v>70</v>
      </c>
      <c r="C294" s="48">
        <v>160</v>
      </c>
    </row>
    <row r="295" spans="1:3" x14ac:dyDescent="0.25">
      <c r="A295" s="63">
        <v>42193</v>
      </c>
      <c r="B295" s="26">
        <v>81</v>
      </c>
      <c r="C295" s="48">
        <v>139</v>
      </c>
    </row>
    <row r="296" spans="1:3" x14ac:dyDescent="0.25">
      <c r="A296" s="63">
        <v>42194</v>
      </c>
      <c r="B296" s="26">
        <v>74</v>
      </c>
      <c r="C296" s="48">
        <v>103</v>
      </c>
    </row>
    <row r="297" spans="1:3" x14ac:dyDescent="0.25">
      <c r="A297" s="63">
        <v>42195</v>
      </c>
      <c r="B297" s="26">
        <v>92</v>
      </c>
      <c r="C297" s="48">
        <v>508</v>
      </c>
    </row>
    <row r="298" spans="1:3" x14ac:dyDescent="0.25">
      <c r="A298" s="63">
        <v>42196</v>
      </c>
      <c r="B298" s="26">
        <v>78</v>
      </c>
      <c r="C298" s="48">
        <v>172</v>
      </c>
    </row>
    <row r="299" spans="1:3" x14ac:dyDescent="0.25">
      <c r="A299" s="63">
        <v>42197</v>
      </c>
      <c r="B299" s="26">
        <v>87</v>
      </c>
      <c r="C299" s="48">
        <v>429</v>
      </c>
    </row>
    <row r="300" spans="1:3" x14ac:dyDescent="0.25">
      <c r="A300" s="63">
        <v>42198</v>
      </c>
      <c r="B300" s="26">
        <v>62</v>
      </c>
      <c r="C300" s="48">
        <v>406.5</v>
      </c>
    </row>
    <row r="301" spans="1:3" x14ac:dyDescent="0.25">
      <c r="A301" s="63">
        <v>42199</v>
      </c>
      <c r="B301" s="26">
        <v>85</v>
      </c>
      <c r="C301" s="48">
        <v>340.5</v>
      </c>
    </row>
    <row r="302" spans="1:3" x14ac:dyDescent="0.25">
      <c r="A302" s="63">
        <v>42200</v>
      </c>
      <c r="B302" s="26">
        <v>92</v>
      </c>
      <c r="C302" s="48">
        <v>268</v>
      </c>
    </row>
    <row r="303" spans="1:3" x14ac:dyDescent="0.25">
      <c r="A303" s="63">
        <v>42201</v>
      </c>
      <c r="B303" s="26">
        <v>84</v>
      </c>
      <c r="C303" s="48">
        <v>235</v>
      </c>
    </row>
    <row r="304" spans="1:3" x14ac:dyDescent="0.25">
      <c r="A304" s="63">
        <v>42202</v>
      </c>
      <c r="B304" s="26">
        <v>90</v>
      </c>
      <c r="C304" s="48">
        <v>396</v>
      </c>
    </row>
    <row r="305" spans="1:3" x14ac:dyDescent="0.25">
      <c r="A305" s="63">
        <v>42203</v>
      </c>
      <c r="B305" s="26">
        <v>66</v>
      </c>
      <c r="C305" s="48">
        <v>254</v>
      </c>
    </row>
    <row r="306" spans="1:3" x14ac:dyDescent="0.25">
      <c r="A306" s="63">
        <v>42204</v>
      </c>
      <c r="B306" s="26">
        <v>67</v>
      </c>
      <c r="C306" s="48">
        <v>189</v>
      </c>
    </row>
    <row r="307" spans="1:3" x14ac:dyDescent="0.25">
      <c r="A307" s="63">
        <v>42205</v>
      </c>
      <c r="B307" s="26">
        <v>79</v>
      </c>
      <c r="C307" s="48">
        <v>293</v>
      </c>
    </row>
    <row r="308" spans="1:3" x14ac:dyDescent="0.25">
      <c r="A308" s="63">
        <v>42206</v>
      </c>
      <c r="B308" s="26">
        <v>74</v>
      </c>
      <c r="C308" s="48">
        <v>115</v>
      </c>
    </row>
    <row r="309" spans="1:3" x14ac:dyDescent="0.25">
      <c r="A309" s="63">
        <v>42207</v>
      </c>
      <c r="B309" s="26">
        <v>84</v>
      </c>
      <c r="C309" s="48">
        <v>181</v>
      </c>
    </row>
    <row r="310" spans="1:3" x14ac:dyDescent="0.25">
      <c r="A310" s="63">
        <v>42208</v>
      </c>
      <c r="B310" s="26">
        <v>73</v>
      </c>
      <c r="C310" s="48">
        <v>200</v>
      </c>
    </row>
    <row r="311" spans="1:3" x14ac:dyDescent="0.25">
      <c r="A311" s="63">
        <v>42209</v>
      </c>
      <c r="B311" s="26">
        <v>72</v>
      </c>
      <c r="C311" s="48">
        <v>234</v>
      </c>
    </row>
    <row r="312" spans="1:3" x14ac:dyDescent="0.25">
      <c r="A312" s="63">
        <v>42210</v>
      </c>
      <c r="B312" s="26">
        <v>89</v>
      </c>
      <c r="C312" s="48">
        <v>423</v>
      </c>
    </row>
    <row r="313" spans="1:3" x14ac:dyDescent="0.25">
      <c r="A313" s="63">
        <v>42211</v>
      </c>
      <c r="B313" s="26">
        <v>75</v>
      </c>
      <c r="C313" s="48">
        <v>102</v>
      </c>
    </row>
    <row r="314" spans="1:3" x14ac:dyDescent="0.25">
      <c r="A314" s="63">
        <v>42212</v>
      </c>
      <c r="B314" s="26">
        <v>80</v>
      </c>
      <c r="C314" s="48">
        <v>272</v>
      </c>
    </row>
    <row r="315" spans="1:3" x14ac:dyDescent="0.25">
      <c r="A315" s="63">
        <v>42213</v>
      </c>
      <c r="B315" s="26">
        <v>65</v>
      </c>
      <c r="C315" s="48">
        <v>159</v>
      </c>
    </row>
    <row r="316" spans="1:3" x14ac:dyDescent="0.25">
      <c r="A316" s="63">
        <v>42214</v>
      </c>
      <c r="B316" s="26">
        <v>71</v>
      </c>
      <c r="C316" s="48">
        <v>281</v>
      </c>
    </row>
    <row r="317" spans="1:3" x14ac:dyDescent="0.25">
      <c r="A317" s="63">
        <v>42215</v>
      </c>
      <c r="B317" s="26">
        <v>91</v>
      </c>
      <c r="C317" s="48">
        <v>210</v>
      </c>
    </row>
    <row r="318" spans="1:3" x14ac:dyDescent="0.25">
      <c r="A318" s="63">
        <v>42216</v>
      </c>
      <c r="B318" s="26">
        <v>89</v>
      </c>
      <c r="C318" s="48">
        <v>273</v>
      </c>
    </row>
    <row r="319" spans="1:3" x14ac:dyDescent="0.25">
      <c r="A319" s="63">
        <v>42217</v>
      </c>
      <c r="B319" s="26">
        <v>98</v>
      </c>
      <c r="C319" s="48">
        <v>310</v>
      </c>
    </row>
    <row r="320" spans="1:3" x14ac:dyDescent="0.25">
      <c r="A320" s="63">
        <v>42218</v>
      </c>
      <c r="B320" s="26">
        <v>91</v>
      </c>
      <c r="C320" s="48">
        <v>578</v>
      </c>
    </row>
    <row r="321" spans="1:3" x14ac:dyDescent="0.25">
      <c r="A321" s="63">
        <v>42219</v>
      </c>
      <c r="B321" s="26">
        <v>82</v>
      </c>
      <c r="C321" s="48">
        <v>300</v>
      </c>
    </row>
    <row r="322" spans="1:3" x14ac:dyDescent="0.25">
      <c r="A322" s="63">
        <v>42220</v>
      </c>
      <c r="B322" s="26">
        <v>93</v>
      </c>
      <c r="C322" s="48">
        <v>584</v>
      </c>
    </row>
    <row r="323" spans="1:3" x14ac:dyDescent="0.25">
      <c r="A323" s="63">
        <v>42221</v>
      </c>
      <c r="B323" s="26">
        <v>73</v>
      </c>
      <c r="C323" s="48">
        <v>159</v>
      </c>
    </row>
    <row r="324" spans="1:3" x14ac:dyDescent="0.25">
      <c r="A324" s="63">
        <v>42222</v>
      </c>
      <c r="B324" s="26">
        <v>99</v>
      </c>
      <c r="C324" s="48">
        <v>715</v>
      </c>
    </row>
    <row r="325" spans="1:3" x14ac:dyDescent="0.25">
      <c r="A325" s="63">
        <v>42223</v>
      </c>
      <c r="B325" s="26">
        <v>85</v>
      </c>
      <c r="C325" s="48">
        <v>426</v>
      </c>
    </row>
    <row r="326" spans="1:3" x14ac:dyDescent="0.25">
      <c r="A326" s="63">
        <v>42224</v>
      </c>
      <c r="B326" s="26">
        <v>71</v>
      </c>
      <c r="C326" s="48">
        <v>251</v>
      </c>
    </row>
    <row r="327" spans="1:3" x14ac:dyDescent="0.25">
      <c r="A327" s="63">
        <v>42225</v>
      </c>
      <c r="B327" s="26">
        <v>90</v>
      </c>
      <c r="C327" s="48">
        <v>294</v>
      </c>
    </row>
    <row r="328" spans="1:3" x14ac:dyDescent="0.25">
      <c r="A328" s="63">
        <v>42226</v>
      </c>
      <c r="B328" s="26">
        <v>71</v>
      </c>
      <c r="C328" s="48">
        <v>288</v>
      </c>
    </row>
    <row r="329" spans="1:3" x14ac:dyDescent="0.25">
      <c r="A329" s="63">
        <v>42227</v>
      </c>
      <c r="B329" s="26">
        <v>97</v>
      </c>
      <c r="C329" s="48">
        <v>740</v>
      </c>
    </row>
    <row r="330" spans="1:3" x14ac:dyDescent="0.25">
      <c r="A330" s="63">
        <v>42228</v>
      </c>
      <c r="B330" s="26">
        <v>100</v>
      </c>
      <c r="C330" s="48">
        <v>646.25</v>
      </c>
    </row>
    <row r="331" spans="1:3" x14ac:dyDescent="0.25">
      <c r="A331" s="63">
        <v>42229</v>
      </c>
      <c r="B331" s="26">
        <v>96</v>
      </c>
      <c r="C331" s="48">
        <v>337.5</v>
      </c>
    </row>
    <row r="332" spans="1:3" x14ac:dyDescent="0.25">
      <c r="A332" s="63">
        <v>42230</v>
      </c>
      <c r="B332" s="26">
        <v>75</v>
      </c>
      <c r="C332" s="48">
        <v>154</v>
      </c>
    </row>
    <row r="333" spans="1:3" x14ac:dyDescent="0.25">
      <c r="A333" s="63">
        <v>42231</v>
      </c>
      <c r="B333" s="26">
        <v>80</v>
      </c>
      <c r="C333" s="48">
        <v>153</v>
      </c>
    </row>
    <row r="334" spans="1:3" x14ac:dyDescent="0.25">
      <c r="A334" s="63">
        <v>42232</v>
      </c>
      <c r="B334" s="26">
        <v>74</v>
      </c>
      <c r="C334" s="48">
        <v>207</v>
      </c>
    </row>
    <row r="335" spans="1:3" x14ac:dyDescent="0.25">
      <c r="A335" s="63">
        <v>42233</v>
      </c>
      <c r="B335" s="26">
        <v>84</v>
      </c>
      <c r="C335" s="48">
        <v>151</v>
      </c>
    </row>
    <row r="336" spans="1:3" x14ac:dyDescent="0.25">
      <c r="A336" s="63">
        <v>42234</v>
      </c>
      <c r="B336" s="26">
        <v>94</v>
      </c>
      <c r="C336" s="48">
        <v>308</v>
      </c>
    </row>
    <row r="337" spans="1:3" x14ac:dyDescent="0.25">
      <c r="A337" s="63">
        <v>42235</v>
      </c>
      <c r="B337" s="26">
        <v>99</v>
      </c>
      <c r="C337" s="48">
        <v>285</v>
      </c>
    </row>
    <row r="338" spans="1:3" x14ac:dyDescent="0.25">
      <c r="A338" s="63">
        <v>42236</v>
      </c>
      <c r="B338" s="26">
        <v>94</v>
      </c>
      <c r="C338" s="48">
        <v>422</v>
      </c>
    </row>
    <row r="339" spans="1:3" x14ac:dyDescent="0.25">
      <c r="A339" s="63">
        <v>42237</v>
      </c>
      <c r="B339" s="26">
        <v>95</v>
      </c>
      <c r="C339" s="48">
        <v>400</v>
      </c>
    </row>
    <row r="340" spans="1:3" x14ac:dyDescent="0.25">
      <c r="A340" s="63">
        <v>42238</v>
      </c>
      <c r="B340" s="26">
        <v>88</v>
      </c>
      <c r="C340" s="48">
        <v>426</v>
      </c>
    </row>
    <row r="341" spans="1:3" x14ac:dyDescent="0.25">
      <c r="A341" s="63">
        <v>42239</v>
      </c>
      <c r="B341" s="26">
        <v>83</v>
      </c>
      <c r="C341" s="48">
        <v>182</v>
      </c>
    </row>
    <row r="342" spans="1:3" x14ac:dyDescent="0.25">
      <c r="A342" s="63">
        <v>42240</v>
      </c>
      <c r="B342" s="26">
        <v>89</v>
      </c>
      <c r="C342" s="48">
        <v>201</v>
      </c>
    </row>
    <row r="343" spans="1:3" x14ac:dyDescent="0.25">
      <c r="A343" s="63">
        <v>42241</v>
      </c>
      <c r="B343" s="26">
        <v>79</v>
      </c>
      <c r="C343" s="48">
        <v>294</v>
      </c>
    </row>
    <row r="344" spans="1:3" x14ac:dyDescent="0.25">
      <c r="A344" s="63">
        <v>42242</v>
      </c>
      <c r="B344" s="26">
        <v>92</v>
      </c>
      <c r="C344" s="48">
        <v>244</v>
      </c>
    </row>
    <row r="345" spans="1:3" x14ac:dyDescent="0.25">
      <c r="A345" s="63">
        <v>42243</v>
      </c>
      <c r="B345" s="26">
        <v>100</v>
      </c>
      <c r="C345" s="48">
        <v>379.5</v>
      </c>
    </row>
    <row r="346" spans="1:3" x14ac:dyDescent="0.25">
      <c r="A346" s="63">
        <v>42244</v>
      </c>
      <c r="B346" s="26">
        <v>80</v>
      </c>
      <c r="C346" s="48">
        <v>257</v>
      </c>
    </row>
    <row r="347" spans="1:3" x14ac:dyDescent="0.25">
      <c r="A347" s="63">
        <v>42245</v>
      </c>
      <c r="B347" s="26">
        <v>97</v>
      </c>
      <c r="C347" s="48">
        <v>590</v>
      </c>
    </row>
    <row r="348" spans="1:3" x14ac:dyDescent="0.25">
      <c r="A348" s="63">
        <v>42246</v>
      </c>
      <c r="B348" s="26">
        <v>70</v>
      </c>
      <c r="C348" s="48">
        <v>199</v>
      </c>
    </row>
    <row r="349" spans="1:3" x14ac:dyDescent="0.25">
      <c r="A349" s="63">
        <v>42247</v>
      </c>
      <c r="B349" s="26">
        <v>90</v>
      </c>
      <c r="C349" s="48">
        <v>248</v>
      </c>
    </row>
    <row r="350" spans="1:3" x14ac:dyDescent="0.25">
      <c r="A350" s="63">
        <v>42248</v>
      </c>
      <c r="B350" s="26">
        <v>75</v>
      </c>
      <c r="C350" s="48">
        <v>106</v>
      </c>
    </row>
    <row r="351" spans="1:3" x14ac:dyDescent="0.25">
      <c r="A351" s="63">
        <v>42249</v>
      </c>
      <c r="B351" s="26">
        <v>86</v>
      </c>
      <c r="C351" s="48">
        <v>217.5</v>
      </c>
    </row>
    <row r="352" spans="1:3" x14ac:dyDescent="0.25">
      <c r="A352" s="63">
        <v>42250</v>
      </c>
      <c r="B352" s="26">
        <v>91</v>
      </c>
      <c r="C352" s="48">
        <v>328</v>
      </c>
    </row>
    <row r="353" spans="1:3" x14ac:dyDescent="0.25">
      <c r="A353" s="63">
        <v>42251</v>
      </c>
      <c r="B353" s="26">
        <v>80</v>
      </c>
      <c r="C353" s="48">
        <v>133</v>
      </c>
    </row>
    <row r="354" spans="1:3" x14ac:dyDescent="0.25">
      <c r="A354" s="63">
        <v>42252</v>
      </c>
      <c r="B354" s="26">
        <v>73</v>
      </c>
      <c r="C354" s="48">
        <v>118</v>
      </c>
    </row>
    <row r="355" spans="1:3" x14ac:dyDescent="0.25">
      <c r="A355" s="63">
        <v>42253</v>
      </c>
      <c r="B355" s="26">
        <v>85</v>
      </c>
      <c r="C355" s="48">
        <v>442.5</v>
      </c>
    </row>
    <row r="356" spans="1:3" x14ac:dyDescent="0.25">
      <c r="A356" s="63">
        <v>42254</v>
      </c>
      <c r="B356" s="26">
        <v>95</v>
      </c>
      <c r="C356" s="48">
        <v>455</v>
      </c>
    </row>
    <row r="357" spans="1:3" x14ac:dyDescent="0.25">
      <c r="A357" s="63">
        <v>42255</v>
      </c>
      <c r="B357" s="26">
        <v>75</v>
      </c>
      <c r="C357" s="48">
        <v>188</v>
      </c>
    </row>
    <row r="358" spans="1:3" x14ac:dyDescent="0.25">
      <c r="A358" s="63">
        <v>42256</v>
      </c>
      <c r="B358" s="26">
        <v>87</v>
      </c>
      <c r="C358" s="48">
        <v>255</v>
      </c>
    </row>
    <row r="359" spans="1:3" x14ac:dyDescent="0.25">
      <c r="A359" s="63">
        <v>42257</v>
      </c>
      <c r="B359" s="26">
        <v>80</v>
      </c>
      <c r="C359" s="48">
        <v>294</v>
      </c>
    </row>
    <row r="360" spans="1:3" x14ac:dyDescent="0.25">
      <c r="A360" s="63">
        <v>42258</v>
      </c>
      <c r="B360" s="26">
        <v>88</v>
      </c>
      <c r="C360" s="48">
        <v>304.5</v>
      </c>
    </row>
    <row r="361" spans="1:3" x14ac:dyDescent="0.25">
      <c r="A361" s="63">
        <v>42259</v>
      </c>
      <c r="B361" s="26">
        <v>75</v>
      </c>
      <c r="C361" s="48">
        <v>138</v>
      </c>
    </row>
    <row r="362" spans="1:3" x14ac:dyDescent="0.25">
      <c r="A362" s="63">
        <v>42260</v>
      </c>
      <c r="B362" s="26">
        <v>68</v>
      </c>
      <c r="C362" s="48">
        <v>253</v>
      </c>
    </row>
    <row r="363" spans="1:3" x14ac:dyDescent="0.25">
      <c r="A363" s="63">
        <v>42261</v>
      </c>
      <c r="B363" s="26">
        <v>70</v>
      </c>
      <c r="C363" s="48">
        <v>180</v>
      </c>
    </row>
    <row r="364" spans="1:3" x14ac:dyDescent="0.25">
      <c r="A364" s="63">
        <v>42262</v>
      </c>
      <c r="B364" s="26">
        <v>76</v>
      </c>
      <c r="C364" s="48">
        <v>210</v>
      </c>
    </row>
    <row r="365" spans="1:3" x14ac:dyDescent="0.25">
      <c r="A365" s="63">
        <v>42263</v>
      </c>
      <c r="B365" s="26">
        <v>87</v>
      </c>
      <c r="C365" s="48">
        <v>436.5</v>
      </c>
    </row>
    <row r="366" spans="1:3" x14ac:dyDescent="0.25">
      <c r="A366" s="63">
        <v>42264</v>
      </c>
      <c r="B366" s="26">
        <v>90</v>
      </c>
      <c r="C366" s="48">
        <v>456</v>
      </c>
    </row>
    <row r="367" spans="1:3" x14ac:dyDescent="0.25">
      <c r="A367" s="63">
        <v>42265</v>
      </c>
      <c r="B367" s="26">
        <v>67</v>
      </c>
      <c r="C367" s="48">
        <v>273</v>
      </c>
    </row>
    <row r="368" spans="1:3" x14ac:dyDescent="0.25">
      <c r="A368" s="63">
        <v>42266</v>
      </c>
      <c r="B368" s="26">
        <v>70</v>
      </c>
      <c r="C368" s="48">
        <v>283</v>
      </c>
    </row>
    <row r="369" spans="1:3" x14ac:dyDescent="0.25">
      <c r="A369" s="63">
        <v>42267</v>
      </c>
      <c r="B369" s="26">
        <v>97</v>
      </c>
      <c r="C369" s="48">
        <v>345</v>
      </c>
    </row>
    <row r="370" spans="1:3" x14ac:dyDescent="0.25">
      <c r="A370" s="63">
        <v>42268</v>
      </c>
      <c r="B370" s="26">
        <v>90</v>
      </c>
      <c r="C370" s="48">
        <v>232</v>
      </c>
    </row>
    <row r="371" spans="1:3" x14ac:dyDescent="0.25">
      <c r="A371" s="63">
        <v>42269</v>
      </c>
      <c r="B371" s="26">
        <v>86</v>
      </c>
      <c r="C371" s="48">
        <v>301.5</v>
      </c>
    </row>
    <row r="372" spans="1:3" x14ac:dyDescent="0.25">
      <c r="A372" s="63">
        <v>42270</v>
      </c>
      <c r="B372" s="26">
        <v>83</v>
      </c>
      <c r="C372" s="48">
        <v>298</v>
      </c>
    </row>
    <row r="373" spans="1:3" x14ac:dyDescent="0.25">
      <c r="A373" s="63">
        <v>42271</v>
      </c>
      <c r="B373" s="26">
        <v>69</v>
      </c>
      <c r="C373" s="48">
        <v>283</v>
      </c>
    </row>
    <row r="374" spans="1:3" x14ac:dyDescent="0.25">
      <c r="A374" s="63">
        <v>42272</v>
      </c>
      <c r="B374" s="26">
        <v>68</v>
      </c>
      <c r="C374" s="48">
        <v>193</v>
      </c>
    </row>
    <row r="375" spans="1:3" x14ac:dyDescent="0.25">
      <c r="A375" s="63">
        <v>42273</v>
      </c>
      <c r="B375" s="26">
        <v>95</v>
      </c>
      <c r="C375" s="48">
        <v>742.5</v>
      </c>
    </row>
    <row r="376" spans="1:3" x14ac:dyDescent="0.25">
      <c r="A376" s="63">
        <v>42274</v>
      </c>
      <c r="B376" s="26">
        <v>93</v>
      </c>
      <c r="C376" s="48">
        <v>528</v>
      </c>
    </row>
    <row r="377" spans="1:3" x14ac:dyDescent="0.25">
      <c r="A377" s="63">
        <v>42275</v>
      </c>
      <c r="B377" s="26">
        <v>79</v>
      </c>
      <c r="C377" s="48">
        <v>204</v>
      </c>
    </row>
    <row r="378" spans="1:3" x14ac:dyDescent="0.25">
      <c r="A378" s="63">
        <v>42276</v>
      </c>
      <c r="B378" s="26">
        <v>87</v>
      </c>
      <c r="C378" s="48">
        <v>180</v>
      </c>
    </row>
    <row r="379" spans="1:3" x14ac:dyDescent="0.25">
      <c r="A379" s="63">
        <v>42277</v>
      </c>
      <c r="B379" s="26">
        <v>79</v>
      </c>
      <c r="C379" s="48">
        <v>230</v>
      </c>
    </row>
    <row r="380" spans="1:3" x14ac:dyDescent="0.25">
      <c r="A380" s="63">
        <v>42278</v>
      </c>
      <c r="B380" s="26">
        <v>85</v>
      </c>
      <c r="C380" s="48">
        <v>393</v>
      </c>
    </row>
    <row r="381" spans="1:3" x14ac:dyDescent="0.25">
      <c r="A381" s="63">
        <v>42279</v>
      </c>
      <c r="B381" s="26">
        <v>89</v>
      </c>
      <c r="C381" s="48">
        <v>310.5</v>
      </c>
    </row>
    <row r="382" spans="1:3" x14ac:dyDescent="0.25">
      <c r="A382" s="63">
        <v>42280</v>
      </c>
      <c r="B382" s="26">
        <v>71</v>
      </c>
      <c r="C382" s="48">
        <v>298</v>
      </c>
    </row>
    <row r="383" spans="1:3" x14ac:dyDescent="0.25">
      <c r="A383" s="63">
        <v>42281</v>
      </c>
      <c r="B383" s="26">
        <v>58</v>
      </c>
      <c r="C383" s="48">
        <v>424.5</v>
      </c>
    </row>
    <row r="384" spans="1:3" x14ac:dyDescent="0.25">
      <c r="A384" s="63">
        <v>42282</v>
      </c>
      <c r="B384" s="26">
        <v>66</v>
      </c>
      <c r="C384" s="48">
        <v>116</v>
      </c>
    </row>
    <row r="385" spans="1:3" x14ac:dyDescent="0.25">
      <c r="A385" s="63">
        <v>42283</v>
      </c>
      <c r="B385" s="26">
        <v>82</v>
      </c>
      <c r="C385" s="48">
        <v>288</v>
      </c>
    </row>
    <row r="386" spans="1:3" x14ac:dyDescent="0.25">
      <c r="A386" s="63">
        <v>42284</v>
      </c>
      <c r="B386" s="26">
        <v>56</v>
      </c>
      <c r="C386" s="48">
        <v>318</v>
      </c>
    </row>
    <row r="387" spans="1:3" x14ac:dyDescent="0.25">
      <c r="A387" s="63">
        <v>42285</v>
      </c>
      <c r="B387" s="26">
        <v>81</v>
      </c>
      <c r="C387" s="48">
        <v>291</v>
      </c>
    </row>
    <row r="388" spans="1:3" x14ac:dyDescent="0.25">
      <c r="A388" s="63">
        <v>42286</v>
      </c>
      <c r="B388" s="26">
        <v>57</v>
      </c>
      <c r="C388" s="48">
        <v>418.5</v>
      </c>
    </row>
    <row r="389" spans="1:3" x14ac:dyDescent="0.25">
      <c r="A389" s="63">
        <v>42287</v>
      </c>
      <c r="B389" s="26">
        <v>59</v>
      </c>
      <c r="C389" s="48">
        <v>159</v>
      </c>
    </row>
    <row r="390" spans="1:3" x14ac:dyDescent="0.25">
      <c r="A390" s="63">
        <v>42288</v>
      </c>
      <c r="B390" s="26">
        <v>54</v>
      </c>
      <c r="C390" s="48">
        <v>504</v>
      </c>
    </row>
    <row r="391" spans="1:3" x14ac:dyDescent="0.25">
      <c r="A391" s="63">
        <v>42289</v>
      </c>
      <c r="B391" s="26">
        <v>88</v>
      </c>
      <c r="C391" s="48">
        <v>231</v>
      </c>
    </row>
    <row r="392" spans="1:3" x14ac:dyDescent="0.25">
      <c r="A392" s="63">
        <v>42290</v>
      </c>
      <c r="B392" s="26">
        <v>83</v>
      </c>
      <c r="C392" s="48">
        <v>290</v>
      </c>
    </row>
    <row r="393" spans="1:3" x14ac:dyDescent="0.25">
      <c r="A393" s="63">
        <v>42291</v>
      </c>
      <c r="B393" s="26">
        <v>85</v>
      </c>
      <c r="C393" s="48">
        <v>303</v>
      </c>
    </row>
    <row r="394" spans="1:3" x14ac:dyDescent="0.25">
      <c r="A394" s="63">
        <v>42292</v>
      </c>
      <c r="B394" s="26">
        <v>85</v>
      </c>
      <c r="C394" s="48">
        <v>223.5</v>
      </c>
    </row>
    <row r="395" spans="1:3" x14ac:dyDescent="0.25">
      <c r="A395" s="63">
        <v>42293</v>
      </c>
      <c r="B395" s="26">
        <v>81</v>
      </c>
      <c r="C395" s="48">
        <v>300</v>
      </c>
    </row>
    <row r="396" spans="1:3" x14ac:dyDescent="0.25">
      <c r="A396" s="63">
        <v>42294</v>
      </c>
      <c r="B396" s="26">
        <v>73</v>
      </c>
      <c r="C396" s="48">
        <v>276</v>
      </c>
    </row>
    <row r="397" spans="1:3" x14ac:dyDescent="0.25">
      <c r="A397" s="63">
        <v>42295</v>
      </c>
      <c r="B397" s="26">
        <v>71</v>
      </c>
      <c r="C397" s="48">
        <v>142</v>
      </c>
    </row>
    <row r="398" spans="1:3" x14ac:dyDescent="0.25">
      <c r="A398" s="63">
        <v>42296</v>
      </c>
      <c r="B398" s="26">
        <v>87</v>
      </c>
      <c r="C398" s="48">
        <v>285</v>
      </c>
    </row>
    <row r="399" spans="1:3" x14ac:dyDescent="0.25">
      <c r="A399" s="63">
        <v>42297</v>
      </c>
      <c r="B399" s="26">
        <v>86</v>
      </c>
      <c r="C399" s="48">
        <v>396</v>
      </c>
    </row>
    <row r="400" spans="1:3" x14ac:dyDescent="0.25">
      <c r="A400" s="63">
        <v>42298</v>
      </c>
      <c r="B400" s="26">
        <v>79</v>
      </c>
      <c r="C400" s="48">
        <v>265</v>
      </c>
    </row>
    <row r="401" spans="1:3" x14ac:dyDescent="0.25">
      <c r="A401" s="63">
        <v>42299</v>
      </c>
      <c r="B401" s="26">
        <v>61</v>
      </c>
      <c r="C401" s="48">
        <v>151.5</v>
      </c>
    </row>
    <row r="402" spans="1:3" x14ac:dyDescent="0.25">
      <c r="A402" s="63">
        <v>42300</v>
      </c>
      <c r="B402" s="26">
        <v>60</v>
      </c>
      <c r="C402" s="48">
        <v>361.5</v>
      </c>
    </row>
    <row r="403" spans="1:3" x14ac:dyDescent="0.25">
      <c r="A403" s="63">
        <v>42301</v>
      </c>
      <c r="B403" s="26">
        <v>78</v>
      </c>
      <c r="C403" s="48">
        <v>210</v>
      </c>
    </row>
    <row r="404" spans="1:3" x14ac:dyDescent="0.25">
      <c r="A404" s="63">
        <v>42302</v>
      </c>
      <c r="B404" s="26">
        <v>81</v>
      </c>
      <c r="C404" s="48">
        <v>288</v>
      </c>
    </row>
    <row r="405" spans="1:3" x14ac:dyDescent="0.25">
      <c r="A405" s="63">
        <v>42303</v>
      </c>
      <c r="B405" s="26">
        <v>79</v>
      </c>
      <c r="C405" s="48">
        <v>174</v>
      </c>
    </row>
    <row r="406" spans="1:3" x14ac:dyDescent="0.25">
      <c r="A406" s="63">
        <v>42304</v>
      </c>
      <c r="B406" s="26">
        <v>68</v>
      </c>
      <c r="C406" s="48">
        <v>260</v>
      </c>
    </row>
    <row r="407" spans="1:3" x14ac:dyDescent="0.25">
      <c r="A407" s="63">
        <v>42305</v>
      </c>
      <c r="B407" s="26">
        <v>68</v>
      </c>
      <c r="C407" s="48">
        <v>197</v>
      </c>
    </row>
    <row r="408" spans="1:3" x14ac:dyDescent="0.25">
      <c r="A408" s="63">
        <v>42306</v>
      </c>
      <c r="B408" s="26">
        <v>60</v>
      </c>
      <c r="C408" s="48">
        <v>276</v>
      </c>
    </row>
    <row r="409" spans="1:3" x14ac:dyDescent="0.25">
      <c r="A409" s="63">
        <v>42307</v>
      </c>
      <c r="B409" s="26">
        <v>73</v>
      </c>
      <c r="C409" s="48">
        <v>137</v>
      </c>
    </row>
    <row r="410" spans="1:3" x14ac:dyDescent="0.25">
      <c r="A410" s="63">
        <v>42308</v>
      </c>
      <c r="B410" s="26">
        <v>74</v>
      </c>
      <c r="C410" s="48">
        <v>132</v>
      </c>
    </row>
    <row r="411" spans="1:3" x14ac:dyDescent="0.25">
      <c r="A411" s="63">
        <v>42309</v>
      </c>
      <c r="B411" s="26">
        <v>46</v>
      </c>
      <c r="C411" s="48">
        <v>224</v>
      </c>
    </row>
    <row r="412" spans="1:3" x14ac:dyDescent="0.25">
      <c r="A412" s="63">
        <v>42310</v>
      </c>
      <c r="B412" s="26">
        <v>66</v>
      </c>
      <c r="C412" s="48">
        <v>131</v>
      </c>
    </row>
    <row r="413" spans="1:3" x14ac:dyDescent="0.25">
      <c r="A413" s="63">
        <v>42311</v>
      </c>
      <c r="B413" s="26">
        <v>50</v>
      </c>
      <c r="C413" s="48">
        <v>210</v>
      </c>
    </row>
    <row r="414" spans="1:3" x14ac:dyDescent="0.25">
      <c r="A414" s="63">
        <v>42312</v>
      </c>
      <c r="B414" s="26">
        <v>49</v>
      </c>
      <c r="C414" s="48">
        <v>498</v>
      </c>
    </row>
    <row r="415" spans="1:3" x14ac:dyDescent="0.25">
      <c r="A415" s="63">
        <v>42313</v>
      </c>
      <c r="B415" s="26">
        <v>68</v>
      </c>
      <c r="C415" s="48">
        <v>284</v>
      </c>
    </row>
    <row r="416" spans="1:3" x14ac:dyDescent="0.25">
      <c r="A416" s="63">
        <v>42314</v>
      </c>
      <c r="B416" s="26">
        <v>63</v>
      </c>
      <c r="C416" s="48">
        <v>150</v>
      </c>
    </row>
    <row r="417" spans="1:3" x14ac:dyDescent="0.25">
      <c r="A417" s="63">
        <v>42315</v>
      </c>
      <c r="B417" s="26">
        <v>57</v>
      </c>
      <c r="C417" s="48">
        <v>289.5</v>
      </c>
    </row>
    <row r="418" spans="1:3" x14ac:dyDescent="0.25">
      <c r="A418" s="63">
        <v>42316</v>
      </c>
      <c r="B418" s="26">
        <v>62</v>
      </c>
      <c r="C418" s="48">
        <v>237</v>
      </c>
    </row>
    <row r="419" spans="1:3" x14ac:dyDescent="0.25">
      <c r="A419" s="63">
        <v>42317</v>
      </c>
      <c r="B419" s="26">
        <v>66</v>
      </c>
      <c r="C419" s="48">
        <v>136</v>
      </c>
    </row>
    <row r="420" spans="1:3" x14ac:dyDescent="0.25">
      <c r="A420" s="63">
        <v>42318</v>
      </c>
      <c r="B420" s="26">
        <v>62</v>
      </c>
      <c r="C420" s="48">
        <v>424.5</v>
      </c>
    </row>
    <row r="421" spans="1:3" x14ac:dyDescent="0.25">
      <c r="A421" s="63">
        <v>42319</v>
      </c>
      <c r="B421" s="26">
        <v>53</v>
      </c>
      <c r="C421" s="48">
        <v>574</v>
      </c>
    </row>
    <row r="422" spans="1:3" x14ac:dyDescent="0.25">
      <c r="A422" s="63">
        <v>42320</v>
      </c>
      <c r="B422" s="26">
        <v>63</v>
      </c>
      <c r="C422" s="48">
        <v>391.5</v>
      </c>
    </row>
    <row r="423" spans="1:3" x14ac:dyDescent="0.25">
      <c r="A423" s="63">
        <v>42321</v>
      </c>
      <c r="B423" s="26">
        <v>61</v>
      </c>
      <c r="C423" s="48">
        <v>382.5</v>
      </c>
    </row>
    <row r="424" spans="1:3" x14ac:dyDescent="0.25">
      <c r="A424" s="63">
        <v>42322</v>
      </c>
      <c r="B424" s="26">
        <v>64</v>
      </c>
      <c r="C424" s="48">
        <v>436.5</v>
      </c>
    </row>
    <row r="425" spans="1:3" x14ac:dyDescent="0.25">
      <c r="A425" s="63">
        <v>42323</v>
      </c>
      <c r="B425" s="26">
        <v>51</v>
      </c>
      <c r="C425" s="48">
        <v>578</v>
      </c>
    </row>
    <row r="426" spans="1:3" x14ac:dyDescent="0.25">
      <c r="A426" s="63">
        <v>42324</v>
      </c>
      <c r="B426" s="26">
        <v>56</v>
      </c>
      <c r="C426" s="48">
        <v>328.5</v>
      </c>
    </row>
    <row r="427" spans="1:3" x14ac:dyDescent="0.25">
      <c r="A427" s="63">
        <v>42325</v>
      </c>
      <c r="B427" s="26">
        <v>54</v>
      </c>
      <c r="C427" s="48">
        <v>590</v>
      </c>
    </row>
    <row r="428" spans="1:3" x14ac:dyDescent="0.25">
      <c r="A428" s="63">
        <v>42326</v>
      </c>
      <c r="B428" s="26">
        <v>53</v>
      </c>
      <c r="C428" s="48">
        <v>446</v>
      </c>
    </row>
    <row r="429" spans="1:3" x14ac:dyDescent="0.25">
      <c r="A429" s="63">
        <v>42327</v>
      </c>
      <c r="B429" s="26">
        <v>50</v>
      </c>
      <c r="C429" s="48">
        <v>226</v>
      </c>
    </row>
    <row r="430" spans="1:3" x14ac:dyDescent="0.25">
      <c r="A430" s="63">
        <v>42328</v>
      </c>
      <c r="B430" s="26">
        <v>68</v>
      </c>
      <c r="C430" s="48">
        <v>231</v>
      </c>
    </row>
    <row r="431" spans="1:3" x14ac:dyDescent="0.25">
      <c r="A431" s="63">
        <v>42329</v>
      </c>
      <c r="B431" s="26">
        <v>58</v>
      </c>
      <c r="C431" s="48">
        <v>315</v>
      </c>
    </row>
    <row r="432" spans="1:3" x14ac:dyDescent="0.25">
      <c r="A432" s="63">
        <v>42330</v>
      </c>
      <c r="B432" s="26">
        <v>49</v>
      </c>
      <c r="C432" s="48">
        <v>220</v>
      </c>
    </row>
    <row r="433" spans="1:3" x14ac:dyDescent="0.25">
      <c r="A433" s="63">
        <v>42331</v>
      </c>
      <c r="B433" s="26">
        <v>67</v>
      </c>
      <c r="C433" s="48">
        <v>264</v>
      </c>
    </row>
    <row r="434" spans="1:3" x14ac:dyDescent="0.25">
      <c r="A434" s="63">
        <v>42332</v>
      </c>
      <c r="B434" s="26">
        <v>49</v>
      </c>
      <c r="C434" s="48">
        <v>358</v>
      </c>
    </row>
    <row r="435" spans="1:3" x14ac:dyDescent="0.25">
      <c r="A435" s="63">
        <v>42333</v>
      </c>
      <c r="B435" s="26">
        <v>47</v>
      </c>
      <c r="C435" s="48">
        <v>498</v>
      </c>
    </row>
    <row r="436" spans="1:3" x14ac:dyDescent="0.25">
      <c r="A436" s="63">
        <v>42334</v>
      </c>
      <c r="B436" s="26">
        <v>49</v>
      </c>
      <c r="C436" s="48">
        <v>448</v>
      </c>
    </row>
    <row r="437" spans="1:3" x14ac:dyDescent="0.25">
      <c r="A437" s="63">
        <v>42335</v>
      </c>
      <c r="B437" s="26">
        <v>47</v>
      </c>
      <c r="C437" s="48">
        <v>578</v>
      </c>
    </row>
    <row r="438" spans="1:3" x14ac:dyDescent="0.25">
      <c r="A438" s="63">
        <v>42336</v>
      </c>
      <c r="B438" s="26">
        <v>62</v>
      </c>
      <c r="C438" s="48">
        <v>402</v>
      </c>
    </row>
    <row r="439" spans="1:3" x14ac:dyDescent="0.25">
      <c r="A439" s="63">
        <v>42337</v>
      </c>
      <c r="B439" s="26">
        <v>47</v>
      </c>
      <c r="C439" s="48">
        <v>466</v>
      </c>
    </row>
    <row r="440" spans="1:3" x14ac:dyDescent="0.25">
      <c r="A440" s="63">
        <v>42338</v>
      </c>
      <c r="B440" s="26">
        <v>49</v>
      </c>
      <c r="C440" s="48">
        <v>330</v>
      </c>
    </row>
    <row r="441" spans="1:3" x14ac:dyDescent="0.25">
      <c r="A441" s="63">
        <v>42339</v>
      </c>
      <c r="B441" s="26">
        <v>64</v>
      </c>
      <c r="C441" s="48">
        <v>214.5</v>
      </c>
    </row>
    <row r="442" spans="1:3" x14ac:dyDescent="0.25">
      <c r="A442" s="63">
        <v>42340</v>
      </c>
      <c r="B442" s="26">
        <v>62</v>
      </c>
      <c r="C442" s="48">
        <v>190.5</v>
      </c>
    </row>
    <row r="443" spans="1:3" x14ac:dyDescent="0.25">
      <c r="A443" s="63">
        <v>42341</v>
      </c>
      <c r="B443" s="26">
        <v>60</v>
      </c>
      <c r="C443" s="48">
        <v>270</v>
      </c>
    </row>
    <row r="444" spans="1:3" x14ac:dyDescent="0.25">
      <c r="A444" s="63">
        <v>42342</v>
      </c>
      <c r="B444" s="26">
        <v>66</v>
      </c>
      <c r="C444" s="48">
        <v>109</v>
      </c>
    </row>
    <row r="445" spans="1:3" x14ac:dyDescent="0.25">
      <c r="A445" s="63">
        <v>42343</v>
      </c>
      <c r="B445" s="26">
        <v>62</v>
      </c>
      <c r="C445" s="48">
        <v>384</v>
      </c>
    </row>
    <row r="446" spans="1:3" x14ac:dyDescent="0.25">
      <c r="A446" s="63">
        <v>42344</v>
      </c>
      <c r="B446" s="26">
        <v>66</v>
      </c>
      <c r="C446" s="48">
        <v>286</v>
      </c>
    </row>
    <row r="447" spans="1:3" x14ac:dyDescent="0.25">
      <c r="A447" s="63">
        <v>42345</v>
      </c>
      <c r="B447" s="26">
        <v>49</v>
      </c>
      <c r="C447" s="48">
        <v>278</v>
      </c>
    </row>
    <row r="448" spans="1:3" x14ac:dyDescent="0.25">
      <c r="A448" s="63">
        <v>42346</v>
      </c>
      <c r="B448" s="26">
        <v>62</v>
      </c>
      <c r="C448" s="48">
        <v>264</v>
      </c>
    </row>
    <row r="449" spans="1:3" x14ac:dyDescent="0.25">
      <c r="A449" s="63">
        <v>42347</v>
      </c>
      <c r="B449" s="26">
        <v>65</v>
      </c>
      <c r="C449" s="48">
        <v>179</v>
      </c>
    </row>
    <row r="450" spans="1:3" x14ac:dyDescent="0.25">
      <c r="A450" s="63">
        <v>42348</v>
      </c>
      <c r="B450" s="26">
        <v>62</v>
      </c>
      <c r="C450" s="48">
        <v>265.5</v>
      </c>
    </row>
    <row r="451" spans="1:3" x14ac:dyDescent="0.25">
      <c r="A451" s="63">
        <v>42349</v>
      </c>
      <c r="B451" s="26">
        <v>61</v>
      </c>
      <c r="C451" s="48">
        <v>357</v>
      </c>
    </row>
    <row r="452" spans="1:3" x14ac:dyDescent="0.25">
      <c r="A452" s="63">
        <v>42350</v>
      </c>
      <c r="B452" s="26">
        <v>31</v>
      </c>
      <c r="C452" s="48">
        <v>737.5</v>
      </c>
    </row>
    <row r="453" spans="1:3" x14ac:dyDescent="0.25">
      <c r="A453" s="63">
        <v>42351</v>
      </c>
      <c r="B453" s="26">
        <v>53</v>
      </c>
      <c r="C453" s="48">
        <v>272</v>
      </c>
    </row>
    <row r="454" spans="1:3" x14ac:dyDescent="0.25">
      <c r="A454" s="63">
        <v>42352</v>
      </c>
      <c r="B454" s="26">
        <v>52</v>
      </c>
      <c r="C454" s="48">
        <v>236</v>
      </c>
    </row>
    <row r="455" spans="1:3" x14ac:dyDescent="0.25">
      <c r="A455" s="63">
        <v>42353</v>
      </c>
      <c r="B455" s="26">
        <v>55</v>
      </c>
      <c r="C455" s="48">
        <v>267</v>
      </c>
    </row>
    <row r="456" spans="1:3" x14ac:dyDescent="0.25">
      <c r="A456" s="63">
        <v>42354</v>
      </c>
      <c r="B456" s="26">
        <v>61</v>
      </c>
      <c r="C456" s="48">
        <v>450</v>
      </c>
    </row>
    <row r="457" spans="1:3" x14ac:dyDescent="0.25">
      <c r="A457" s="63">
        <v>42355</v>
      </c>
      <c r="B457" s="26">
        <v>50</v>
      </c>
      <c r="C457" s="48">
        <v>486</v>
      </c>
    </row>
    <row r="458" spans="1:3" x14ac:dyDescent="0.25">
      <c r="A458" s="63">
        <v>42356</v>
      </c>
      <c r="B458" s="26">
        <v>55</v>
      </c>
      <c r="C458" s="48">
        <v>217.5</v>
      </c>
    </row>
    <row r="459" spans="1:3" x14ac:dyDescent="0.25">
      <c r="A459" s="63">
        <v>42357</v>
      </c>
      <c r="B459" s="26">
        <v>60</v>
      </c>
      <c r="C459" s="48">
        <v>274.5</v>
      </c>
    </row>
    <row r="460" spans="1:3" x14ac:dyDescent="0.25">
      <c r="A460" s="63">
        <v>42358</v>
      </c>
      <c r="B460" s="26">
        <v>43</v>
      </c>
      <c r="C460" s="48">
        <v>221.45</v>
      </c>
    </row>
    <row r="461" spans="1:3" x14ac:dyDescent="0.25">
      <c r="A461" s="63">
        <v>42359</v>
      </c>
      <c r="B461" s="26">
        <v>63</v>
      </c>
      <c r="C461" s="48">
        <v>174</v>
      </c>
    </row>
    <row r="462" spans="1:3" x14ac:dyDescent="0.25">
      <c r="A462" s="63">
        <v>42360</v>
      </c>
      <c r="B462" s="26">
        <v>49</v>
      </c>
      <c r="C462" s="48">
        <v>206</v>
      </c>
    </row>
    <row r="463" spans="1:3" x14ac:dyDescent="0.25">
      <c r="A463" s="63">
        <v>42361</v>
      </c>
      <c r="B463" s="26">
        <v>40</v>
      </c>
      <c r="C463" s="48">
        <v>539.65</v>
      </c>
    </row>
    <row r="464" spans="1:3" x14ac:dyDescent="0.25">
      <c r="A464" s="63">
        <v>42362</v>
      </c>
      <c r="B464" s="26">
        <v>33</v>
      </c>
      <c r="C464" s="48">
        <v>677.5</v>
      </c>
    </row>
    <row r="465" spans="1:3" x14ac:dyDescent="0.25">
      <c r="A465" s="63">
        <v>42363</v>
      </c>
      <c r="B465" s="26">
        <v>62</v>
      </c>
      <c r="C465" s="48">
        <v>157.5</v>
      </c>
    </row>
    <row r="466" spans="1:3" x14ac:dyDescent="0.25">
      <c r="A466" s="63">
        <v>42364</v>
      </c>
      <c r="B466" s="26">
        <v>32</v>
      </c>
      <c r="C466" s="48">
        <v>680</v>
      </c>
    </row>
    <row r="467" spans="1:3" x14ac:dyDescent="0.25">
      <c r="A467" s="63">
        <v>42365</v>
      </c>
      <c r="B467" s="26">
        <v>33</v>
      </c>
      <c r="C467" s="48">
        <v>580</v>
      </c>
    </row>
    <row r="468" spans="1:3" x14ac:dyDescent="0.25">
      <c r="A468" s="63">
        <v>42366</v>
      </c>
      <c r="B468" s="26">
        <v>52</v>
      </c>
      <c r="C468" s="48">
        <v>538</v>
      </c>
    </row>
    <row r="469" spans="1:3" x14ac:dyDescent="0.25">
      <c r="A469" s="63">
        <v>42367</v>
      </c>
      <c r="B469" s="26">
        <v>32</v>
      </c>
      <c r="C469" s="48">
        <v>252.5</v>
      </c>
    </row>
    <row r="470" spans="1:3" x14ac:dyDescent="0.25">
      <c r="A470" s="63">
        <v>42368</v>
      </c>
      <c r="B470" s="26">
        <v>59</v>
      </c>
      <c r="C470" s="48">
        <v>348</v>
      </c>
    </row>
    <row r="471" spans="1:3" x14ac:dyDescent="0.25">
      <c r="A471" s="63">
        <v>42369</v>
      </c>
      <c r="B471" s="26">
        <v>32</v>
      </c>
      <c r="C471" s="48">
        <v>387.5</v>
      </c>
    </row>
  </sheetData>
  <pageMargins left="0.7" right="0.7" top="0.75" bottom="0.75" header="0.3" footer="0.3"/>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70">
    <tabColor rgb="FF0000FF"/>
  </sheetPr>
  <dimension ref="A1:I438"/>
  <sheetViews>
    <sheetView zoomScale="85" zoomScaleNormal="85" workbookViewId="0">
      <selection activeCell="B10" sqref="B10"/>
    </sheetView>
  </sheetViews>
  <sheetFormatPr defaultRowHeight="15" x14ac:dyDescent="0.25"/>
  <cols>
    <col min="1" max="1" width="13.140625" customWidth="1"/>
    <col min="2" max="2" width="20.7109375" bestFit="1" customWidth="1"/>
    <col min="3" max="3" width="19.140625" bestFit="1" customWidth="1"/>
    <col min="5" max="5" width="13.42578125" customWidth="1"/>
    <col min="6" max="6" width="10.5703125" customWidth="1"/>
    <col min="9" max="9" width="15.7109375" customWidth="1"/>
    <col min="16" max="16" width="11.7109375" customWidth="1"/>
    <col min="25" max="25" width="11.42578125" bestFit="1" customWidth="1"/>
  </cols>
  <sheetData>
    <row r="1" spans="1:9" x14ac:dyDescent="0.25">
      <c r="A1" s="194" t="s">
        <v>833</v>
      </c>
      <c r="B1" s="193"/>
      <c r="C1" s="193"/>
      <c r="D1" s="193"/>
      <c r="E1" s="193"/>
      <c r="F1" s="192"/>
    </row>
    <row r="2" spans="1:9" x14ac:dyDescent="0.25">
      <c r="A2" s="200" t="s">
        <v>758</v>
      </c>
      <c r="B2" s="201"/>
      <c r="C2" s="201"/>
      <c r="D2" s="201"/>
      <c r="E2" s="201"/>
      <c r="F2" s="202"/>
    </row>
    <row r="3" spans="1:9" x14ac:dyDescent="0.25">
      <c r="A3" s="191" t="s">
        <v>759</v>
      </c>
      <c r="B3" s="190"/>
      <c r="C3" s="190"/>
      <c r="D3" s="190"/>
      <c r="E3" s="190"/>
      <c r="F3" s="189"/>
    </row>
    <row r="4" spans="1:9" x14ac:dyDescent="0.25">
      <c r="A4" s="191" t="s">
        <v>760</v>
      </c>
      <c r="B4" s="190"/>
      <c r="C4" s="190"/>
      <c r="D4" s="190"/>
      <c r="E4" s="190"/>
      <c r="F4" s="189"/>
    </row>
    <row r="5" spans="1:9" x14ac:dyDescent="0.25">
      <c r="A5" s="188" t="s">
        <v>761</v>
      </c>
      <c r="B5" s="187"/>
      <c r="C5" s="187"/>
      <c r="D5" s="187"/>
      <c r="E5" s="187"/>
      <c r="F5" s="186"/>
    </row>
    <row r="7" spans="1:9" x14ac:dyDescent="0.25">
      <c r="A7" s="22" t="s">
        <v>737</v>
      </c>
      <c r="B7" t="s">
        <v>753</v>
      </c>
    </row>
    <row r="8" spans="1:9" x14ac:dyDescent="0.25">
      <c r="A8" s="199" t="s">
        <v>742</v>
      </c>
      <c r="B8" s="199" t="s">
        <v>719</v>
      </c>
      <c r="C8" s="199" t="s">
        <v>718</v>
      </c>
      <c r="E8" s="62" t="s">
        <v>762</v>
      </c>
      <c r="F8" s="62" t="s">
        <v>675</v>
      </c>
      <c r="H8" s="62" t="s">
        <v>365</v>
      </c>
      <c r="I8" s="62" t="s">
        <v>763</v>
      </c>
    </row>
    <row r="9" spans="1:9" x14ac:dyDescent="0.25">
      <c r="A9" s="26"/>
      <c r="B9" s="26"/>
      <c r="C9" s="26"/>
      <c r="E9" s="56">
        <f>B10</f>
        <v>66.272727272727266</v>
      </c>
      <c r="F9" s="26">
        <v>0</v>
      </c>
      <c r="H9" s="26">
        <v>30</v>
      </c>
      <c r="I9" s="48">
        <f>C10</f>
        <v>4068.3636363636365</v>
      </c>
    </row>
    <row r="10" spans="1:9" x14ac:dyDescent="0.25">
      <c r="A10" s="1" t="s">
        <v>85</v>
      </c>
      <c r="B10" s="58">
        <f>AVERAGE(B13:B23)</f>
        <v>66.272727272727266</v>
      </c>
      <c r="C10" s="46">
        <f>AVERAGE(C13:C23)</f>
        <v>4068.3636363636365</v>
      </c>
      <c r="E10" s="56">
        <f>B10</f>
        <v>66.272727272727266</v>
      </c>
      <c r="F10" s="26">
        <v>10000</v>
      </c>
      <c r="H10" s="26">
        <v>100</v>
      </c>
      <c r="I10" s="48">
        <f>C10</f>
        <v>4068.3636363636365</v>
      </c>
    </row>
    <row r="12" spans="1:9" x14ac:dyDescent="0.25">
      <c r="A12" s="1" t="s">
        <v>520</v>
      </c>
      <c r="B12" s="1" t="s">
        <v>746</v>
      </c>
      <c r="C12" s="1" t="s">
        <v>749</v>
      </c>
    </row>
    <row r="13" spans="1:9" x14ac:dyDescent="0.25">
      <c r="A13" s="26">
        <v>1</v>
      </c>
      <c r="B13" s="26">
        <v>91</v>
      </c>
      <c r="C13" s="48">
        <v>7113</v>
      </c>
    </row>
    <row r="14" spans="1:9" x14ac:dyDescent="0.25">
      <c r="A14" s="26">
        <v>2</v>
      </c>
      <c r="B14" s="26">
        <v>45</v>
      </c>
      <c r="C14" s="48">
        <v>2044</v>
      </c>
    </row>
    <row r="15" spans="1:9" x14ac:dyDescent="0.25">
      <c r="A15" s="26">
        <v>3</v>
      </c>
      <c r="B15" s="26">
        <v>46</v>
      </c>
      <c r="C15" s="48">
        <v>1108</v>
      </c>
    </row>
    <row r="16" spans="1:9" x14ac:dyDescent="0.25">
      <c r="A16" s="26">
        <v>4</v>
      </c>
      <c r="B16" s="26">
        <v>83</v>
      </c>
      <c r="C16" s="48">
        <v>7093</v>
      </c>
    </row>
    <row r="17" spans="1:9" x14ac:dyDescent="0.25">
      <c r="A17" s="26">
        <v>5</v>
      </c>
      <c r="B17" s="26">
        <v>76</v>
      </c>
      <c r="C17" s="48">
        <v>3902</v>
      </c>
    </row>
    <row r="18" spans="1:9" x14ac:dyDescent="0.25">
      <c r="A18" s="26">
        <v>6</v>
      </c>
      <c r="B18" s="26">
        <v>96</v>
      </c>
      <c r="C18" s="48">
        <v>6676</v>
      </c>
    </row>
    <row r="19" spans="1:9" x14ac:dyDescent="0.25">
      <c r="A19" s="26">
        <v>7</v>
      </c>
      <c r="B19" s="26">
        <v>75</v>
      </c>
      <c r="C19" s="48">
        <v>5403</v>
      </c>
    </row>
    <row r="20" spans="1:9" x14ac:dyDescent="0.25">
      <c r="A20" s="26">
        <v>8</v>
      </c>
      <c r="B20" s="26">
        <v>42</v>
      </c>
      <c r="C20" s="48">
        <v>886</v>
      </c>
    </row>
    <row r="21" spans="1:9" x14ac:dyDescent="0.25">
      <c r="A21" s="26">
        <v>9</v>
      </c>
      <c r="B21" s="26">
        <v>70</v>
      </c>
      <c r="C21" s="48">
        <v>4740</v>
      </c>
    </row>
    <row r="22" spans="1:9" x14ac:dyDescent="0.25">
      <c r="A22" s="26">
        <v>10</v>
      </c>
      <c r="B22" s="26">
        <v>47</v>
      </c>
      <c r="C22" s="48">
        <v>2637</v>
      </c>
    </row>
    <row r="23" spans="1:9" x14ac:dyDescent="0.25">
      <c r="A23" s="26">
        <v>11</v>
      </c>
      <c r="B23" s="26">
        <v>58</v>
      </c>
      <c r="C23" s="48">
        <v>3150</v>
      </c>
    </row>
    <row r="29" spans="1:9" x14ac:dyDescent="0.25">
      <c r="A29" s="22" t="s">
        <v>745</v>
      </c>
      <c r="B29" t="s">
        <v>754</v>
      </c>
    </row>
    <row r="30" spans="1:9" x14ac:dyDescent="0.25">
      <c r="A30" s="199" t="s">
        <v>742</v>
      </c>
      <c r="B30" s="199" t="s">
        <v>719</v>
      </c>
      <c r="C30" s="199" t="s">
        <v>718</v>
      </c>
      <c r="E30" s="62" t="s">
        <v>762</v>
      </c>
      <c r="F30" s="62" t="s">
        <v>675</v>
      </c>
      <c r="H30" s="62" t="s">
        <v>365</v>
      </c>
      <c r="I30" s="62" t="s">
        <v>764</v>
      </c>
    </row>
    <row r="31" spans="1:9" x14ac:dyDescent="0.25">
      <c r="A31" s="26"/>
      <c r="B31" s="26"/>
      <c r="C31" s="26"/>
      <c r="E31" s="56">
        <f>B32</f>
        <v>61.142857142857146</v>
      </c>
      <c r="F31" s="26">
        <v>0</v>
      </c>
      <c r="H31" s="30">
        <v>30</v>
      </c>
      <c r="I31" s="46">
        <f>C32</f>
        <v>5352.1428571428569</v>
      </c>
    </row>
    <row r="32" spans="1:9" x14ac:dyDescent="0.25">
      <c r="A32" s="1" t="s">
        <v>85</v>
      </c>
      <c r="B32" s="58">
        <f>AVERAGE(B35:B48)</f>
        <v>61.142857142857146</v>
      </c>
      <c r="C32" s="46">
        <f>AVERAGE(C35:C48)</f>
        <v>5352.1428571428569</v>
      </c>
      <c r="E32" s="56">
        <f>B32</f>
        <v>61.142857142857146</v>
      </c>
      <c r="F32" s="26">
        <v>10000</v>
      </c>
      <c r="H32" s="30">
        <v>100</v>
      </c>
      <c r="I32" s="46">
        <f>C32</f>
        <v>5352.1428571428569</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9" x14ac:dyDescent="0.25">
      <c r="A49" s="26">
        <v>15</v>
      </c>
      <c r="B49" s="26">
        <v>43</v>
      </c>
      <c r="C49" s="48">
        <v>6210</v>
      </c>
    </row>
    <row r="52" spans="1:9" x14ac:dyDescent="0.25">
      <c r="A52" s="22" t="s">
        <v>750</v>
      </c>
      <c r="B52" s="22" t="s">
        <v>769</v>
      </c>
    </row>
    <row r="53" spans="1:9" x14ac:dyDescent="0.25">
      <c r="A53" s="199" t="s">
        <v>742</v>
      </c>
      <c r="B53" s="199" t="s">
        <v>719</v>
      </c>
      <c r="C53" s="199" t="s">
        <v>718</v>
      </c>
      <c r="E53" s="62" t="s">
        <v>766</v>
      </c>
      <c r="F53" s="62" t="s">
        <v>675</v>
      </c>
      <c r="H53" s="62" t="s">
        <v>365</v>
      </c>
      <c r="I53" s="62" t="s">
        <v>767</v>
      </c>
    </row>
    <row r="54" spans="1:9" x14ac:dyDescent="0.25">
      <c r="A54" s="26"/>
      <c r="B54" s="26"/>
      <c r="C54" s="26"/>
      <c r="E54" s="58">
        <f>B55</f>
        <v>9</v>
      </c>
      <c r="F54" s="30">
        <v>0</v>
      </c>
      <c r="H54" s="30">
        <v>0</v>
      </c>
      <c r="I54" s="58">
        <f>C55</f>
        <v>5.3076923076923075</v>
      </c>
    </row>
    <row r="55" spans="1:9" x14ac:dyDescent="0.25">
      <c r="A55" s="1" t="s">
        <v>85</v>
      </c>
      <c r="B55" s="58">
        <f>AVERAGE(B58:B71)</f>
        <v>9</v>
      </c>
      <c r="C55" s="58">
        <f>AVERAGE(C58:C71)</f>
        <v>5.3076923076923075</v>
      </c>
      <c r="E55" s="58">
        <f>B55</f>
        <v>9</v>
      </c>
      <c r="F55" s="30">
        <v>12</v>
      </c>
      <c r="H55" s="30">
        <v>22</v>
      </c>
      <c r="I55" s="58">
        <f>C55</f>
        <v>5.3076923076923075</v>
      </c>
    </row>
    <row r="57" spans="1:9" x14ac:dyDescent="0.25">
      <c r="A57" s="1" t="s">
        <v>520</v>
      </c>
      <c r="B57" s="33" t="s">
        <v>765</v>
      </c>
      <c r="C57" s="33" t="s">
        <v>768</v>
      </c>
    </row>
    <row r="58" spans="1:9" x14ac:dyDescent="0.25">
      <c r="A58" s="26">
        <v>1</v>
      </c>
      <c r="B58" s="26">
        <v>3</v>
      </c>
      <c r="C58" s="26">
        <v>5</v>
      </c>
    </row>
    <row r="59" spans="1:9" x14ac:dyDescent="0.25">
      <c r="A59" s="26">
        <v>2</v>
      </c>
      <c r="B59" s="26">
        <v>8</v>
      </c>
      <c r="C59" s="26">
        <v>1</v>
      </c>
    </row>
    <row r="60" spans="1:9" x14ac:dyDescent="0.25">
      <c r="A60" s="26">
        <v>3</v>
      </c>
      <c r="B60" s="26">
        <v>6</v>
      </c>
      <c r="C60" s="26">
        <v>9</v>
      </c>
    </row>
    <row r="61" spans="1:9" x14ac:dyDescent="0.25">
      <c r="A61" s="26">
        <v>4</v>
      </c>
      <c r="B61" s="26">
        <v>11</v>
      </c>
      <c r="C61" s="26">
        <v>5</v>
      </c>
    </row>
    <row r="62" spans="1:9" x14ac:dyDescent="0.25">
      <c r="A62" s="26">
        <v>5</v>
      </c>
      <c r="B62" s="26">
        <v>20</v>
      </c>
      <c r="C62" s="26">
        <v>3</v>
      </c>
    </row>
    <row r="63" spans="1:9" x14ac:dyDescent="0.25">
      <c r="A63" s="26">
        <v>6</v>
      </c>
      <c r="B63" s="26">
        <v>7</v>
      </c>
      <c r="C63" s="26">
        <v>4</v>
      </c>
    </row>
    <row r="64" spans="1:9" x14ac:dyDescent="0.25">
      <c r="A64" s="26">
        <v>7</v>
      </c>
      <c r="B64" s="26">
        <v>9</v>
      </c>
      <c r="C64" s="26">
        <v>10</v>
      </c>
    </row>
    <row r="65" spans="1:9" x14ac:dyDescent="0.25">
      <c r="A65" s="26">
        <v>8</v>
      </c>
      <c r="B65" s="26">
        <v>3</v>
      </c>
      <c r="C65" s="26">
        <v>6</v>
      </c>
    </row>
    <row r="66" spans="1:9" x14ac:dyDescent="0.25">
      <c r="A66" s="26">
        <v>9</v>
      </c>
      <c r="B66" s="26">
        <v>19</v>
      </c>
      <c r="C66" s="26">
        <v>10</v>
      </c>
    </row>
    <row r="67" spans="1:9" x14ac:dyDescent="0.25">
      <c r="A67" s="26">
        <v>10</v>
      </c>
      <c r="B67" s="26">
        <v>2</v>
      </c>
      <c r="C67" s="26">
        <v>1</v>
      </c>
    </row>
    <row r="68" spans="1:9" x14ac:dyDescent="0.25">
      <c r="A68" s="26">
        <v>11</v>
      </c>
      <c r="B68" s="26">
        <v>16</v>
      </c>
      <c r="C68" s="26">
        <v>2</v>
      </c>
    </row>
    <row r="69" spans="1:9" x14ac:dyDescent="0.25">
      <c r="A69" s="26">
        <v>12</v>
      </c>
      <c r="B69" s="26">
        <v>12</v>
      </c>
      <c r="C69" s="26">
        <v>7</v>
      </c>
    </row>
    <row r="70" spans="1:9" x14ac:dyDescent="0.25">
      <c r="A70" s="26">
        <v>13</v>
      </c>
      <c r="B70" s="26">
        <v>1</v>
      </c>
      <c r="C70" s="26">
        <v>6</v>
      </c>
    </row>
    <row r="74" spans="1:9" x14ac:dyDescent="0.25">
      <c r="A74" s="22" t="s">
        <v>828</v>
      </c>
      <c r="B74" s="22" t="s">
        <v>829</v>
      </c>
    </row>
    <row r="75" spans="1:9" x14ac:dyDescent="0.25">
      <c r="A75" s="199" t="s">
        <v>742</v>
      </c>
      <c r="B75" s="199" t="s">
        <v>719</v>
      </c>
      <c r="C75" s="199" t="s">
        <v>718</v>
      </c>
      <c r="E75" s="62" t="s">
        <v>831</v>
      </c>
      <c r="F75" s="62" t="s">
        <v>675</v>
      </c>
      <c r="H75" s="62" t="s">
        <v>365</v>
      </c>
      <c r="I75" s="62" t="s">
        <v>832</v>
      </c>
    </row>
    <row r="76" spans="1:9" x14ac:dyDescent="0.25">
      <c r="A76" s="26"/>
      <c r="B76" s="26"/>
      <c r="C76" s="26"/>
      <c r="E76" s="58">
        <f>B77</f>
        <v>62.389830508474574</v>
      </c>
      <c r="F76" s="30">
        <v>0</v>
      </c>
      <c r="H76" s="30">
        <v>0</v>
      </c>
      <c r="I76" s="58">
        <f>C77</f>
        <v>327.58149717514124</v>
      </c>
    </row>
    <row r="77" spans="1:9" x14ac:dyDescent="0.25">
      <c r="A77" s="1" t="s">
        <v>85</v>
      </c>
      <c r="B77" s="58">
        <f>AVERAGE(B85:B438)</f>
        <v>62.389830508474574</v>
      </c>
      <c r="C77" s="58">
        <f>AVERAGE(C85:C438)</f>
        <v>327.58149717514124</v>
      </c>
      <c r="E77" s="58">
        <f>B77</f>
        <v>62.389830508474574</v>
      </c>
      <c r="F77" s="30">
        <v>800</v>
      </c>
      <c r="H77" s="30">
        <v>120</v>
      </c>
      <c r="I77" s="58">
        <f>C77</f>
        <v>327.58149717514124</v>
      </c>
    </row>
    <row r="79" spans="1:9" x14ac:dyDescent="0.25">
      <c r="A79" s="22" t="s">
        <v>828</v>
      </c>
      <c r="B79" s="22" t="s">
        <v>829</v>
      </c>
    </row>
    <row r="82" spans="1:3" x14ac:dyDescent="0.25">
      <c r="A82" s="199" t="s">
        <v>742</v>
      </c>
      <c r="B82" s="199" t="s">
        <v>719</v>
      </c>
      <c r="C82" s="199" t="s">
        <v>718</v>
      </c>
    </row>
    <row r="84" spans="1:3" x14ac:dyDescent="0.25">
      <c r="A84" s="62" t="s">
        <v>192</v>
      </c>
      <c r="B84" s="62" t="s">
        <v>826</v>
      </c>
      <c r="C84" s="62" t="s">
        <v>827</v>
      </c>
    </row>
    <row r="85" spans="1:3" x14ac:dyDescent="0.25">
      <c r="A85" s="63">
        <v>42016</v>
      </c>
      <c r="B85" s="26">
        <v>46</v>
      </c>
      <c r="C85" s="48">
        <v>236</v>
      </c>
    </row>
    <row r="86" spans="1:3" x14ac:dyDescent="0.25">
      <c r="A86" s="63">
        <v>42017</v>
      </c>
      <c r="B86" s="26">
        <v>52</v>
      </c>
      <c r="C86" s="48">
        <v>304</v>
      </c>
    </row>
    <row r="87" spans="1:3" x14ac:dyDescent="0.25">
      <c r="A87" s="63">
        <v>42018</v>
      </c>
      <c r="B87" s="26">
        <v>55</v>
      </c>
      <c r="C87" s="48">
        <v>163.5</v>
      </c>
    </row>
    <row r="88" spans="1:3" x14ac:dyDescent="0.25">
      <c r="A88" s="63">
        <v>42019</v>
      </c>
      <c r="B88" s="26">
        <v>46</v>
      </c>
      <c r="C88" s="48">
        <v>214</v>
      </c>
    </row>
    <row r="89" spans="1:3" x14ac:dyDescent="0.25">
      <c r="A89" s="63">
        <v>42020</v>
      </c>
      <c r="B89" s="26">
        <v>47</v>
      </c>
      <c r="C89" s="48">
        <v>210</v>
      </c>
    </row>
    <row r="90" spans="1:3" x14ac:dyDescent="0.25">
      <c r="A90" s="63">
        <v>42021</v>
      </c>
      <c r="B90" s="26">
        <v>50</v>
      </c>
      <c r="C90" s="48">
        <v>508</v>
      </c>
    </row>
    <row r="91" spans="1:3" x14ac:dyDescent="0.25">
      <c r="A91" s="63">
        <v>42022</v>
      </c>
      <c r="B91" s="26">
        <v>36</v>
      </c>
      <c r="C91" s="48">
        <v>294.55</v>
      </c>
    </row>
    <row r="92" spans="1:3" x14ac:dyDescent="0.25">
      <c r="A92" s="63">
        <v>42023</v>
      </c>
      <c r="B92" s="26">
        <v>47</v>
      </c>
      <c r="C92" s="48">
        <v>250</v>
      </c>
    </row>
    <row r="93" spans="1:3" x14ac:dyDescent="0.25">
      <c r="A93" s="63">
        <v>42024</v>
      </c>
      <c r="B93" s="26">
        <v>40</v>
      </c>
      <c r="C93" s="48">
        <v>371.95</v>
      </c>
    </row>
    <row r="94" spans="1:3" x14ac:dyDescent="0.25">
      <c r="A94" s="63">
        <v>42025</v>
      </c>
      <c r="B94" s="26">
        <v>46</v>
      </c>
      <c r="C94" s="48">
        <v>478</v>
      </c>
    </row>
    <row r="95" spans="1:3" x14ac:dyDescent="0.25">
      <c r="A95" s="63">
        <v>42026</v>
      </c>
      <c r="B95" s="26">
        <v>55</v>
      </c>
      <c r="C95" s="48">
        <v>258</v>
      </c>
    </row>
    <row r="96" spans="1:3" x14ac:dyDescent="0.25">
      <c r="A96" s="63">
        <v>42027</v>
      </c>
      <c r="B96" s="26">
        <v>40</v>
      </c>
      <c r="C96" s="48">
        <v>559</v>
      </c>
    </row>
    <row r="97" spans="1:3" x14ac:dyDescent="0.25">
      <c r="A97" s="63">
        <v>42028</v>
      </c>
      <c r="B97" s="26">
        <v>53</v>
      </c>
      <c r="C97" s="48">
        <v>536</v>
      </c>
    </row>
    <row r="98" spans="1:3" x14ac:dyDescent="0.25">
      <c r="A98" s="63">
        <v>42029</v>
      </c>
      <c r="B98" s="26">
        <v>44</v>
      </c>
      <c r="C98" s="48">
        <v>576</v>
      </c>
    </row>
    <row r="99" spans="1:3" x14ac:dyDescent="0.25">
      <c r="A99" s="63">
        <v>42030</v>
      </c>
      <c r="B99" s="26">
        <v>48</v>
      </c>
      <c r="C99" s="48">
        <v>446</v>
      </c>
    </row>
    <row r="100" spans="1:3" x14ac:dyDescent="0.25">
      <c r="A100" s="63">
        <v>42031</v>
      </c>
      <c r="B100" s="26">
        <v>46</v>
      </c>
      <c r="C100" s="48">
        <v>300</v>
      </c>
    </row>
    <row r="101" spans="1:3" x14ac:dyDescent="0.25">
      <c r="A101" s="63">
        <v>42032</v>
      </c>
      <c r="B101" s="26">
        <v>56</v>
      </c>
      <c r="C101" s="48">
        <v>250.5</v>
      </c>
    </row>
    <row r="102" spans="1:3" x14ac:dyDescent="0.25">
      <c r="A102" s="63">
        <v>42033</v>
      </c>
      <c r="B102" s="26">
        <v>36</v>
      </c>
      <c r="C102" s="48">
        <v>412.79999999999995</v>
      </c>
    </row>
    <row r="103" spans="1:3" x14ac:dyDescent="0.25">
      <c r="A103" s="63">
        <v>42034</v>
      </c>
      <c r="B103" s="26">
        <v>38</v>
      </c>
      <c r="C103" s="48">
        <v>511.7</v>
      </c>
    </row>
    <row r="104" spans="1:3" x14ac:dyDescent="0.25">
      <c r="A104" s="63">
        <v>42035</v>
      </c>
      <c r="B104" s="26">
        <v>37</v>
      </c>
      <c r="C104" s="48">
        <v>311.75</v>
      </c>
    </row>
    <row r="105" spans="1:3" x14ac:dyDescent="0.25">
      <c r="A105" s="63">
        <v>42036</v>
      </c>
      <c r="B105" s="26">
        <v>44</v>
      </c>
      <c r="C105" s="48">
        <v>478</v>
      </c>
    </row>
    <row r="106" spans="1:3" x14ac:dyDescent="0.25">
      <c r="A106" s="63">
        <v>42037</v>
      </c>
      <c r="B106" s="26">
        <v>30</v>
      </c>
      <c r="C106" s="48">
        <v>282.5</v>
      </c>
    </row>
    <row r="107" spans="1:3" x14ac:dyDescent="0.25">
      <c r="A107" s="63">
        <v>42038</v>
      </c>
      <c r="B107" s="26">
        <v>48</v>
      </c>
      <c r="C107" s="48">
        <v>476</v>
      </c>
    </row>
    <row r="108" spans="1:3" x14ac:dyDescent="0.25">
      <c r="A108" s="63">
        <v>42039</v>
      </c>
      <c r="B108" s="26">
        <v>37</v>
      </c>
      <c r="C108" s="48">
        <v>565.44999999999993</v>
      </c>
    </row>
    <row r="109" spans="1:3" x14ac:dyDescent="0.25">
      <c r="A109" s="63">
        <v>42040</v>
      </c>
      <c r="B109" s="26">
        <v>43</v>
      </c>
      <c r="C109" s="48">
        <v>567.6</v>
      </c>
    </row>
    <row r="110" spans="1:3" x14ac:dyDescent="0.25">
      <c r="A110" s="63">
        <v>42041</v>
      </c>
      <c r="B110" s="26">
        <v>39</v>
      </c>
      <c r="C110" s="48">
        <v>634.25</v>
      </c>
    </row>
    <row r="111" spans="1:3" x14ac:dyDescent="0.25">
      <c r="A111" s="63">
        <v>42042</v>
      </c>
      <c r="B111" s="26">
        <v>34</v>
      </c>
      <c r="C111" s="48">
        <v>266.59999999999997</v>
      </c>
    </row>
    <row r="112" spans="1:3" x14ac:dyDescent="0.25">
      <c r="A112" s="63">
        <v>42043</v>
      </c>
      <c r="B112" s="26">
        <v>33</v>
      </c>
      <c r="C112" s="48">
        <v>345</v>
      </c>
    </row>
    <row r="113" spans="1:3" x14ac:dyDescent="0.25">
      <c r="A113" s="63">
        <v>42044</v>
      </c>
      <c r="B113" s="26">
        <v>38</v>
      </c>
      <c r="C113" s="48">
        <v>393.45</v>
      </c>
    </row>
    <row r="114" spans="1:3" x14ac:dyDescent="0.25">
      <c r="A114" s="63">
        <v>42045</v>
      </c>
      <c r="B114" s="26">
        <v>38</v>
      </c>
      <c r="C114" s="48">
        <v>567.6</v>
      </c>
    </row>
    <row r="115" spans="1:3" x14ac:dyDescent="0.25">
      <c r="A115" s="63">
        <v>42046</v>
      </c>
      <c r="B115" s="26">
        <v>37</v>
      </c>
      <c r="C115" s="48">
        <v>266.59999999999997</v>
      </c>
    </row>
    <row r="116" spans="1:3" x14ac:dyDescent="0.25">
      <c r="A116" s="63">
        <v>42047</v>
      </c>
      <c r="B116" s="26">
        <v>35</v>
      </c>
      <c r="C116" s="48">
        <v>503.09999999999997</v>
      </c>
    </row>
    <row r="117" spans="1:3" x14ac:dyDescent="0.25">
      <c r="A117" s="63">
        <v>42048</v>
      </c>
      <c r="B117" s="26">
        <v>53</v>
      </c>
      <c r="C117" s="48">
        <v>242</v>
      </c>
    </row>
    <row r="118" spans="1:3" x14ac:dyDescent="0.25">
      <c r="A118" s="63">
        <v>42049</v>
      </c>
      <c r="B118" s="26">
        <v>55</v>
      </c>
      <c r="C118" s="48">
        <v>216</v>
      </c>
    </row>
    <row r="119" spans="1:3" x14ac:dyDescent="0.25">
      <c r="A119" s="63">
        <v>42050</v>
      </c>
      <c r="B119" s="26">
        <v>58</v>
      </c>
      <c r="C119" s="48">
        <v>354</v>
      </c>
    </row>
    <row r="120" spans="1:3" x14ac:dyDescent="0.25">
      <c r="A120" s="63">
        <v>42051</v>
      </c>
      <c r="B120" s="26">
        <v>41</v>
      </c>
      <c r="C120" s="48">
        <v>432.15</v>
      </c>
    </row>
    <row r="121" spans="1:3" x14ac:dyDescent="0.25">
      <c r="A121" s="63">
        <v>42052</v>
      </c>
      <c r="B121" s="26">
        <v>43</v>
      </c>
      <c r="C121" s="48">
        <v>406.34999999999997</v>
      </c>
    </row>
    <row r="122" spans="1:3" x14ac:dyDescent="0.25">
      <c r="A122" s="63">
        <v>42053</v>
      </c>
      <c r="B122" s="26">
        <v>43</v>
      </c>
      <c r="C122" s="48">
        <v>627.79999999999995</v>
      </c>
    </row>
    <row r="123" spans="1:3" x14ac:dyDescent="0.25">
      <c r="A123" s="63">
        <v>42054</v>
      </c>
      <c r="B123" s="26">
        <v>32</v>
      </c>
      <c r="C123" s="48">
        <v>705</v>
      </c>
    </row>
    <row r="124" spans="1:3" x14ac:dyDescent="0.25">
      <c r="A124" s="63">
        <v>42055</v>
      </c>
      <c r="B124" s="26">
        <v>53</v>
      </c>
      <c r="C124" s="48">
        <v>534</v>
      </c>
    </row>
    <row r="125" spans="1:3" x14ac:dyDescent="0.25">
      <c r="A125" s="63">
        <v>42056</v>
      </c>
      <c r="B125" s="26">
        <v>54</v>
      </c>
      <c r="C125" s="48">
        <v>282</v>
      </c>
    </row>
    <row r="126" spans="1:3" x14ac:dyDescent="0.25">
      <c r="A126" s="63">
        <v>42057</v>
      </c>
      <c r="B126" s="26">
        <v>56</v>
      </c>
      <c r="C126" s="48">
        <v>435</v>
      </c>
    </row>
    <row r="127" spans="1:3" x14ac:dyDescent="0.25">
      <c r="A127" s="63">
        <v>42058</v>
      </c>
      <c r="B127" s="26">
        <v>52</v>
      </c>
      <c r="C127" s="48">
        <v>380</v>
      </c>
    </row>
    <row r="128" spans="1:3" x14ac:dyDescent="0.25">
      <c r="A128" s="63">
        <v>42059</v>
      </c>
      <c r="B128" s="26">
        <v>57</v>
      </c>
      <c r="C128" s="48">
        <v>372</v>
      </c>
    </row>
    <row r="129" spans="1:3" x14ac:dyDescent="0.25">
      <c r="A129" s="63">
        <v>42060</v>
      </c>
      <c r="B129" s="26">
        <v>51</v>
      </c>
      <c r="C129" s="48">
        <v>240</v>
      </c>
    </row>
    <row r="130" spans="1:3" x14ac:dyDescent="0.25">
      <c r="A130" s="63">
        <v>42061</v>
      </c>
      <c r="B130" s="26">
        <v>40</v>
      </c>
      <c r="C130" s="48">
        <v>346.15</v>
      </c>
    </row>
    <row r="131" spans="1:3" x14ac:dyDescent="0.25">
      <c r="A131" s="63">
        <v>42062</v>
      </c>
      <c r="B131" s="26">
        <v>32</v>
      </c>
      <c r="C131" s="48">
        <v>577.5</v>
      </c>
    </row>
    <row r="132" spans="1:3" x14ac:dyDescent="0.25">
      <c r="A132" s="63">
        <v>42063</v>
      </c>
      <c r="B132" s="26">
        <v>34</v>
      </c>
      <c r="C132" s="48">
        <v>406.34999999999997</v>
      </c>
    </row>
    <row r="133" spans="1:3" x14ac:dyDescent="0.25">
      <c r="A133" s="63">
        <v>42064</v>
      </c>
      <c r="B133" s="26">
        <v>37</v>
      </c>
      <c r="C133" s="48">
        <v>468.7</v>
      </c>
    </row>
    <row r="134" spans="1:3" x14ac:dyDescent="0.25">
      <c r="A134" s="63">
        <v>42065</v>
      </c>
      <c r="B134" s="26">
        <v>39</v>
      </c>
      <c r="C134" s="48">
        <v>483.75</v>
      </c>
    </row>
    <row r="135" spans="1:3" x14ac:dyDescent="0.25">
      <c r="A135" s="63">
        <v>42066</v>
      </c>
      <c r="B135" s="26">
        <v>22</v>
      </c>
      <c r="C135" s="48">
        <v>462.5</v>
      </c>
    </row>
    <row r="136" spans="1:3" x14ac:dyDescent="0.25">
      <c r="A136" s="63">
        <v>42067</v>
      </c>
      <c r="B136" s="26">
        <v>38</v>
      </c>
      <c r="C136" s="48">
        <v>408.5</v>
      </c>
    </row>
    <row r="137" spans="1:3" x14ac:dyDescent="0.25">
      <c r="A137" s="63">
        <v>42068</v>
      </c>
      <c r="B137" s="26">
        <v>40</v>
      </c>
      <c r="C137" s="48">
        <v>311.75</v>
      </c>
    </row>
    <row r="138" spans="1:3" x14ac:dyDescent="0.25">
      <c r="A138" s="63">
        <v>42069</v>
      </c>
      <c r="B138" s="26">
        <v>51</v>
      </c>
      <c r="C138" s="48">
        <v>420</v>
      </c>
    </row>
    <row r="139" spans="1:3" x14ac:dyDescent="0.25">
      <c r="A139" s="63">
        <v>42070</v>
      </c>
      <c r="B139" s="26">
        <v>32</v>
      </c>
      <c r="C139" s="48">
        <v>410</v>
      </c>
    </row>
    <row r="140" spans="1:3" x14ac:dyDescent="0.25">
      <c r="A140" s="63">
        <v>42071</v>
      </c>
      <c r="B140" s="26">
        <v>45</v>
      </c>
      <c r="C140" s="48">
        <v>400</v>
      </c>
    </row>
    <row r="141" spans="1:3" x14ac:dyDescent="0.25">
      <c r="A141" s="63">
        <v>42072</v>
      </c>
      <c r="B141" s="26">
        <v>40</v>
      </c>
      <c r="C141" s="48">
        <v>460.09999999999997</v>
      </c>
    </row>
    <row r="142" spans="1:3" x14ac:dyDescent="0.25">
      <c r="A142" s="63">
        <v>42073</v>
      </c>
      <c r="B142" s="26">
        <v>52</v>
      </c>
      <c r="C142" s="48">
        <v>538</v>
      </c>
    </row>
    <row r="143" spans="1:3" x14ac:dyDescent="0.25">
      <c r="A143" s="63">
        <v>42074</v>
      </c>
      <c r="B143" s="26">
        <v>25</v>
      </c>
      <c r="C143" s="48">
        <v>597.5</v>
      </c>
    </row>
    <row r="144" spans="1:3" x14ac:dyDescent="0.25">
      <c r="A144" s="63">
        <v>42075</v>
      </c>
      <c r="B144" s="26">
        <v>42</v>
      </c>
      <c r="C144" s="48">
        <v>389.15</v>
      </c>
    </row>
    <row r="145" spans="1:3" x14ac:dyDescent="0.25">
      <c r="A145" s="63">
        <v>42076</v>
      </c>
      <c r="B145" s="26">
        <v>45</v>
      </c>
      <c r="C145" s="48">
        <v>228</v>
      </c>
    </row>
    <row r="146" spans="1:3" x14ac:dyDescent="0.25">
      <c r="A146" s="63">
        <v>42077</v>
      </c>
      <c r="B146" s="26">
        <v>31</v>
      </c>
      <c r="C146" s="48">
        <v>627.5</v>
      </c>
    </row>
    <row r="147" spans="1:3" x14ac:dyDescent="0.25">
      <c r="A147" s="63">
        <v>42078</v>
      </c>
      <c r="B147" s="26">
        <v>51</v>
      </c>
      <c r="C147" s="48">
        <v>408</v>
      </c>
    </row>
    <row r="148" spans="1:3" x14ac:dyDescent="0.25">
      <c r="A148" s="63">
        <v>42079</v>
      </c>
      <c r="B148" s="26">
        <v>34</v>
      </c>
      <c r="C148" s="48">
        <v>339.7</v>
      </c>
    </row>
    <row r="149" spans="1:3" x14ac:dyDescent="0.25">
      <c r="A149" s="63">
        <v>42080</v>
      </c>
      <c r="B149" s="26">
        <v>21</v>
      </c>
      <c r="C149" s="48">
        <v>527.5</v>
      </c>
    </row>
    <row r="150" spans="1:3" x14ac:dyDescent="0.25">
      <c r="A150" s="63">
        <v>42081</v>
      </c>
      <c r="B150" s="26">
        <v>55</v>
      </c>
      <c r="C150" s="48">
        <v>364.5</v>
      </c>
    </row>
    <row r="151" spans="1:3" x14ac:dyDescent="0.25">
      <c r="A151" s="63">
        <v>42082</v>
      </c>
      <c r="B151" s="26">
        <v>24</v>
      </c>
      <c r="C151" s="48">
        <v>695</v>
      </c>
    </row>
    <row r="152" spans="1:3" x14ac:dyDescent="0.25">
      <c r="A152" s="63">
        <v>42083</v>
      </c>
      <c r="B152" s="26">
        <v>42</v>
      </c>
      <c r="C152" s="48">
        <v>462.25</v>
      </c>
    </row>
    <row r="153" spans="1:3" x14ac:dyDescent="0.25">
      <c r="A153" s="63">
        <v>42084</v>
      </c>
      <c r="B153" s="26">
        <v>38</v>
      </c>
      <c r="C153" s="48">
        <v>277.34999999999997</v>
      </c>
    </row>
    <row r="154" spans="1:3" x14ac:dyDescent="0.25">
      <c r="A154" s="63">
        <v>42085</v>
      </c>
      <c r="B154" s="26">
        <v>48</v>
      </c>
      <c r="C154" s="48">
        <v>334</v>
      </c>
    </row>
    <row r="155" spans="1:3" x14ac:dyDescent="0.25">
      <c r="A155" s="63">
        <v>42086</v>
      </c>
      <c r="B155" s="26">
        <v>40</v>
      </c>
      <c r="C155" s="48">
        <v>445.04999999999995</v>
      </c>
    </row>
    <row r="156" spans="1:3" x14ac:dyDescent="0.25">
      <c r="A156" s="63">
        <v>42087</v>
      </c>
      <c r="B156" s="26">
        <v>45</v>
      </c>
      <c r="C156" s="48">
        <v>496</v>
      </c>
    </row>
    <row r="157" spans="1:3" x14ac:dyDescent="0.25">
      <c r="A157" s="63">
        <v>42088</v>
      </c>
      <c r="B157" s="26">
        <v>45</v>
      </c>
      <c r="C157" s="48">
        <v>514</v>
      </c>
    </row>
    <row r="158" spans="1:3" x14ac:dyDescent="0.25">
      <c r="A158" s="63">
        <v>42089</v>
      </c>
      <c r="B158" s="26">
        <v>46</v>
      </c>
      <c r="C158" s="48">
        <v>350</v>
      </c>
    </row>
    <row r="159" spans="1:3" x14ac:dyDescent="0.25">
      <c r="A159" s="63">
        <v>42090</v>
      </c>
      <c r="B159" s="26">
        <v>33</v>
      </c>
      <c r="C159" s="48">
        <v>697.5</v>
      </c>
    </row>
    <row r="160" spans="1:3" x14ac:dyDescent="0.25">
      <c r="A160" s="63">
        <v>42091</v>
      </c>
      <c r="B160" s="26">
        <v>37</v>
      </c>
      <c r="C160" s="48">
        <v>258</v>
      </c>
    </row>
    <row r="161" spans="1:3" x14ac:dyDescent="0.25">
      <c r="A161" s="63">
        <v>42092</v>
      </c>
      <c r="B161" s="26">
        <v>24</v>
      </c>
      <c r="C161" s="48">
        <v>257.5</v>
      </c>
    </row>
    <row r="162" spans="1:3" x14ac:dyDescent="0.25">
      <c r="A162" s="63">
        <v>42093</v>
      </c>
      <c r="B162" s="26">
        <v>36</v>
      </c>
      <c r="C162" s="48">
        <v>313.89999999999998</v>
      </c>
    </row>
    <row r="163" spans="1:3" x14ac:dyDescent="0.25">
      <c r="A163" s="63">
        <v>42094</v>
      </c>
      <c r="B163" s="26">
        <v>37</v>
      </c>
      <c r="C163" s="48">
        <v>481.59999999999997</v>
      </c>
    </row>
    <row r="164" spans="1:3" x14ac:dyDescent="0.25">
      <c r="A164" s="63">
        <v>42095</v>
      </c>
      <c r="B164" s="26">
        <v>47</v>
      </c>
      <c r="C164" s="48">
        <v>594</v>
      </c>
    </row>
    <row r="165" spans="1:3" x14ac:dyDescent="0.25">
      <c r="A165" s="63">
        <v>42096</v>
      </c>
      <c r="B165" s="26">
        <v>64</v>
      </c>
      <c r="C165" s="48">
        <v>442.5</v>
      </c>
    </row>
    <row r="166" spans="1:3" x14ac:dyDescent="0.25">
      <c r="A166" s="63">
        <v>42097</v>
      </c>
      <c r="B166" s="26">
        <v>60</v>
      </c>
      <c r="C166" s="48">
        <v>397.5</v>
      </c>
    </row>
    <row r="167" spans="1:3" x14ac:dyDescent="0.25">
      <c r="A167" s="63">
        <v>42098</v>
      </c>
      <c r="B167" s="26">
        <v>50</v>
      </c>
      <c r="C167" s="48">
        <v>272</v>
      </c>
    </row>
    <row r="168" spans="1:3" x14ac:dyDescent="0.25">
      <c r="A168" s="63">
        <v>42099</v>
      </c>
      <c r="B168" s="26">
        <v>62</v>
      </c>
      <c r="C168" s="48">
        <v>208.5</v>
      </c>
    </row>
    <row r="169" spans="1:3" x14ac:dyDescent="0.25">
      <c r="A169" s="63">
        <v>42100</v>
      </c>
      <c r="B169" s="26">
        <v>50</v>
      </c>
      <c r="C169" s="48">
        <v>200</v>
      </c>
    </row>
    <row r="170" spans="1:3" x14ac:dyDescent="0.25">
      <c r="A170" s="63">
        <v>42101</v>
      </c>
      <c r="B170" s="26">
        <v>62</v>
      </c>
      <c r="C170" s="48">
        <v>301.5</v>
      </c>
    </row>
    <row r="171" spans="1:3" x14ac:dyDescent="0.25">
      <c r="A171" s="63">
        <v>42102</v>
      </c>
      <c r="B171" s="26">
        <v>68</v>
      </c>
      <c r="C171" s="48">
        <v>187</v>
      </c>
    </row>
    <row r="172" spans="1:3" x14ac:dyDescent="0.25">
      <c r="A172" s="63">
        <v>42103</v>
      </c>
      <c r="B172" s="26">
        <v>65</v>
      </c>
      <c r="C172" s="48">
        <v>150</v>
      </c>
    </row>
    <row r="173" spans="1:3" x14ac:dyDescent="0.25">
      <c r="A173" s="63">
        <v>42104</v>
      </c>
      <c r="B173" s="26">
        <v>57</v>
      </c>
      <c r="C173" s="48">
        <v>445.5</v>
      </c>
    </row>
    <row r="174" spans="1:3" x14ac:dyDescent="0.25">
      <c r="A174" s="63">
        <v>42105</v>
      </c>
      <c r="B174" s="26">
        <v>53</v>
      </c>
      <c r="C174" s="48">
        <v>498</v>
      </c>
    </row>
    <row r="175" spans="1:3" x14ac:dyDescent="0.25">
      <c r="A175" s="63">
        <v>42106</v>
      </c>
      <c r="B175" s="26">
        <v>43</v>
      </c>
      <c r="C175" s="48">
        <v>599.85</v>
      </c>
    </row>
    <row r="176" spans="1:3" x14ac:dyDescent="0.25">
      <c r="A176" s="63">
        <v>42107</v>
      </c>
      <c r="B176" s="26">
        <v>39</v>
      </c>
      <c r="C176" s="48">
        <v>393.45</v>
      </c>
    </row>
    <row r="177" spans="1:3" x14ac:dyDescent="0.25">
      <c r="A177" s="63">
        <v>42108</v>
      </c>
      <c r="B177" s="26">
        <v>61</v>
      </c>
      <c r="C177" s="48">
        <v>196.5</v>
      </c>
    </row>
    <row r="178" spans="1:3" x14ac:dyDescent="0.25">
      <c r="A178" s="63">
        <v>42109</v>
      </c>
      <c r="B178" s="26">
        <v>42</v>
      </c>
      <c r="C178" s="48">
        <v>457.95</v>
      </c>
    </row>
    <row r="179" spans="1:3" x14ac:dyDescent="0.25">
      <c r="A179" s="63">
        <v>42110</v>
      </c>
      <c r="B179" s="26">
        <v>42</v>
      </c>
      <c r="C179" s="48">
        <v>225.75</v>
      </c>
    </row>
    <row r="180" spans="1:3" x14ac:dyDescent="0.25">
      <c r="A180" s="63">
        <v>42111</v>
      </c>
      <c r="B180" s="26">
        <v>52</v>
      </c>
      <c r="C180" s="48">
        <v>598</v>
      </c>
    </row>
    <row r="181" spans="1:3" x14ac:dyDescent="0.25">
      <c r="A181" s="63">
        <v>42112</v>
      </c>
      <c r="B181" s="26">
        <v>68</v>
      </c>
      <c r="C181" s="48">
        <v>268</v>
      </c>
    </row>
    <row r="182" spans="1:3" x14ac:dyDescent="0.25">
      <c r="A182" s="63">
        <v>42113</v>
      </c>
      <c r="B182" s="26">
        <v>50</v>
      </c>
      <c r="C182" s="48">
        <v>468</v>
      </c>
    </row>
    <row r="183" spans="1:3" x14ac:dyDescent="0.25">
      <c r="A183" s="63">
        <v>42114</v>
      </c>
      <c r="B183" s="26">
        <v>46</v>
      </c>
      <c r="C183" s="48">
        <v>236</v>
      </c>
    </row>
    <row r="184" spans="1:3" x14ac:dyDescent="0.25">
      <c r="A184" s="63">
        <v>42115</v>
      </c>
      <c r="B184" s="26">
        <v>58</v>
      </c>
      <c r="C184" s="48">
        <v>415.5</v>
      </c>
    </row>
    <row r="185" spans="1:3" x14ac:dyDescent="0.25">
      <c r="A185" s="63">
        <v>42116</v>
      </c>
      <c r="B185" s="26">
        <v>56</v>
      </c>
      <c r="C185" s="48">
        <v>418.5</v>
      </c>
    </row>
    <row r="186" spans="1:3" x14ac:dyDescent="0.25">
      <c r="A186" s="63">
        <v>42117</v>
      </c>
      <c r="B186" s="26">
        <v>61</v>
      </c>
      <c r="C186" s="48">
        <v>279</v>
      </c>
    </row>
    <row r="187" spans="1:3" x14ac:dyDescent="0.25">
      <c r="A187" s="63">
        <v>42118</v>
      </c>
      <c r="B187" s="26">
        <v>56</v>
      </c>
      <c r="C187" s="48">
        <v>195</v>
      </c>
    </row>
    <row r="188" spans="1:3" x14ac:dyDescent="0.25">
      <c r="A188" s="63">
        <v>42119</v>
      </c>
      <c r="B188" s="26">
        <v>61</v>
      </c>
      <c r="C188" s="48">
        <v>325.5</v>
      </c>
    </row>
    <row r="189" spans="1:3" x14ac:dyDescent="0.25">
      <c r="A189" s="63">
        <v>42120</v>
      </c>
      <c r="B189" s="26">
        <v>67</v>
      </c>
      <c r="C189" s="48">
        <v>283</v>
      </c>
    </row>
    <row r="190" spans="1:3" x14ac:dyDescent="0.25">
      <c r="A190" s="63">
        <v>42121</v>
      </c>
      <c r="B190" s="26">
        <v>68</v>
      </c>
      <c r="C190" s="48">
        <v>281</v>
      </c>
    </row>
    <row r="191" spans="1:3" x14ac:dyDescent="0.25">
      <c r="A191" s="63">
        <v>42122</v>
      </c>
      <c r="B191" s="26">
        <v>61</v>
      </c>
      <c r="C191" s="48">
        <v>313.5</v>
      </c>
    </row>
    <row r="192" spans="1:3" x14ac:dyDescent="0.25">
      <c r="A192" s="63">
        <v>42123</v>
      </c>
      <c r="B192" s="26">
        <v>52</v>
      </c>
      <c r="C192" s="48">
        <v>466</v>
      </c>
    </row>
    <row r="193" spans="1:3" x14ac:dyDescent="0.25">
      <c r="A193" s="63">
        <v>42124</v>
      </c>
      <c r="B193" s="26">
        <v>63</v>
      </c>
      <c r="C193" s="48">
        <v>351</v>
      </c>
    </row>
    <row r="194" spans="1:3" x14ac:dyDescent="0.25">
      <c r="A194" s="63">
        <v>42125</v>
      </c>
      <c r="B194" s="26">
        <v>80</v>
      </c>
      <c r="C194" s="48">
        <v>226</v>
      </c>
    </row>
    <row r="195" spans="1:3" x14ac:dyDescent="0.25">
      <c r="A195" s="63">
        <v>42126</v>
      </c>
      <c r="B195" s="26">
        <v>75</v>
      </c>
      <c r="C195" s="48">
        <v>165</v>
      </c>
    </row>
    <row r="196" spans="1:3" x14ac:dyDescent="0.25">
      <c r="A196" s="63">
        <v>42127</v>
      </c>
      <c r="B196" s="26">
        <v>51</v>
      </c>
      <c r="C196" s="48">
        <v>532</v>
      </c>
    </row>
    <row r="197" spans="1:3" x14ac:dyDescent="0.25">
      <c r="A197" s="63">
        <v>42128</v>
      </c>
      <c r="B197" s="26">
        <v>44</v>
      </c>
      <c r="C197" s="48">
        <v>410</v>
      </c>
    </row>
    <row r="198" spans="1:3" x14ac:dyDescent="0.25">
      <c r="A198" s="63">
        <v>42129</v>
      </c>
      <c r="B198" s="26">
        <v>79</v>
      </c>
      <c r="C198" s="48">
        <v>121</v>
      </c>
    </row>
    <row r="199" spans="1:3" x14ac:dyDescent="0.25">
      <c r="A199" s="63">
        <v>42130</v>
      </c>
      <c r="B199" s="26">
        <v>61</v>
      </c>
      <c r="C199" s="48">
        <v>340.5</v>
      </c>
    </row>
    <row r="200" spans="1:3" x14ac:dyDescent="0.25">
      <c r="A200" s="63">
        <v>42131</v>
      </c>
      <c r="B200" s="26">
        <v>49</v>
      </c>
      <c r="C200" s="48">
        <v>264</v>
      </c>
    </row>
    <row r="201" spans="1:3" x14ac:dyDescent="0.25">
      <c r="A201" s="63">
        <v>42132</v>
      </c>
      <c r="B201" s="26">
        <v>80</v>
      </c>
      <c r="C201" s="48">
        <v>212</v>
      </c>
    </row>
    <row r="202" spans="1:3" x14ac:dyDescent="0.25">
      <c r="A202" s="63">
        <v>42133</v>
      </c>
      <c r="B202" s="26">
        <v>47</v>
      </c>
      <c r="C202" s="48">
        <v>590</v>
      </c>
    </row>
    <row r="203" spans="1:3" x14ac:dyDescent="0.25">
      <c r="A203" s="63">
        <v>42134</v>
      </c>
      <c r="B203" s="26">
        <v>77</v>
      </c>
      <c r="C203" s="48">
        <v>153</v>
      </c>
    </row>
    <row r="204" spans="1:3" x14ac:dyDescent="0.25">
      <c r="A204" s="63">
        <v>42135</v>
      </c>
      <c r="B204" s="26">
        <v>60</v>
      </c>
      <c r="C204" s="48">
        <v>202.5</v>
      </c>
    </row>
    <row r="205" spans="1:3" x14ac:dyDescent="0.25">
      <c r="A205" s="63">
        <v>42136</v>
      </c>
      <c r="B205" s="26">
        <v>54</v>
      </c>
      <c r="C205" s="48">
        <v>564</v>
      </c>
    </row>
    <row r="206" spans="1:3" x14ac:dyDescent="0.25">
      <c r="A206" s="63">
        <v>42137</v>
      </c>
      <c r="B206" s="26">
        <v>44</v>
      </c>
      <c r="C206" s="48">
        <v>326</v>
      </c>
    </row>
    <row r="207" spans="1:3" x14ac:dyDescent="0.25">
      <c r="A207" s="63">
        <v>42138</v>
      </c>
      <c r="B207" s="26">
        <v>50</v>
      </c>
      <c r="C207" s="48">
        <v>308</v>
      </c>
    </row>
    <row r="208" spans="1:3" x14ac:dyDescent="0.25">
      <c r="A208" s="63">
        <v>42139</v>
      </c>
      <c r="B208" s="26">
        <v>69</v>
      </c>
      <c r="C208" s="48">
        <v>220</v>
      </c>
    </row>
    <row r="209" spans="1:3" x14ac:dyDescent="0.25">
      <c r="A209" s="63">
        <v>42140</v>
      </c>
      <c r="B209" s="26">
        <v>59</v>
      </c>
      <c r="C209" s="48">
        <v>448.5</v>
      </c>
    </row>
    <row r="210" spans="1:3" x14ac:dyDescent="0.25">
      <c r="A210" s="63">
        <v>42141</v>
      </c>
      <c r="B210" s="26">
        <v>81</v>
      </c>
      <c r="C210" s="48">
        <v>239</v>
      </c>
    </row>
    <row r="211" spans="1:3" x14ac:dyDescent="0.25">
      <c r="A211" s="63">
        <v>42142</v>
      </c>
      <c r="B211" s="26">
        <v>82</v>
      </c>
      <c r="C211" s="48">
        <v>227</v>
      </c>
    </row>
    <row r="212" spans="1:3" x14ac:dyDescent="0.25">
      <c r="A212" s="63">
        <v>42143</v>
      </c>
      <c r="B212" s="26">
        <v>59</v>
      </c>
      <c r="C212" s="48">
        <v>222</v>
      </c>
    </row>
    <row r="213" spans="1:3" x14ac:dyDescent="0.25">
      <c r="A213" s="63">
        <v>42144</v>
      </c>
      <c r="B213" s="26">
        <v>47</v>
      </c>
      <c r="C213" s="48">
        <v>282</v>
      </c>
    </row>
    <row r="214" spans="1:3" x14ac:dyDescent="0.25">
      <c r="A214" s="63">
        <v>42145</v>
      </c>
      <c r="B214" s="26">
        <v>71</v>
      </c>
      <c r="C214" s="48">
        <v>225</v>
      </c>
    </row>
    <row r="215" spans="1:3" x14ac:dyDescent="0.25">
      <c r="A215" s="63">
        <v>42146</v>
      </c>
      <c r="B215" s="26">
        <v>45</v>
      </c>
      <c r="C215" s="48">
        <v>332</v>
      </c>
    </row>
    <row r="216" spans="1:3" x14ac:dyDescent="0.25">
      <c r="A216" s="63">
        <v>42147</v>
      </c>
      <c r="B216" s="26">
        <v>65</v>
      </c>
      <c r="C216" s="48">
        <v>178</v>
      </c>
    </row>
    <row r="217" spans="1:3" x14ac:dyDescent="0.25">
      <c r="A217" s="63">
        <v>42148</v>
      </c>
      <c r="B217" s="26">
        <v>78</v>
      </c>
      <c r="C217" s="48">
        <v>290</v>
      </c>
    </row>
    <row r="218" spans="1:3" x14ac:dyDescent="0.25">
      <c r="A218" s="63">
        <v>42149</v>
      </c>
      <c r="B218" s="26">
        <v>54</v>
      </c>
      <c r="C218" s="48">
        <v>246</v>
      </c>
    </row>
    <row r="219" spans="1:3" x14ac:dyDescent="0.25">
      <c r="A219" s="63">
        <v>42150</v>
      </c>
      <c r="B219" s="26">
        <v>46</v>
      </c>
      <c r="C219" s="48">
        <v>598</v>
      </c>
    </row>
    <row r="220" spans="1:3" x14ac:dyDescent="0.25">
      <c r="A220" s="63">
        <v>42151</v>
      </c>
      <c r="B220" s="26">
        <v>81</v>
      </c>
      <c r="C220" s="48">
        <v>186</v>
      </c>
    </row>
    <row r="221" spans="1:3" x14ac:dyDescent="0.25">
      <c r="A221" s="63">
        <v>42152</v>
      </c>
      <c r="B221" s="26">
        <v>52</v>
      </c>
      <c r="C221" s="48">
        <v>584</v>
      </c>
    </row>
    <row r="222" spans="1:3" x14ac:dyDescent="0.25">
      <c r="A222" s="63">
        <v>42153</v>
      </c>
      <c r="B222" s="26">
        <v>79</v>
      </c>
      <c r="C222" s="48">
        <v>259</v>
      </c>
    </row>
    <row r="223" spans="1:3" x14ac:dyDescent="0.25">
      <c r="A223" s="63">
        <v>42154</v>
      </c>
      <c r="B223" s="26">
        <v>77</v>
      </c>
      <c r="C223" s="48">
        <v>162</v>
      </c>
    </row>
    <row r="224" spans="1:3" x14ac:dyDescent="0.25">
      <c r="A224" s="63">
        <v>42155</v>
      </c>
      <c r="B224" s="26">
        <v>66</v>
      </c>
      <c r="C224" s="48">
        <v>162</v>
      </c>
    </row>
    <row r="225" spans="1:3" x14ac:dyDescent="0.25">
      <c r="A225" s="63">
        <v>42156</v>
      </c>
      <c r="B225" s="26">
        <v>60</v>
      </c>
      <c r="C225" s="48">
        <v>300</v>
      </c>
    </row>
    <row r="226" spans="1:3" x14ac:dyDescent="0.25">
      <c r="A226" s="63">
        <v>42157</v>
      </c>
      <c r="B226" s="26">
        <v>66</v>
      </c>
      <c r="C226" s="48">
        <v>228</v>
      </c>
    </row>
    <row r="227" spans="1:3" x14ac:dyDescent="0.25">
      <c r="A227" s="63">
        <v>42158</v>
      </c>
      <c r="B227" s="26">
        <v>63</v>
      </c>
      <c r="C227" s="48">
        <v>336</v>
      </c>
    </row>
    <row r="228" spans="1:3" x14ac:dyDescent="0.25">
      <c r="A228" s="63">
        <v>42159</v>
      </c>
      <c r="B228" s="26">
        <v>76</v>
      </c>
      <c r="C228" s="48">
        <v>164</v>
      </c>
    </row>
    <row r="229" spans="1:3" x14ac:dyDescent="0.25">
      <c r="A229" s="63">
        <v>42160</v>
      </c>
      <c r="B229" s="26">
        <v>64</v>
      </c>
      <c r="C229" s="48">
        <v>238.5</v>
      </c>
    </row>
    <row r="230" spans="1:3" x14ac:dyDescent="0.25">
      <c r="A230" s="63">
        <v>42161</v>
      </c>
      <c r="B230" s="26">
        <v>54</v>
      </c>
      <c r="C230" s="48">
        <v>548</v>
      </c>
    </row>
    <row r="231" spans="1:3" x14ac:dyDescent="0.25">
      <c r="A231" s="63">
        <v>42162</v>
      </c>
      <c r="B231" s="26">
        <v>62</v>
      </c>
      <c r="C231" s="48">
        <v>187.5</v>
      </c>
    </row>
    <row r="232" spans="1:3" x14ac:dyDescent="0.25">
      <c r="A232" s="63">
        <v>42163</v>
      </c>
      <c r="B232" s="26">
        <v>75</v>
      </c>
      <c r="C232" s="48">
        <v>208</v>
      </c>
    </row>
    <row r="233" spans="1:3" x14ac:dyDescent="0.25">
      <c r="A233" s="63">
        <v>42164</v>
      </c>
      <c r="B233" s="26">
        <v>60</v>
      </c>
      <c r="C233" s="48">
        <v>153</v>
      </c>
    </row>
    <row r="234" spans="1:3" x14ac:dyDescent="0.25">
      <c r="A234" s="63">
        <v>42165</v>
      </c>
      <c r="B234" s="26">
        <v>61</v>
      </c>
      <c r="C234" s="48">
        <v>343.5</v>
      </c>
    </row>
    <row r="235" spans="1:3" x14ac:dyDescent="0.25">
      <c r="A235" s="63">
        <v>42166</v>
      </c>
      <c r="B235" s="26">
        <v>74</v>
      </c>
      <c r="C235" s="48">
        <v>275</v>
      </c>
    </row>
    <row r="236" spans="1:3" x14ac:dyDescent="0.25">
      <c r="A236" s="63">
        <v>42167</v>
      </c>
      <c r="B236" s="26">
        <v>72</v>
      </c>
      <c r="C236" s="48">
        <v>138</v>
      </c>
    </row>
    <row r="237" spans="1:3" x14ac:dyDescent="0.25">
      <c r="A237" s="63">
        <v>42168</v>
      </c>
      <c r="B237" s="26">
        <v>77</v>
      </c>
      <c r="C237" s="48">
        <v>168</v>
      </c>
    </row>
    <row r="238" spans="1:3" x14ac:dyDescent="0.25">
      <c r="A238" s="63">
        <v>42169</v>
      </c>
      <c r="B238" s="26">
        <v>56</v>
      </c>
      <c r="C238" s="48">
        <v>289.5</v>
      </c>
    </row>
    <row r="239" spans="1:3" x14ac:dyDescent="0.25">
      <c r="A239" s="63">
        <v>42170</v>
      </c>
      <c r="B239" s="26">
        <v>73</v>
      </c>
      <c r="C239" s="48">
        <v>156</v>
      </c>
    </row>
    <row r="240" spans="1:3" x14ac:dyDescent="0.25">
      <c r="A240" s="63">
        <v>42171</v>
      </c>
      <c r="B240" s="26">
        <v>60</v>
      </c>
      <c r="C240" s="48">
        <v>345</v>
      </c>
    </row>
    <row r="241" spans="1:3" x14ac:dyDescent="0.25">
      <c r="A241" s="63">
        <v>42172</v>
      </c>
      <c r="B241" s="26">
        <v>72</v>
      </c>
      <c r="C241" s="48">
        <v>292</v>
      </c>
    </row>
    <row r="242" spans="1:3" x14ac:dyDescent="0.25">
      <c r="A242" s="63">
        <v>42173</v>
      </c>
      <c r="B242" s="26">
        <v>66</v>
      </c>
      <c r="C242" s="48">
        <v>100</v>
      </c>
    </row>
    <row r="243" spans="1:3" x14ac:dyDescent="0.25">
      <c r="A243" s="63">
        <v>42174</v>
      </c>
      <c r="B243" s="26">
        <v>57</v>
      </c>
      <c r="C243" s="48">
        <v>355.5</v>
      </c>
    </row>
    <row r="244" spans="1:3" x14ac:dyDescent="0.25">
      <c r="A244" s="63">
        <v>42175</v>
      </c>
      <c r="B244" s="26">
        <v>57</v>
      </c>
      <c r="C244" s="48">
        <v>171</v>
      </c>
    </row>
    <row r="245" spans="1:3" x14ac:dyDescent="0.25">
      <c r="A245" s="63">
        <v>42176</v>
      </c>
      <c r="B245" s="26">
        <v>78</v>
      </c>
      <c r="C245" s="48">
        <v>253</v>
      </c>
    </row>
    <row r="246" spans="1:3" x14ac:dyDescent="0.25">
      <c r="A246" s="63">
        <v>42177</v>
      </c>
      <c r="B246" s="26">
        <v>56</v>
      </c>
      <c r="C246" s="48">
        <v>303</v>
      </c>
    </row>
    <row r="247" spans="1:3" x14ac:dyDescent="0.25">
      <c r="A247" s="63">
        <v>42178</v>
      </c>
      <c r="B247" s="26">
        <v>59</v>
      </c>
      <c r="C247" s="48">
        <v>319.5</v>
      </c>
    </row>
    <row r="248" spans="1:3" x14ac:dyDescent="0.25">
      <c r="A248" s="63">
        <v>42179</v>
      </c>
      <c r="B248" s="26">
        <v>71</v>
      </c>
      <c r="C248" s="48">
        <v>115</v>
      </c>
    </row>
    <row r="249" spans="1:3" x14ac:dyDescent="0.25">
      <c r="A249" s="63">
        <v>42180</v>
      </c>
      <c r="B249" s="26">
        <v>66</v>
      </c>
      <c r="C249" s="48">
        <v>133</v>
      </c>
    </row>
    <row r="250" spans="1:3" x14ac:dyDescent="0.25">
      <c r="A250" s="63">
        <v>42181</v>
      </c>
      <c r="B250" s="26">
        <v>58</v>
      </c>
      <c r="C250" s="48">
        <v>318</v>
      </c>
    </row>
    <row r="251" spans="1:3" x14ac:dyDescent="0.25">
      <c r="A251" s="63">
        <v>42182</v>
      </c>
      <c r="B251" s="26">
        <v>67</v>
      </c>
      <c r="C251" s="48">
        <v>137</v>
      </c>
    </row>
    <row r="252" spans="1:3" x14ac:dyDescent="0.25">
      <c r="A252" s="63">
        <v>42183</v>
      </c>
      <c r="B252" s="26">
        <v>66</v>
      </c>
      <c r="C252" s="48">
        <v>275</v>
      </c>
    </row>
    <row r="253" spans="1:3" x14ac:dyDescent="0.25">
      <c r="A253" s="63">
        <v>42184</v>
      </c>
      <c r="B253" s="26">
        <v>76</v>
      </c>
      <c r="C253" s="48">
        <v>132</v>
      </c>
    </row>
    <row r="254" spans="1:3" x14ac:dyDescent="0.25">
      <c r="A254" s="63">
        <v>42185</v>
      </c>
      <c r="B254" s="26">
        <v>57</v>
      </c>
      <c r="C254" s="48">
        <v>244.5</v>
      </c>
    </row>
    <row r="255" spans="1:3" x14ac:dyDescent="0.25">
      <c r="A255" s="63">
        <v>42186</v>
      </c>
      <c r="B255" s="26">
        <v>72</v>
      </c>
      <c r="C255" s="48">
        <v>135</v>
      </c>
    </row>
    <row r="256" spans="1:3" x14ac:dyDescent="0.25">
      <c r="A256" s="63">
        <v>42187</v>
      </c>
      <c r="B256" s="26">
        <v>62</v>
      </c>
      <c r="C256" s="48">
        <v>246</v>
      </c>
    </row>
    <row r="257" spans="1:3" x14ac:dyDescent="0.25">
      <c r="A257" s="63">
        <v>42188</v>
      </c>
      <c r="B257" s="26">
        <v>79</v>
      </c>
      <c r="C257" s="48">
        <v>222</v>
      </c>
    </row>
    <row r="258" spans="1:3" x14ac:dyDescent="0.25">
      <c r="A258" s="63">
        <v>42189</v>
      </c>
      <c r="B258" s="26">
        <v>83</v>
      </c>
      <c r="C258" s="48">
        <v>297</v>
      </c>
    </row>
    <row r="259" spans="1:3" x14ac:dyDescent="0.25">
      <c r="A259" s="63">
        <v>42190</v>
      </c>
      <c r="B259" s="26">
        <v>71</v>
      </c>
      <c r="C259" s="48">
        <v>173</v>
      </c>
    </row>
    <row r="260" spans="1:3" x14ac:dyDescent="0.25">
      <c r="A260" s="63">
        <v>42191</v>
      </c>
      <c r="B260" s="26">
        <v>78</v>
      </c>
      <c r="C260" s="48">
        <v>154</v>
      </c>
    </row>
    <row r="261" spans="1:3" x14ac:dyDescent="0.25">
      <c r="A261" s="63">
        <v>42192</v>
      </c>
      <c r="B261" s="26">
        <v>70</v>
      </c>
      <c r="C261" s="48">
        <v>160</v>
      </c>
    </row>
    <row r="262" spans="1:3" x14ac:dyDescent="0.25">
      <c r="A262" s="63">
        <v>42193</v>
      </c>
      <c r="B262" s="26">
        <v>81</v>
      </c>
      <c r="C262" s="48">
        <v>139</v>
      </c>
    </row>
    <row r="263" spans="1:3" x14ac:dyDescent="0.25">
      <c r="A263" s="63">
        <v>42194</v>
      </c>
      <c r="B263" s="26">
        <v>74</v>
      </c>
      <c r="C263" s="48">
        <v>103</v>
      </c>
    </row>
    <row r="264" spans="1:3" x14ac:dyDescent="0.25">
      <c r="A264" s="63">
        <v>42195</v>
      </c>
      <c r="B264" s="26">
        <v>92</v>
      </c>
      <c r="C264" s="48">
        <v>508</v>
      </c>
    </row>
    <row r="265" spans="1:3" x14ac:dyDescent="0.25">
      <c r="A265" s="63">
        <v>42196</v>
      </c>
      <c r="B265" s="26">
        <v>78</v>
      </c>
      <c r="C265" s="48">
        <v>172</v>
      </c>
    </row>
    <row r="266" spans="1:3" x14ac:dyDescent="0.25">
      <c r="A266" s="63">
        <v>42197</v>
      </c>
      <c r="B266" s="26">
        <v>87</v>
      </c>
      <c r="C266" s="48">
        <v>429</v>
      </c>
    </row>
    <row r="267" spans="1:3" x14ac:dyDescent="0.25">
      <c r="A267" s="63">
        <v>42198</v>
      </c>
      <c r="B267" s="26">
        <v>62</v>
      </c>
      <c r="C267" s="48">
        <v>406.5</v>
      </c>
    </row>
    <row r="268" spans="1:3" x14ac:dyDescent="0.25">
      <c r="A268" s="63">
        <v>42199</v>
      </c>
      <c r="B268" s="26">
        <v>85</v>
      </c>
      <c r="C268" s="48">
        <v>340.5</v>
      </c>
    </row>
    <row r="269" spans="1:3" x14ac:dyDescent="0.25">
      <c r="A269" s="63">
        <v>42200</v>
      </c>
      <c r="B269" s="26">
        <v>92</v>
      </c>
      <c r="C269" s="48">
        <v>268</v>
      </c>
    </row>
    <row r="270" spans="1:3" x14ac:dyDescent="0.25">
      <c r="A270" s="63">
        <v>42201</v>
      </c>
      <c r="B270" s="26">
        <v>84</v>
      </c>
      <c r="C270" s="48">
        <v>235</v>
      </c>
    </row>
    <row r="271" spans="1:3" x14ac:dyDescent="0.25">
      <c r="A271" s="63">
        <v>42202</v>
      </c>
      <c r="B271" s="26">
        <v>90</v>
      </c>
      <c r="C271" s="48">
        <v>396</v>
      </c>
    </row>
    <row r="272" spans="1:3" x14ac:dyDescent="0.25">
      <c r="A272" s="63">
        <v>42203</v>
      </c>
      <c r="B272" s="26">
        <v>66</v>
      </c>
      <c r="C272" s="48">
        <v>254</v>
      </c>
    </row>
    <row r="273" spans="1:3" x14ac:dyDescent="0.25">
      <c r="A273" s="63">
        <v>42204</v>
      </c>
      <c r="B273" s="26">
        <v>67</v>
      </c>
      <c r="C273" s="48">
        <v>189</v>
      </c>
    </row>
    <row r="274" spans="1:3" x14ac:dyDescent="0.25">
      <c r="A274" s="63">
        <v>42205</v>
      </c>
      <c r="B274" s="26">
        <v>79</v>
      </c>
      <c r="C274" s="48">
        <v>293</v>
      </c>
    </row>
    <row r="275" spans="1:3" x14ac:dyDescent="0.25">
      <c r="A275" s="63">
        <v>42206</v>
      </c>
      <c r="B275" s="26">
        <v>74</v>
      </c>
      <c r="C275" s="48">
        <v>115</v>
      </c>
    </row>
    <row r="276" spans="1:3" x14ac:dyDescent="0.25">
      <c r="A276" s="63">
        <v>42207</v>
      </c>
      <c r="B276" s="26">
        <v>84</v>
      </c>
      <c r="C276" s="48">
        <v>181</v>
      </c>
    </row>
    <row r="277" spans="1:3" x14ac:dyDescent="0.25">
      <c r="A277" s="63">
        <v>42208</v>
      </c>
      <c r="B277" s="26">
        <v>73</v>
      </c>
      <c r="C277" s="48">
        <v>200</v>
      </c>
    </row>
    <row r="278" spans="1:3" x14ac:dyDescent="0.25">
      <c r="A278" s="63">
        <v>42209</v>
      </c>
      <c r="B278" s="26">
        <v>72</v>
      </c>
      <c r="C278" s="48">
        <v>234</v>
      </c>
    </row>
    <row r="279" spans="1:3" x14ac:dyDescent="0.25">
      <c r="A279" s="63">
        <v>42210</v>
      </c>
      <c r="B279" s="26">
        <v>89</v>
      </c>
      <c r="C279" s="48">
        <v>423</v>
      </c>
    </row>
    <row r="280" spans="1:3" x14ac:dyDescent="0.25">
      <c r="A280" s="63">
        <v>42211</v>
      </c>
      <c r="B280" s="26">
        <v>75</v>
      </c>
      <c r="C280" s="48">
        <v>102</v>
      </c>
    </row>
    <row r="281" spans="1:3" x14ac:dyDescent="0.25">
      <c r="A281" s="63">
        <v>42212</v>
      </c>
      <c r="B281" s="26">
        <v>80</v>
      </c>
      <c r="C281" s="48">
        <v>272</v>
      </c>
    </row>
    <row r="282" spans="1:3" x14ac:dyDescent="0.25">
      <c r="A282" s="63">
        <v>42213</v>
      </c>
      <c r="B282" s="26">
        <v>65</v>
      </c>
      <c r="C282" s="48">
        <v>159</v>
      </c>
    </row>
    <row r="283" spans="1:3" x14ac:dyDescent="0.25">
      <c r="A283" s="63">
        <v>42214</v>
      </c>
      <c r="B283" s="26">
        <v>71</v>
      </c>
      <c r="C283" s="48">
        <v>281</v>
      </c>
    </row>
    <row r="284" spans="1:3" x14ac:dyDescent="0.25">
      <c r="A284" s="63">
        <v>42215</v>
      </c>
      <c r="B284" s="26">
        <v>91</v>
      </c>
      <c r="C284" s="48">
        <v>210</v>
      </c>
    </row>
    <row r="285" spans="1:3" x14ac:dyDescent="0.25">
      <c r="A285" s="63">
        <v>42216</v>
      </c>
      <c r="B285" s="26">
        <v>89</v>
      </c>
      <c r="C285" s="48">
        <v>273</v>
      </c>
    </row>
    <row r="286" spans="1:3" x14ac:dyDescent="0.25">
      <c r="A286" s="63">
        <v>42217</v>
      </c>
      <c r="B286" s="26">
        <v>98</v>
      </c>
      <c r="C286" s="48">
        <v>310</v>
      </c>
    </row>
    <row r="287" spans="1:3" x14ac:dyDescent="0.25">
      <c r="A287" s="63">
        <v>42218</v>
      </c>
      <c r="B287" s="26">
        <v>91</v>
      </c>
      <c r="C287" s="48">
        <v>578</v>
      </c>
    </row>
    <row r="288" spans="1:3" x14ac:dyDescent="0.25">
      <c r="A288" s="63">
        <v>42219</v>
      </c>
      <c r="B288" s="26">
        <v>82</v>
      </c>
      <c r="C288" s="48">
        <v>300</v>
      </c>
    </row>
    <row r="289" spans="1:3" x14ac:dyDescent="0.25">
      <c r="A289" s="63">
        <v>42220</v>
      </c>
      <c r="B289" s="26">
        <v>93</v>
      </c>
      <c r="C289" s="48">
        <v>584</v>
      </c>
    </row>
    <row r="290" spans="1:3" x14ac:dyDescent="0.25">
      <c r="A290" s="63">
        <v>42221</v>
      </c>
      <c r="B290" s="26">
        <v>73</v>
      </c>
      <c r="C290" s="48">
        <v>159</v>
      </c>
    </row>
    <row r="291" spans="1:3" x14ac:dyDescent="0.25">
      <c r="A291" s="63">
        <v>42222</v>
      </c>
      <c r="B291" s="26">
        <v>99</v>
      </c>
      <c r="C291" s="48">
        <v>715</v>
      </c>
    </row>
    <row r="292" spans="1:3" x14ac:dyDescent="0.25">
      <c r="A292" s="63">
        <v>42223</v>
      </c>
      <c r="B292" s="26">
        <v>85</v>
      </c>
      <c r="C292" s="48">
        <v>426</v>
      </c>
    </row>
    <row r="293" spans="1:3" x14ac:dyDescent="0.25">
      <c r="A293" s="63">
        <v>42224</v>
      </c>
      <c r="B293" s="26">
        <v>71</v>
      </c>
      <c r="C293" s="48">
        <v>251</v>
      </c>
    </row>
    <row r="294" spans="1:3" x14ac:dyDescent="0.25">
      <c r="A294" s="63">
        <v>42225</v>
      </c>
      <c r="B294" s="26">
        <v>90</v>
      </c>
      <c r="C294" s="48">
        <v>294</v>
      </c>
    </row>
    <row r="295" spans="1:3" x14ac:dyDescent="0.25">
      <c r="A295" s="63">
        <v>42226</v>
      </c>
      <c r="B295" s="26">
        <v>71</v>
      </c>
      <c r="C295" s="48">
        <v>288</v>
      </c>
    </row>
    <row r="296" spans="1:3" x14ac:dyDescent="0.25">
      <c r="A296" s="63">
        <v>42227</v>
      </c>
      <c r="B296" s="26">
        <v>97</v>
      </c>
      <c r="C296" s="48">
        <v>740</v>
      </c>
    </row>
    <row r="297" spans="1:3" x14ac:dyDescent="0.25">
      <c r="A297" s="63">
        <v>42228</v>
      </c>
      <c r="B297" s="26">
        <v>100</v>
      </c>
      <c r="C297" s="48">
        <v>646.25</v>
      </c>
    </row>
    <row r="298" spans="1:3" x14ac:dyDescent="0.25">
      <c r="A298" s="63">
        <v>42229</v>
      </c>
      <c r="B298" s="26">
        <v>96</v>
      </c>
      <c r="C298" s="48">
        <v>337.5</v>
      </c>
    </row>
    <row r="299" spans="1:3" x14ac:dyDescent="0.25">
      <c r="A299" s="63">
        <v>42230</v>
      </c>
      <c r="B299" s="26">
        <v>75</v>
      </c>
      <c r="C299" s="48">
        <v>154</v>
      </c>
    </row>
    <row r="300" spans="1:3" x14ac:dyDescent="0.25">
      <c r="A300" s="63">
        <v>42231</v>
      </c>
      <c r="B300" s="26">
        <v>80</v>
      </c>
      <c r="C300" s="48">
        <v>153</v>
      </c>
    </row>
    <row r="301" spans="1:3" x14ac:dyDescent="0.25">
      <c r="A301" s="63">
        <v>42232</v>
      </c>
      <c r="B301" s="26">
        <v>74</v>
      </c>
      <c r="C301" s="48">
        <v>207</v>
      </c>
    </row>
    <row r="302" spans="1:3" x14ac:dyDescent="0.25">
      <c r="A302" s="63">
        <v>42233</v>
      </c>
      <c r="B302" s="26">
        <v>84</v>
      </c>
      <c r="C302" s="48">
        <v>151</v>
      </c>
    </row>
    <row r="303" spans="1:3" x14ac:dyDescent="0.25">
      <c r="A303" s="63">
        <v>42234</v>
      </c>
      <c r="B303" s="26">
        <v>94</v>
      </c>
      <c r="C303" s="48">
        <v>308</v>
      </c>
    </row>
    <row r="304" spans="1:3" x14ac:dyDescent="0.25">
      <c r="A304" s="63">
        <v>42235</v>
      </c>
      <c r="B304" s="26">
        <v>99</v>
      </c>
      <c r="C304" s="48">
        <v>285</v>
      </c>
    </row>
    <row r="305" spans="1:3" x14ac:dyDescent="0.25">
      <c r="A305" s="63">
        <v>42236</v>
      </c>
      <c r="B305" s="26">
        <v>94</v>
      </c>
      <c r="C305" s="48">
        <v>422</v>
      </c>
    </row>
    <row r="306" spans="1:3" x14ac:dyDescent="0.25">
      <c r="A306" s="63">
        <v>42237</v>
      </c>
      <c r="B306" s="26">
        <v>95</v>
      </c>
      <c r="C306" s="48">
        <v>400</v>
      </c>
    </row>
    <row r="307" spans="1:3" x14ac:dyDescent="0.25">
      <c r="A307" s="63">
        <v>42238</v>
      </c>
      <c r="B307" s="26">
        <v>88</v>
      </c>
      <c r="C307" s="48">
        <v>426</v>
      </c>
    </row>
    <row r="308" spans="1:3" x14ac:dyDescent="0.25">
      <c r="A308" s="63">
        <v>42239</v>
      </c>
      <c r="B308" s="26">
        <v>83</v>
      </c>
      <c r="C308" s="48">
        <v>182</v>
      </c>
    </row>
    <row r="309" spans="1:3" x14ac:dyDescent="0.25">
      <c r="A309" s="63">
        <v>42240</v>
      </c>
      <c r="B309" s="26">
        <v>89</v>
      </c>
      <c r="C309" s="48">
        <v>201</v>
      </c>
    </row>
    <row r="310" spans="1:3" x14ac:dyDescent="0.25">
      <c r="A310" s="63">
        <v>42241</v>
      </c>
      <c r="B310" s="26">
        <v>79</v>
      </c>
      <c r="C310" s="48">
        <v>294</v>
      </c>
    </row>
    <row r="311" spans="1:3" x14ac:dyDescent="0.25">
      <c r="A311" s="63">
        <v>42242</v>
      </c>
      <c r="B311" s="26">
        <v>92</v>
      </c>
      <c r="C311" s="48">
        <v>244</v>
      </c>
    </row>
    <row r="312" spans="1:3" x14ac:dyDescent="0.25">
      <c r="A312" s="63">
        <v>42243</v>
      </c>
      <c r="B312" s="26">
        <v>100</v>
      </c>
      <c r="C312" s="48">
        <v>379.5</v>
      </c>
    </row>
    <row r="313" spans="1:3" x14ac:dyDescent="0.25">
      <c r="A313" s="63">
        <v>42244</v>
      </c>
      <c r="B313" s="26">
        <v>80</v>
      </c>
      <c r="C313" s="48">
        <v>257</v>
      </c>
    </row>
    <row r="314" spans="1:3" x14ac:dyDescent="0.25">
      <c r="A314" s="63">
        <v>42245</v>
      </c>
      <c r="B314" s="26">
        <v>97</v>
      </c>
      <c r="C314" s="48">
        <v>590</v>
      </c>
    </row>
    <row r="315" spans="1:3" x14ac:dyDescent="0.25">
      <c r="A315" s="63">
        <v>42246</v>
      </c>
      <c r="B315" s="26">
        <v>70</v>
      </c>
      <c r="C315" s="48">
        <v>199</v>
      </c>
    </row>
    <row r="316" spans="1:3" x14ac:dyDescent="0.25">
      <c r="A316" s="63">
        <v>42247</v>
      </c>
      <c r="B316" s="26">
        <v>90</v>
      </c>
      <c r="C316" s="48">
        <v>248</v>
      </c>
    </row>
    <row r="317" spans="1:3" x14ac:dyDescent="0.25">
      <c r="A317" s="63">
        <v>42248</v>
      </c>
      <c r="B317" s="26">
        <v>75</v>
      </c>
      <c r="C317" s="48">
        <v>106</v>
      </c>
    </row>
    <row r="318" spans="1:3" x14ac:dyDescent="0.25">
      <c r="A318" s="63">
        <v>42249</v>
      </c>
      <c r="B318" s="26">
        <v>86</v>
      </c>
      <c r="C318" s="48">
        <v>217.5</v>
      </c>
    </row>
    <row r="319" spans="1:3" x14ac:dyDescent="0.25">
      <c r="A319" s="63">
        <v>42250</v>
      </c>
      <c r="B319" s="26">
        <v>91</v>
      </c>
      <c r="C319" s="48">
        <v>328</v>
      </c>
    </row>
    <row r="320" spans="1:3" x14ac:dyDescent="0.25">
      <c r="A320" s="63">
        <v>42251</v>
      </c>
      <c r="B320" s="26">
        <v>80</v>
      </c>
      <c r="C320" s="48">
        <v>133</v>
      </c>
    </row>
    <row r="321" spans="1:3" x14ac:dyDescent="0.25">
      <c r="A321" s="63">
        <v>42252</v>
      </c>
      <c r="B321" s="26">
        <v>73</v>
      </c>
      <c r="C321" s="48">
        <v>118</v>
      </c>
    </row>
    <row r="322" spans="1:3" x14ac:dyDescent="0.25">
      <c r="A322" s="63">
        <v>42253</v>
      </c>
      <c r="B322" s="26">
        <v>85</v>
      </c>
      <c r="C322" s="48">
        <v>442.5</v>
      </c>
    </row>
    <row r="323" spans="1:3" x14ac:dyDescent="0.25">
      <c r="A323" s="63">
        <v>42254</v>
      </c>
      <c r="B323" s="26">
        <v>95</v>
      </c>
      <c r="C323" s="48">
        <v>455</v>
      </c>
    </row>
    <row r="324" spans="1:3" x14ac:dyDescent="0.25">
      <c r="A324" s="63">
        <v>42255</v>
      </c>
      <c r="B324" s="26">
        <v>75</v>
      </c>
      <c r="C324" s="48">
        <v>188</v>
      </c>
    </row>
    <row r="325" spans="1:3" x14ac:dyDescent="0.25">
      <c r="A325" s="63">
        <v>42256</v>
      </c>
      <c r="B325" s="26">
        <v>87</v>
      </c>
      <c r="C325" s="48">
        <v>255</v>
      </c>
    </row>
    <row r="326" spans="1:3" x14ac:dyDescent="0.25">
      <c r="A326" s="63">
        <v>42257</v>
      </c>
      <c r="B326" s="26">
        <v>80</v>
      </c>
      <c r="C326" s="48">
        <v>294</v>
      </c>
    </row>
    <row r="327" spans="1:3" x14ac:dyDescent="0.25">
      <c r="A327" s="63">
        <v>42258</v>
      </c>
      <c r="B327" s="26">
        <v>88</v>
      </c>
      <c r="C327" s="48">
        <v>304.5</v>
      </c>
    </row>
    <row r="328" spans="1:3" x14ac:dyDescent="0.25">
      <c r="A328" s="63">
        <v>42259</v>
      </c>
      <c r="B328" s="26">
        <v>75</v>
      </c>
      <c r="C328" s="48">
        <v>138</v>
      </c>
    </row>
    <row r="329" spans="1:3" x14ac:dyDescent="0.25">
      <c r="A329" s="63">
        <v>42260</v>
      </c>
      <c r="B329" s="26">
        <v>68</v>
      </c>
      <c r="C329" s="48">
        <v>253</v>
      </c>
    </row>
    <row r="330" spans="1:3" x14ac:dyDescent="0.25">
      <c r="A330" s="63">
        <v>42261</v>
      </c>
      <c r="B330" s="26">
        <v>70</v>
      </c>
      <c r="C330" s="48">
        <v>180</v>
      </c>
    </row>
    <row r="331" spans="1:3" x14ac:dyDescent="0.25">
      <c r="A331" s="63">
        <v>42262</v>
      </c>
      <c r="B331" s="26">
        <v>76</v>
      </c>
      <c r="C331" s="48">
        <v>210</v>
      </c>
    </row>
    <row r="332" spans="1:3" x14ac:dyDescent="0.25">
      <c r="A332" s="63">
        <v>42263</v>
      </c>
      <c r="B332" s="26">
        <v>87</v>
      </c>
      <c r="C332" s="48">
        <v>436.5</v>
      </c>
    </row>
    <row r="333" spans="1:3" x14ac:dyDescent="0.25">
      <c r="A333" s="63">
        <v>42264</v>
      </c>
      <c r="B333" s="26">
        <v>90</v>
      </c>
      <c r="C333" s="48">
        <v>456</v>
      </c>
    </row>
    <row r="334" spans="1:3" x14ac:dyDescent="0.25">
      <c r="A334" s="63">
        <v>42265</v>
      </c>
      <c r="B334" s="26">
        <v>67</v>
      </c>
      <c r="C334" s="48">
        <v>273</v>
      </c>
    </row>
    <row r="335" spans="1:3" x14ac:dyDescent="0.25">
      <c r="A335" s="63">
        <v>42266</v>
      </c>
      <c r="B335" s="26">
        <v>70</v>
      </c>
      <c r="C335" s="48">
        <v>283</v>
      </c>
    </row>
    <row r="336" spans="1:3" x14ac:dyDescent="0.25">
      <c r="A336" s="63">
        <v>42267</v>
      </c>
      <c r="B336" s="26">
        <v>97</v>
      </c>
      <c r="C336" s="48">
        <v>345</v>
      </c>
    </row>
    <row r="337" spans="1:3" x14ac:dyDescent="0.25">
      <c r="A337" s="63">
        <v>42268</v>
      </c>
      <c r="B337" s="26">
        <v>90</v>
      </c>
      <c r="C337" s="48">
        <v>232</v>
      </c>
    </row>
    <row r="338" spans="1:3" x14ac:dyDescent="0.25">
      <c r="A338" s="63">
        <v>42269</v>
      </c>
      <c r="B338" s="26">
        <v>86</v>
      </c>
      <c r="C338" s="48">
        <v>301.5</v>
      </c>
    </row>
    <row r="339" spans="1:3" x14ac:dyDescent="0.25">
      <c r="A339" s="63">
        <v>42270</v>
      </c>
      <c r="B339" s="26">
        <v>83</v>
      </c>
      <c r="C339" s="48">
        <v>298</v>
      </c>
    </row>
    <row r="340" spans="1:3" x14ac:dyDescent="0.25">
      <c r="A340" s="63">
        <v>42271</v>
      </c>
      <c r="B340" s="26">
        <v>69</v>
      </c>
      <c r="C340" s="48">
        <v>283</v>
      </c>
    </row>
    <row r="341" spans="1:3" x14ac:dyDescent="0.25">
      <c r="A341" s="63">
        <v>42272</v>
      </c>
      <c r="B341" s="26">
        <v>68</v>
      </c>
      <c r="C341" s="48">
        <v>193</v>
      </c>
    </row>
    <row r="342" spans="1:3" x14ac:dyDescent="0.25">
      <c r="A342" s="63">
        <v>42273</v>
      </c>
      <c r="B342" s="26">
        <v>95</v>
      </c>
      <c r="C342" s="48">
        <v>742.5</v>
      </c>
    </row>
    <row r="343" spans="1:3" x14ac:dyDescent="0.25">
      <c r="A343" s="63">
        <v>42274</v>
      </c>
      <c r="B343" s="26">
        <v>93</v>
      </c>
      <c r="C343" s="48">
        <v>528</v>
      </c>
    </row>
    <row r="344" spans="1:3" x14ac:dyDescent="0.25">
      <c r="A344" s="63">
        <v>42275</v>
      </c>
      <c r="B344" s="26">
        <v>79</v>
      </c>
      <c r="C344" s="48">
        <v>204</v>
      </c>
    </row>
    <row r="345" spans="1:3" x14ac:dyDescent="0.25">
      <c r="A345" s="63">
        <v>42276</v>
      </c>
      <c r="B345" s="26">
        <v>87</v>
      </c>
      <c r="C345" s="48">
        <v>180</v>
      </c>
    </row>
    <row r="346" spans="1:3" x14ac:dyDescent="0.25">
      <c r="A346" s="63">
        <v>42277</v>
      </c>
      <c r="B346" s="26">
        <v>79</v>
      </c>
      <c r="C346" s="48">
        <v>230</v>
      </c>
    </row>
    <row r="347" spans="1:3" x14ac:dyDescent="0.25">
      <c r="A347" s="63">
        <v>42278</v>
      </c>
      <c r="B347" s="26">
        <v>85</v>
      </c>
      <c r="C347" s="48">
        <v>393</v>
      </c>
    </row>
    <row r="348" spans="1:3" x14ac:dyDescent="0.25">
      <c r="A348" s="63">
        <v>42279</v>
      </c>
      <c r="B348" s="26">
        <v>89</v>
      </c>
      <c r="C348" s="48">
        <v>310.5</v>
      </c>
    </row>
    <row r="349" spans="1:3" x14ac:dyDescent="0.25">
      <c r="A349" s="63">
        <v>42280</v>
      </c>
      <c r="B349" s="26">
        <v>71</v>
      </c>
      <c r="C349" s="48">
        <v>298</v>
      </c>
    </row>
    <row r="350" spans="1:3" x14ac:dyDescent="0.25">
      <c r="A350" s="63">
        <v>42281</v>
      </c>
      <c r="B350" s="26">
        <v>58</v>
      </c>
      <c r="C350" s="48">
        <v>424.5</v>
      </c>
    </row>
    <row r="351" spans="1:3" x14ac:dyDescent="0.25">
      <c r="A351" s="63">
        <v>42282</v>
      </c>
      <c r="B351" s="26">
        <v>66</v>
      </c>
      <c r="C351" s="48">
        <v>116</v>
      </c>
    </row>
    <row r="352" spans="1:3" x14ac:dyDescent="0.25">
      <c r="A352" s="63">
        <v>42283</v>
      </c>
      <c r="B352" s="26">
        <v>82</v>
      </c>
      <c r="C352" s="48">
        <v>288</v>
      </c>
    </row>
    <row r="353" spans="1:3" x14ac:dyDescent="0.25">
      <c r="A353" s="63">
        <v>42284</v>
      </c>
      <c r="B353" s="26">
        <v>56</v>
      </c>
      <c r="C353" s="48">
        <v>318</v>
      </c>
    </row>
    <row r="354" spans="1:3" x14ac:dyDescent="0.25">
      <c r="A354" s="63">
        <v>42285</v>
      </c>
      <c r="B354" s="26">
        <v>81</v>
      </c>
      <c r="C354" s="48">
        <v>291</v>
      </c>
    </row>
    <row r="355" spans="1:3" x14ac:dyDescent="0.25">
      <c r="A355" s="63">
        <v>42286</v>
      </c>
      <c r="B355" s="26">
        <v>57</v>
      </c>
      <c r="C355" s="48">
        <v>418.5</v>
      </c>
    </row>
    <row r="356" spans="1:3" x14ac:dyDescent="0.25">
      <c r="A356" s="63">
        <v>42287</v>
      </c>
      <c r="B356" s="26">
        <v>59</v>
      </c>
      <c r="C356" s="48">
        <v>159</v>
      </c>
    </row>
    <row r="357" spans="1:3" x14ac:dyDescent="0.25">
      <c r="A357" s="63">
        <v>42288</v>
      </c>
      <c r="B357" s="26">
        <v>54</v>
      </c>
      <c r="C357" s="48">
        <v>504</v>
      </c>
    </row>
    <row r="358" spans="1:3" x14ac:dyDescent="0.25">
      <c r="A358" s="63">
        <v>42289</v>
      </c>
      <c r="B358" s="26">
        <v>88</v>
      </c>
      <c r="C358" s="48">
        <v>231</v>
      </c>
    </row>
    <row r="359" spans="1:3" x14ac:dyDescent="0.25">
      <c r="A359" s="63">
        <v>42290</v>
      </c>
      <c r="B359" s="26">
        <v>83</v>
      </c>
      <c r="C359" s="48">
        <v>290</v>
      </c>
    </row>
    <row r="360" spans="1:3" x14ac:dyDescent="0.25">
      <c r="A360" s="63">
        <v>42291</v>
      </c>
      <c r="B360" s="26">
        <v>85</v>
      </c>
      <c r="C360" s="48">
        <v>303</v>
      </c>
    </row>
    <row r="361" spans="1:3" x14ac:dyDescent="0.25">
      <c r="A361" s="63">
        <v>42292</v>
      </c>
      <c r="B361" s="26">
        <v>85</v>
      </c>
      <c r="C361" s="48">
        <v>223.5</v>
      </c>
    </row>
    <row r="362" spans="1:3" x14ac:dyDescent="0.25">
      <c r="A362" s="63">
        <v>42293</v>
      </c>
      <c r="B362" s="26">
        <v>81</v>
      </c>
      <c r="C362" s="48">
        <v>300</v>
      </c>
    </row>
    <row r="363" spans="1:3" x14ac:dyDescent="0.25">
      <c r="A363" s="63">
        <v>42294</v>
      </c>
      <c r="B363" s="26">
        <v>73</v>
      </c>
      <c r="C363" s="48">
        <v>276</v>
      </c>
    </row>
    <row r="364" spans="1:3" x14ac:dyDescent="0.25">
      <c r="A364" s="63">
        <v>42295</v>
      </c>
      <c r="B364" s="26">
        <v>71</v>
      </c>
      <c r="C364" s="48">
        <v>142</v>
      </c>
    </row>
    <row r="365" spans="1:3" x14ac:dyDescent="0.25">
      <c r="A365" s="63">
        <v>42296</v>
      </c>
      <c r="B365" s="26">
        <v>87</v>
      </c>
      <c r="C365" s="48">
        <v>285</v>
      </c>
    </row>
    <row r="366" spans="1:3" x14ac:dyDescent="0.25">
      <c r="A366" s="63">
        <v>42297</v>
      </c>
      <c r="B366" s="26">
        <v>86</v>
      </c>
      <c r="C366" s="48">
        <v>396</v>
      </c>
    </row>
    <row r="367" spans="1:3" x14ac:dyDescent="0.25">
      <c r="A367" s="63">
        <v>42298</v>
      </c>
      <c r="B367" s="26">
        <v>79</v>
      </c>
      <c r="C367" s="48">
        <v>265</v>
      </c>
    </row>
    <row r="368" spans="1:3" x14ac:dyDescent="0.25">
      <c r="A368" s="63">
        <v>42299</v>
      </c>
      <c r="B368" s="26">
        <v>61</v>
      </c>
      <c r="C368" s="48">
        <v>151.5</v>
      </c>
    </row>
    <row r="369" spans="1:3" x14ac:dyDescent="0.25">
      <c r="A369" s="63">
        <v>42300</v>
      </c>
      <c r="B369" s="26">
        <v>60</v>
      </c>
      <c r="C369" s="48">
        <v>361.5</v>
      </c>
    </row>
    <row r="370" spans="1:3" x14ac:dyDescent="0.25">
      <c r="A370" s="63">
        <v>42301</v>
      </c>
      <c r="B370" s="26">
        <v>78</v>
      </c>
      <c r="C370" s="48">
        <v>210</v>
      </c>
    </row>
    <row r="371" spans="1:3" x14ac:dyDescent="0.25">
      <c r="A371" s="63">
        <v>42302</v>
      </c>
      <c r="B371" s="26">
        <v>81</v>
      </c>
      <c r="C371" s="48">
        <v>288</v>
      </c>
    </row>
    <row r="372" spans="1:3" x14ac:dyDescent="0.25">
      <c r="A372" s="63">
        <v>42303</v>
      </c>
      <c r="B372" s="26">
        <v>79</v>
      </c>
      <c r="C372" s="48">
        <v>174</v>
      </c>
    </row>
    <row r="373" spans="1:3" x14ac:dyDescent="0.25">
      <c r="A373" s="63">
        <v>42304</v>
      </c>
      <c r="B373" s="26">
        <v>68</v>
      </c>
      <c r="C373" s="48">
        <v>260</v>
      </c>
    </row>
    <row r="374" spans="1:3" x14ac:dyDescent="0.25">
      <c r="A374" s="63">
        <v>42305</v>
      </c>
      <c r="B374" s="26">
        <v>68</v>
      </c>
      <c r="C374" s="48">
        <v>197</v>
      </c>
    </row>
    <row r="375" spans="1:3" x14ac:dyDescent="0.25">
      <c r="A375" s="63">
        <v>42306</v>
      </c>
      <c r="B375" s="26">
        <v>60</v>
      </c>
      <c r="C375" s="48">
        <v>276</v>
      </c>
    </row>
    <row r="376" spans="1:3" x14ac:dyDescent="0.25">
      <c r="A376" s="63">
        <v>42307</v>
      </c>
      <c r="B376" s="26">
        <v>73</v>
      </c>
      <c r="C376" s="48">
        <v>137</v>
      </c>
    </row>
    <row r="377" spans="1:3" x14ac:dyDescent="0.25">
      <c r="A377" s="63">
        <v>42308</v>
      </c>
      <c r="B377" s="26">
        <v>74</v>
      </c>
      <c r="C377" s="48">
        <v>132</v>
      </c>
    </row>
    <row r="378" spans="1:3" x14ac:dyDescent="0.25">
      <c r="A378" s="63">
        <v>42309</v>
      </c>
      <c r="B378" s="26">
        <v>46</v>
      </c>
      <c r="C378" s="48">
        <v>224</v>
      </c>
    </row>
    <row r="379" spans="1:3" x14ac:dyDescent="0.25">
      <c r="A379" s="63">
        <v>42310</v>
      </c>
      <c r="B379" s="26">
        <v>66</v>
      </c>
      <c r="C379" s="48">
        <v>131</v>
      </c>
    </row>
    <row r="380" spans="1:3" x14ac:dyDescent="0.25">
      <c r="A380" s="63">
        <v>42311</v>
      </c>
      <c r="B380" s="26">
        <v>50</v>
      </c>
      <c r="C380" s="48">
        <v>210</v>
      </c>
    </row>
    <row r="381" spans="1:3" x14ac:dyDescent="0.25">
      <c r="A381" s="63">
        <v>42312</v>
      </c>
      <c r="B381" s="26">
        <v>49</v>
      </c>
      <c r="C381" s="48">
        <v>498</v>
      </c>
    </row>
    <row r="382" spans="1:3" x14ac:dyDescent="0.25">
      <c r="A382" s="63">
        <v>42313</v>
      </c>
      <c r="B382" s="26">
        <v>68</v>
      </c>
      <c r="C382" s="48">
        <v>284</v>
      </c>
    </row>
    <row r="383" spans="1:3" x14ac:dyDescent="0.25">
      <c r="A383" s="63">
        <v>42314</v>
      </c>
      <c r="B383" s="26">
        <v>63</v>
      </c>
      <c r="C383" s="48">
        <v>150</v>
      </c>
    </row>
    <row r="384" spans="1:3" x14ac:dyDescent="0.25">
      <c r="A384" s="63">
        <v>42315</v>
      </c>
      <c r="B384" s="26">
        <v>57</v>
      </c>
      <c r="C384" s="48">
        <v>289.5</v>
      </c>
    </row>
    <row r="385" spans="1:3" x14ac:dyDescent="0.25">
      <c r="A385" s="63">
        <v>42316</v>
      </c>
      <c r="B385" s="26">
        <v>62</v>
      </c>
      <c r="C385" s="48">
        <v>237</v>
      </c>
    </row>
    <row r="386" spans="1:3" x14ac:dyDescent="0.25">
      <c r="A386" s="63">
        <v>42317</v>
      </c>
      <c r="B386" s="26">
        <v>66</v>
      </c>
      <c r="C386" s="48">
        <v>136</v>
      </c>
    </row>
    <row r="387" spans="1:3" x14ac:dyDescent="0.25">
      <c r="A387" s="63">
        <v>42318</v>
      </c>
      <c r="B387" s="26">
        <v>62</v>
      </c>
      <c r="C387" s="48">
        <v>424.5</v>
      </c>
    </row>
    <row r="388" spans="1:3" x14ac:dyDescent="0.25">
      <c r="A388" s="63">
        <v>42319</v>
      </c>
      <c r="B388" s="26">
        <v>53</v>
      </c>
      <c r="C388" s="48">
        <v>574</v>
      </c>
    </row>
    <row r="389" spans="1:3" x14ac:dyDescent="0.25">
      <c r="A389" s="63">
        <v>42320</v>
      </c>
      <c r="B389" s="26">
        <v>63</v>
      </c>
      <c r="C389" s="48">
        <v>391.5</v>
      </c>
    </row>
    <row r="390" spans="1:3" x14ac:dyDescent="0.25">
      <c r="A390" s="63">
        <v>42321</v>
      </c>
      <c r="B390" s="26">
        <v>61</v>
      </c>
      <c r="C390" s="48">
        <v>382.5</v>
      </c>
    </row>
    <row r="391" spans="1:3" x14ac:dyDescent="0.25">
      <c r="A391" s="63">
        <v>42322</v>
      </c>
      <c r="B391" s="26">
        <v>64</v>
      </c>
      <c r="C391" s="48">
        <v>436.5</v>
      </c>
    </row>
    <row r="392" spans="1:3" x14ac:dyDescent="0.25">
      <c r="A392" s="63">
        <v>42323</v>
      </c>
      <c r="B392" s="26">
        <v>51</v>
      </c>
      <c r="C392" s="48">
        <v>578</v>
      </c>
    </row>
    <row r="393" spans="1:3" x14ac:dyDescent="0.25">
      <c r="A393" s="63">
        <v>42324</v>
      </c>
      <c r="B393" s="26">
        <v>56</v>
      </c>
      <c r="C393" s="48">
        <v>328.5</v>
      </c>
    </row>
    <row r="394" spans="1:3" x14ac:dyDescent="0.25">
      <c r="A394" s="63">
        <v>42325</v>
      </c>
      <c r="B394" s="26">
        <v>54</v>
      </c>
      <c r="C394" s="48">
        <v>590</v>
      </c>
    </row>
    <row r="395" spans="1:3" x14ac:dyDescent="0.25">
      <c r="A395" s="63">
        <v>42326</v>
      </c>
      <c r="B395" s="26">
        <v>53</v>
      </c>
      <c r="C395" s="48">
        <v>446</v>
      </c>
    </row>
    <row r="396" spans="1:3" x14ac:dyDescent="0.25">
      <c r="A396" s="63">
        <v>42327</v>
      </c>
      <c r="B396" s="26">
        <v>50</v>
      </c>
      <c r="C396" s="48">
        <v>226</v>
      </c>
    </row>
    <row r="397" spans="1:3" x14ac:dyDescent="0.25">
      <c r="A397" s="63">
        <v>42328</v>
      </c>
      <c r="B397" s="26">
        <v>68</v>
      </c>
      <c r="C397" s="48">
        <v>231</v>
      </c>
    </row>
    <row r="398" spans="1:3" x14ac:dyDescent="0.25">
      <c r="A398" s="63">
        <v>42329</v>
      </c>
      <c r="B398" s="26">
        <v>58</v>
      </c>
      <c r="C398" s="48">
        <v>315</v>
      </c>
    </row>
    <row r="399" spans="1:3" x14ac:dyDescent="0.25">
      <c r="A399" s="63">
        <v>42330</v>
      </c>
      <c r="B399" s="26">
        <v>49</v>
      </c>
      <c r="C399" s="48">
        <v>220</v>
      </c>
    </row>
    <row r="400" spans="1:3" x14ac:dyDescent="0.25">
      <c r="A400" s="63">
        <v>42331</v>
      </c>
      <c r="B400" s="26">
        <v>67</v>
      </c>
      <c r="C400" s="48">
        <v>264</v>
      </c>
    </row>
    <row r="401" spans="1:3" x14ac:dyDescent="0.25">
      <c r="A401" s="63">
        <v>42332</v>
      </c>
      <c r="B401" s="26">
        <v>49</v>
      </c>
      <c r="C401" s="48">
        <v>358</v>
      </c>
    </row>
    <row r="402" spans="1:3" x14ac:dyDescent="0.25">
      <c r="A402" s="63">
        <v>42333</v>
      </c>
      <c r="B402" s="26">
        <v>47</v>
      </c>
      <c r="C402" s="48">
        <v>498</v>
      </c>
    </row>
    <row r="403" spans="1:3" x14ac:dyDescent="0.25">
      <c r="A403" s="63">
        <v>42334</v>
      </c>
      <c r="B403" s="26">
        <v>49</v>
      </c>
      <c r="C403" s="48">
        <v>448</v>
      </c>
    </row>
    <row r="404" spans="1:3" x14ac:dyDescent="0.25">
      <c r="A404" s="63">
        <v>42335</v>
      </c>
      <c r="B404" s="26">
        <v>47</v>
      </c>
      <c r="C404" s="48">
        <v>578</v>
      </c>
    </row>
    <row r="405" spans="1:3" x14ac:dyDescent="0.25">
      <c r="A405" s="63">
        <v>42336</v>
      </c>
      <c r="B405" s="26">
        <v>62</v>
      </c>
      <c r="C405" s="48">
        <v>402</v>
      </c>
    </row>
    <row r="406" spans="1:3" x14ac:dyDescent="0.25">
      <c r="A406" s="63">
        <v>42337</v>
      </c>
      <c r="B406" s="26">
        <v>47</v>
      </c>
      <c r="C406" s="48">
        <v>466</v>
      </c>
    </row>
    <row r="407" spans="1:3" x14ac:dyDescent="0.25">
      <c r="A407" s="63">
        <v>42338</v>
      </c>
      <c r="B407" s="26">
        <v>49</v>
      </c>
      <c r="C407" s="48">
        <v>330</v>
      </c>
    </row>
    <row r="408" spans="1:3" x14ac:dyDescent="0.25">
      <c r="A408" s="63">
        <v>42339</v>
      </c>
      <c r="B408" s="26">
        <v>64</v>
      </c>
      <c r="C408" s="48">
        <v>214.5</v>
      </c>
    </row>
    <row r="409" spans="1:3" x14ac:dyDescent="0.25">
      <c r="A409" s="63">
        <v>42340</v>
      </c>
      <c r="B409" s="26">
        <v>62</v>
      </c>
      <c r="C409" s="48">
        <v>190.5</v>
      </c>
    </row>
    <row r="410" spans="1:3" x14ac:dyDescent="0.25">
      <c r="A410" s="63">
        <v>42341</v>
      </c>
      <c r="B410" s="26">
        <v>60</v>
      </c>
      <c r="C410" s="48">
        <v>270</v>
      </c>
    </row>
    <row r="411" spans="1:3" x14ac:dyDescent="0.25">
      <c r="A411" s="63">
        <v>42342</v>
      </c>
      <c r="B411" s="26">
        <v>66</v>
      </c>
      <c r="C411" s="48">
        <v>109</v>
      </c>
    </row>
    <row r="412" spans="1:3" x14ac:dyDescent="0.25">
      <c r="A412" s="63">
        <v>42343</v>
      </c>
      <c r="B412" s="26">
        <v>62</v>
      </c>
      <c r="C412" s="48">
        <v>384</v>
      </c>
    </row>
    <row r="413" spans="1:3" x14ac:dyDescent="0.25">
      <c r="A413" s="63">
        <v>42344</v>
      </c>
      <c r="B413" s="26">
        <v>66</v>
      </c>
      <c r="C413" s="48">
        <v>286</v>
      </c>
    </row>
    <row r="414" spans="1:3" x14ac:dyDescent="0.25">
      <c r="A414" s="63">
        <v>42345</v>
      </c>
      <c r="B414" s="26">
        <v>49</v>
      </c>
      <c r="C414" s="48">
        <v>278</v>
      </c>
    </row>
    <row r="415" spans="1:3" x14ac:dyDescent="0.25">
      <c r="A415" s="63">
        <v>42346</v>
      </c>
      <c r="B415" s="26">
        <v>62</v>
      </c>
      <c r="C415" s="48">
        <v>264</v>
      </c>
    </row>
    <row r="416" spans="1:3" x14ac:dyDescent="0.25">
      <c r="A416" s="63">
        <v>42347</v>
      </c>
      <c r="B416" s="26">
        <v>65</v>
      </c>
      <c r="C416" s="48">
        <v>179</v>
      </c>
    </row>
    <row r="417" spans="1:3" x14ac:dyDescent="0.25">
      <c r="A417" s="63">
        <v>42348</v>
      </c>
      <c r="B417" s="26">
        <v>62</v>
      </c>
      <c r="C417" s="48">
        <v>265.5</v>
      </c>
    </row>
    <row r="418" spans="1:3" x14ac:dyDescent="0.25">
      <c r="A418" s="63">
        <v>42349</v>
      </c>
      <c r="B418" s="26">
        <v>61</v>
      </c>
      <c r="C418" s="48">
        <v>357</v>
      </c>
    </row>
    <row r="419" spans="1:3" x14ac:dyDescent="0.25">
      <c r="A419" s="63">
        <v>42350</v>
      </c>
      <c r="B419" s="26">
        <v>31</v>
      </c>
      <c r="C419" s="48">
        <v>737.5</v>
      </c>
    </row>
    <row r="420" spans="1:3" x14ac:dyDescent="0.25">
      <c r="A420" s="63">
        <v>42351</v>
      </c>
      <c r="B420" s="26">
        <v>53</v>
      </c>
      <c r="C420" s="48">
        <v>272</v>
      </c>
    </row>
    <row r="421" spans="1:3" x14ac:dyDescent="0.25">
      <c r="A421" s="63">
        <v>42352</v>
      </c>
      <c r="B421" s="26">
        <v>52</v>
      </c>
      <c r="C421" s="48">
        <v>236</v>
      </c>
    </row>
    <row r="422" spans="1:3" x14ac:dyDescent="0.25">
      <c r="A422" s="63">
        <v>42353</v>
      </c>
      <c r="B422" s="26">
        <v>55</v>
      </c>
      <c r="C422" s="48">
        <v>267</v>
      </c>
    </row>
    <row r="423" spans="1:3" x14ac:dyDescent="0.25">
      <c r="A423" s="63">
        <v>42354</v>
      </c>
      <c r="B423" s="26">
        <v>61</v>
      </c>
      <c r="C423" s="48">
        <v>450</v>
      </c>
    </row>
    <row r="424" spans="1:3" x14ac:dyDescent="0.25">
      <c r="A424" s="63">
        <v>42355</v>
      </c>
      <c r="B424" s="26">
        <v>50</v>
      </c>
      <c r="C424" s="48">
        <v>486</v>
      </c>
    </row>
    <row r="425" spans="1:3" x14ac:dyDescent="0.25">
      <c r="A425" s="63">
        <v>42356</v>
      </c>
      <c r="B425" s="26">
        <v>55</v>
      </c>
      <c r="C425" s="48">
        <v>217.5</v>
      </c>
    </row>
    <row r="426" spans="1:3" x14ac:dyDescent="0.25">
      <c r="A426" s="63">
        <v>42357</v>
      </c>
      <c r="B426" s="26">
        <v>60</v>
      </c>
      <c r="C426" s="48">
        <v>274.5</v>
      </c>
    </row>
    <row r="427" spans="1:3" x14ac:dyDescent="0.25">
      <c r="A427" s="63">
        <v>42358</v>
      </c>
      <c r="B427" s="26">
        <v>43</v>
      </c>
      <c r="C427" s="48">
        <v>221.45</v>
      </c>
    </row>
    <row r="428" spans="1:3" x14ac:dyDescent="0.25">
      <c r="A428" s="63">
        <v>42359</v>
      </c>
      <c r="B428" s="26">
        <v>63</v>
      </c>
      <c r="C428" s="48">
        <v>174</v>
      </c>
    </row>
    <row r="429" spans="1:3" x14ac:dyDescent="0.25">
      <c r="A429" s="63">
        <v>42360</v>
      </c>
      <c r="B429" s="26">
        <v>49</v>
      </c>
      <c r="C429" s="48">
        <v>206</v>
      </c>
    </row>
    <row r="430" spans="1:3" x14ac:dyDescent="0.25">
      <c r="A430" s="63">
        <v>42361</v>
      </c>
      <c r="B430" s="26">
        <v>40</v>
      </c>
      <c r="C430" s="48">
        <v>539.65</v>
      </c>
    </row>
    <row r="431" spans="1:3" x14ac:dyDescent="0.25">
      <c r="A431" s="63">
        <v>42362</v>
      </c>
      <c r="B431" s="26">
        <v>33</v>
      </c>
      <c r="C431" s="48">
        <v>677.5</v>
      </c>
    </row>
    <row r="432" spans="1:3" x14ac:dyDescent="0.25">
      <c r="A432" s="63">
        <v>42363</v>
      </c>
      <c r="B432" s="26">
        <v>62</v>
      </c>
      <c r="C432" s="48">
        <v>157.5</v>
      </c>
    </row>
    <row r="433" spans="1:3" x14ac:dyDescent="0.25">
      <c r="A433" s="63">
        <v>42364</v>
      </c>
      <c r="B433" s="26">
        <v>32</v>
      </c>
      <c r="C433" s="48">
        <v>680</v>
      </c>
    </row>
    <row r="434" spans="1:3" x14ac:dyDescent="0.25">
      <c r="A434" s="63">
        <v>42365</v>
      </c>
      <c r="B434" s="26">
        <v>33</v>
      </c>
      <c r="C434" s="48">
        <v>580</v>
      </c>
    </row>
    <row r="435" spans="1:3" x14ac:dyDescent="0.25">
      <c r="A435" s="63">
        <v>42366</v>
      </c>
      <c r="B435" s="26">
        <v>52</v>
      </c>
      <c r="C435" s="48">
        <v>538</v>
      </c>
    </row>
    <row r="436" spans="1:3" x14ac:dyDescent="0.25">
      <c r="A436" s="63">
        <v>42367</v>
      </c>
      <c r="B436" s="26">
        <v>32</v>
      </c>
      <c r="C436" s="48">
        <v>252.5</v>
      </c>
    </row>
    <row r="437" spans="1:3" x14ac:dyDescent="0.25">
      <c r="A437" s="63">
        <v>42368</v>
      </c>
      <c r="B437" s="26">
        <v>59</v>
      </c>
      <c r="C437" s="48">
        <v>348</v>
      </c>
    </row>
    <row r="438" spans="1:3" x14ac:dyDescent="0.25">
      <c r="A438" s="63">
        <v>42369</v>
      </c>
      <c r="B438" s="26">
        <v>32</v>
      </c>
      <c r="C438" s="48">
        <v>387.5</v>
      </c>
    </row>
  </sheetData>
  <pageMargins left="0.7" right="0.7" top="0.75" bottom="0.75" header="0.3" footer="0.3"/>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tabColor rgb="FFFF0000"/>
  </sheetPr>
  <dimension ref="A1:I438"/>
  <sheetViews>
    <sheetView zoomScale="85" zoomScaleNormal="85" workbookViewId="0">
      <selection activeCell="A8" sqref="A8"/>
    </sheetView>
  </sheetViews>
  <sheetFormatPr defaultRowHeight="15" x14ac:dyDescent="0.25"/>
  <cols>
    <col min="1" max="1" width="13.140625" customWidth="1"/>
    <col min="2" max="2" width="20.7109375" bestFit="1" customWidth="1"/>
    <col min="3" max="3" width="19.140625" bestFit="1" customWidth="1"/>
    <col min="5" max="5" width="13.42578125" customWidth="1"/>
    <col min="6" max="6" width="10.5703125" customWidth="1"/>
    <col min="9" max="9" width="15.7109375" customWidth="1"/>
    <col min="16" max="16" width="11.7109375" customWidth="1"/>
    <col min="25" max="25" width="11.42578125" bestFit="1" customWidth="1"/>
  </cols>
  <sheetData>
    <row r="1" spans="1:9" x14ac:dyDescent="0.25">
      <c r="A1" s="194" t="s">
        <v>833</v>
      </c>
      <c r="B1" s="193"/>
      <c r="C1" s="193"/>
      <c r="D1" s="193"/>
      <c r="E1" s="193"/>
      <c r="F1" s="192"/>
    </row>
    <row r="2" spans="1:9" x14ac:dyDescent="0.25">
      <c r="A2" s="200" t="s">
        <v>758</v>
      </c>
      <c r="B2" s="201"/>
      <c r="C2" s="201"/>
      <c r="D2" s="201"/>
      <c r="E2" s="201"/>
      <c r="F2" s="202"/>
    </row>
    <row r="3" spans="1:9" x14ac:dyDescent="0.25">
      <c r="A3" s="191" t="s">
        <v>759</v>
      </c>
      <c r="B3" s="190"/>
      <c r="C3" s="190"/>
      <c r="D3" s="190"/>
      <c r="E3" s="190"/>
      <c r="F3" s="189"/>
    </row>
    <row r="4" spans="1:9" x14ac:dyDescent="0.25">
      <c r="A4" s="191" t="s">
        <v>760</v>
      </c>
      <c r="B4" s="190"/>
      <c r="C4" s="190"/>
      <c r="D4" s="190"/>
      <c r="E4" s="190"/>
      <c r="F4" s="189"/>
    </row>
    <row r="5" spans="1:9" x14ac:dyDescent="0.25">
      <c r="A5" s="188" t="s">
        <v>761</v>
      </c>
      <c r="B5" s="187"/>
      <c r="C5" s="187"/>
      <c r="D5" s="187"/>
      <c r="E5" s="187"/>
      <c r="F5" s="186"/>
    </row>
    <row r="7" spans="1:9" x14ac:dyDescent="0.25">
      <c r="A7" s="22" t="s">
        <v>737</v>
      </c>
      <c r="B7" t="s">
        <v>753</v>
      </c>
    </row>
    <row r="8" spans="1:9" x14ac:dyDescent="0.25">
      <c r="A8" s="199" t="s">
        <v>742</v>
      </c>
      <c r="B8" s="199" t="s">
        <v>719</v>
      </c>
      <c r="C8" s="199" t="s">
        <v>718</v>
      </c>
      <c r="E8" s="62" t="s">
        <v>762</v>
      </c>
      <c r="F8" s="62" t="s">
        <v>675</v>
      </c>
      <c r="H8" s="62" t="s">
        <v>365</v>
      </c>
      <c r="I8" s="62" t="s">
        <v>763</v>
      </c>
    </row>
    <row r="9" spans="1:9" x14ac:dyDescent="0.25">
      <c r="A9" s="26"/>
      <c r="B9" s="26"/>
      <c r="C9" s="26"/>
      <c r="E9" s="56">
        <f>B10</f>
        <v>66.272727272727266</v>
      </c>
      <c r="F9" s="26">
        <v>0</v>
      </c>
      <c r="H9" s="26">
        <v>30</v>
      </c>
      <c r="I9" s="48">
        <f>C10</f>
        <v>4068.3636363636365</v>
      </c>
    </row>
    <row r="10" spans="1:9" x14ac:dyDescent="0.25">
      <c r="A10" s="1" t="s">
        <v>85</v>
      </c>
      <c r="B10" s="58">
        <f>AVERAGE(B13:B23)</f>
        <v>66.272727272727266</v>
      </c>
      <c r="C10" s="46">
        <f>AVERAGE(C13:C23)</f>
        <v>4068.3636363636365</v>
      </c>
      <c r="E10" s="56">
        <f>B10</f>
        <v>66.272727272727266</v>
      </c>
      <c r="F10" s="26">
        <v>10000</v>
      </c>
      <c r="H10" s="26">
        <v>100</v>
      </c>
      <c r="I10" s="48">
        <f>C10</f>
        <v>4068.3636363636365</v>
      </c>
    </row>
    <row r="12" spans="1:9" x14ac:dyDescent="0.25">
      <c r="A12" s="1" t="s">
        <v>520</v>
      </c>
      <c r="B12" s="1" t="s">
        <v>746</v>
      </c>
      <c r="C12" s="1" t="s">
        <v>749</v>
      </c>
    </row>
    <row r="13" spans="1:9" x14ac:dyDescent="0.25">
      <c r="A13" s="26">
        <v>1</v>
      </c>
      <c r="B13" s="26">
        <v>91</v>
      </c>
      <c r="C13" s="48">
        <v>7113</v>
      </c>
    </row>
    <row r="14" spans="1:9" x14ac:dyDescent="0.25">
      <c r="A14" s="26">
        <v>2</v>
      </c>
      <c r="B14" s="26">
        <v>45</v>
      </c>
      <c r="C14" s="48">
        <v>2044</v>
      </c>
    </row>
    <row r="15" spans="1:9" x14ac:dyDescent="0.25">
      <c r="A15" s="26">
        <v>3</v>
      </c>
      <c r="B15" s="26">
        <v>46</v>
      </c>
      <c r="C15" s="48">
        <v>1108</v>
      </c>
    </row>
    <row r="16" spans="1:9" x14ac:dyDescent="0.25">
      <c r="A16" s="26">
        <v>4</v>
      </c>
      <c r="B16" s="26">
        <v>83</v>
      </c>
      <c r="C16" s="48">
        <v>7093</v>
      </c>
    </row>
    <row r="17" spans="1:9" x14ac:dyDescent="0.25">
      <c r="A17" s="26">
        <v>5</v>
      </c>
      <c r="B17" s="26">
        <v>76</v>
      </c>
      <c r="C17" s="48">
        <v>3902</v>
      </c>
    </row>
    <row r="18" spans="1:9" x14ac:dyDescent="0.25">
      <c r="A18" s="26">
        <v>6</v>
      </c>
      <c r="B18" s="26">
        <v>96</v>
      </c>
      <c r="C18" s="48">
        <v>6676</v>
      </c>
    </row>
    <row r="19" spans="1:9" x14ac:dyDescent="0.25">
      <c r="A19" s="26">
        <v>7</v>
      </c>
      <c r="B19" s="26">
        <v>75</v>
      </c>
      <c r="C19" s="48">
        <v>5403</v>
      </c>
    </row>
    <row r="20" spans="1:9" x14ac:dyDescent="0.25">
      <c r="A20" s="26">
        <v>8</v>
      </c>
      <c r="B20" s="26">
        <v>42</v>
      </c>
      <c r="C20" s="48">
        <v>886</v>
      </c>
    </row>
    <row r="21" spans="1:9" x14ac:dyDescent="0.25">
      <c r="A21" s="26">
        <v>9</v>
      </c>
      <c r="B21" s="26">
        <v>70</v>
      </c>
      <c r="C21" s="48">
        <v>4740</v>
      </c>
    </row>
    <row r="22" spans="1:9" x14ac:dyDescent="0.25">
      <c r="A22" s="26">
        <v>10</v>
      </c>
      <c r="B22" s="26">
        <v>47</v>
      </c>
      <c r="C22" s="48">
        <v>2637</v>
      </c>
    </row>
    <row r="23" spans="1:9" x14ac:dyDescent="0.25">
      <c r="A23" s="26">
        <v>11</v>
      </c>
      <c r="B23" s="26">
        <v>58</v>
      </c>
      <c r="C23" s="48">
        <v>3150</v>
      </c>
    </row>
    <row r="29" spans="1:9" x14ac:dyDescent="0.25">
      <c r="A29" s="22" t="s">
        <v>745</v>
      </c>
      <c r="B29" t="s">
        <v>754</v>
      </c>
    </row>
    <row r="30" spans="1:9" x14ac:dyDescent="0.25">
      <c r="A30" s="199" t="s">
        <v>742</v>
      </c>
      <c r="B30" s="199" t="s">
        <v>719</v>
      </c>
      <c r="C30" s="199" t="s">
        <v>718</v>
      </c>
      <c r="E30" s="62" t="s">
        <v>762</v>
      </c>
      <c r="F30" s="62" t="s">
        <v>675</v>
      </c>
      <c r="H30" s="62" t="s">
        <v>365</v>
      </c>
      <c r="I30" s="62" t="s">
        <v>764</v>
      </c>
    </row>
    <row r="31" spans="1:9" x14ac:dyDescent="0.25">
      <c r="A31" s="26"/>
      <c r="B31" s="26"/>
      <c r="C31" s="26"/>
      <c r="E31" s="56">
        <f>B32</f>
        <v>61.142857142857146</v>
      </c>
      <c r="F31" s="26">
        <v>0</v>
      </c>
      <c r="H31" s="30">
        <v>30</v>
      </c>
      <c r="I31" s="46">
        <f>C32</f>
        <v>5352.1428571428569</v>
      </c>
    </row>
    <row r="32" spans="1:9" x14ac:dyDescent="0.25">
      <c r="A32" s="1" t="s">
        <v>85</v>
      </c>
      <c r="B32" s="58">
        <f>AVERAGE(B35:B48)</f>
        <v>61.142857142857146</v>
      </c>
      <c r="C32" s="46">
        <f>AVERAGE(C35:C48)</f>
        <v>5352.1428571428569</v>
      </c>
      <c r="E32" s="56">
        <f>B32</f>
        <v>61.142857142857146</v>
      </c>
      <c r="F32" s="26">
        <v>10000</v>
      </c>
      <c r="H32" s="30">
        <v>100</v>
      </c>
      <c r="I32" s="46">
        <f>C32</f>
        <v>5352.1428571428569</v>
      </c>
    </row>
    <row r="34" spans="1:3" x14ac:dyDescent="0.25">
      <c r="A34" s="1" t="s">
        <v>520</v>
      </c>
      <c r="B34" s="1" t="s">
        <v>746</v>
      </c>
      <c r="C34" s="1" t="s">
        <v>747</v>
      </c>
    </row>
    <row r="35" spans="1:3" x14ac:dyDescent="0.25">
      <c r="A35" s="26">
        <v>1</v>
      </c>
      <c r="B35" s="26">
        <v>86</v>
      </c>
      <c r="C35" s="48">
        <v>3300</v>
      </c>
    </row>
    <row r="36" spans="1:3" x14ac:dyDescent="0.25">
      <c r="A36" s="26">
        <v>2</v>
      </c>
      <c r="B36" s="26">
        <v>40</v>
      </c>
      <c r="C36" s="48">
        <v>8200</v>
      </c>
    </row>
    <row r="37" spans="1:3" x14ac:dyDescent="0.25">
      <c r="A37" s="26">
        <v>3</v>
      </c>
      <c r="B37" s="26">
        <v>41</v>
      </c>
      <c r="C37" s="48">
        <v>8900</v>
      </c>
    </row>
    <row r="38" spans="1:3" x14ac:dyDescent="0.25">
      <c r="A38" s="26">
        <v>4</v>
      </c>
      <c r="B38" s="26">
        <v>78</v>
      </c>
      <c r="C38" s="48">
        <v>3100</v>
      </c>
    </row>
    <row r="39" spans="1:3" x14ac:dyDescent="0.25">
      <c r="A39" s="26">
        <v>5</v>
      </c>
      <c r="B39" s="26">
        <v>71</v>
      </c>
      <c r="C39" s="48">
        <v>4020</v>
      </c>
    </row>
    <row r="40" spans="1:3" x14ac:dyDescent="0.25">
      <c r="A40" s="26">
        <v>6</v>
      </c>
      <c r="B40" s="26">
        <v>91</v>
      </c>
      <c r="C40" s="48">
        <v>1950</v>
      </c>
    </row>
    <row r="41" spans="1:3" x14ac:dyDescent="0.25">
      <c r="A41" s="26">
        <v>7</v>
      </c>
      <c r="B41" s="26">
        <v>70</v>
      </c>
      <c r="C41" s="48">
        <v>2500</v>
      </c>
    </row>
    <row r="42" spans="1:3" x14ac:dyDescent="0.25">
      <c r="A42" s="26">
        <v>8</v>
      </c>
      <c r="B42" s="26">
        <v>37</v>
      </c>
      <c r="C42" s="48">
        <v>6500</v>
      </c>
    </row>
    <row r="43" spans="1:3" x14ac:dyDescent="0.25">
      <c r="A43" s="26">
        <v>9</v>
      </c>
      <c r="B43" s="26">
        <v>65</v>
      </c>
      <c r="C43" s="48">
        <v>6210</v>
      </c>
    </row>
    <row r="44" spans="1:3" x14ac:dyDescent="0.25">
      <c r="A44" s="26">
        <v>10</v>
      </c>
      <c r="B44" s="26">
        <v>42</v>
      </c>
      <c r="C44" s="48">
        <v>5250</v>
      </c>
    </row>
    <row r="45" spans="1:3" x14ac:dyDescent="0.25">
      <c r="A45" s="26">
        <v>11</v>
      </c>
      <c r="B45" s="26">
        <v>53</v>
      </c>
      <c r="C45" s="48">
        <v>7200</v>
      </c>
    </row>
    <row r="46" spans="1:3" x14ac:dyDescent="0.25">
      <c r="A46" s="26">
        <v>12</v>
      </c>
      <c r="B46" s="26">
        <v>83</v>
      </c>
      <c r="C46" s="48">
        <v>2750</v>
      </c>
    </row>
    <row r="47" spans="1:3" x14ac:dyDescent="0.25">
      <c r="A47" s="26">
        <v>13</v>
      </c>
      <c r="B47" s="26">
        <v>63</v>
      </c>
      <c r="C47" s="48">
        <v>7150</v>
      </c>
    </row>
    <row r="48" spans="1:3" x14ac:dyDescent="0.25">
      <c r="A48" s="26">
        <v>14</v>
      </c>
      <c r="B48" s="26">
        <v>36</v>
      </c>
      <c r="C48" s="48">
        <v>7900</v>
      </c>
    </row>
    <row r="49" spans="1:9" x14ac:dyDescent="0.25">
      <c r="A49" s="26">
        <v>15</v>
      </c>
      <c r="B49" s="26">
        <v>43</v>
      </c>
      <c r="C49" s="48">
        <v>6210</v>
      </c>
    </row>
    <row r="52" spans="1:9" x14ac:dyDescent="0.25">
      <c r="A52" s="22" t="s">
        <v>750</v>
      </c>
      <c r="B52" s="22" t="s">
        <v>769</v>
      </c>
    </row>
    <row r="53" spans="1:9" x14ac:dyDescent="0.25">
      <c r="A53" s="199" t="s">
        <v>742</v>
      </c>
      <c r="B53" s="199" t="s">
        <v>719</v>
      </c>
      <c r="C53" s="199" t="s">
        <v>718</v>
      </c>
      <c r="E53" s="62" t="s">
        <v>766</v>
      </c>
      <c r="F53" s="62" t="s">
        <v>675</v>
      </c>
      <c r="H53" s="62" t="s">
        <v>365</v>
      </c>
      <c r="I53" s="62" t="s">
        <v>767</v>
      </c>
    </row>
    <row r="54" spans="1:9" x14ac:dyDescent="0.25">
      <c r="A54" s="26"/>
      <c r="B54" s="26"/>
      <c r="C54" s="26"/>
      <c r="E54" s="58">
        <f>B55</f>
        <v>9</v>
      </c>
      <c r="F54" s="30">
        <v>0</v>
      </c>
      <c r="H54" s="30">
        <v>0</v>
      </c>
      <c r="I54" s="58">
        <f>C55</f>
        <v>5.3076923076923075</v>
      </c>
    </row>
    <row r="55" spans="1:9" x14ac:dyDescent="0.25">
      <c r="A55" s="1" t="s">
        <v>85</v>
      </c>
      <c r="B55" s="58">
        <f>AVERAGE(B58:B71)</f>
        <v>9</v>
      </c>
      <c r="C55" s="58">
        <f>AVERAGE(C58:C71)</f>
        <v>5.3076923076923075</v>
      </c>
      <c r="E55" s="58">
        <f>B55</f>
        <v>9</v>
      </c>
      <c r="F55" s="30">
        <v>12</v>
      </c>
      <c r="H55" s="30">
        <v>22</v>
      </c>
      <c r="I55" s="58">
        <f>C55</f>
        <v>5.3076923076923075</v>
      </c>
    </row>
    <row r="57" spans="1:9" x14ac:dyDescent="0.25">
      <c r="A57" s="1" t="s">
        <v>520</v>
      </c>
      <c r="B57" s="33" t="s">
        <v>765</v>
      </c>
      <c r="C57" s="33" t="s">
        <v>768</v>
      </c>
    </row>
    <row r="58" spans="1:9" x14ac:dyDescent="0.25">
      <c r="A58" s="26">
        <v>1</v>
      </c>
      <c r="B58" s="26">
        <v>3</v>
      </c>
      <c r="C58" s="26">
        <v>5</v>
      </c>
    </row>
    <row r="59" spans="1:9" x14ac:dyDescent="0.25">
      <c r="A59" s="26">
        <v>2</v>
      </c>
      <c r="B59" s="26">
        <v>8</v>
      </c>
      <c r="C59" s="26">
        <v>1</v>
      </c>
    </row>
    <row r="60" spans="1:9" x14ac:dyDescent="0.25">
      <c r="A60" s="26">
        <v>3</v>
      </c>
      <c r="B60" s="26">
        <v>6</v>
      </c>
      <c r="C60" s="26">
        <v>9</v>
      </c>
    </row>
    <row r="61" spans="1:9" x14ac:dyDescent="0.25">
      <c r="A61" s="26">
        <v>4</v>
      </c>
      <c r="B61" s="26">
        <v>11</v>
      </c>
      <c r="C61" s="26">
        <v>5</v>
      </c>
    </row>
    <row r="62" spans="1:9" x14ac:dyDescent="0.25">
      <c r="A62" s="26">
        <v>5</v>
      </c>
      <c r="B62" s="26">
        <v>20</v>
      </c>
      <c r="C62" s="26">
        <v>3</v>
      </c>
    </row>
    <row r="63" spans="1:9" x14ac:dyDescent="0.25">
      <c r="A63" s="26">
        <v>6</v>
      </c>
      <c r="B63" s="26">
        <v>7</v>
      </c>
      <c r="C63" s="26">
        <v>4</v>
      </c>
    </row>
    <row r="64" spans="1:9" x14ac:dyDescent="0.25">
      <c r="A64" s="26">
        <v>7</v>
      </c>
      <c r="B64" s="26">
        <v>9</v>
      </c>
      <c r="C64" s="26">
        <v>10</v>
      </c>
    </row>
    <row r="65" spans="1:9" x14ac:dyDescent="0.25">
      <c r="A65" s="26">
        <v>8</v>
      </c>
      <c r="B65" s="26">
        <v>3</v>
      </c>
      <c r="C65" s="26">
        <v>6</v>
      </c>
    </row>
    <row r="66" spans="1:9" x14ac:dyDescent="0.25">
      <c r="A66" s="26">
        <v>9</v>
      </c>
      <c r="B66" s="26">
        <v>19</v>
      </c>
      <c r="C66" s="26">
        <v>10</v>
      </c>
    </row>
    <row r="67" spans="1:9" x14ac:dyDescent="0.25">
      <c r="A67" s="26">
        <v>10</v>
      </c>
      <c r="B67" s="26">
        <v>2</v>
      </c>
      <c r="C67" s="26">
        <v>1</v>
      </c>
    </row>
    <row r="68" spans="1:9" x14ac:dyDescent="0.25">
      <c r="A68" s="26">
        <v>11</v>
      </c>
      <c r="B68" s="26">
        <v>16</v>
      </c>
      <c r="C68" s="26">
        <v>2</v>
      </c>
    </row>
    <row r="69" spans="1:9" x14ac:dyDescent="0.25">
      <c r="A69" s="26">
        <v>12</v>
      </c>
      <c r="B69" s="26">
        <v>12</v>
      </c>
      <c r="C69" s="26">
        <v>7</v>
      </c>
    </row>
    <row r="70" spans="1:9" x14ac:dyDescent="0.25">
      <c r="A70" s="26">
        <v>13</v>
      </c>
      <c r="B70" s="26">
        <v>1</v>
      </c>
      <c r="C70" s="26">
        <v>6</v>
      </c>
    </row>
    <row r="74" spans="1:9" x14ac:dyDescent="0.25">
      <c r="A74" s="22" t="s">
        <v>828</v>
      </c>
      <c r="B74" s="22" t="s">
        <v>829</v>
      </c>
    </row>
    <row r="75" spans="1:9" x14ac:dyDescent="0.25">
      <c r="A75" s="199" t="s">
        <v>742</v>
      </c>
      <c r="B75" s="199" t="s">
        <v>719</v>
      </c>
      <c r="C75" s="199" t="s">
        <v>718</v>
      </c>
      <c r="E75" s="62" t="s">
        <v>831</v>
      </c>
      <c r="F75" s="62" t="s">
        <v>675</v>
      </c>
      <c r="H75" s="62" t="s">
        <v>365</v>
      </c>
      <c r="I75" s="62" t="s">
        <v>832</v>
      </c>
    </row>
    <row r="76" spans="1:9" x14ac:dyDescent="0.25">
      <c r="A76" s="26"/>
      <c r="B76" s="26"/>
      <c r="C76" s="26"/>
      <c r="E76" s="58">
        <f>B77</f>
        <v>62.389830508474574</v>
      </c>
      <c r="F76" s="30">
        <v>0</v>
      </c>
      <c r="H76" s="30">
        <v>0</v>
      </c>
      <c r="I76" s="58">
        <f>C77</f>
        <v>327.58149717514124</v>
      </c>
    </row>
    <row r="77" spans="1:9" x14ac:dyDescent="0.25">
      <c r="A77" s="1" t="s">
        <v>85</v>
      </c>
      <c r="B77" s="58">
        <f>AVERAGE(B85:B438)</f>
        <v>62.389830508474574</v>
      </c>
      <c r="C77" s="58">
        <f>AVERAGE(C85:C438)</f>
        <v>327.58149717514124</v>
      </c>
      <c r="E77" s="58">
        <f>B77</f>
        <v>62.389830508474574</v>
      </c>
      <c r="F77" s="30">
        <v>800</v>
      </c>
      <c r="H77" s="30">
        <v>120</v>
      </c>
      <c r="I77" s="58">
        <f>C77</f>
        <v>327.58149717514124</v>
      </c>
    </row>
    <row r="79" spans="1:9" x14ac:dyDescent="0.25">
      <c r="A79" s="22" t="s">
        <v>828</v>
      </c>
      <c r="B79" s="22" t="s">
        <v>829</v>
      </c>
    </row>
    <row r="82" spans="1:3" x14ac:dyDescent="0.25">
      <c r="A82" s="199" t="s">
        <v>742</v>
      </c>
      <c r="B82" s="199" t="s">
        <v>719</v>
      </c>
      <c r="C82" s="199" t="s">
        <v>718</v>
      </c>
    </row>
    <row r="84" spans="1:3" x14ac:dyDescent="0.25">
      <c r="A84" s="62" t="s">
        <v>192</v>
      </c>
      <c r="B84" s="62" t="s">
        <v>826</v>
      </c>
      <c r="C84" s="62" t="s">
        <v>827</v>
      </c>
    </row>
    <row r="85" spans="1:3" x14ac:dyDescent="0.25">
      <c r="A85" s="63">
        <v>42016</v>
      </c>
      <c r="B85" s="26">
        <v>46</v>
      </c>
      <c r="C85" s="48">
        <v>236</v>
      </c>
    </row>
    <row r="86" spans="1:3" x14ac:dyDescent="0.25">
      <c r="A86" s="63">
        <v>42017</v>
      </c>
      <c r="B86" s="26">
        <v>52</v>
      </c>
      <c r="C86" s="48">
        <v>304</v>
      </c>
    </row>
    <row r="87" spans="1:3" x14ac:dyDescent="0.25">
      <c r="A87" s="63">
        <v>42018</v>
      </c>
      <c r="B87" s="26">
        <v>55</v>
      </c>
      <c r="C87" s="48">
        <v>163.5</v>
      </c>
    </row>
    <row r="88" spans="1:3" x14ac:dyDescent="0.25">
      <c r="A88" s="63">
        <v>42019</v>
      </c>
      <c r="B88" s="26">
        <v>46</v>
      </c>
      <c r="C88" s="48">
        <v>214</v>
      </c>
    </row>
    <row r="89" spans="1:3" x14ac:dyDescent="0.25">
      <c r="A89" s="63">
        <v>42020</v>
      </c>
      <c r="B89" s="26">
        <v>47</v>
      </c>
      <c r="C89" s="48">
        <v>210</v>
      </c>
    </row>
    <row r="90" spans="1:3" x14ac:dyDescent="0.25">
      <c r="A90" s="63">
        <v>42021</v>
      </c>
      <c r="B90" s="26">
        <v>50</v>
      </c>
      <c r="C90" s="48">
        <v>508</v>
      </c>
    </row>
    <row r="91" spans="1:3" x14ac:dyDescent="0.25">
      <c r="A91" s="63">
        <v>42022</v>
      </c>
      <c r="B91" s="26">
        <v>36</v>
      </c>
      <c r="C91" s="48">
        <v>294.55</v>
      </c>
    </row>
    <row r="92" spans="1:3" x14ac:dyDescent="0.25">
      <c r="A92" s="63">
        <v>42023</v>
      </c>
      <c r="B92" s="26">
        <v>47</v>
      </c>
      <c r="C92" s="48">
        <v>250</v>
      </c>
    </row>
    <row r="93" spans="1:3" x14ac:dyDescent="0.25">
      <c r="A93" s="63">
        <v>42024</v>
      </c>
      <c r="B93" s="26">
        <v>40</v>
      </c>
      <c r="C93" s="48">
        <v>371.95</v>
      </c>
    </row>
    <row r="94" spans="1:3" x14ac:dyDescent="0.25">
      <c r="A94" s="63">
        <v>42025</v>
      </c>
      <c r="B94" s="26">
        <v>46</v>
      </c>
      <c r="C94" s="48">
        <v>478</v>
      </c>
    </row>
    <row r="95" spans="1:3" x14ac:dyDescent="0.25">
      <c r="A95" s="63">
        <v>42026</v>
      </c>
      <c r="B95" s="26">
        <v>55</v>
      </c>
      <c r="C95" s="48">
        <v>258</v>
      </c>
    </row>
    <row r="96" spans="1:3" x14ac:dyDescent="0.25">
      <c r="A96" s="63">
        <v>42027</v>
      </c>
      <c r="B96" s="26">
        <v>40</v>
      </c>
      <c r="C96" s="48">
        <v>559</v>
      </c>
    </row>
    <row r="97" spans="1:3" x14ac:dyDescent="0.25">
      <c r="A97" s="63">
        <v>42028</v>
      </c>
      <c r="B97" s="26">
        <v>53</v>
      </c>
      <c r="C97" s="48">
        <v>536</v>
      </c>
    </row>
    <row r="98" spans="1:3" x14ac:dyDescent="0.25">
      <c r="A98" s="63">
        <v>42029</v>
      </c>
      <c r="B98" s="26">
        <v>44</v>
      </c>
      <c r="C98" s="48">
        <v>576</v>
      </c>
    </row>
    <row r="99" spans="1:3" x14ac:dyDescent="0.25">
      <c r="A99" s="63">
        <v>42030</v>
      </c>
      <c r="B99" s="26">
        <v>48</v>
      </c>
      <c r="C99" s="48">
        <v>446</v>
      </c>
    </row>
    <row r="100" spans="1:3" x14ac:dyDescent="0.25">
      <c r="A100" s="63">
        <v>42031</v>
      </c>
      <c r="B100" s="26">
        <v>46</v>
      </c>
      <c r="C100" s="48">
        <v>300</v>
      </c>
    </row>
    <row r="101" spans="1:3" x14ac:dyDescent="0.25">
      <c r="A101" s="63">
        <v>42032</v>
      </c>
      <c r="B101" s="26">
        <v>56</v>
      </c>
      <c r="C101" s="48">
        <v>250.5</v>
      </c>
    </row>
    <row r="102" spans="1:3" x14ac:dyDescent="0.25">
      <c r="A102" s="63">
        <v>42033</v>
      </c>
      <c r="B102" s="26">
        <v>36</v>
      </c>
      <c r="C102" s="48">
        <v>412.79999999999995</v>
      </c>
    </row>
    <row r="103" spans="1:3" x14ac:dyDescent="0.25">
      <c r="A103" s="63">
        <v>42034</v>
      </c>
      <c r="B103" s="26">
        <v>38</v>
      </c>
      <c r="C103" s="48">
        <v>511.7</v>
      </c>
    </row>
    <row r="104" spans="1:3" x14ac:dyDescent="0.25">
      <c r="A104" s="63">
        <v>42035</v>
      </c>
      <c r="B104" s="26">
        <v>37</v>
      </c>
      <c r="C104" s="48">
        <v>311.75</v>
      </c>
    </row>
    <row r="105" spans="1:3" x14ac:dyDescent="0.25">
      <c r="A105" s="63">
        <v>42036</v>
      </c>
      <c r="B105" s="26">
        <v>44</v>
      </c>
      <c r="C105" s="48">
        <v>478</v>
      </c>
    </row>
    <row r="106" spans="1:3" x14ac:dyDescent="0.25">
      <c r="A106" s="63">
        <v>42037</v>
      </c>
      <c r="B106" s="26">
        <v>30</v>
      </c>
      <c r="C106" s="48">
        <v>282.5</v>
      </c>
    </row>
    <row r="107" spans="1:3" x14ac:dyDescent="0.25">
      <c r="A107" s="63">
        <v>42038</v>
      </c>
      <c r="B107" s="26">
        <v>48</v>
      </c>
      <c r="C107" s="48">
        <v>476</v>
      </c>
    </row>
    <row r="108" spans="1:3" x14ac:dyDescent="0.25">
      <c r="A108" s="63">
        <v>42039</v>
      </c>
      <c r="B108" s="26">
        <v>37</v>
      </c>
      <c r="C108" s="48">
        <v>565.44999999999993</v>
      </c>
    </row>
    <row r="109" spans="1:3" x14ac:dyDescent="0.25">
      <c r="A109" s="63">
        <v>42040</v>
      </c>
      <c r="B109" s="26">
        <v>43</v>
      </c>
      <c r="C109" s="48">
        <v>567.6</v>
      </c>
    </row>
    <row r="110" spans="1:3" x14ac:dyDescent="0.25">
      <c r="A110" s="63">
        <v>42041</v>
      </c>
      <c r="B110" s="26">
        <v>39</v>
      </c>
      <c r="C110" s="48">
        <v>634.25</v>
      </c>
    </row>
    <row r="111" spans="1:3" x14ac:dyDescent="0.25">
      <c r="A111" s="63">
        <v>42042</v>
      </c>
      <c r="B111" s="26">
        <v>34</v>
      </c>
      <c r="C111" s="48">
        <v>266.59999999999997</v>
      </c>
    </row>
    <row r="112" spans="1:3" x14ac:dyDescent="0.25">
      <c r="A112" s="63">
        <v>42043</v>
      </c>
      <c r="B112" s="26">
        <v>33</v>
      </c>
      <c r="C112" s="48">
        <v>345</v>
      </c>
    </row>
    <row r="113" spans="1:3" x14ac:dyDescent="0.25">
      <c r="A113" s="63">
        <v>42044</v>
      </c>
      <c r="B113" s="26">
        <v>38</v>
      </c>
      <c r="C113" s="48">
        <v>393.45</v>
      </c>
    </row>
    <row r="114" spans="1:3" x14ac:dyDescent="0.25">
      <c r="A114" s="63">
        <v>42045</v>
      </c>
      <c r="B114" s="26">
        <v>38</v>
      </c>
      <c r="C114" s="48">
        <v>567.6</v>
      </c>
    </row>
    <row r="115" spans="1:3" x14ac:dyDescent="0.25">
      <c r="A115" s="63">
        <v>42046</v>
      </c>
      <c r="B115" s="26">
        <v>37</v>
      </c>
      <c r="C115" s="48">
        <v>266.59999999999997</v>
      </c>
    </row>
    <row r="116" spans="1:3" x14ac:dyDescent="0.25">
      <c r="A116" s="63">
        <v>42047</v>
      </c>
      <c r="B116" s="26">
        <v>35</v>
      </c>
      <c r="C116" s="48">
        <v>503.09999999999997</v>
      </c>
    </row>
    <row r="117" spans="1:3" x14ac:dyDescent="0.25">
      <c r="A117" s="63">
        <v>42048</v>
      </c>
      <c r="B117" s="26">
        <v>53</v>
      </c>
      <c r="C117" s="48">
        <v>242</v>
      </c>
    </row>
    <row r="118" spans="1:3" x14ac:dyDescent="0.25">
      <c r="A118" s="63">
        <v>42049</v>
      </c>
      <c r="B118" s="26">
        <v>55</v>
      </c>
      <c r="C118" s="48">
        <v>216</v>
      </c>
    </row>
    <row r="119" spans="1:3" x14ac:dyDescent="0.25">
      <c r="A119" s="63">
        <v>42050</v>
      </c>
      <c r="B119" s="26">
        <v>58</v>
      </c>
      <c r="C119" s="48">
        <v>354</v>
      </c>
    </row>
    <row r="120" spans="1:3" x14ac:dyDescent="0.25">
      <c r="A120" s="63">
        <v>42051</v>
      </c>
      <c r="B120" s="26">
        <v>41</v>
      </c>
      <c r="C120" s="48">
        <v>432.15</v>
      </c>
    </row>
    <row r="121" spans="1:3" x14ac:dyDescent="0.25">
      <c r="A121" s="63">
        <v>42052</v>
      </c>
      <c r="B121" s="26">
        <v>43</v>
      </c>
      <c r="C121" s="48">
        <v>406.34999999999997</v>
      </c>
    </row>
    <row r="122" spans="1:3" x14ac:dyDescent="0.25">
      <c r="A122" s="63">
        <v>42053</v>
      </c>
      <c r="B122" s="26">
        <v>43</v>
      </c>
      <c r="C122" s="48">
        <v>627.79999999999995</v>
      </c>
    </row>
    <row r="123" spans="1:3" x14ac:dyDescent="0.25">
      <c r="A123" s="63">
        <v>42054</v>
      </c>
      <c r="B123" s="26">
        <v>32</v>
      </c>
      <c r="C123" s="48">
        <v>705</v>
      </c>
    </row>
    <row r="124" spans="1:3" x14ac:dyDescent="0.25">
      <c r="A124" s="63">
        <v>42055</v>
      </c>
      <c r="B124" s="26">
        <v>53</v>
      </c>
      <c r="C124" s="48">
        <v>534</v>
      </c>
    </row>
    <row r="125" spans="1:3" x14ac:dyDescent="0.25">
      <c r="A125" s="63">
        <v>42056</v>
      </c>
      <c r="B125" s="26">
        <v>54</v>
      </c>
      <c r="C125" s="48">
        <v>282</v>
      </c>
    </row>
    <row r="126" spans="1:3" x14ac:dyDescent="0.25">
      <c r="A126" s="63">
        <v>42057</v>
      </c>
      <c r="B126" s="26">
        <v>56</v>
      </c>
      <c r="C126" s="48">
        <v>435</v>
      </c>
    </row>
    <row r="127" spans="1:3" x14ac:dyDescent="0.25">
      <c r="A127" s="63">
        <v>42058</v>
      </c>
      <c r="B127" s="26">
        <v>52</v>
      </c>
      <c r="C127" s="48">
        <v>380</v>
      </c>
    </row>
    <row r="128" spans="1:3" x14ac:dyDescent="0.25">
      <c r="A128" s="63">
        <v>42059</v>
      </c>
      <c r="B128" s="26">
        <v>57</v>
      </c>
      <c r="C128" s="48">
        <v>372</v>
      </c>
    </row>
    <row r="129" spans="1:3" x14ac:dyDescent="0.25">
      <c r="A129" s="63">
        <v>42060</v>
      </c>
      <c r="B129" s="26">
        <v>51</v>
      </c>
      <c r="C129" s="48">
        <v>240</v>
      </c>
    </row>
    <row r="130" spans="1:3" x14ac:dyDescent="0.25">
      <c r="A130" s="63">
        <v>42061</v>
      </c>
      <c r="B130" s="26">
        <v>40</v>
      </c>
      <c r="C130" s="48">
        <v>346.15</v>
      </c>
    </row>
    <row r="131" spans="1:3" x14ac:dyDescent="0.25">
      <c r="A131" s="63">
        <v>42062</v>
      </c>
      <c r="B131" s="26">
        <v>32</v>
      </c>
      <c r="C131" s="48">
        <v>577.5</v>
      </c>
    </row>
    <row r="132" spans="1:3" x14ac:dyDescent="0.25">
      <c r="A132" s="63">
        <v>42063</v>
      </c>
      <c r="B132" s="26">
        <v>34</v>
      </c>
      <c r="C132" s="48">
        <v>406.34999999999997</v>
      </c>
    </row>
    <row r="133" spans="1:3" x14ac:dyDescent="0.25">
      <c r="A133" s="63">
        <v>42064</v>
      </c>
      <c r="B133" s="26">
        <v>37</v>
      </c>
      <c r="C133" s="48">
        <v>468.7</v>
      </c>
    </row>
    <row r="134" spans="1:3" x14ac:dyDescent="0.25">
      <c r="A134" s="63">
        <v>42065</v>
      </c>
      <c r="B134" s="26">
        <v>39</v>
      </c>
      <c r="C134" s="48">
        <v>483.75</v>
      </c>
    </row>
    <row r="135" spans="1:3" x14ac:dyDescent="0.25">
      <c r="A135" s="63">
        <v>42066</v>
      </c>
      <c r="B135" s="26">
        <v>22</v>
      </c>
      <c r="C135" s="48">
        <v>462.5</v>
      </c>
    </row>
    <row r="136" spans="1:3" x14ac:dyDescent="0.25">
      <c r="A136" s="63">
        <v>42067</v>
      </c>
      <c r="B136" s="26">
        <v>38</v>
      </c>
      <c r="C136" s="48">
        <v>408.5</v>
      </c>
    </row>
    <row r="137" spans="1:3" x14ac:dyDescent="0.25">
      <c r="A137" s="63">
        <v>42068</v>
      </c>
      <c r="B137" s="26">
        <v>40</v>
      </c>
      <c r="C137" s="48">
        <v>311.75</v>
      </c>
    </row>
    <row r="138" spans="1:3" x14ac:dyDescent="0.25">
      <c r="A138" s="63">
        <v>42069</v>
      </c>
      <c r="B138" s="26">
        <v>51</v>
      </c>
      <c r="C138" s="48">
        <v>420</v>
      </c>
    </row>
    <row r="139" spans="1:3" x14ac:dyDescent="0.25">
      <c r="A139" s="63">
        <v>42070</v>
      </c>
      <c r="B139" s="26">
        <v>32</v>
      </c>
      <c r="C139" s="48">
        <v>410</v>
      </c>
    </row>
    <row r="140" spans="1:3" x14ac:dyDescent="0.25">
      <c r="A140" s="63">
        <v>42071</v>
      </c>
      <c r="B140" s="26">
        <v>45</v>
      </c>
      <c r="C140" s="48">
        <v>400</v>
      </c>
    </row>
    <row r="141" spans="1:3" x14ac:dyDescent="0.25">
      <c r="A141" s="63">
        <v>42072</v>
      </c>
      <c r="B141" s="26">
        <v>40</v>
      </c>
      <c r="C141" s="48">
        <v>460.09999999999997</v>
      </c>
    </row>
    <row r="142" spans="1:3" x14ac:dyDescent="0.25">
      <c r="A142" s="63">
        <v>42073</v>
      </c>
      <c r="B142" s="26">
        <v>52</v>
      </c>
      <c r="C142" s="48">
        <v>538</v>
      </c>
    </row>
    <row r="143" spans="1:3" x14ac:dyDescent="0.25">
      <c r="A143" s="63">
        <v>42074</v>
      </c>
      <c r="B143" s="26">
        <v>25</v>
      </c>
      <c r="C143" s="48">
        <v>597.5</v>
      </c>
    </row>
    <row r="144" spans="1:3" x14ac:dyDescent="0.25">
      <c r="A144" s="63">
        <v>42075</v>
      </c>
      <c r="B144" s="26">
        <v>42</v>
      </c>
      <c r="C144" s="48">
        <v>389.15</v>
      </c>
    </row>
    <row r="145" spans="1:3" x14ac:dyDescent="0.25">
      <c r="A145" s="63">
        <v>42076</v>
      </c>
      <c r="B145" s="26">
        <v>45</v>
      </c>
      <c r="C145" s="48">
        <v>228</v>
      </c>
    </row>
    <row r="146" spans="1:3" x14ac:dyDescent="0.25">
      <c r="A146" s="63">
        <v>42077</v>
      </c>
      <c r="B146" s="26">
        <v>31</v>
      </c>
      <c r="C146" s="48">
        <v>627.5</v>
      </c>
    </row>
    <row r="147" spans="1:3" x14ac:dyDescent="0.25">
      <c r="A147" s="63">
        <v>42078</v>
      </c>
      <c r="B147" s="26">
        <v>51</v>
      </c>
      <c r="C147" s="48">
        <v>408</v>
      </c>
    </row>
    <row r="148" spans="1:3" x14ac:dyDescent="0.25">
      <c r="A148" s="63">
        <v>42079</v>
      </c>
      <c r="B148" s="26">
        <v>34</v>
      </c>
      <c r="C148" s="48">
        <v>339.7</v>
      </c>
    </row>
    <row r="149" spans="1:3" x14ac:dyDescent="0.25">
      <c r="A149" s="63">
        <v>42080</v>
      </c>
      <c r="B149" s="26">
        <v>21</v>
      </c>
      <c r="C149" s="48">
        <v>527.5</v>
      </c>
    </row>
    <row r="150" spans="1:3" x14ac:dyDescent="0.25">
      <c r="A150" s="63">
        <v>42081</v>
      </c>
      <c r="B150" s="26">
        <v>55</v>
      </c>
      <c r="C150" s="48">
        <v>364.5</v>
      </c>
    </row>
    <row r="151" spans="1:3" x14ac:dyDescent="0.25">
      <c r="A151" s="63">
        <v>42082</v>
      </c>
      <c r="B151" s="26">
        <v>24</v>
      </c>
      <c r="C151" s="48">
        <v>695</v>
      </c>
    </row>
    <row r="152" spans="1:3" x14ac:dyDescent="0.25">
      <c r="A152" s="63">
        <v>42083</v>
      </c>
      <c r="B152" s="26">
        <v>42</v>
      </c>
      <c r="C152" s="48">
        <v>462.25</v>
      </c>
    </row>
    <row r="153" spans="1:3" x14ac:dyDescent="0.25">
      <c r="A153" s="63">
        <v>42084</v>
      </c>
      <c r="B153" s="26">
        <v>38</v>
      </c>
      <c r="C153" s="48">
        <v>277.34999999999997</v>
      </c>
    </row>
    <row r="154" spans="1:3" x14ac:dyDescent="0.25">
      <c r="A154" s="63">
        <v>42085</v>
      </c>
      <c r="B154" s="26">
        <v>48</v>
      </c>
      <c r="C154" s="48">
        <v>334</v>
      </c>
    </row>
    <row r="155" spans="1:3" x14ac:dyDescent="0.25">
      <c r="A155" s="63">
        <v>42086</v>
      </c>
      <c r="B155" s="26">
        <v>40</v>
      </c>
      <c r="C155" s="48">
        <v>445.04999999999995</v>
      </c>
    </row>
    <row r="156" spans="1:3" x14ac:dyDescent="0.25">
      <c r="A156" s="63">
        <v>42087</v>
      </c>
      <c r="B156" s="26">
        <v>45</v>
      </c>
      <c r="C156" s="48">
        <v>496</v>
      </c>
    </row>
    <row r="157" spans="1:3" x14ac:dyDescent="0.25">
      <c r="A157" s="63">
        <v>42088</v>
      </c>
      <c r="B157" s="26">
        <v>45</v>
      </c>
      <c r="C157" s="48">
        <v>514</v>
      </c>
    </row>
    <row r="158" spans="1:3" x14ac:dyDescent="0.25">
      <c r="A158" s="63">
        <v>42089</v>
      </c>
      <c r="B158" s="26">
        <v>46</v>
      </c>
      <c r="C158" s="48">
        <v>350</v>
      </c>
    </row>
    <row r="159" spans="1:3" x14ac:dyDescent="0.25">
      <c r="A159" s="63">
        <v>42090</v>
      </c>
      <c r="B159" s="26">
        <v>33</v>
      </c>
      <c r="C159" s="48">
        <v>697.5</v>
      </c>
    </row>
    <row r="160" spans="1:3" x14ac:dyDescent="0.25">
      <c r="A160" s="63">
        <v>42091</v>
      </c>
      <c r="B160" s="26">
        <v>37</v>
      </c>
      <c r="C160" s="48">
        <v>258</v>
      </c>
    </row>
    <row r="161" spans="1:3" x14ac:dyDescent="0.25">
      <c r="A161" s="63">
        <v>42092</v>
      </c>
      <c r="B161" s="26">
        <v>24</v>
      </c>
      <c r="C161" s="48">
        <v>257.5</v>
      </c>
    </row>
    <row r="162" spans="1:3" x14ac:dyDescent="0.25">
      <c r="A162" s="63">
        <v>42093</v>
      </c>
      <c r="B162" s="26">
        <v>36</v>
      </c>
      <c r="C162" s="48">
        <v>313.89999999999998</v>
      </c>
    </row>
    <row r="163" spans="1:3" x14ac:dyDescent="0.25">
      <c r="A163" s="63">
        <v>42094</v>
      </c>
      <c r="B163" s="26">
        <v>37</v>
      </c>
      <c r="C163" s="48">
        <v>481.59999999999997</v>
      </c>
    </row>
    <row r="164" spans="1:3" x14ac:dyDescent="0.25">
      <c r="A164" s="63">
        <v>42095</v>
      </c>
      <c r="B164" s="26">
        <v>47</v>
      </c>
      <c r="C164" s="48">
        <v>594</v>
      </c>
    </row>
    <row r="165" spans="1:3" x14ac:dyDescent="0.25">
      <c r="A165" s="63">
        <v>42096</v>
      </c>
      <c r="B165" s="26">
        <v>64</v>
      </c>
      <c r="C165" s="48">
        <v>442.5</v>
      </c>
    </row>
    <row r="166" spans="1:3" x14ac:dyDescent="0.25">
      <c r="A166" s="63">
        <v>42097</v>
      </c>
      <c r="B166" s="26">
        <v>60</v>
      </c>
      <c r="C166" s="48">
        <v>397.5</v>
      </c>
    </row>
    <row r="167" spans="1:3" x14ac:dyDescent="0.25">
      <c r="A167" s="63">
        <v>42098</v>
      </c>
      <c r="B167" s="26">
        <v>50</v>
      </c>
      <c r="C167" s="48">
        <v>272</v>
      </c>
    </row>
    <row r="168" spans="1:3" x14ac:dyDescent="0.25">
      <c r="A168" s="63">
        <v>42099</v>
      </c>
      <c r="B168" s="26">
        <v>62</v>
      </c>
      <c r="C168" s="48">
        <v>208.5</v>
      </c>
    </row>
    <row r="169" spans="1:3" x14ac:dyDescent="0.25">
      <c r="A169" s="63">
        <v>42100</v>
      </c>
      <c r="B169" s="26">
        <v>50</v>
      </c>
      <c r="C169" s="48">
        <v>200</v>
      </c>
    </row>
    <row r="170" spans="1:3" x14ac:dyDescent="0.25">
      <c r="A170" s="63">
        <v>42101</v>
      </c>
      <c r="B170" s="26">
        <v>62</v>
      </c>
      <c r="C170" s="48">
        <v>301.5</v>
      </c>
    </row>
    <row r="171" spans="1:3" x14ac:dyDescent="0.25">
      <c r="A171" s="63">
        <v>42102</v>
      </c>
      <c r="B171" s="26">
        <v>68</v>
      </c>
      <c r="C171" s="48">
        <v>187</v>
      </c>
    </row>
    <row r="172" spans="1:3" x14ac:dyDescent="0.25">
      <c r="A172" s="63">
        <v>42103</v>
      </c>
      <c r="B172" s="26">
        <v>65</v>
      </c>
      <c r="C172" s="48">
        <v>150</v>
      </c>
    </row>
    <row r="173" spans="1:3" x14ac:dyDescent="0.25">
      <c r="A173" s="63">
        <v>42104</v>
      </c>
      <c r="B173" s="26">
        <v>57</v>
      </c>
      <c r="C173" s="48">
        <v>445.5</v>
      </c>
    </row>
    <row r="174" spans="1:3" x14ac:dyDescent="0.25">
      <c r="A174" s="63">
        <v>42105</v>
      </c>
      <c r="B174" s="26">
        <v>53</v>
      </c>
      <c r="C174" s="48">
        <v>498</v>
      </c>
    </row>
    <row r="175" spans="1:3" x14ac:dyDescent="0.25">
      <c r="A175" s="63">
        <v>42106</v>
      </c>
      <c r="B175" s="26">
        <v>43</v>
      </c>
      <c r="C175" s="48">
        <v>599.85</v>
      </c>
    </row>
    <row r="176" spans="1:3" x14ac:dyDescent="0.25">
      <c r="A176" s="63">
        <v>42107</v>
      </c>
      <c r="B176" s="26">
        <v>39</v>
      </c>
      <c r="C176" s="48">
        <v>393.45</v>
      </c>
    </row>
    <row r="177" spans="1:3" x14ac:dyDescent="0.25">
      <c r="A177" s="63">
        <v>42108</v>
      </c>
      <c r="B177" s="26">
        <v>61</v>
      </c>
      <c r="C177" s="48">
        <v>196.5</v>
      </c>
    </row>
    <row r="178" spans="1:3" x14ac:dyDescent="0.25">
      <c r="A178" s="63">
        <v>42109</v>
      </c>
      <c r="B178" s="26">
        <v>42</v>
      </c>
      <c r="C178" s="48">
        <v>457.95</v>
      </c>
    </row>
    <row r="179" spans="1:3" x14ac:dyDescent="0.25">
      <c r="A179" s="63">
        <v>42110</v>
      </c>
      <c r="B179" s="26">
        <v>42</v>
      </c>
      <c r="C179" s="48">
        <v>225.75</v>
      </c>
    </row>
    <row r="180" spans="1:3" x14ac:dyDescent="0.25">
      <c r="A180" s="63">
        <v>42111</v>
      </c>
      <c r="B180" s="26">
        <v>52</v>
      </c>
      <c r="C180" s="48">
        <v>598</v>
      </c>
    </row>
    <row r="181" spans="1:3" x14ac:dyDescent="0.25">
      <c r="A181" s="63">
        <v>42112</v>
      </c>
      <c r="B181" s="26">
        <v>68</v>
      </c>
      <c r="C181" s="48">
        <v>268</v>
      </c>
    </row>
    <row r="182" spans="1:3" x14ac:dyDescent="0.25">
      <c r="A182" s="63">
        <v>42113</v>
      </c>
      <c r="B182" s="26">
        <v>50</v>
      </c>
      <c r="C182" s="48">
        <v>468</v>
      </c>
    </row>
    <row r="183" spans="1:3" x14ac:dyDescent="0.25">
      <c r="A183" s="63">
        <v>42114</v>
      </c>
      <c r="B183" s="26">
        <v>46</v>
      </c>
      <c r="C183" s="48">
        <v>236</v>
      </c>
    </row>
    <row r="184" spans="1:3" x14ac:dyDescent="0.25">
      <c r="A184" s="63">
        <v>42115</v>
      </c>
      <c r="B184" s="26">
        <v>58</v>
      </c>
      <c r="C184" s="48">
        <v>415.5</v>
      </c>
    </row>
    <row r="185" spans="1:3" x14ac:dyDescent="0.25">
      <c r="A185" s="63">
        <v>42116</v>
      </c>
      <c r="B185" s="26">
        <v>56</v>
      </c>
      <c r="C185" s="48">
        <v>418.5</v>
      </c>
    </row>
    <row r="186" spans="1:3" x14ac:dyDescent="0.25">
      <c r="A186" s="63">
        <v>42117</v>
      </c>
      <c r="B186" s="26">
        <v>61</v>
      </c>
      <c r="C186" s="48">
        <v>279</v>
      </c>
    </row>
    <row r="187" spans="1:3" x14ac:dyDescent="0.25">
      <c r="A187" s="63">
        <v>42118</v>
      </c>
      <c r="B187" s="26">
        <v>56</v>
      </c>
      <c r="C187" s="48">
        <v>195</v>
      </c>
    </row>
    <row r="188" spans="1:3" x14ac:dyDescent="0.25">
      <c r="A188" s="63">
        <v>42119</v>
      </c>
      <c r="B188" s="26">
        <v>61</v>
      </c>
      <c r="C188" s="48">
        <v>325.5</v>
      </c>
    </row>
    <row r="189" spans="1:3" x14ac:dyDescent="0.25">
      <c r="A189" s="63">
        <v>42120</v>
      </c>
      <c r="B189" s="26">
        <v>67</v>
      </c>
      <c r="C189" s="48">
        <v>283</v>
      </c>
    </row>
    <row r="190" spans="1:3" x14ac:dyDescent="0.25">
      <c r="A190" s="63">
        <v>42121</v>
      </c>
      <c r="B190" s="26">
        <v>68</v>
      </c>
      <c r="C190" s="48">
        <v>281</v>
      </c>
    </row>
    <row r="191" spans="1:3" x14ac:dyDescent="0.25">
      <c r="A191" s="63">
        <v>42122</v>
      </c>
      <c r="B191" s="26">
        <v>61</v>
      </c>
      <c r="C191" s="48">
        <v>313.5</v>
      </c>
    </row>
    <row r="192" spans="1:3" x14ac:dyDescent="0.25">
      <c r="A192" s="63">
        <v>42123</v>
      </c>
      <c r="B192" s="26">
        <v>52</v>
      </c>
      <c r="C192" s="48">
        <v>466</v>
      </c>
    </row>
    <row r="193" spans="1:3" x14ac:dyDescent="0.25">
      <c r="A193" s="63">
        <v>42124</v>
      </c>
      <c r="B193" s="26">
        <v>63</v>
      </c>
      <c r="C193" s="48">
        <v>351</v>
      </c>
    </row>
    <row r="194" spans="1:3" x14ac:dyDescent="0.25">
      <c r="A194" s="63">
        <v>42125</v>
      </c>
      <c r="B194" s="26">
        <v>80</v>
      </c>
      <c r="C194" s="48">
        <v>226</v>
      </c>
    </row>
    <row r="195" spans="1:3" x14ac:dyDescent="0.25">
      <c r="A195" s="63">
        <v>42126</v>
      </c>
      <c r="B195" s="26">
        <v>75</v>
      </c>
      <c r="C195" s="48">
        <v>165</v>
      </c>
    </row>
    <row r="196" spans="1:3" x14ac:dyDescent="0.25">
      <c r="A196" s="63">
        <v>42127</v>
      </c>
      <c r="B196" s="26">
        <v>51</v>
      </c>
      <c r="C196" s="48">
        <v>532</v>
      </c>
    </row>
    <row r="197" spans="1:3" x14ac:dyDescent="0.25">
      <c r="A197" s="63">
        <v>42128</v>
      </c>
      <c r="B197" s="26">
        <v>44</v>
      </c>
      <c r="C197" s="48">
        <v>410</v>
      </c>
    </row>
    <row r="198" spans="1:3" x14ac:dyDescent="0.25">
      <c r="A198" s="63">
        <v>42129</v>
      </c>
      <c r="B198" s="26">
        <v>79</v>
      </c>
      <c r="C198" s="48">
        <v>121</v>
      </c>
    </row>
    <row r="199" spans="1:3" x14ac:dyDescent="0.25">
      <c r="A199" s="63">
        <v>42130</v>
      </c>
      <c r="B199" s="26">
        <v>61</v>
      </c>
      <c r="C199" s="48">
        <v>340.5</v>
      </c>
    </row>
    <row r="200" spans="1:3" x14ac:dyDescent="0.25">
      <c r="A200" s="63">
        <v>42131</v>
      </c>
      <c r="B200" s="26">
        <v>49</v>
      </c>
      <c r="C200" s="48">
        <v>264</v>
      </c>
    </row>
    <row r="201" spans="1:3" x14ac:dyDescent="0.25">
      <c r="A201" s="63">
        <v>42132</v>
      </c>
      <c r="B201" s="26">
        <v>80</v>
      </c>
      <c r="C201" s="48">
        <v>212</v>
      </c>
    </row>
    <row r="202" spans="1:3" x14ac:dyDescent="0.25">
      <c r="A202" s="63">
        <v>42133</v>
      </c>
      <c r="B202" s="26">
        <v>47</v>
      </c>
      <c r="C202" s="48">
        <v>590</v>
      </c>
    </row>
    <row r="203" spans="1:3" x14ac:dyDescent="0.25">
      <c r="A203" s="63">
        <v>42134</v>
      </c>
      <c r="B203" s="26">
        <v>77</v>
      </c>
      <c r="C203" s="48">
        <v>153</v>
      </c>
    </row>
    <row r="204" spans="1:3" x14ac:dyDescent="0.25">
      <c r="A204" s="63">
        <v>42135</v>
      </c>
      <c r="B204" s="26">
        <v>60</v>
      </c>
      <c r="C204" s="48">
        <v>202.5</v>
      </c>
    </row>
    <row r="205" spans="1:3" x14ac:dyDescent="0.25">
      <c r="A205" s="63">
        <v>42136</v>
      </c>
      <c r="B205" s="26">
        <v>54</v>
      </c>
      <c r="C205" s="48">
        <v>564</v>
      </c>
    </row>
    <row r="206" spans="1:3" x14ac:dyDescent="0.25">
      <c r="A206" s="63">
        <v>42137</v>
      </c>
      <c r="B206" s="26">
        <v>44</v>
      </c>
      <c r="C206" s="48">
        <v>326</v>
      </c>
    </row>
    <row r="207" spans="1:3" x14ac:dyDescent="0.25">
      <c r="A207" s="63">
        <v>42138</v>
      </c>
      <c r="B207" s="26">
        <v>50</v>
      </c>
      <c r="C207" s="48">
        <v>308</v>
      </c>
    </row>
    <row r="208" spans="1:3" x14ac:dyDescent="0.25">
      <c r="A208" s="63">
        <v>42139</v>
      </c>
      <c r="B208" s="26">
        <v>69</v>
      </c>
      <c r="C208" s="48">
        <v>220</v>
      </c>
    </row>
    <row r="209" spans="1:3" x14ac:dyDescent="0.25">
      <c r="A209" s="63">
        <v>42140</v>
      </c>
      <c r="B209" s="26">
        <v>59</v>
      </c>
      <c r="C209" s="48">
        <v>448.5</v>
      </c>
    </row>
    <row r="210" spans="1:3" x14ac:dyDescent="0.25">
      <c r="A210" s="63">
        <v>42141</v>
      </c>
      <c r="B210" s="26">
        <v>81</v>
      </c>
      <c r="C210" s="48">
        <v>239</v>
      </c>
    </row>
    <row r="211" spans="1:3" x14ac:dyDescent="0.25">
      <c r="A211" s="63">
        <v>42142</v>
      </c>
      <c r="B211" s="26">
        <v>82</v>
      </c>
      <c r="C211" s="48">
        <v>227</v>
      </c>
    </row>
    <row r="212" spans="1:3" x14ac:dyDescent="0.25">
      <c r="A212" s="63">
        <v>42143</v>
      </c>
      <c r="B212" s="26">
        <v>59</v>
      </c>
      <c r="C212" s="48">
        <v>222</v>
      </c>
    </row>
    <row r="213" spans="1:3" x14ac:dyDescent="0.25">
      <c r="A213" s="63">
        <v>42144</v>
      </c>
      <c r="B213" s="26">
        <v>47</v>
      </c>
      <c r="C213" s="48">
        <v>282</v>
      </c>
    </row>
    <row r="214" spans="1:3" x14ac:dyDescent="0.25">
      <c r="A214" s="63">
        <v>42145</v>
      </c>
      <c r="B214" s="26">
        <v>71</v>
      </c>
      <c r="C214" s="48">
        <v>225</v>
      </c>
    </row>
    <row r="215" spans="1:3" x14ac:dyDescent="0.25">
      <c r="A215" s="63">
        <v>42146</v>
      </c>
      <c r="B215" s="26">
        <v>45</v>
      </c>
      <c r="C215" s="48">
        <v>332</v>
      </c>
    </row>
    <row r="216" spans="1:3" x14ac:dyDescent="0.25">
      <c r="A216" s="63">
        <v>42147</v>
      </c>
      <c r="B216" s="26">
        <v>65</v>
      </c>
      <c r="C216" s="48">
        <v>178</v>
      </c>
    </row>
    <row r="217" spans="1:3" x14ac:dyDescent="0.25">
      <c r="A217" s="63">
        <v>42148</v>
      </c>
      <c r="B217" s="26">
        <v>78</v>
      </c>
      <c r="C217" s="48">
        <v>290</v>
      </c>
    </row>
    <row r="218" spans="1:3" x14ac:dyDescent="0.25">
      <c r="A218" s="63">
        <v>42149</v>
      </c>
      <c r="B218" s="26">
        <v>54</v>
      </c>
      <c r="C218" s="48">
        <v>246</v>
      </c>
    </row>
    <row r="219" spans="1:3" x14ac:dyDescent="0.25">
      <c r="A219" s="63">
        <v>42150</v>
      </c>
      <c r="B219" s="26">
        <v>46</v>
      </c>
      <c r="C219" s="48">
        <v>598</v>
      </c>
    </row>
    <row r="220" spans="1:3" x14ac:dyDescent="0.25">
      <c r="A220" s="63">
        <v>42151</v>
      </c>
      <c r="B220" s="26">
        <v>81</v>
      </c>
      <c r="C220" s="48">
        <v>186</v>
      </c>
    </row>
    <row r="221" spans="1:3" x14ac:dyDescent="0.25">
      <c r="A221" s="63">
        <v>42152</v>
      </c>
      <c r="B221" s="26">
        <v>52</v>
      </c>
      <c r="C221" s="48">
        <v>584</v>
      </c>
    </row>
    <row r="222" spans="1:3" x14ac:dyDescent="0.25">
      <c r="A222" s="63">
        <v>42153</v>
      </c>
      <c r="B222" s="26">
        <v>79</v>
      </c>
      <c r="C222" s="48">
        <v>259</v>
      </c>
    </row>
    <row r="223" spans="1:3" x14ac:dyDescent="0.25">
      <c r="A223" s="63">
        <v>42154</v>
      </c>
      <c r="B223" s="26">
        <v>77</v>
      </c>
      <c r="C223" s="48">
        <v>162</v>
      </c>
    </row>
    <row r="224" spans="1:3" x14ac:dyDescent="0.25">
      <c r="A224" s="63">
        <v>42155</v>
      </c>
      <c r="B224" s="26">
        <v>66</v>
      </c>
      <c r="C224" s="48">
        <v>162</v>
      </c>
    </row>
    <row r="225" spans="1:3" x14ac:dyDescent="0.25">
      <c r="A225" s="63">
        <v>42156</v>
      </c>
      <c r="B225" s="26">
        <v>60</v>
      </c>
      <c r="C225" s="48">
        <v>300</v>
      </c>
    </row>
    <row r="226" spans="1:3" x14ac:dyDescent="0.25">
      <c r="A226" s="63">
        <v>42157</v>
      </c>
      <c r="B226" s="26">
        <v>66</v>
      </c>
      <c r="C226" s="48">
        <v>228</v>
      </c>
    </row>
    <row r="227" spans="1:3" x14ac:dyDescent="0.25">
      <c r="A227" s="63">
        <v>42158</v>
      </c>
      <c r="B227" s="26">
        <v>63</v>
      </c>
      <c r="C227" s="48">
        <v>336</v>
      </c>
    </row>
    <row r="228" spans="1:3" x14ac:dyDescent="0.25">
      <c r="A228" s="63">
        <v>42159</v>
      </c>
      <c r="B228" s="26">
        <v>76</v>
      </c>
      <c r="C228" s="48">
        <v>164</v>
      </c>
    </row>
    <row r="229" spans="1:3" x14ac:dyDescent="0.25">
      <c r="A229" s="63">
        <v>42160</v>
      </c>
      <c r="B229" s="26">
        <v>64</v>
      </c>
      <c r="C229" s="48">
        <v>238.5</v>
      </c>
    </row>
    <row r="230" spans="1:3" x14ac:dyDescent="0.25">
      <c r="A230" s="63">
        <v>42161</v>
      </c>
      <c r="B230" s="26">
        <v>54</v>
      </c>
      <c r="C230" s="48">
        <v>548</v>
      </c>
    </row>
    <row r="231" spans="1:3" x14ac:dyDescent="0.25">
      <c r="A231" s="63">
        <v>42162</v>
      </c>
      <c r="B231" s="26">
        <v>62</v>
      </c>
      <c r="C231" s="48">
        <v>187.5</v>
      </c>
    </row>
    <row r="232" spans="1:3" x14ac:dyDescent="0.25">
      <c r="A232" s="63">
        <v>42163</v>
      </c>
      <c r="B232" s="26">
        <v>75</v>
      </c>
      <c r="C232" s="48">
        <v>208</v>
      </c>
    </row>
    <row r="233" spans="1:3" x14ac:dyDescent="0.25">
      <c r="A233" s="63">
        <v>42164</v>
      </c>
      <c r="B233" s="26">
        <v>60</v>
      </c>
      <c r="C233" s="48">
        <v>153</v>
      </c>
    </row>
    <row r="234" spans="1:3" x14ac:dyDescent="0.25">
      <c r="A234" s="63">
        <v>42165</v>
      </c>
      <c r="B234" s="26">
        <v>61</v>
      </c>
      <c r="C234" s="48">
        <v>343.5</v>
      </c>
    </row>
    <row r="235" spans="1:3" x14ac:dyDescent="0.25">
      <c r="A235" s="63">
        <v>42166</v>
      </c>
      <c r="B235" s="26">
        <v>74</v>
      </c>
      <c r="C235" s="48">
        <v>275</v>
      </c>
    </row>
    <row r="236" spans="1:3" x14ac:dyDescent="0.25">
      <c r="A236" s="63">
        <v>42167</v>
      </c>
      <c r="B236" s="26">
        <v>72</v>
      </c>
      <c r="C236" s="48">
        <v>138</v>
      </c>
    </row>
    <row r="237" spans="1:3" x14ac:dyDescent="0.25">
      <c r="A237" s="63">
        <v>42168</v>
      </c>
      <c r="B237" s="26">
        <v>77</v>
      </c>
      <c r="C237" s="48">
        <v>168</v>
      </c>
    </row>
    <row r="238" spans="1:3" x14ac:dyDescent="0.25">
      <c r="A238" s="63">
        <v>42169</v>
      </c>
      <c r="B238" s="26">
        <v>56</v>
      </c>
      <c r="C238" s="48">
        <v>289.5</v>
      </c>
    </row>
    <row r="239" spans="1:3" x14ac:dyDescent="0.25">
      <c r="A239" s="63">
        <v>42170</v>
      </c>
      <c r="B239" s="26">
        <v>73</v>
      </c>
      <c r="C239" s="48">
        <v>156</v>
      </c>
    </row>
    <row r="240" spans="1:3" x14ac:dyDescent="0.25">
      <c r="A240" s="63">
        <v>42171</v>
      </c>
      <c r="B240" s="26">
        <v>60</v>
      </c>
      <c r="C240" s="48">
        <v>345</v>
      </c>
    </row>
    <row r="241" spans="1:3" x14ac:dyDescent="0.25">
      <c r="A241" s="63">
        <v>42172</v>
      </c>
      <c r="B241" s="26">
        <v>72</v>
      </c>
      <c r="C241" s="48">
        <v>292</v>
      </c>
    </row>
    <row r="242" spans="1:3" x14ac:dyDescent="0.25">
      <c r="A242" s="63">
        <v>42173</v>
      </c>
      <c r="B242" s="26">
        <v>66</v>
      </c>
      <c r="C242" s="48">
        <v>100</v>
      </c>
    </row>
    <row r="243" spans="1:3" x14ac:dyDescent="0.25">
      <c r="A243" s="63">
        <v>42174</v>
      </c>
      <c r="B243" s="26">
        <v>57</v>
      </c>
      <c r="C243" s="48">
        <v>355.5</v>
      </c>
    </row>
    <row r="244" spans="1:3" x14ac:dyDescent="0.25">
      <c r="A244" s="63">
        <v>42175</v>
      </c>
      <c r="B244" s="26">
        <v>57</v>
      </c>
      <c r="C244" s="48">
        <v>171</v>
      </c>
    </row>
    <row r="245" spans="1:3" x14ac:dyDescent="0.25">
      <c r="A245" s="63">
        <v>42176</v>
      </c>
      <c r="B245" s="26">
        <v>78</v>
      </c>
      <c r="C245" s="48">
        <v>253</v>
      </c>
    </row>
    <row r="246" spans="1:3" x14ac:dyDescent="0.25">
      <c r="A246" s="63">
        <v>42177</v>
      </c>
      <c r="B246" s="26">
        <v>56</v>
      </c>
      <c r="C246" s="48">
        <v>303</v>
      </c>
    </row>
    <row r="247" spans="1:3" x14ac:dyDescent="0.25">
      <c r="A247" s="63">
        <v>42178</v>
      </c>
      <c r="B247" s="26">
        <v>59</v>
      </c>
      <c r="C247" s="48">
        <v>319.5</v>
      </c>
    </row>
    <row r="248" spans="1:3" x14ac:dyDescent="0.25">
      <c r="A248" s="63">
        <v>42179</v>
      </c>
      <c r="B248" s="26">
        <v>71</v>
      </c>
      <c r="C248" s="48">
        <v>115</v>
      </c>
    </row>
    <row r="249" spans="1:3" x14ac:dyDescent="0.25">
      <c r="A249" s="63">
        <v>42180</v>
      </c>
      <c r="B249" s="26">
        <v>66</v>
      </c>
      <c r="C249" s="48">
        <v>133</v>
      </c>
    </row>
    <row r="250" spans="1:3" x14ac:dyDescent="0.25">
      <c r="A250" s="63">
        <v>42181</v>
      </c>
      <c r="B250" s="26">
        <v>58</v>
      </c>
      <c r="C250" s="48">
        <v>318</v>
      </c>
    </row>
    <row r="251" spans="1:3" x14ac:dyDescent="0.25">
      <c r="A251" s="63">
        <v>42182</v>
      </c>
      <c r="B251" s="26">
        <v>67</v>
      </c>
      <c r="C251" s="48">
        <v>137</v>
      </c>
    </row>
    <row r="252" spans="1:3" x14ac:dyDescent="0.25">
      <c r="A252" s="63">
        <v>42183</v>
      </c>
      <c r="B252" s="26">
        <v>66</v>
      </c>
      <c r="C252" s="48">
        <v>275</v>
      </c>
    </row>
    <row r="253" spans="1:3" x14ac:dyDescent="0.25">
      <c r="A253" s="63">
        <v>42184</v>
      </c>
      <c r="B253" s="26">
        <v>76</v>
      </c>
      <c r="C253" s="48">
        <v>132</v>
      </c>
    </row>
    <row r="254" spans="1:3" x14ac:dyDescent="0.25">
      <c r="A254" s="63">
        <v>42185</v>
      </c>
      <c r="B254" s="26">
        <v>57</v>
      </c>
      <c r="C254" s="48">
        <v>244.5</v>
      </c>
    </row>
    <row r="255" spans="1:3" x14ac:dyDescent="0.25">
      <c r="A255" s="63">
        <v>42186</v>
      </c>
      <c r="B255" s="26">
        <v>72</v>
      </c>
      <c r="C255" s="48">
        <v>135</v>
      </c>
    </row>
    <row r="256" spans="1:3" x14ac:dyDescent="0.25">
      <c r="A256" s="63">
        <v>42187</v>
      </c>
      <c r="B256" s="26">
        <v>62</v>
      </c>
      <c r="C256" s="48">
        <v>246</v>
      </c>
    </row>
    <row r="257" spans="1:3" x14ac:dyDescent="0.25">
      <c r="A257" s="63">
        <v>42188</v>
      </c>
      <c r="B257" s="26">
        <v>79</v>
      </c>
      <c r="C257" s="48">
        <v>222</v>
      </c>
    </row>
    <row r="258" spans="1:3" x14ac:dyDescent="0.25">
      <c r="A258" s="63">
        <v>42189</v>
      </c>
      <c r="B258" s="26">
        <v>83</v>
      </c>
      <c r="C258" s="48">
        <v>297</v>
      </c>
    </row>
    <row r="259" spans="1:3" x14ac:dyDescent="0.25">
      <c r="A259" s="63">
        <v>42190</v>
      </c>
      <c r="B259" s="26">
        <v>71</v>
      </c>
      <c r="C259" s="48">
        <v>173</v>
      </c>
    </row>
    <row r="260" spans="1:3" x14ac:dyDescent="0.25">
      <c r="A260" s="63">
        <v>42191</v>
      </c>
      <c r="B260" s="26">
        <v>78</v>
      </c>
      <c r="C260" s="48">
        <v>154</v>
      </c>
    </row>
    <row r="261" spans="1:3" x14ac:dyDescent="0.25">
      <c r="A261" s="63">
        <v>42192</v>
      </c>
      <c r="B261" s="26">
        <v>70</v>
      </c>
      <c r="C261" s="48">
        <v>160</v>
      </c>
    </row>
    <row r="262" spans="1:3" x14ac:dyDescent="0.25">
      <c r="A262" s="63">
        <v>42193</v>
      </c>
      <c r="B262" s="26">
        <v>81</v>
      </c>
      <c r="C262" s="48">
        <v>139</v>
      </c>
    </row>
    <row r="263" spans="1:3" x14ac:dyDescent="0.25">
      <c r="A263" s="63">
        <v>42194</v>
      </c>
      <c r="B263" s="26">
        <v>74</v>
      </c>
      <c r="C263" s="48">
        <v>103</v>
      </c>
    </row>
    <row r="264" spans="1:3" x14ac:dyDescent="0.25">
      <c r="A264" s="63">
        <v>42195</v>
      </c>
      <c r="B264" s="26">
        <v>92</v>
      </c>
      <c r="C264" s="48">
        <v>508</v>
      </c>
    </row>
    <row r="265" spans="1:3" x14ac:dyDescent="0.25">
      <c r="A265" s="63">
        <v>42196</v>
      </c>
      <c r="B265" s="26">
        <v>78</v>
      </c>
      <c r="C265" s="48">
        <v>172</v>
      </c>
    </row>
    <row r="266" spans="1:3" x14ac:dyDescent="0.25">
      <c r="A266" s="63">
        <v>42197</v>
      </c>
      <c r="B266" s="26">
        <v>87</v>
      </c>
      <c r="C266" s="48">
        <v>429</v>
      </c>
    </row>
    <row r="267" spans="1:3" x14ac:dyDescent="0.25">
      <c r="A267" s="63">
        <v>42198</v>
      </c>
      <c r="B267" s="26">
        <v>62</v>
      </c>
      <c r="C267" s="48">
        <v>406.5</v>
      </c>
    </row>
    <row r="268" spans="1:3" x14ac:dyDescent="0.25">
      <c r="A268" s="63">
        <v>42199</v>
      </c>
      <c r="B268" s="26">
        <v>85</v>
      </c>
      <c r="C268" s="48">
        <v>340.5</v>
      </c>
    </row>
    <row r="269" spans="1:3" x14ac:dyDescent="0.25">
      <c r="A269" s="63">
        <v>42200</v>
      </c>
      <c r="B269" s="26">
        <v>92</v>
      </c>
      <c r="C269" s="48">
        <v>268</v>
      </c>
    </row>
    <row r="270" spans="1:3" x14ac:dyDescent="0.25">
      <c r="A270" s="63">
        <v>42201</v>
      </c>
      <c r="B270" s="26">
        <v>84</v>
      </c>
      <c r="C270" s="48">
        <v>235</v>
      </c>
    </row>
    <row r="271" spans="1:3" x14ac:dyDescent="0.25">
      <c r="A271" s="63">
        <v>42202</v>
      </c>
      <c r="B271" s="26">
        <v>90</v>
      </c>
      <c r="C271" s="48">
        <v>396</v>
      </c>
    </row>
    <row r="272" spans="1:3" x14ac:dyDescent="0.25">
      <c r="A272" s="63">
        <v>42203</v>
      </c>
      <c r="B272" s="26">
        <v>66</v>
      </c>
      <c r="C272" s="48">
        <v>254</v>
      </c>
    </row>
    <row r="273" spans="1:3" x14ac:dyDescent="0.25">
      <c r="A273" s="63">
        <v>42204</v>
      </c>
      <c r="B273" s="26">
        <v>67</v>
      </c>
      <c r="C273" s="48">
        <v>189</v>
      </c>
    </row>
    <row r="274" spans="1:3" x14ac:dyDescent="0.25">
      <c r="A274" s="63">
        <v>42205</v>
      </c>
      <c r="B274" s="26">
        <v>79</v>
      </c>
      <c r="C274" s="48">
        <v>293</v>
      </c>
    </row>
    <row r="275" spans="1:3" x14ac:dyDescent="0.25">
      <c r="A275" s="63">
        <v>42206</v>
      </c>
      <c r="B275" s="26">
        <v>74</v>
      </c>
      <c r="C275" s="48">
        <v>115</v>
      </c>
    </row>
    <row r="276" spans="1:3" x14ac:dyDescent="0.25">
      <c r="A276" s="63">
        <v>42207</v>
      </c>
      <c r="B276" s="26">
        <v>84</v>
      </c>
      <c r="C276" s="48">
        <v>181</v>
      </c>
    </row>
    <row r="277" spans="1:3" x14ac:dyDescent="0.25">
      <c r="A277" s="63">
        <v>42208</v>
      </c>
      <c r="B277" s="26">
        <v>73</v>
      </c>
      <c r="C277" s="48">
        <v>200</v>
      </c>
    </row>
    <row r="278" spans="1:3" x14ac:dyDescent="0.25">
      <c r="A278" s="63">
        <v>42209</v>
      </c>
      <c r="B278" s="26">
        <v>72</v>
      </c>
      <c r="C278" s="48">
        <v>234</v>
      </c>
    </row>
    <row r="279" spans="1:3" x14ac:dyDescent="0.25">
      <c r="A279" s="63">
        <v>42210</v>
      </c>
      <c r="B279" s="26">
        <v>89</v>
      </c>
      <c r="C279" s="48">
        <v>423</v>
      </c>
    </row>
    <row r="280" spans="1:3" x14ac:dyDescent="0.25">
      <c r="A280" s="63">
        <v>42211</v>
      </c>
      <c r="B280" s="26">
        <v>75</v>
      </c>
      <c r="C280" s="48">
        <v>102</v>
      </c>
    </row>
    <row r="281" spans="1:3" x14ac:dyDescent="0.25">
      <c r="A281" s="63">
        <v>42212</v>
      </c>
      <c r="B281" s="26">
        <v>80</v>
      </c>
      <c r="C281" s="48">
        <v>272</v>
      </c>
    </row>
    <row r="282" spans="1:3" x14ac:dyDescent="0.25">
      <c r="A282" s="63">
        <v>42213</v>
      </c>
      <c r="B282" s="26">
        <v>65</v>
      </c>
      <c r="C282" s="48">
        <v>159</v>
      </c>
    </row>
    <row r="283" spans="1:3" x14ac:dyDescent="0.25">
      <c r="A283" s="63">
        <v>42214</v>
      </c>
      <c r="B283" s="26">
        <v>71</v>
      </c>
      <c r="C283" s="48">
        <v>281</v>
      </c>
    </row>
    <row r="284" spans="1:3" x14ac:dyDescent="0.25">
      <c r="A284" s="63">
        <v>42215</v>
      </c>
      <c r="B284" s="26">
        <v>91</v>
      </c>
      <c r="C284" s="48">
        <v>210</v>
      </c>
    </row>
    <row r="285" spans="1:3" x14ac:dyDescent="0.25">
      <c r="A285" s="63">
        <v>42216</v>
      </c>
      <c r="B285" s="26">
        <v>89</v>
      </c>
      <c r="C285" s="48">
        <v>273</v>
      </c>
    </row>
    <row r="286" spans="1:3" x14ac:dyDescent="0.25">
      <c r="A286" s="63">
        <v>42217</v>
      </c>
      <c r="B286" s="26">
        <v>98</v>
      </c>
      <c r="C286" s="48">
        <v>310</v>
      </c>
    </row>
    <row r="287" spans="1:3" x14ac:dyDescent="0.25">
      <c r="A287" s="63">
        <v>42218</v>
      </c>
      <c r="B287" s="26">
        <v>91</v>
      </c>
      <c r="C287" s="48">
        <v>578</v>
      </c>
    </row>
    <row r="288" spans="1:3" x14ac:dyDescent="0.25">
      <c r="A288" s="63">
        <v>42219</v>
      </c>
      <c r="B288" s="26">
        <v>82</v>
      </c>
      <c r="C288" s="48">
        <v>300</v>
      </c>
    </row>
    <row r="289" spans="1:3" x14ac:dyDescent="0.25">
      <c r="A289" s="63">
        <v>42220</v>
      </c>
      <c r="B289" s="26">
        <v>93</v>
      </c>
      <c r="C289" s="48">
        <v>584</v>
      </c>
    </row>
    <row r="290" spans="1:3" x14ac:dyDescent="0.25">
      <c r="A290" s="63">
        <v>42221</v>
      </c>
      <c r="B290" s="26">
        <v>73</v>
      </c>
      <c r="C290" s="48">
        <v>159</v>
      </c>
    </row>
    <row r="291" spans="1:3" x14ac:dyDescent="0.25">
      <c r="A291" s="63">
        <v>42222</v>
      </c>
      <c r="B291" s="26">
        <v>99</v>
      </c>
      <c r="C291" s="48">
        <v>715</v>
      </c>
    </row>
    <row r="292" spans="1:3" x14ac:dyDescent="0.25">
      <c r="A292" s="63">
        <v>42223</v>
      </c>
      <c r="B292" s="26">
        <v>85</v>
      </c>
      <c r="C292" s="48">
        <v>426</v>
      </c>
    </row>
    <row r="293" spans="1:3" x14ac:dyDescent="0.25">
      <c r="A293" s="63">
        <v>42224</v>
      </c>
      <c r="B293" s="26">
        <v>71</v>
      </c>
      <c r="C293" s="48">
        <v>251</v>
      </c>
    </row>
    <row r="294" spans="1:3" x14ac:dyDescent="0.25">
      <c r="A294" s="63">
        <v>42225</v>
      </c>
      <c r="B294" s="26">
        <v>90</v>
      </c>
      <c r="C294" s="48">
        <v>294</v>
      </c>
    </row>
    <row r="295" spans="1:3" x14ac:dyDescent="0.25">
      <c r="A295" s="63">
        <v>42226</v>
      </c>
      <c r="B295" s="26">
        <v>71</v>
      </c>
      <c r="C295" s="48">
        <v>288</v>
      </c>
    </row>
    <row r="296" spans="1:3" x14ac:dyDescent="0.25">
      <c r="A296" s="63">
        <v>42227</v>
      </c>
      <c r="B296" s="26">
        <v>97</v>
      </c>
      <c r="C296" s="48">
        <v>740</v>
      </c>
    </row>
    <row r="297" spans="1:3" x14ac:dyDescent="0.25">
      <c r="A297" s="63">
        <v>42228</v>
      </c>
      <c r="B297" s="26">
        <v>100</v>
      </c>
      <c r="C297" s="48">
        <v>646.25</v>
      </c>
    </row>
    <row r="298" spans="1:3" x14ac:dyDescent="0.25">
      <c r="A298" s="63">
        <v>42229</v>
      </c>
      <c r="B298" s="26">
        <v>96</v>
      </c>
      <c r="C298" s="48">
        <v>337.5</v>
      </c>
    </row>
    <row r="299" spans="1:3" x14ac:dyDescent="0.25">
      <c r="A299" s="63">
        <v>42230</v>
      </c>
      <c r="B299" s="26">
        <v>75</v>
      </c>
      <c r="C299" s="48">
        <v>154</v>
      </c>
    </row>
    <row r="300" spans="1:3" x14ac:dyDescent="0.25">
      <c r="A300" s="63">
        <v>42231</v>
      </c>
      <c r="B300" s="26">
        <v>80</v>
      </c>
      <c r="C300" s="48">
        <v>153</v>
      </c>
    </row>
    <row r="301" spans="1:3" x14ac:dyDescent="0.25">
      <c r="A301" s="63">
        <v>42232</v>
      </c>
      <c r="B301" s="26">
        <v>74</v>
      </c>
      <c r="C301" s="48">
        <v>207</v>
      </c>
    </row>
    <row r="302" spans="1:3" x14ac:dyDescent="0.25">
      <c r="A302" s="63">
        <v>42233</v>
      </c>
      <c r="B302" s="26">
        <v>84</v>
      </c>
      <c r="C302" s="48">
        <v>151</v>
      </c>
    </row>
    <row r="303" spans="1:3" x14ac:dyDescent="0.25">
      <c r="A303" s="63">
        <v>42234</v>
      </c>
      <c r="B303" s="26">
        <v>94</v>
      </c>
      <c r="C303" s="48">
        <v>308</v>
      </c>
    </row>
    <row r="304" spans="1:3" x14ac:dyDescent="0.25">
      <c r="A304" s="63">
        <v>42235</v>
      </c>
      <c r="B304" s="26">
        <v>99</v>
      </c>
      <c r="C304" s="48">
        <v>285</v>
      </c>
    </row>
    <row r="305" spans="1:3" x14ac:dyDescent="0.25">
      <c r="A305" s="63">
        <v>42236</v>
      </c>
      <c r="B305" s="26">
        <v>94</v>
      </c>
      <c r="C305" s="48">
        <v>422</v>
      </c>
    </row>
    <row r="306" spans="1:3" x14ac:dyDescent="0.25">
      <c r="A306" s="63">
        <v>42237</v>
      </c>
      <c r="B306" s="26">
        <v>95</v>
      </c>
      <c r="C306" s="48">
        <v>400</v>
      </c>
    </row>
    <row r="307" spans="1:3" x14ac:dyDescent="0.25">
      <c r="A307" s="63">
        <v>42238</v>
      </c>
      <c r="B307" s="26">
        <v>88</v>
      </c>
      <c r="C307" s="48">
        <v>426</v>
      </c>
    </row>
    <row r="308" spans="1:3" x14ac:dyDescent="0.25">
      <c r="A308" s="63">
        <v>42239</v>
      </c>
      <c r="B308" s="26">
        <v>83</v>
      </c>
      <c r="C308" s="48">
        <v>182</v>
      </c>
    </row>
    <row r="309" spans="1:3" x14ac:dyDescent="0.25">
      <c r="A309" s="63">
        <v>42240</v>
      </c>
      <c r="B309" s="26">
        <v>89</v>
      </c>
      <c r="C309" s="48">
        <v>201</v>
      </c>
    </row>
    <row r="310" spans="1:3" x14ac:dyDescent="0.25">
      <c r="A310" s="63">
        <v>42241</v>
      </c>
      <c r="B310" s="26">
        <v>79</v>
      </c>
      <c r="C310" s="48">
        <v>294</v>
      </c>
    </row>
    <row r="311" spans="1:3" x14ac:dyDescent="0.25">
      <c r="A311" s="63">
        <v>42242</v>
      </c>
      <c r="B311" s="26">
        <v>92</v>
      </c>
      <c r="C311" s="48">
        <v>244</v>
      </c>
    </row>
    <row r="312" spans="1:3" x14ac:dyDescent="0.25">
      <c r="A312" s="63">
        <v>42243</v>
      </c>
      <c r="B312" s="26">
        <v>100</v>
      </c>
      <c r="C312" s="48">
        <v>379.5</v>
      </c>
    </row>
    <row r="313" spans="1:3" x14ac:dyDescent="0.25">
      <c r="A313" s="63">
        <v>42244</v>
      </c>
      <c r="B313" s="26">
        <v>80</v>
      </c>
      <c r="C313" s="48">
        <v>257</v>
      </c>
    </row>
    <row r="314" spans="1:3" x14ac:dyDescent="0.25">
      <c r="A314" s="63">
        <v>42245</v>
      </c>
      <c r="B314" s="26">
        <v>97</v>
      </c>
      <c r="C314" s="48">
        <v>590</v>
      </c>
    </row>
    <row r="315" spans="1:3" x14ac:dyDescent="0.25">
      <c r="A315" s="63">
        <v>42246</v>
      </c>
      <c r="B315" s="26">
        <v>70</v>
      </c>
      <c r="C315" s="48">
        <v>199</v>
      </c>
    </row>
    <row r="316" spans="1:3" x14ac:dyDescent="0.25">
      <c r="A316" s="63">
        <v>42247</v>
      </c>
      <c r="B316" s="26">
        <v>90</v>
      </c>
      <c r="C316" s="48">
        <v>248</v>
      </c>
    </row>
    <row r="317" spans="1:3" x14ac:dyDescent="0.25">
      <c r="A317" s="63">
        <v>42248</v>
      </c>
      <c r="B317" s="26">
        <v>75</v>
      </c>
      <c r="C317" s="48">
        <v>106</v>
      </c>
    </row>
    <row r="318" spans="1:3" x14ac:dyDescent="0.25">
      <c r="A318" s="63">
        <v>42249</v>
      </c>
      <c r="B318" s="26">
        <v>86</v>
      </c>
      <c r="C318" s="48">
        <v>217.5</v>
      </c>
    </row>
    <row r="319" spans="1:3" x14ac:dyDescent="0.25">
      <c r="A319" s="63">
        <v>42250</v>
      </c>
      <c r="B319" s="26">
        <v>91</v>
      </c>
      <c r="C319" s="48">
        <v>328</v>
      </c>
    </row>
    <row r="320" spans="1:3" x14ac:dyDescent="0.25">
      <c r="A320" s="63">
        <v>42251</v>
      </c>
      <c r="B320" s="26">
        <v>80</v>
      </c>
      <c r="C320" s="48">
        <v>133</v>
      </c>
    </row>
    <row r="321" spans="1:3" x14ac:dyDescent="0.25">
      <c r="A321" s="63">
        <v>42252</v>
      </c>
      <c r="B321" s="26">
        <v>73</v>
      </c>
      <c r="C321" s="48">
        <v>118</v>
      </c>
    </row>
    <row r="322" spans="1:3" x14ac:dyDescent="0.25">
      <c r="A322" s="63">
        <v>42253</v>
      </c>
      <c r="B322" s="26">
        <v>85</v>
      </c>
      <c r="C322" s="48">
        <v>442.5</v>
      </c>
    </row>
    <row r="323" spans="1:3" x14ac:dyDescent="0.25">
      <c r="A323" s="63">
        <v>42254</v>
      </c>
      <c r="B323" s="26">
        <v>95</v>
      </c>
      <c r="C323" s="48">
        <v>455</v>
      </c>
    </row>
    <row r="324" spans="1:3" x14ac:dyDescent="0.25">
      <c r="A324" s="63">
        <v>42255</v>
      </c>
      <c r="B324" s="26">
        <v>75</v>
      </c>
      <c r="C324" s="48">
        <v>188</v>
      </c>
    </row>
    <row r="325" spans="1:3" x14ac:dyDescent="0.25">
      <c r="A325" s="63">
        <v>42256</v>
      </c>
      <c r="B325" s="26">
        <v>87</v>
      </c>
      <c r="C325" s="48">
        <v>255</v>
      </c>
    </row>
    <row r="326" spans="1:3" x14ac:dyDescent="0.25">
      <c r="A326" s="63">
        <v>42257</v>
      </c>
      <c r="B326" s="26">
        <v>80</v>
      </c>
      <c r="C326" s="48">
        <v>294</v>
      </c>
    </row>
    <row r="327" spans="1:3" x14ac:dyDescent="0.25">
      <c r="A327" s="63">
        <v>42258</v>
      </c>
      <c r="B327" s="26">
        <v>88</v>
      </c>
      <c r="C327" s="48">
        <v>304.5</v>
      </c>
    </row>
    <row r="328" spans="1:3" x14ac:dyDescent="0.25">
      <c r="A328" s="63">
        <v>42259</v>
      </c>
      <c r="B328" s="26">
        <v>75</v>
      </c>
      <c r="C328" s="48">
        <v>138</v>
      </c>
    </row>
    <row r="329" spans="1:3" x14ac:dyDescent="0.25">
      <c r="A329" s="63">
        <v>42260</v>
      </c>
      <c r="B329" s="26">
        <v>68</v>
      </c>
      <c r="C329" s="48">
        <v>253</v>
      </c>
    </row>
    <row r="330" spans="1:3" x14ac:dyDescent="0.25">
      <c r="A330" s="63">
        <v>42261</v>
      </c>
      <c r="B330" s="26">
        <v>70</v>
      </c>
      <c r="C330" s="48">
        <v>180</v>
      </c>
    </row>
    <row r="331" spans="1:3" x14ac:dyDescent="0.25">
      <c r="A331" s="63">
        <v>42262</v>
      </c>
      <c r="B331" s="26">
        <v>76</v>
      </c>
      <c r="C331" s="48">
        <v>210</v>
      </c>
    </row>
    <row r="332" spans="1:3" x14ac:dyDescent="0.25">
      <c r="A332" s="63">
        <v>42263</v>
      </c>
      <c r="B332" s="26">
        <v>87</v>
      </c>
      <c r="C332" s="48">
        <v>436.5</v>
      </c>
    </row>
    <row r="333" spans="1:3" x14ac:dyDescent="0.25">
      <c r="A333" s="63">
        <v>42264</v>
      </c>
      <c r="B333" s="26">
        <v>90</v>
      </c>
      <c r="C333" s="48">
        <v>456</v>
      </c>
    </row>
    <row r="334" spans="1:3" x14ac:dyDescent="0.25">
      <c r="A334" s="63">
        <v>42265</v>
      </c>
      <c r="B334" s="26">
        <v>67</v>
      </c>
      <c r="C334" s="48">
        <v>273</v>
      </c>
    </row>
    <row r="335" spans="1:3" x14ac:dyDescent="0.25">
      <c r="A335" s="63">
        <v>42266</v>
      </c>
      <c r="B335" s="26">
        <v>70</v>
      </c>
      <c r="C335" s="48">
        <v>283</v>
      </c>
    </row>
    <row r="336" spans="1:3" x14ac:dyDescent="0.25">
      <c r="A336" s="63">
        <v>42267</v>
      </c>
      <c r="B336" s="26">
        <v>97</v>
      </c>
      <c r="C336" s="48">
        <v>345</v>
      </c>
    </row>
    <row r="337" spans="1:3" x14ac:dyDescent="0.25">
      <c r="A337" s="63">
        <v>42268</v>
      </c>
      <c r="B337" s="26">
        <v>90</v>
      </c>
      <c r="C337" s="48">
        <v>232</v>
      </c>
    </row>
    <row r="338" spans="1:3" x14ac:dyDescent="0.25">
      <c r="A338" s="63">
        <v>42269</v>
      </c>
      <c r="B338" s="26">
        <v>86</v>
      </c>
      <c r="C338" s="48">
        <v>301.5</v>
      </c>
    </row>
    <row r="339" spans="1:3" x14ac:dyDescent="0.25">
      <c r="A339" s="63">
        <v>42270</v>
      </c>
      <c r="B339" s="26">
        <v>83</v>
      </c>
      <c r="C339" s="48">
        <v>298</v>
      </c>
    </row>
    <row r="340" spans="1:3" x14ac:dyDescent="0.25">
      <c r="A340" s="63">
        <v>42271</v>
      </c>
      <c r="B340" s="26">
        <v>69</v>
      </c>
      <c r="C340" s="48">
        <v>283</v>
      </c>
    </row>
    <row r="341" spans="1:3" x14ac:dyDescent="0.25">
      <c r="A341" s="63">
        <v>42272</v>
      </c>
      <c r="B341" s="26">
        <v>68</v>
      </c>
      <c r="C341" s="48">
        <v>193</v>
      </c>
    </row>
    <row r="342" spans="1:3" x14ac:dyDescent="0.25">
      <c r="A342" s="63">
        <v>42273</v>
      </c>
      <c r="B342" s="26">
        <v>95</v>
      </c>
      <c r="C342" s="48">
        <v>742.5</v>
      </c>
    </row>
    <row r="343" spans="1:3" x14ac:dyDescent="0.25">
      <c r="A343" s="63">
        <v>42274</v>
      </c>
      <c r="B343" s="26">
        <v>93</v>
      </c>
      <c r="C343" s="48">
        <v>528</v>
      </c>
    </row>
    <row r="344" spans="1:3" x14ac:dyDescent="0.25">
      <c r="A344" s="63">
        <v>42275</v>
      </c>
      <c r="B344" s="26">
        <v>79</v>
      </c>
      <c r="C344" s="48">
        <v>204</v>
      </c>
    </row>
    <row r="345" spans="1:3" x14ac:dyDescent="0.25">
      <c r="A345" s="63">
        <v>42276</v>
      </c>
      <c r="B345" s="26">
        <v>87</v>
      </c>
      <c r="C345" s="48">
        <v>180</v>
      </c>
    </row>
    <row r="346" spans="1:3" x14ac:dyDescent="0.25">
      <c r="A346" s="63">
        <v>42277</v>
      </c>
      <c r="B346" s="26">
        <v>79</v>
      </c>
      <c r="C346" s="48">
        <v>230</v>
      </c>
    </row>
    <row r="347" spans="1:3" x14ac:dyDescent="0.25">
      <c r="A347" s="63">
        <v>42278</v>
      </c>
      <c r="B347" s="26">
        <v>85</v>
      </c>
      <c r="C347" s="48">
        <v>393</v>
      </c>
    </row>
    <row r="348" spans="1:3" x14ac:dyDescent="0.25">
      <c r="A348" s="63">
        <v>42279</v>
      </c>
      <c r="B348" s="26">
        <v>89</v>
      </c>
      <c r="C348" s="48">
        <v>310.5</v>
      </c>
    </row>
    <row r="349" spans="1:3" x14ac:dyDescent="0.25">
      <c r="A349" s="63">
        <v>42280</v>
      </c>
      <c r="B349" s="26">
        <v>71</v>
      </c>
      <c r="C349" s="48">
        <v>298</v>
      </c>
    </row>
    <row r="350" spans="1:3" x14ac:dyDescent="0.25">
      <c r="A350" s="63">
        <v>42281</v>
      </c>
      <c r="B350" s="26">
        <v>58</v>
      </c>
      <c r="C350" s="48">
        <v>424.5</v>
      </c>
    </row>
    <row r="351" spans="1:3" x14ac:dyDescent="0.25">
      <c r="A351" s="63">
        <v>42282</v>
      </c>
      <c r="B351" s="26">
        <v>66</v>
      </c>
      <c r="C351" s="48">
        <v>116</v>
      </c>
    </row>
    <row r="352" spans="1:3" x14ac:dyDescent="0.25">
      <c r="A352" s="63">
        <v>42283</v>
      </c>
      <c r="B352" s="26">
        <v>82</v>
      </c>
      <c r="C352" s="48">
        <v>288</v>
      </c>
    </row>
    <row r="353" spans="1:3" x14ac:dyDescent="0.25">
      <c r="A353" s="63">
        <v>42284</v>
      </c>
      <c r="B353" s="26">
        <v>56</v>
      </c>
      <c r="C353" s="48">
        <v>318</v>
      </c>
    </row>
    <row r="354" spans="1:3" x14ac:dyDescent="0.25">
      <c r="A354" s="63">
        <v>42285</v>
      </c>
      <c r="B354" s="26">
        <v>81</v>
      </c>
      <c r="C354" s="48">
        <v>291</v>
      </c>
    </row>
    <row r="355" spans="1:3" x14ac:dyDescent="0.25">
      <c r="A355" s="63">
        <v>42286</v>
      </c>
      <c r="B355" s="26">
        <v>57</v>
      </c>
      <c r="C355" s="48">
        <v>418.5</v>
      </c>
    </row>
    <row r="356" spans="1:3" x14ac:dyDescent="0.25">
      <c r="A356" s="63">
        <v>42287</v>
      </c>
      <c r="B356" s="26">
        <v>59</v>
      </c>
      <c r="C356" s="48">
        <v>159</v>
      </c>
    </row>
    <row r="357" spans="1:3" x14ac:dyDescent="0.25">
      <c r="A357" s="63">
        <v>42288</v>
      </c>
      <c r="B357" s="26">
        <v>54</v>
      </c>
      <c r="C357" s="48">
        <v>504</v>
      </c>
    </row>
    <row r="358" spans="1:3" x14ac:dyDescent="0.25">
      <c r="A358" s="63">
        <v>42289</v>
      </c>
      <c r="B358" s="26">
        <v>88</v>
      </c>
      <c r="C358" s="48">
        <v>231</v>
      </c>
    </row>
    <row r="359" spans="1:3" x14ac:dyDescent="0.25">
      <c r="A359" s="63">
        <v>42290</v>
      </c>
      <c r="B359" s="26">
        <v>83</v>
      </c>
      <c r="C359" s="48">
        <v>290</v>
      </c>
    </row>
    <row r="360" spans="1:3" x14ac:dyDescent="0.25">
      <c r="A360" s="63">
        <v>42291</v>
      </c>
      <c r="B360" s="26">
        <v>85</v>
      </c>
      <c r="C360" s="48">
        <v>303</v>
      </c>
    </row>
    <row r="361" spans="1:3" x14ac:dyDescent="0.25">
      <c r="A361" s="63">
        <v>42292</v>
      </c>
      <c r="B361" s="26">
        <v>85</v>
      </c>
      <c r="C361" s="48">
        <v>223.5</v>
      </c>
    </row>
    <row r="362" spans="1:3" x14ac:dyDescent="0.25">
      <c r="A362" s="63">
        <v>42293</v>
      </c>
      <c r="B362" s="26">
        <v>81</v>
      </c>
      <c r="C362" s="48">
        <v>300</v>
      </c>
    </row>
    <row r="363" spans="1:3" x14ac:dyDescent="0.25">
      <c r="A363" s="63">
        <v>42294</v>
      </c>
      <c r="B363" s="26">
        <v>73</v>
      </c>
      <c r="C363" s="48">
        <v>276</v>
      </c>
    </row>
    <row r="364" spans="1:3" x14ac:dyDescent="0.25">
      <c r="A364" s="63">
        <v>42295</v>
      </c>
      <c r="B364" s="26">
        <v>71</v>
      </c>
      <c r="C364" s="48">
        <v>142</v>
      </c>
    </row>
    <row r="365" spans="1:3" x14ac:dyDescent="0.25">
      <c r="A365" s="63">
        <v>42296</v>
      </c>
      <c r="B365" s="26">
        <v>87</v>
      </c>
      <c r="C365" s="48">
        <v>285</v>
      </c>
    </row>
    <row r="366" spans="1:3" x14ac:dyDescent="0.25">
      <c r="A366" s="63">
        <v>42297</v>
      </c>
      <c r="B366" s="26">
        <v>86</v>
      </c>
      <c r="C366" s="48">
        <v>396</v>
      </c>
    </row>
    <row r="367" spans="1:3" x14ac:dyDescent="0.25">
      <c r="A367" s="63">
        <v>42298</v>
      </c>
      <c r="B367" s="26">
        <v>79</v>
      </c>
      <c r="C367" s="48">
        <v>265</v>
      </c>
    </row>
    <row r="368" spans="1:3" x14ac:dyDescent="0.25">
      <c r="A368" s="63">
        <v>42299</v>
      </c>
      <c r="B368" s="26">
        <v>61</v>
      </c>
      <c r="C368" s="48">
        <v>151.5</v>
      </c>
    </row>
    <row r="369" spans="1:3" x14ac:dyDescent="0.25">
      <c r="A369" s="63">
        <v>42300</v>
      </c>
      <c r="B369" s="26">
        <v>60</v>
      </c>
      <c r="C369" s="48">
        <v>361.5</v>
      </c>
    </row>
    <row r="370" spans="1:3" x14ac:dyDescent="0.25">
      <c r="A370" s="63">
        <v>42301</v>
      </c>
      <c r="B370" s="26">
        <v>78</v>
      </c>
      <c r="C370" s="48">
        <v>210</v>
      </c>
    </row>
    <row r="371" spans="1:3" x14ac:dyDescent="0.25">
      <c r="A371" s="63">
        <v>42302</v>
      </c>
      <c r="B371" s="26">
        <v>81</v>
      </c>
      <c r="C371" s="48">
        <v>288</v>
      </c>
    </row>
    <row r="372" spans="1:3" x14ac:dyDescent="0.25">
      <c r="A372" s="63">
        <v>42303</v>
      </c>
      <c r="B372" s="26">
        <v>79</v>
      </c>
      <c r="C372" s="48">
        <v>174</v>
      </c>
    </row>
    <row r="373" spans="1:3" x14ac:dyDescent="0.25">
      <c r="A373" s="63">
        <v>42304</v>
      </c>
      <c r="B373" s="26">
        <v>68</v>
      </c>
      <c r="C373" s="48">
        <v>260</v>
      </c>
    </row>
    <row r="374" spans="1:3" x14ac:dyDescent="0.25">
      <c r="A374" s="63">
        <v>42305</v>
      </c>
      <c r="B374" s="26">
        <v>68</v>
      </c>
      <c r="C374" s="48">
        <v>197</v>
      </c>
    </row>
    <row r="375" spans="1:3" x14ac:dyDescent="0.25">
      <c r="A375" s="63">
        <v>42306</v>
      </c>
      <c r="B375" s="26">
        <v>60</v>
      </c>
      <c r="C375" s="48">
        <v>276</v>
      </c>
    </row>
    <row r="376" spans="1:3" x14ac:dyDescent="0.25">
      <c r="A376" s="63">
        <v>42307</v>
      </c>
      <c r="B376" s="26">
        <v>73</v>
      </c>
      <c r="C376" s="48">
        <v>137</v>
      </c>
    </row>
    <row r="377" spans="1:3" x14ac:dyDescent="0.25">
      <c r="A377" s="63">
        <v>42308</v>
      </c>
      <c r="B377" s="26">
        <v>74</v>
      </c>
      <c r="C377" s="48">
        <v>132</v>
      </c>
    </row>
    <row r="378" spans="1:3" x14ac:dyDescent="0.25">
      <c r="A378" s="63">
        <v>42309</v>
      </c>
      <c r="B378" s="26">
        <v>46</v>
      </c>
      <c r="C378" s="48">
        <v>224</v>
      </c>
    </row>
    <row r="379" spans="1:3" x14ac:dyDescent="0.25">
      <c r="A379" s="63">
        <v>42310</v>
      </c>
      <c r="B379" s="26">
        <v>66</v>
      </c>
      <c r="C379" s="48">
        <v>131</v>
      </c>
    </row>
    <row r="380" spans="1:3" x14ac:dyDescent="0.25">
      <c r="A380" s="63">
        <v>42311</v>
      </c>
      <c r="B380" s="26">
        <v>50</v>
      </c>
      <c r="C380" s="48">
        <v>210</v>
      </c>
    </row>
    <row r="381" spans="1:3" x14ac:dyDescent="0.25">
      <c r="A381" s="63">
        <v>42312</v>
      </c>
      <c r="B381" s="26">
        <v>49</v>
      </c>
      <c r="C381" s="48">
        <v>498</v>
      </c>
    </row>
    <row r="382" spans="1:3" x14ac:dyDescent="0.25">
      <c r="A382" s="63">
        <v>42313</v>
      </c>
      <c r="B382" s="26">
        <v>68</v>
      </c>
      <c r="C382" s="48">
        <v>284</v>
      </c>
    </row>
    <row r="383" spans="1:3" x14ac:dyDescent="0.25">
      <c r="A383" s="63">
        <v>42314</v>
      </c>
      <c r="B383" s="26">
        <v>63</v>
      </c>
      <c r="C383" s="48">
        <v>150</v>
      </c>
    </row>
    <row r="384" spans="1:3" x14ac:dyDescent="0.25">
      <c r="A384" s="63">
        <v>42315</v>
      </c>
      <c r="B384" s="26">
        <v>57</v>
      </c>
      <c r="C384" s="48">
        <v>289.5</v>
      </c>
    </row>
    <row r="385" spans="1:3" x14ac:dyDescent="0.25">
      <c r="A385" s="63">
        <v>42316</v>
      </c>
      <c r="B385" s="26">
        <v>62</v>
      </c>
      <c r="C385" s="48">
        <v>237</v>
      </c>
    </row>
    <row r="386" spans="1:3" x14ac:dyDescent="0.25">
      <c r="A386" s="63">
        <v>42317</v>
      </c>
      <c r="B386" s="26">
        <v>66</v>
      </c>
      <c r="C386" s="48">
        <v>136</v>
      </c>
    </row>
    <row r="387" spans="1:3" x14ac:dyDescent="0.25">
      <c r="A387" s="63">
        <v>42318</v>
      </c>
      <c r="B387" s="26">
        <v>62</v>
      </c>
      <c r="C387" s="48">
        <v>424.5</v>
      </c>
    </row>
    <row r="388" spans="1:3" x14ac:dyDescent="0.25">
      <c r="A388" s="63">
        <v>42319</v>
      </c>
      <c r="B388" s="26">
        <v>53</v>
      </c>
      <c r="C388" s="48">
        <v>574</v>
      </c>
    </row>
    <row r="389" spans="1:3" x14ac:dyDescent="0.25">
      <c r="A389" s="63">
        <v>42320</v>
      </c>
      <c r="B389" s="26">
        <v>63</v>
      </c>
      <c r="C389" s="48">
        <v>391.5</v>
      </c>
    </row>
    <row r="390" spans="1:3" x14ac:dyDescent="0.25">
      <c r="A390" s="63">
        <v>42321</v>
      </c>
      <c r="B390" s="26">
        <v>61</v>
      </c>
      <c r="C390" s="48">
        <v>382.5</v>
      </c>
    </row>
    <row r="391" spans="1:3" x14ac:dyDescent="0.25">
      <c r="A391" s="63">
        <v>42322</v>
      </c>
      <c r="B391" s="26">
        <v>64</v>
      </c>
      <c r="C391" s="48">
        <v>436.5</v>
      </c>
    </row>
    <row r="392" spans="1:3" x14ac:dyDescent="0.25">
      <c r="A392" s="63">
        <v>42323</v>
      </c>
      <c r="B392" s="26">
        <v>51</v>
      </c>
      <c r="C392" s="48">
        <v>578</v>
      </c>
    </row>
    <row r="393" spans="1:3" x14ac:dyDescent="0.25">
      <c r="A393" s="63">
        <v>42324</v>
      </c>
      <c r="B393" s="26">
        <v>56</v>
      </c>
      <c r="C393" s="48">
        <v>328.5</v>
      </c>
    </row>
    <row r="394" spans="1:3" x14ac:dyDescent="0.25">
      <c r="A394" s="63">
        <v>42325</v>
      </c>
      <c r="B394" s="26">
        <v>54</v>
      </c>
      <c r="C394" s="48">
        <v>590</v>
      </c>
    </row>
    <row r="395" spans="1:3" x14ac:dyDescent="0.25">
      <c r="A395" s="63">
        <v>42326</v>
      </c>
      <c r="B395" s="26">
        <v>53</v>
      </c>
      <c r="C395" s="48">
        <v>446</v>
      </c>
    </row>
    <row r="396" spans="1:3" x14ac:dyDescent="0.25">
      <c r="A396" s="63">
        <v>42327</v>
      </c>
      <c r="B396" s="26">
        <v>50</v>
      </c>
      <c r="C396" s="48">
        <v>226</v>
      </c>
    </row>
    <row r="397" spans="1:3" x14ac:dyDescent="0.25">
      <c r="A397" s="63">
        <v>42328</v>
      </c>
      <c r="B397" s="26">
        <v>68</v>
      </c>
      <c r="C397" s="48">
        <v>231</v>
      </c>
    </row>
    <row r="398" spans="1:3" x14ac:dyDescent="0.25">
      <c r="A398" s="63">
        <v>42329</v>
      </c>
      <c r="B398" s="26">
        <v>58</v>
      </c>
      <c r="C398" s="48">
        <v>315</v>
      </c>
    </row>
    <row r="399" spans="1:3" x14ac:dyDescent="0.25">
      <c r="A399" s="63">
        <v>42330</v>
      </c>
      <c r="B399" s="26">
        <v>49</v>
      </c>
      <c r="C399" s="48">
        <v>220</v>
      </c>
    </row>
    <row r="400" spans="1:3" x14ac:dyDescent="0.25">
      <c r="A400" s="63">
        <v>42331</v>
      </c>
      <c r="B400" s="26">
        <v>67</v>
      </c>
      <c r="C400" s="48">
        <v>264</v>
      </c>
    </row>
    <row r="401" spans="1:3" x14ac:dyDescent="0.25">
      <c r="A401" s="63">
        <v>42332</v>
      </c>
      <c r="B401" s="26">
        <v>49</v>
      </c>
      <c r="C401" s="48">
        <v>358</v>
      </c>
    </row>
    <row r="402" spans="1:3" x14ac:dyDescent="0.25">
      <c r="A402" s="63">
        <v>42333</v>
      </c>
      <c r="B402" s="26">
        <v>47</v>
      </c>
      <c r="C402" s="48">
        <v>498</v>
      </c>
    </row>
    <row r="403" spans="1:3" x14ac:dyDescent="0.25">
      <c r="A403" s="63">
        <v>42334</v>
      </c>
      <c r="B403" s="26">
        <v>49</v>
      </c>
      <c r="C403" s="48">
        <v>448</v>
      </c>
    </row>
    <row r="404" spans="1:3" x14ac:dyDescent="0.25">
      <c r="A404" s="63">
        <v>42335</v>
      </c>
      <c r="B404" s="26">
        <v>47</v>
      </c>
      <c r="C404" s="48">
        <v>578</v>
      </c>
    </row>
    <row r="405" spans="1:3" x14ac:dyDescent="0.25">
      <c r="A405" s="63">
        <v>42336</v>
      </c>
      <c r="B405" s="26">
        <v>62</v>
      </c>
      <c r="C405" s="48">
        <v>402</v>
      </c>
    </row>
    <row r="406" spans="1:3" x14ac:dyDescent="0.25">
      <c r="A406" s="63">
        <v>42337</v>
      </c>
      <c r="B406" s="26">
        <v>47</v>
      </c>
      <c r="C406" s="48">
        <v>466</v>
      </c>
    </row>
    <row r="407" spans="1:3" x14ac:dyDescent="0.25">
      <c r="A407" s="63">
        <v>42338</v>
      </c>
      <c r="B407" s="26">
        <v>49</v>
      </c>
      <c r="C407" s="48">
        <v>330</v>
      </c>
    </row>
    <row r="408" spans="1:3" x14ac:dyDescent="0.25">
      <c r="A408" s="63">
        <v>42339</v>
      </c>
      <c r="B408" s="26">
        <v>64</v>
      </c>
      <c r="C408" s="48">
        <v>214.5</v>
      </c>
    </row>
    <row r="409" spans="1:3" x14ac:dyDescent="0.25">
      <c r="A409" s="63">
        <v>42340</v>
      </c>
      <c r="B409" s="26">
        <v>62</v>
      </c>
      <c r="C409" s="48">
        <v>190.5</v>
      </c>
    </row>
    <row r="410" spans="1:3" x14ac:dyDescent="0.25">
      <c r="A410" s="63">
        <v>42341</v>
      </c>
      <c r="B410" s="26">
        <v>60</v>
      </c>
      <c r="C410" s="48">
        <v>270</v>
      </c>
    </row>
    <row r="411" spans="1:3" x14ac:dyDescent="0.25">
      <c r="A411" s="63">
        <v>42342</v>
      </c>
      <c r="B411" s="26">
        <v>66</v>
      </c>
      <c r="C411" s="48">
        <v>109</v>
      </c>
    </row>
    <row r="412" spans="1:3" x14ac:dyDescent="0.25">
      <c r="A412" s="63">
        <v>42343</v>
      </c>
      <c r="B412" s="26">
        <v>62</v>
      </c>
      <c r="C412" s="48">
        <v>384</v>
      </c>
    </row>
    <row r="413" spans="1:3" x14ac:dyDescent="0.25">
      <c r="A413" s="63">
        <v>42344</v>
      </c>
      <c r="B413" s="26">
        <v>66</v>
      </c>
      <c r="C413" s="48">
        <v>286</v>
      </c>
    </row>
    <row r="414" spans="1:3" x14ac:dyDescent="0.25">
      <c r="A414" s="63">
        <v>42345</v>
      </c>
      <c r="B414" s="26">
        <v>49</v>
      </c>
      <c r="C414" s="48">
        <v>278</v>
      </c>
    </row>
    <row r="415" spans="1:3" x14ac:dyDescent="0.25">
      <c r="A415" s="63">
        <v>42346</v>
      </c>
      <c r="B415" s="26">
        <v>62</v>
      </c>
      <c r="C415" s="48">
        <v>264</v>
      </c>
    </row>
    <row r="416" spans="1:3" x14ac:dyDescent="0.25">
      <c r="A416" s="63">
        <v>42347</v>
      </c>
      <c r="B416" s="26">
        <v>65</v>
      </c>
      <c r="C416" s="48">
        <v>179</v>
      </c>
    </row>
    <row r="417" spans="1:3" x14ac:dyDescent="0.25">
      <c r="A417" s="63">
        <v>42348</v>
      </c>
      <c r="B417" s="26">
        <v>62</v>
      </c>
      <c r="C417" s="48">
        <v>265.5</v>
      </c>
    </row>
    <row r="418" spans="1:3" x14ac:dyDescent="0.25">
      <c r="A418" s="63">
        <v>42349</v>
      </c>
      <c r="B418" s="26">
        <v>61</v>
      </c>
      <c r="C418" s="48">
        <v>357</v>
      </c>
    </row>
    <row r="419" spans="1:3" x14ac:dyDescent="0.25">
      <c r="A419" s="63">
        <v>42350</v>
      </c>
      <c r="B419" s="26">
        <v>31</v>
      </c>
      <c r="C419" s="48">
        <v>737.5</v>
      </c>
    </row>
    <row r="420" spans="1:3" x14ac:dyDescent="0.25">
      <c r="A420" s="63">
        <v>42351</v>
      </c>
      <c r="B420" s="26">
        <v>53</v>
      </c>
      <c r="C420" s="48">
        <v>272</v>
      </c>
    </row>
    <row r="421" spans="1:3" x14ac:dyDescent="0.25">
      <c r="A421" s="63">
        <v>42352</v>
      </c>
      <c r="B421" s="26">
        <v>52</v>
      </c>
      <c r="C421" s="48">
        <v>236</v>
      </c>
    </row>
    <row r="422" spans="1:3" x14ac:dyDescent="0.25">
      <c r="A422" s="63">
        <v>42353</v>
      </c>
      <c r="B422" s="26">
        <v>55</v>
      </c>
      <c r="C422" s="48">
        <v>267</v>
      </c>
    </row>
    <row r="423" spans="1:3" x14ac:dyDescent="0.25">
      <c r="A423" s="63">
        <v>42354</v>
      </c>
      <c r="B423" s="26">
        <v>61</v>
      </c>
      <c r="C423" s="48">
        <v>450</v>
      </c>
    </row>
    <row r="424" spans="1:3" x14ac:dyDescent="0.25">
      <c r="A424" s="63">
        <v>42355</v>
      </c>
      <c r="B424" s="26">
        <v>50</v>
      </c>
      <c r="C424" s="48">
        <v>486</v>
      </c>
    </row>
    <row r="425" spans="1:3" x14ac:dyDescent="0.25">
      <c r="A425" s="63">
        <v>42356</v>
      </c>
      <c r="B425" s="26">
        <v>55</v>
      </c>
      <c r="C425" s="48">
        <v>217.5</v>
      </c>
    </row>
    <row r="426" spans="1:3" x14ac:dyDescent="0.25">
      <c r="A426" s="63">
        <v>42357</v>
      </c>
      <c r="B426" s="26">
        <v>60</v>
      </c>
      <c r="C426" s="48">
        <v>274.5</v>
      </c>
    </row>
    <row r="427" spans="1:3" x14ac:dyDescent="0.25">
      <c r="A427" s="63">
        <v>42358</v>
      </c>
      <c r="B427" s="26">
        <v>43</v>
      </c>
      <c r="C427" s="48">
        <v>221.45</v>
      </c>
    </row>
    <row r="428" spans="1:3" x14ac:dyDescent="0.25">
      <c r="A428" s="63">
        <v>42359</v>
      </c>
      <c r="B428" s="26">
        <v>63</v>
      </c>
      <c r="C428" s="48">
        <v>174</v>
      </c>
    </row>
    <row r="429" spans="1:3" x14ac:dyDescent="0.25">
      <c r="A429" s="63">
        <v>42360</v>
      </c>
      <c r="B429" s="26">
        <v>49</v>
      </c>
      <c r="C429" s="48">
        <v>206</v>
      </c>
    </row>
    <row r="430" spans="1:3" x14ac:dyDescent="0.25">
      <c r="A430" s="63">
        <v>42361</v>
      </c>
      <c r="B430" s="26">
        <v>40</v>
      </c>
      <c r="C430" s="48">
        <v>539.65</v>
      </c>
    </row>
    <row r="431" spans="1:3" x14ac:dyDescent="0.25">
      <c r="A431" s="63">
        <v>42362</v>
      </c>
      <c r="B431" s="26">
        <v>33</v>
      </c>
      <c r="C431" s="48">
        <v>677.5</v>
      </c>
    </row>
    <row r="432" spans="1:3" x14ac:dyDescent="0.25">
      <c r="A432" s="63">
        <v>42363</v>
      </c>
      <c r="B432" s="26">
        <v>62</v>
      </c>
      <c r="C432" s="48">
        <v>157.5</v>
      </c>
    </row>
    <row r="433" spans="1:3" x14ac:dyDescent="0.25">
      <c r="A433" s="63">
        <v>42364</v>
      </c>
      <c r="B433" s="26">
        <v>32</v>
      </c>
      <c r="C433" s="48">
        <v>680</v>
      </c>
    </row>
    <row r="434" spans="1:3" x14ac:dyDescent="0.25">
      <c r="A434" s="63">
        <v>42365</v>
      </c>
      <c r="B434" s="26">
        <v>33</v>
      </c>
      <c r="C434" s="48">
        <v>580</v>
      </c>
    </row>
    <row r="435" spans="1:3" x14ac:dyDescent="0.25">
      <c r="A435" s="63">
        <v>42366</v>
      </c>
      <c r="B435" s="26">
        <v>52</v>
      </c>
      <c r="C435" s="48">
        <v>538</v>
      </c>
    </row>
    <row r="436" spans="1:3" x14ac:dyDescent="0.25">
      <c r="A436" s="63">
        <v>42367</v>
      </c>
      <c r="B436" s="26">
        <v>32</v>
      </c>
      <c r="C436" s="48">
        <v>252.5</v>
      </c>
    </row>
    <row r="437" spans="1:3" x14ac:dyDescent="0.25">
      <c r="A437" s="63">
        <v>42368</v>
      </c>
      <c r="B437" s="26">
        <v>59</v>
      </c>
      <c r="C437" s="48">
        <v>348</v>
      </c>
    </row>
    <row r="438" spans="1:3" x14ac:dyDescent="0.25">
      <c r="A438" s="63">
        <v>42369</v>
      </c>
      <c r="B438" s="26">
        <v>32</v>
      </c>
      <c r="C438" s="48">
        <v>387.5</v>
      </c>
    </row>
  </sheetData>
  <pageMargins left="0.7" right="0.7" top="0.75" bottom="0.75" header="0.3" footer="0.3"/>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1">
    <tabColor rgb="FF0000FF"/>
  </sheetPr>
  <dimension ref="A1:N474"/>
  <sheetViews>
    <sheetView topLeftCell="A5" zoomScale="85" zoomScaleNormal="85" workbookViewId="0">
      <selection activeCell="B20" sqref="B20"/>
    </sheetView>
  </sheetViews>
  <sheetFormatPr defaultRowHeight="15" x14ac:dyDescent="0.25"/>
  <cols>
    <col min="1" max="1" width="13.28515625" customWidth="1"/>
    <col min="2" max="2" width="19.28515625" customWidth="1"/>
    <col min="3" max="3" width="22" customWidth="1"/>
    <col min="4" max="4" width="11.42578125" bestFit="1" customWidth="1"/>
    <col min="5" max="5" width="18.7109375" customWidth="1"/>
    <col min="6" max="6" width="19.7109375" customWidth="1"/>
    <col min="7" max="7" width="13.28515625" bestFit="1" customWidth="1"/>
    <col min="8" max="8" width="12.85546875" customWidth="1"/>
    <col min="11" max="11" width="5" bestFit="1" customWidth="1"/>
    <col min="12" max="12" width="2.42578125" bestFit="1" customWidth="1"/>
    <col min="13" max="13" width="44.5703125" bestFit="1" customWidth="1"/>
    <col min="14" max="14" width="10.140625" customWidth="1"/>
    <col min="16" max="16" width="16" customWidth="1"/>
  </cols>
  <sheetData>
    <row r="1" spans="1:14" x14ac:dyDescent="0.25">
      <c r="A1" s="194" t="s">
        <v>833</v>
      </c>
      <c r="B1" s="193"/>
      <c r="C1" s="193"/>
      <c r="D1" s="193"/>
      <c r="E1" s="193"/>
      <c r="F1" s="193"/>
      <c r="G1" s="193"/>
      <c r="H1" s="193"/>
      <c r="I1" s="192"/>
    </row>
    <row r="2" spans="1:14" x14ac:dyDescent="0.25">
      <c r="A2" s="220" t="s">
        <v>805</v>
      </c>
      <c r="B2" s="221"/>
      <c r="C2" s="221"/>
      <c r="D2" s="221"/>
      <c r="E2" s="221"/>
      <c r="F2" s="221"/>
      <c r="G2" s="222"/>
      <c r="H2" s="222"/>
      <c r="I2" s="223"/>
    </row>
    <row r="3" spans="1:14" ht="18" x14ac:dyDescent="0.35">
      <c r="A3" s="224" t="s">
        <v>836</v>
      </c>
      <c r="B3" s="201"/>
      <c r="C3" s="201"/>
      <c r="D3" s="201"/>
      <c r="E3" s="201"/>
      <c r="F3" s="201"/>
      <c r="G3" s="190"/>
      <c r="H3" s="190"/>
      <c r="I3" s="189"/>
    </row>
    <row r="4" spans="1:14" x14ac:dyDescent="0.25">
      <c r="A4" s="224" t="s">
        <v>807</v>
      </c>
      <c r="B4" s="201"/>
      <c r="C4" s="201"/>
      <c r="D4" s="201"/>
      <c r="E4" s="201"/>
      <c r="F4" s="201"/>
      <c r="G4" s="190"/>
      <c r="H4" s="190"/>
      <c r="I4" s="189"/>
    </row>
    <row r="5" spans="1:14" x14ac:dyDescent="0.25">
      <c r="A5" s="224" t="s">
        <v>834</v>
      </c>
      <c r="B5" s="201"/>
      <c r="C5" s="201"/>
      <c r="D5" s="201"/>
      <c r="E5" s="201"/>
      <c r="F5" s="201"/>
      <c r="G5" s="190"/>
      <c r="H5" s="190"/>
      <c r="I5" s="189"/>
    </row>
    <row r="6" spans="1:14" x14ac:dyDescent="0.25">
      <c r="A6" s="224" t="s">
        <v>885</v>
      </c>
      <c r="B6" s="201"/>
      <c r="C6" s="201"/>
      <c r="D6" s="201"/>
      <c r="E6" s="201"/>
      <c r="F6" s="201"/>
      <c r="G6" s="190"/>
      <c r="H6" s="190"/>
      <c r="I6" s="189"/>
    </row>
    <row r="7" spans="1:14" x14ac:dyDescent="0.25">
      <c r="A7" s="220" t="s">
        <v>835</v>
      </c>
      <c r="B7" s="221"/>
      <c r="C7" s="221"/>
      <c r="D7" s="221"/>
      <c r="E7" s="221"/>
      <c r="F7" s="221"/>
      <c r="G7" s="222"/>
      <c r="H7" s="222"/>
      <c r="I7" s="223"/>
    </row>
    <row r="8" spans="1:14" ht="18" x14ac:dyDescent="0.35">
      <c r="A8" s="224" t="s">
        <v>837</v>
      </c>
      <c r="B8" s="201"/>
      <c r="C8" s="201"/>
      <c r="D8" s="201"/>
      <c r="E8" s="201"/>
      <c r="F8" s="201"/>
      <c r="G8" s="190"/>
      <c r="H8" s="190"/>
      <c r="I8" s="189"/>
    </row>
    <row r="9" spans="1:14" x14ac:dyDescent="0.25">
      <c r="A9" s="224" t="s">
        <v>813</v>
      </c>
      <c r="B9" s="201"/>
      <c r="C9" s="201"/>
      <c r="D9" s="201"/>
      <c r="E9" s="201"/>
      <c r="F9" s="201"/>
      <c r="G9" s="190"/>
      <c r="H9" s="190"/>
      <c r="I9" s="189"/>
      <c r="K9" s="61" t="s">
        <v>198</v>
      </c>
      <c r="L9" s="26" t="s">
        <v>199</v>
      </c>
      <c r="M9" s="26" t="s">
        <v>892</v>
      </c>
      <c r="N9" s="26" t="s">
        <v>203</v>
      </c>
    </row>
    <row r="10" spans="1:14" ht="18" x14ac:dyDescent="0.35">
      <c r="A10" s="224" t="s">
        <v>838</v>
      </c>
      <c r="B10" s="201"/>
      <c r="C10" s="201"/>
      <c r="D10" s="201"/>
      <c r="E10" s="201"/>
      <c r="F10" s="201"/>
      <c r="G10" s="190"/>
      <c r="H10" s="190"/>
      <c r="I10" s="189"/>
      <c r="K10" s="61" t="s">
        <v>901</v>
      </c>
      <c r="L10" s="26" t="s">
        <v>199</v>
      </c>
      <c r="M10" s="26" t="s">
        <v>895</v>
      </c>
      <c r="N10" s="26" t="s">
        <v>204</v>
      </c>
    </row>
    <row r="11" spans="1:14" x14ac:dyDescent="0.25">
      <c r="A11" s="224" t="s">
        <v>839</v>
      </c>
      <c r="B11" s="201"/>
      <c r="C11" s="201"/>
      <c r="D11" s="201"/>
      <c r="E11" s="201"/>
      <c r="F11" s="201"/>
      <c r="G11" s="190"/>
      <c r="H11" s="190"/>
      <c r="I11" s="189"/>
      <c r="K11" s="61" t="s">
        <v>891</v>
      </c>
      <c r="L11" s="26" t="s">
        <v>199</v>
      </c>
      <c r="M11" s="26" t="s">
        <v>894</v>
      </c>
      <c r="N11" s="26" t="s">
        <v>893</v>
      </c>
    </row>
    <row r="12" spans="1:14" ht="18" x14ac:dyDescent="0.35">
      <c r="A12" s="224" t="s">
        <v>840</v>
      </c>
      <c r="B12" s="201"/>
      <c r="C12" s="201"/>
      <c r="D12" s="201"/>
      <c r="E12" s="201"/>
      <c r="F12" s="201"/>
      <c r="G12" s="190"/>
      <c r="H12" s="190"/>
      <c r="I12" s="189"/>
      <c r="K12" s="61" t="s">
        <v>902</v>
      </c>
      <c r="L12" s="26" t="s">
        <v>199</v>
      </c>
      <c r="M12" s="26" t="s">
        <v>896</v>
      </c>
      <c r="N12" s="26" t="s">
        <v>898</v>
      </c>
    </row>
    <row r="13" spans="1:14" ht="18" x14ac:dyDescent="0.35">
      <c r="A13" s="224" t="s">
        <v>841</v>
      </c>
      <c r="B13" s="201"/>
      <c r="C13" s="201"/>
      <c r="D13" s="201"/>
      <c r="E13" s="201"/>
      <c r="F13" s="201"/>
      <c r="G13" s="190"/>
      <c r="H13" s="190"/>
      <c r="I13" s="189"/>
      <c r="K13" s="61" t="s">
        <v>903</v>
      </c>
      <c r="L13" s="26" t="s">
        <v>199</v>
      </c>
      <c r="M13" s="26" t="s">
        <v>771</v>
      </c>
      <c r="N13" s="26" t="s">
        <v>899</v>
      </c>
    </row>
    <row r="14" spans="1:14" x14ac:dyDescent="0.25">
      <c r="A14" s="224" t="s">
        <v>842</v>
      </c>
      <c r="B14" s="201"/>
      <c r="C14" s="201"/>
      <c r="D14" s="201"/>
      <c r="E14" s="201"/>
      <c r="F14" s="201"/>
      <c r="G14" s="190"/>
      <c r="H14" s="190"/>
      <c r="I14" s="189"/>
      <c r="K14" s="61" t="s">
        <v>206</v>
      </c>
      <c r="L14" s="26" t="s">
        <v>199</v>
      </c>
      <c r="M14" s="26" t="s">
        <v>897</v>
      </c>
      <c r="N14" s="26" t="s">
        <v>207</v>
      </c>
    </row>
    <row r="15" spans="1:14" ht="18" x14ac:dyDescent="0.35">
      <c r="A15" s="225" t="s">
        <v>886</v>
      </c>
      <c r="B15" s="214"/>
      <c r="C15" s="214"/>
      <c r="D15" s="214"/>
      <c r="E15" s="214"/>
      <c r="F15" s="214"/>
      <c r="G15" s="187"/>
      <c r="H15" s="187"/>
      <c r="I15" s="186"/>
      <c r="K15" s="61" t="s">
        <v>904</v>
      </c>
      <c r="L15" s="26" t="s">
        <v>199</v>
      </c>
      <c r="M15" s="26" t="s">
        <v>900</v>
      </c>
      <c r="N15" s="26" t="s">
        <v>905</v>
      </c>
    </row>
    <row r="16" spans="1:14" ht="18" x14ac:dyDescent="0.35">
      <c r="K16" s="61" t="s">
        <v>906</v>
      </c>
      <c r="L16" s="26" t="s">
        <v>199</v>
      </c>
      <c r="M16" s="26" t="s">
        <v>907</v>
      </c>
      <c r="N16" s="26" t="s">
        <v>908</v>
      </c>
    </row>
    <row r="17" spans="1:6" x14ac:dyDescent="0.25">
      <c r="A17" s="22" t="s">
        <v>737</v>
      </c>
      <c r="B17" s="22" t="s">
        <v>753</v>
      </c>
    </row>
    <row r="18" spans="1:6" x14ac:dyDescent="0.25">
      <c r="A18" s="199" t="s">
        <v>742</v>
      </c>
      <c r="B18" s="199" t="s">
        <v>719</v>
      </c>
      <c r="C18" s="199" t="s">
        <v>718</v>
      </c>
    </row>
    <row r="19" spans="1:6" x14ac:dyDescent="0.25">
      <c r="A19" s="26"/>
      <c r="B19" s="26"/>
      <c r="C19" s="26"/>
    </row>
    <row r="20" spans="1:6" x14ac:dyDescent="0.25">
      <c r="A20" s="1" t="s">
        <v>85</v>
      </c>
      <c r="B20" s="58"/>
      <c r="C20" s="58"/>
    </row>
    <row r="21" spans="1:6" x14ac:dyDescent="0.25">
      <c r="A21" t="s">
        <v>774</v>
      </c>
      <c r="B21" s="58"/>
      <c r="C21" s="58"/>
    </row>
    <row r="22" spans="1:6" x14ac:dyDescent="0.25">
      <c r="A22" s="1" t="s">
        <v>482</v>
      </c>
      <c r="B22" s="58"/>
    </row>
    <row r="23" spans="1:6" ht="6" customHeight="1" x14ac:dyDescent="0.25"/>
    <row r="24" spans="1:6" ht="18" x14ac:dyDescent="0.35">
      <c r="A24" s="1" t="s">
        <v>520</v>
      </c>
      <c r="B24" s="1" t="s">
        <v>746</v>
      </c>
      <c r="C24" s="1" t="s">
        <v>749</v>
      </c>
      <c r="D24" s="1" t="s">
        <v>1139</v>
      </c>
      <c r="E24" s="1" t="s">
        <v>1140</v>
      </c>
      <c r="F24" s="203" t="s">
        <v>1141</v>
      </c>
    </row>
    <row r="25" spans="1:6" x14ac:dyDescent="0.25">
      <c r="A25" s="26">
        <v>1</v>
      </c>
      <c r="B25" s="26">
        <v>91</v>
      </c>
      <c r="C25" s="48">
        <v>7113</v>
      </c>
      <c r="D25" s="59"/>
      <c r="E25" s="59"/>
      <c r="F25" s="30"/>
    </row>
    <row r="26" spans="1:6" x14ac:dyDescent="0.25">
      <c r="A26" s="26">
        <v>2</v>
      </c>
      <c r="B26" s="26">
        <v>45</v>
      </c>
      <c r="C26" s="48">
        <v>2044</v>
      </c>
      <c r="D26" s="59"/>
      <c r="E26" s="59"/>
      <c r="F26" s="30"/>
    </row>
    <row r="27" spans="1:6" x14ac:dyDescent="0.25">
      <c r="A27" s="26">
        <v>3</v>
      </c>
      <c r="B27" s="26">
        <v>46</v>
      </c>
      <c r="C27" s="48">
        <v>1108</v>
      </c>
      <c r="D27" s="59"/>
      <c r="E27" s="59"/>
      <c r="F27" s="30"/>
    </row>
    <row r="28" spans="1:6" x14ac:dyDescent="0.25">
      <c r="A28" s="26">
        <v>4</v>
      </c>
      <c r="B28" s="26">
        <v>83</v>
      </c>
      <c r="C28" s="48">
        <v>7093</v>
      </c>
      <c r="D28" s="59"/>
      <c r="E28" s="59"/>
      <c r="F28" s="30"/>
    </row>
    <row r="29" spans="1:6" x14ac:dyDescent="0.25">
      <c r="A29" s="26">
        <v>5</v>
      </c>
      <c r="B29" s="26">
        <v>76</v>
      </c>
      <c r="C29" s="48">
        <v>3902</v>
      </c>
      <c r="D29" s="59"/>
      <c r="E29" s="59"/>
      <c r="F29" s="30"/>
    </row>
    <row r="30" spans="1:6" x14ac:dyDescent="0.25">
      <c r="A30" s="26">
        <v>6</v>
      </c>
      <c r="B30" s="26">
        <v>96</v>
      </c>
      <c r="C30" s="48">
        <v>6676</v>
      </c>
      <c r="D30" s="59"/>
      <c r="E30" s="59"/>
      <c r="F30" s="30"/>
    </row>
    <row r="31" spans="1:6" x14ac:dyDescent="0.25">
      <c r="A31" s="26">
        <v>7</v>
      </c>
      <c r="B31" s="26">
        <v>75</v>
      </c>
      <c r="C31" s="48">
        <v>5403</v>
      </c>
      <c r="D31" s="59"/>
      <c r="E31" s="59"/>
      <c r="F31" s="30"/>
    </row>
    <row r="32" spans="1:6" x14ac:dyDescent="0.25">
      <c r="A32" s="26">
        <v>8</v>
      </c>
      <c r="B32" s="26">
        <v>42</v>
      </c>
      <c r="C32" s="48">
        <v>886</v>
      </c>
      <c r="D32" s="59"/>
      <c r="E32" s="59"/>
      <c r="F32" s="30"/>
    </row>
    <row r="33" spans="1:14" x14ac:dyDescent="0.25">
      <c r="A33" s="26">
        <v>9</v>
      </c>
      <c r="B33" s="26">
        <v>70</v>
      </c>
      <c r="C33" s="48">
        <v>4740</v>
      </c>
      <c r="D33" s="59"/>
      <c r="E33" s="59"/>
      <c r="F33" s="30"/>
    </row>
    <row r="34" spans="1:14" x14ac:dyDescent="0.25">
      <c r="A34" s="26">
        <v>10</v>
      </c>
      <c r="B34" s="26">
        <v>47</v>
      </c>
      <c r="C34" s="48">
        <v>2637</v>
      </c>
      <c r="D34" s="59"/>
      <c r="E34" s="59"/>
      <c r="F34" s="30"/>
    </row>
    <row r="35" spans="1:14" x14ac:dyDescent="0.25">
      <c r="A35" s="26">
        <v>11</v>
      </c>
      <c r="B35" s="26">
        <v>58</v>
      </c>
      <c r="C35" s="48">
        <v>3150</v>
      </c>
      <c r="D35" s="59"/>
      <c r="E35" s="59"/>
      <c r="F35" s="30"/>
    </row>
    <row r="37" spans="1:14" x14ac:dyDescent="0.25">
      <c r="E37" s="1" t="s">
        <v>165</v>
      </c>
      <c r="F37" s="30"/>
    </row>
    <row r="38" spans="1:14" x14ac:dyDescent="0.25">
      <c r="E38" s="1" t="s">
        <v>775</v>
      </c>
      <c r="F38" s="30"/>
      <c r="G38" t="s">
        <v>778</v>
      </c>
    </row>
    <row r="39" spans="1:14" x14ac:dyDescent="0.25">
      <c r="E39" s="1" t="s">
        <v>771</v>
      </c>
      <c r="F39" s="30"/>
      <c r="G39" t="s">
        <v>779</v>
      </c>
    </row>
    <row r="40" spans="1:14" x14ac:dyDescent="0.25">
      <c r="E40" s="1" t="s">
        <v>776</v>
      </c>
      <c r="F40" s="60"/>
      <c r="G40" t="s">
        <v>1109</v>
      </c>
    </row>
    <row r="41" spans="1:14" x14ac:dyDescent="0.25">
      <c r="E41" s="1" t="s">
        <v>776</v>
      </c>
      <c r="F41" s="60"/>
      <c r="G41" t="s">
        <v>780</v>
      </c>
    </row>
    <row r="42" spans="1:14" x14ac:dyDescent="0.25">
      <c r="F42" s="60"/>
      <c r="G42" t="s">
        <v>773</v>
      </c>
      <c r="H42" t="s">
        <v>772</v>
      </c>
      <c r="N42" t="s">
        <v>1110</v>
      </c>
    </row>
    <row r="43" spans="1:14" x14ac:dyDescent="0.25">
      <c r="F43" s="60"/>
      <c r="G43" t="s">
        <v>781</v>
      </c>
      <c r="H43" t="s">
        <v>772</v>
      </c>
    </row>
    <row r="44" spans="1:14" x14ac:dyDescent="0.25">
      <c r="A44" s="22" t="s">
        <v>745</v>
      </c>
      <c r="B44" s="22" t="s">
        <v>754</v>
      </c>
    </row>
    <row r="46" spans="1:14" ht="20.25" x14ac:dyDescent="0.35">
      <c r="A46" s="216" t="s">
        <v>850</v>
      </c>
      <c r="B46" s="30"/>
      <c r="C46" t="s">
        <v>778</v>
      </c>
    </row>
    <row r="47" spans="1:14" ht="20.25" x14ac:dyDescent="0.35">
      <c r="A47" s="216" t="s">
        <v>851</v>
      </c>
      <c r="B47" s="30"/>
      <c r="C47" t="s">
        <v>777</v>
      </c>
    </row>
    <row r="49" spans="1:3" x14ac:dyDescent="0.25">
      <c r="A49" s="1" t="s">
        <v>520</v>
      </c>
      <c r="B49" s="1" t="s">
        <v>830</v>
      </c>
      <c r="C49" s="1" t="s">
        <v>843</v>
      </c>
    </row>
    <row r="50" spans="1:3" x14ac:dyDescent="0.25">
      <c r="A50" s="26">
        <v>1</v>
      </c>
      <c r="B50" s="26">
        <v>86</v>
      </c>
      <c r="C50" s="48">
        <v>3300</v>
      </c>
    </row>
    <row r="51" spans="1:3" x14ac:dyDescent="0.25">
      <c r="A51" s="26">
        <v>2</v>
      </c>
      <c r="B51" s="26">
        <v>40</v>
      </c>
      <c r="C51" s="48">
        <v>8200</v>
      </c>
    </row>
    <row r="52" spans="1:3" x14ac:dyDescent="0.25">
      <c r="A52" s="26">
        <v>3</v>
      </c>
      <c r="B52" s="26">
        <v>41</v>
      </c>
      <c r="C52" s="48">
        <v>8900</v>
      </c>
    </row>
    <row r="53" spans="1:3" x14ac:dyDescent="0.25">
      <c r="A53" s="26">
        <v>4</v>
      </c>
      <c r="B53" s="26">
        <v>78</v>
      </c>
      <c r="C53" s="48">
        <v>3100</v>
      </c>
    </row>
    <row r="54" spans="1:3" x14ac:dyDescent="0.25">
      <c r="A54" s="26">
        <v>5</v>
      </c>
      <c r="B54" s="26">
        <v>71</v>
      </c>
      <c r="C54" s="48">
        <v>4020</v>
      </c>
    </row>
    <row r="55" spans="1:3" x14ac:dyDescent="0.25">
      <c r="A55" s="26">
        <v>6</v>
      </c>
      <c r="B55" s="26">
        <v>91</v>
      </c>
      <c r="C55" s="48">
        <v>1950</v>
      </c>
    </row>
    <row r="56" spans="1:3" x14ac:dyDescent="0.25">
      <c r="A56" s="26">
        <v>7</v>
      </c>
      <c r="B56" s="26">
        <v>70</v>
      </c>
      <c r="C56" s="48">
        <v>2500</v>
      </c>
    </row>
    <row r="57" spans="1:3" x14ac:dyDescent="0.25">
      <c r="A57" s="26">
        <v>8</v>
      </c>
      <c r="B57" s="26">
        <v>37</v>
      </c>
      <c r="C57" s="48">
        <v>6500</v>
      </c>
    </row>
    <row r="58" spans="1:3" x14ac:dyDescent="0.25">
      <c r="A58" s="26">
        <v>9</v>
      </c>
      <c r="B58" s="26">
        <v>65</v>
      </c>
      <c r="C58" s="48">
        <v>6210</v>
      </c>
    </row>
    <row r="59" spans="1:3" x14ac:dyDescent="0.25">
      <c r="A59" s="26">
        <v>10</v>
      </c>
      <c r="B59" s="26">
        <v>42</v>
      </c>
      <c r="C59" s="48">
        <v>5250</v>
      </c>
    </row>
    <row r="60" spans="1:3" x14ac:dyDescent="0.25">
      <c r="A60" s="26">
        <v>11</v>
      </c>
      <c r="B60" s="26">
        <v>53</v>
      </c>
      <c r="C60" s="48">
        <v>7200</v>
      </c>
    </row>
    <row r="61" spans="1:3" x14ac:dyDescent="0.25">
      <c r="A61" s="26">
        <v>12</v>
      </c>
      <c r="B61" s="26">
        <v>83</v>
      </c>
      <c r="C61" s="48">
        <v>2750</v>
      </c>
    </row>
    <row r="62" spans="1:3" x14ac:dyDescent="0.25">
      <c r="A62" s="26">
        <v>13</v>
      </c>
      <c r="B62" s="26">
        <v>63</v>
      </c>
      <c r="C62" s="48">
        <v>7150</v>
      </c>
    </row>
    <row r="63" spans="1:3" x14ac:dyDescent="0.25">
      <c r="A63" s="26">
        <v>14</v>
      </c>
      <c r="B63" s="26">
        <v>36</v>
      </c>
      <c r="C63" s="48">
        <v>7900</v>
      </c>
    </row>
    <row r="64" spans="1:3" x14ac:dyDescent="0.25">
      <c r="A64" s="26">
        <v>15</v>
      </c>
      <c r="B64" s="26">
        <v>43</v>
      </c>
      <c r="C64" s="48">
        <v>6210</v>
      </c>
    </row>
    <row r="67" spans="1:3" x14ac:dyDescent="0.25">
      <c r="A67" s="22" t="s">
        <v>750</v>
      </c>
      <c r="B67" s="22" t="s">
        <v>769</v>
      </c>
    </row>
    <row r="69" spans="1:3" ht="20.25" x14ac:dyDescent="0.35">
      <c r="A69" s="216" t="s">
        <v>850</v>
      </c>
      <c r="B69" s="30"/>
      <c r="C69" t="s">
        <v>778</v>
      </c>
    </row>
    <row r="70" spans="1:3" ht="20.25" x14ac:dyDescent="0.35">
      <c r="A70" s="216" t="s">
        <v>851</v>
      </c>
      <c r="B70" s="30"/>
      <c r="C70" t="s">
        <v>777</v>
      </c>
    </row>
    <row r="72" spans="1:3" ht="30" x14ac:dyDescent="0.25">
      <c r="A72" s="1" t="s">
        <v>520</v>
      </c>
      <c r="B72" s="33" t="s">
        <v>765</v>
      </c>
      <c r="C72" s="33" t="s">
        <v>768</v>
      </c>
    </row>
    <row r="73" spans="1:3" x14ac:dyDescent="0.25">
      <c r="A73" s="26">
        <v>1</v>
      </c>
      <c r="B73" s="26">
        <v>3</v>
      </c>
      <c r="C73" s="26">
        <v>5</v>
      </c>
    </row>
    <row r="74" spans="1:3" x14ac:dyDescent="0.25">
      <c r="A74" s="26">
        <v>2</v>
      </c>
      <c r="B74" s="26">
        <v>8</v>
      </c>
      <c r="C74" s="26">
        <v>1</v>
      </c>
    </row>
    <row r="75" spans="1:3" x14ac:dyDescent="0.25">
      <c r="A75" s="26">
        <v>3</v>
      </c>
      <c r="B75" s="26">
        <v>6</v>
      </c>
      <c r="C75" s="26">
        <v>9</v>
      </c>
    </row>
    <row r="76" spans="1:3" x14ac:dyDescent="0.25">
      <c r="A76" s="26">
        <v>4</v>
      </c>
      <c r="B76" s="26">
        <v>11</v>
      </c>
      <c r="C76" s="26">
        <v>5</v>
      </c>
    </row>
    <row r="77" spans="1:3" x14ac:dyDescent="0.25">
      <c r="A77" s="26">
        <v>5</v>
      </c>
      <c r="B77" s="26">
        <v>20</v>
      </c>
      <c r="C77" s="26">
        <v>3</v>
      </c>
    </row>
    <row r="78" spans="1:3" x14ac:dyDescent="0.25">
      <c r="A78" s="26">
        <v>6</v>
      </c>
      <c r="B78" s="26">
        <v>7</v>
      </c>
      <c r="C78" s="26">
        <v>4</v>
      </c>
    </row>
    <row r="79" spans="1:3" x14ac:dyDescent="0.25">
      <c r="A79" s="26">
        <v>7</v>
      </c>
      <c r="B79" s="26">
        <v>9</v>
      </c>
      <c r="C79" s="26">
        <v>10</v>
      </c>
    </row>
    <row r="80" spans="1:3" x14ac:dyDescent="0.25">
      <c r="A80" s="26">
        <v>8</v>
      </c>
      <c r="B80" s="26">
        <v>3</v>
      </c>
      <c r="C80" s="26">
        <v>6</v>
      </c>
    </row>
    <row r="81" spans="1:3" x14ac:dyDescent="0.25">
      <c r="A81" s="26">
        <v>9</v>
      </c>
      <c r="B81" s="26">
        <v>19</v>
      </c>
      <c r="C81" s="26">
        <v>10</v>
      </c>
    </row>
    <row r="82" spans="1:3" x14ac:dyDescent="0.25">
      <c r="A82" s="26">
        <v>10</v>
      </c>
      <c r="B82" s="26">
        <v>2</v>
      </c>
      <c r="C82" s="26">
        <v>1</v>
      </c>
    </row>
    <row r="83" spans="1:3" x14ac:dyDescent="0.25">
      <c r="A83" s="26">
        <v>11</v>
      </c>
      <c r="B83" s="26">
        <v>16</v>
      </c>
      <c r="C83" s="26">
        <v>2</v>
      </c>
    </row>
    <row r="84" spans="1:3" x14ac:dyDescent="0.25">
      <c r="A84" s="26">
        <v>12</v>
      </c>
      <c r="B84" s="26">
        <v>12</v>
      </c>
      <c r="C84" s="26">
        <v>7</v>
      </c>
    </row>
    <row r="85" spans="1:3" x14ac:dyDescent="0.25">
      <c r="A85" s="26">
        <v>13</v>
      </c>
      <c r="B85" s="26">
        <v>1</v>
      </c>
      <c r="C85" s="26">
        <v>6</v>
      </c>
    </row>
    <row r="88" spans="1:3" x14ac:dyDescent="0.25">
      <c r="A88" s="22" t="s">
        <v>828</v>
      </c>
      <c r="B88" s="22" t="s">
        <v>829</v>
      </c>
    </row>
    <row r="90" spans="1:3" ht="20.25" x14ac:dyDescent="0.35">
      <c r="A90" s="216" t="s">
        <v>850</v>
      </c>
      <c r="B90" s="30"/>
      <c r="C90" t="s">
        <v>778</v>
      </c>
    </row>
    <row r="91" spans="1:3" ht="20.25" x14ac:dyDescent="0.35">
      <c r="A91" s="216" t="s">
        <v>851</v>
      </c>
      <c r="B91" s="30"/>
      <c r="C91" t="s">
        <v>777</v>
      </c>
    </row>
    <row r="93" spans="1:3" x14ac:dyDescent="0.25">
      <c r="A93" s="62" t="s">
        <v>192</v>
      </c>
      <c r="B93" s="62" t="s">
        <v>826</v>
      </c>
      <c r="C93" s="62" t="s">
        <v>827</v>
      </c>
    </row>
    <row r="94" spans="1:3" x14ac:dyDescent="0.25">
      <c r="A94" s="63">
        <v>42016</v>
      </c>
      <c r="B94" s="26">
        <v>46</v>
      </c>
      <c r="C94" s="48">
        <v>236</v>
      </c>
    </row>
    <row r="95" spans="1:3" x14ac:dyDescent="0.25">
      <c r="A95" s="63">
        <v>42017</v>
      </c>
      <c r="B95" s="26">
        <v>52</v>
      </c>
      <c r="C95" s="48">
        <v>304</v>
      </c>
    </row>
    <row r="96" spans="1:3" x14ac:dyDescent="0.25">
      <c r="A96" s="63">
        <v>42018</v>
      </c>
      <c r="B96" s="26">
        <v>55</v>
      </c>
      <c r="C96" s="48">
        <v>163.5</v>
      </c>
    </row>
    <row r="97" spans="1:3" x14ac:dyDescent="0.25">
      <c r="A97" s="63">
        <v>42019</v>
      </c>
      <c r="B97" s="26">
        <v>46</v>
      </c>
      <c r="C97" s="48">
        <v>214</v>
      </c>
    </row>
    <row r="98" spans="1:3" x14ac:dyDescent="0.25">
      <c r="A98" s="63">
        <v>42020</v>
      </c>
      <c r="B98" s="26">
        <v>47</v>
      </c>
      <c r="C98" s="48">
        <v>210</v>
      </c>
    </row>
    <row r="99" spans="1:3" x14ac:dyDescent="0.25">
      <c r="A99" s="63">
        <v>42021</v>
      </c>
      <c r="B99" s="26">
        <v>50</v>
      </c>
      <c r="C99" s="48">
        <v>508</v>
      </c>
    </row>
    <row r="100" spans="1:3" x14ac:dyDescent="0.25">
      <c r="A100" s="63">
        <v>42022</v>
      </c>
      <c r="B100" s="26">
        <v>36</v>
      </c>
      <c r="C100" s="48">
        <v>294.55</v>
      </c>
    </row>
    <row r="101" spans="1:3" x14ac:dyDescent="0.25">
      <c r="A101" s="63">
        <v>42023</v>
      </c>
      <c r="B101" s="26">
        <v>47</v>
      </c>
      <c r="C101" s="48">
        <v>250</v>
      </c>
    </row>
    <row r="102" spans="1:3" x14ac:dyDescent="0.25">
      <c r="A102" s="63">
        <v>42024</v>
      </c>
      <c r="B102" s="26">
        <v>40</v>
      </c>
      <c r="C102" s="48">
        <v>371.95</v>
      </c>
    </row>
    <row r="103" spans="1:3" x14ac:dyDescent="0.25">
      <c r="A103" s="63">
        <v>42025</v>
      </c>
      <c r="B103" s="26">
        <v>46</v>
      </c>
      <c r="C103" s="48">
        <v>478</v>
      </c>
    </row>
    <row r="104" spans="1:3" x14ac:dyDescent="0.25">
      <c r="A104" s="63">
        <v>42026</v>
      </c>
      <c r="B104" s="26">
        <v>55</v>
      </c>
      <c r="C104" s="48">
        <v>258</v>
      </c>
    </row>
    <row r="105" spans="1:3" x14ac:dyDescent="0.25">
      <c r="A105" s="63">
        <v>42027</v>
      </c>
      <c r="B105" s="26">
        <v>40</v>
      </c>
      <c r="C105" s="48">
        <v>559</v>
      </c>
    </row>
    <row r="106" spans="1:3" x14ac:dyDescent="0.25">
      <c r="A106" s="63">
        <v>42028</v>
      </c>
      <c r="B106" s="26">
        <v>53</v>
      </c>
      <c r="C106" s="48">
        <v>536</v>
      </c>
    </row>
    <row r="107" spans="1:3" x14ac:dyDescent="0.25">
      <c r="A107" s="63">
        <v>42029</v>
      </c>
      <c r="B107" s="26">
        <v>44</v>
      </c>
      <c r="C107" s="48">
        <v>576</v>
      </c>
    </row>
    <row r="108" spans="1:3" x14ac:dyDescent="0.25">
      <c r="A108" s="63">
        <v>42030</v>
      </c>
      <c r="B108" s="26">
        <v>48</v>
      </c>
      <c r="C108" s="48">
        <v>446</v>
      </c>
    </row>
    <row r="109" spans="1:3" x14ac:dyDescent="0.25">
      <c r="A109" s="63">
        <v>42031</v>
      </c>
      <c r="B109" s="26">
        <v>46</v>
      </c>
      <c r="C109" s="48">
        <v>300</v>
      </c>
    </row>
    <row r="110" spans="1:3" x14ac:dyDescent="0.25">
      <c r="A110" s="63">
        <v>42032</v>
      </c>
      <c r="B110" s="26">
        <v>56</v>
      </c>
      <c r="C110" s="48">
        <v>250.5</v>
      </c>
    </row>
    <row r="111" spans="1:3" x14ac:dyDescent="0.25">
      <c r="A111" s="63">
        <v>42033</v>
      </c>
      <c r="B111" s="26">
        <v>36</v>
      </c>
      <c r="C111" s="48">
        <v>412.79999999999995</v>
      </c>
    </row>
    <row r="112" spans="1:3" x14ac:dyDescent="0.25">
      <c r="A112" s="63">
        <v>42034</v>
      </c>
      <c r="B112" s="26">
        <v>38</v>
      </c>
      <c r="C112" s="48">
        <v>511.7</v>
      </c>
    </row>
    <row r="113" spans="1:3" x14ac:dyDescent="0.25">
      <c r="A113" s="63">
        <v>42035</v>
      </c>
      <c r="B113" s="26">
        <v>37</v>
      </c>
      <c r="C113" s="48">
        <v>311.75</v>
      </c>
    </row>
    <row r="114" spans="1:3" x14ac:dyDescent="0.25">
      <c r="A114" s="63">
        <v>42036</v>
      </c>
      <c r="B114" s="26">
        <v>44</v>
      </c>
      <c r="C114" s="48">
        <v>478</v>
      </c>
    </row>
    <row r="115" spans="1:3" x14ac:dyDescent="0.25">
      <c r="A115" s="63">
        <v>42037</v>
      </c>
      <c r="B115" s="26">
        <v>30</v>
      </c>
      <c r="C115" s="48">
        <v>282.5</v>
      </c>
    </row>
    <row r="116" spans="1:3" x14ac:dyDescent="0.25">
      <c r="A116" s="63">
        <v>42038</v>
      </c>
      <c r="B116" s="26">
        <v>48</v>
      </c>
      <c r="C116" s="48">
        <v>476</v>
      </c>
    </row>
    <row r="117" spans="1:3" x14ac:dyDescent="0.25">
      <c r="A117" s="63">
        <v>42039</v>
      </c>
      <c r="B117" s="26">
        <v>37</v>
      </c>
      <c r="C117" s="48">
        <v>565.44999999999993</v>
      </c>
    </row>
    <row r="118" spans="1:3" x14ac:dyDescent="0.25">
      <c r="A118" s="63">
        <v>42040</v>
      </c>
      <c r="B118" s="26">
        <v>43</v>
      </c>
      <c r="C118" s="48">
        <v>567.6</v>
      </c>
    </row>
    <row r="119" spans="1:3" x14ac:dyDescent="0.25">
      <c r="A119" s="63">
        <v>42041</v>
      </c>
      <c r="B119" s="26">
        <v>39</v>
      </c>
      <c r="C119" s="48">
        <v>634.25</v>
      </c>
    </row>
    <row r="120" spans="1:3" x14ac:dyDescent="0.25">
      <c r="A120" s="63">
        <v>42042</v>
      </c>
      <c r="B120" s="26">
        <v>34</v>
      </c>
      <c r="C120" s="48">
        <v>266.59999999999997</v>
      </c>
    </row>
    <row r="121" spans="1:3" x14ac:dyDescent="0.25">
      <c r="A121" s="63">
        <v>42043</v>
      </c>
      <c r="B121" s="26">
        <v>33</v>
      </c>
      <c r="C121" s="48">
        <v>345</v>
      </c>
    </row>
    <row r="122" spans="1:3" x14ac:dyDescent="0.25">
      <c r="A122" s="63">
        <v>42044</v>
      </c>
      <c r="B122" s="26">
        <v>38</v>
      </c>
      <c r="C122" s="48">
        <v>393.45</v>
      </c>
    </row>
    <row r="123" spans="1:3" x14ac:dyDescent="0.25">
      <c r="A123" s="63">
        <v>42045</v>
      </c>
      <c r="B123" s="26">
        <v>38</v>
      </c>
      <c r="C123" s="48">
        <v>567.6</v>
      </c>
    </row>
    <row r="124" spans="1:3" x14ac:dyDescent="0.25">
      <c r="A124" s="63">
        <v>42046</v>
      </c>
      <c r="B124" s="26">
        <v>37</v>
      </c>
      <c r="C124" s="48">
        <v>266.59999999999997</v>
      </c>
    </row>
    <row r="125" spans="1:3" x14ac:dyDescent="0.25">
      <c r="A125" s="63">
        <v>42047</v>
      </c>
      <c r="B125" s="26">
        <v>35</v>
      </c>
      <c r="C125" s="48">
        <v>503.09999999999997</v>
      </c>
    </row>
    <row r="126" spans="1:3" x14ac:dyDescent="0.25">
      <c r="A126" s="63">
        <v>42048</v>
      </c>
      <c r="B126" s="26">
        <v>53</v>
      </c>
      <c r="C126" s="48">
        <v>242</v>
      </c>
    </row>
    <row r="127" spans="1:3" x14ac:dyDescent="0.25">
      <c r="A127" s="63">
        <v>42049</v>
      </c>
      <c r="B127" s="26">
        <v>55</v>
      </c>
      <c r="C127" s="48">
        <v>216</v>
      </c>
    </row>
    <row r="128" spans="1:3" x14ac:dyDescent="0.25">
      <c r="A128" s="63">
        <v>42050</v>
      </c>
      <c r="B128" s="26">
        <v>58</v>
      </c>
      <c r="C128" s="48">
        <v>354</v>
      </c>
    </row>
    <row r="129" spans="1:3" x14ac:dyDescent="0.25">
      <c r="A129" s="63">
        <v>42051</v>
      </c>
      <c r="B129" s="26">
        <v>41</v>
      </c>
      <c r="C129" s="48">
        <v>432.15</v>
      </c>
    </row>
    <row r="130" spans="1:3" x14ac:dyDescent="0.25">
      <c r="A130" s="63">
        <v>42052</v>
      </c>
      <c r="B130" s="26">
        <v>43</v>
      </c>
      <c r="C130" s="48">
        <v>406.34999999999997</v>
      </c>
    </row>
    <row r="131" spans="1:3" x14ac:dyDescent="0.25">
      <c r="A131" s="63">
        <v>42053</v>
      </c>
      <c r="B131" s="26">
        <v>43</v>
      </c>
      <c r="C131" s="48">
        <v>627.79999999999995</v>
      </c>
    </row>
    <row r="132" spans="1:3" x14ac:dyDescent="0.25">
      <c r="A132" s="63">
        <v>42054</v>
      </c>
      <c r="B132" s="26">
        <v>32</v>
      </c>
      <c r="C132" s="48">
        <v>705</v>
      </c>
    </row>
    <row r="133" spans="1:3" x14ac:dyDescent="0.25">
      <c r="A133" s="63">
        <v>42055</v>
      </c>
      <c r="B133" s="26">
        <v>53</v>
      </c>
      <c r="C133" s="48">
        <v>534</v>
      </c>
    </row>
    <row r="134" spans="1:3" x14ac:dyDescent="0.25">
      <c r="A134" s="63">
        <v>42056</v>
      </c>
      <c r="B134" s="26">
        <v>54</v>
      </c>
      <c r="C134" s="48">
        <v>282</v>
      </c>
    </row>
    <row r="135" spans="1:3" x14ac:dyDescent="0.25">
      <c r="A135" s="63">
        <v>42057</v>
      </c>
      <c r="B135" s="26">
        <v>56</v>
      </c>
      <c r="C135" s="48">
        <v>435</v>
      </c>
    </row>
    <row r="136" spans="1:3" x14ac:dyDescent="0.25">
      <c r="A136" s="63">
        <v>42058</v>
      </c>
      <c r="B136" s="26">
        <v>52</v>
      </c>
      <c r="C136" s="48">
        <v>380</v>
      </c>
    </row>
    <row r="137" spans="1:3" x14ac:dyDescent="0.25">
      <c r="A137" s="63">
        <v>42059</v>
      </c>
      <c r="B137" s="26">
        <v>57</v>
      </c>
      <c r="C137" s="48">
        <v>372</v>
      </c>
    </row>
    <row r="138" spans="1:3" x14ac:dyDescent="0.25">
      <c r="A138" s="63">
        <v>42060</v>
      </c>
      <c r="B138" s="26">
        <v>51</v>
      </c>
      <c r="C138" s="48">
        <v>240</v>
      </c>
    </row>
    <row r="139" spans="1:3" x14ac:dyDescent="0.25">
      <c r="A139" s="63">
        <v>42061</v>
      </c>
      <c r="B139" s="26">
        <v>40</v>
      </c>
      <c r="C139" s="48">
        <v>346.15</v>
      </c>
    </row>
    <row r="140" spans="1:3" x14ac:dyDescent="0.25">
      <c r="A140" s="63">
        <v>42062</v>
      </c>
      <c r="B140" s="26">
        <v>32</v>
      </c>
      <c r="C140" s="48">
        <v>577.5</v>
      </c>
    </row>
    <row r="141" spans="1:3" x14ac:dyDescent="0.25">
      <c r="A141" s="63">
        <v>42063</v>
      </c>
      <c r="B141" s="26">
        <v>34</v>
      </c>
      <c r="C141" s="48">
        <v>406.34999999999997</v>
      </c>
    </row>
    <row r="142" spans="1:3" x14ac:dyDescent="0.25">
      <c r="A142" s="63">
        <v>42064</v>
      </c>
      <c r="B142" s="26">
        <v>37</v>
      </c>
      <c r="C142" s="48">
        <v>468.7</v>
      </c>
    </row>
    <row r="143" spans="1:3" x14ac:dyDescent="0.25">
      <c r="A143" s="63">
        <v>42065</v>
      </c>
      <c r="B143" s="26">
        <v>39</v>
      </c>
      <c r="C143" s="48">
        <v>483.75</v>
      </c>
    </row>
    <row r="144" spans="1:3" x14ac:dyDescent="0.25">
      <c r="A144" s="63">
        <v>42066</v>
      </c>
      <c r="B144" s="26">
        <v>22</v>
      </c>
      <c r="C144" s="48">
        <v>462.5</v>
      </c>
    </row>
    <row r="145" spans="1:3" x14ac:dyDescent="0.25">
      <c r="A145" s="63">
        <v>42067</v>
      </c>
      <c r="B145" s="26">
        <v>38</v>
      </c>
      <c r="C145" s="48">
        <v>408.5</v>
      </c>
    </row>
    <row r="146" spans="1:3" x14ac:dyDescent="0.25">
      <c r="A146" s="63">
        <v>42068</v>
      </c>
      <c r="B146" s="26">
        <v>40</v>
      </c>
      <c r="C146" s="48">
        <v>311.75</v>
      </c>
    </row>
    <row r="147" spans="1:3" x14ac:dyDescent="0.25">
      <c r="A147" s="63">
        <v>42069</v>
      </c>
      <c r="B147" s="26">
        <v>51</v>
      </c>
      <c r="C147" s="48">
        <v>420</v>
      </c>
    </row>
    <row r="148" spans="1:3" x14ac:dyDescent="0.25">
      <c r="A148" s="63">
        <v>42070</v>
      </c>
      <c r="B148" s="26">
        <v>32</v>
      </c>
      <c r="C148" s="48">
        <v>410</v>
      </c>
    </row>
    <row r="149" spans="1:3" x14ac:dyDescent="0.25">
      <c r="A149" s="63">
        <v>42071</v>
      </c>
      <c r="B149" s="26">
        <v>45</v>
      </c>
      <c r="C149" s="48">
        <v>400</v>
      </c>
    </row>
    <row r="150" spans="1:3" x14ac:dyDescent="0.25">
      <c r="A150" s="63">
        <v>42072</v>
      </c>
      <c r="B150" s="26">
        <v>40</v>
      </c>
      <c r="C150" s="48">
        <v>460.09999999999997</v>
      </c>
    </row>
    <row r="151" spans="1:3" x14ac:dyDescent="0.25">
      <c r="A151" s="63">
        <v>42073</v>
      </c>
      <c r="B151" s="26">
        <v>52</v>
      </c>
      <c r="C151" s="48">
        <v>538</v>
      </c>
    </row>
    <row r="152" spans="1:3" x14ac:dyDescent="0.25">
      <c r="A152" s="63">
        <v>42074</v>
      </c>
      <c r="B152" s="26">
        <v>25</v>
      </c>
      <c r="C152" s="48">
        <v>597.5</v>
      </c>
    </row>
    <row r="153" spans="1:3" x14ac:dyDescent="0.25">
      <c r="A153" s="63">
        <v>42075</v>
      </c>
      <c r="B153" s="26">
        <v>42</v>
      </c>
      <c r="C153" s="48">
        <v>389.15</v>
      </c>
    </row>
    <row r="154" spans="1:3" x14ac:dyDescent="0.25">
      <c r="A154" s="63">
        <v>42076</v>
      </c>
      <c r="B154" s="26">
        <v>45</v>
      </c>
      <c r="C154" s="48">
        <v>228</v>
      </c>
    </row>
    <row r="155" spans="1:3" x14ac:dyDescent="0.25">
      <c r="A155" s="63">
        <v>42077</v>
      </c>
      <c r="B155" s="26">
        <v>31</v>
      </c>
      <c r="C155" s="48">
        <v>627.5</v>
      </c>
    </row>
    <row r="156" spans="1:3" x14ac:dyDescent="0.25">
      <c r="A156" s="63">
        <v>42078</v>
      </c>
      <c r="B156" s="26">
        <v>51</v>
      </c>
      <c r="C156" s="48">
        <v>408</v>
      </c>
    </row>
    <row r="157" spans="1:3" x14ac:dyDescent="0.25">
      <c r="A157" s="63">
        <v>42079</v>
      </c>
      <c r="B157" s="26">
        <v>34</v>
      </c>
      <c r="C157" s="48">
        <v>339.7</v>
      </c>
    </row>
    <row r="158" spans="1:3" x14ac:dyDescent="0.25">
      <c r="A158" s="63">
        <v>42080</v>
      </c>
      <c r="B158" s="26">
        <v>21</v>
      </c>
      <c r="C158" s="48">
        <v>527.5</v>
      </c>
    </row>
    <row r="159" spans="1:3" x14ac:dyDescent="0.25">
      <c r="A159" s="63">
        <v>42081</v>
      </c>
      <c r="B159" s="26">
        <v>55</v>
      </c>
      <c r="C159" s="48">
        <v>364.5</v>
      </c>
    </row>
    <row r="160" spans="1:3" x14ac:dyDescent="0.25">
      <c r="A160" s="63">
        <v>42082</v>
      </c>
      <c r="B160" s="26">
        <v>24</v>
      </c>
      <c r="C160" s="48">
        <v>695</v>
      </c>
    </row>
    <row r="161" spans="1:3" x14ac:dyDescent="0.25">
      <c r="A161" s="63">
        <v>42083</v>
      </c>
      <c r="B161" s="26">
        <v>42</v>
      </c>
      <c r="C161" s="48">
        <v>462.25</v>
      </c>
    </row>
    <row r="162" spans="1:3" x14ac:dyDescent="0.25">
      <c r="A162" s="63">
        <v>42084</v>
      </c>
      <c r="B162" s="26">
        <v>38</v>
      </c>
      <c r="C162" s="48">
        <v>277.34999999999997</v>
      </c>
    </row>
    <row r="163" spans="1:3" x14ac:dyDescent="0.25">
      <c r="A163" s="63">
        <v>42085</v>
      </c>
      <c r="B163" s="26">
        <v>48</v>
      </c>
      <c r="C163" s="48">
        <v>334</v>
      </c>
    </row>
    <row r="164" spans="1:3" x14ac:dyDescent="0.25">
      <c r="A164" s="63">
        <v>42086</v>
      </c>
      <c r="B164" s="26">
        <v>40</v>
      </c>
      <c r="C164" s="48">
        <v>445.04999999999995</v>
      </c>
    </row>
    <row r="165" spans="1:3" x14ac:dyDescent="0.25">
      <c r="A165" s="63">
        <v>42087</v>
      </c>
      <c r="B165" s="26">
        <v>45</v>
      </c>
      <c r="C165" s="48">
        <v>496</v>
      </c>
    </row>
    <row r="166" spans="1:3" x14ac:dyDescent="0.25">
      <c r="A166" s="63">
        <v>42088</v>
      </c>
      <c r="B166" s="26">
        <v>45</v>
      </c>
      <c r="C166" s="48">
        <v>514</v>
      </c>
    </row>
    <row r="167" spans="1:3" x14ac:dyDescent="0.25">
      <c r="A167" s="63">
        <v>42089</v>
      </c>
      <c r="B167" s="26">
        <v>46</v>
      </c>
      <c r="C167" s="48">
        <v>350</v>
      </c>
    </row>
    <row r="168" spans="1:3" x14ac:dyDescent="0.25">
      <c r="A168" s="63">
        <v>42090</v>
      </c>
      <c r="B168" s="26">
        <v>33</v>
      </c>
      <c r="C168" s="48">
        <v>697.5</v>
      </c>
    </row>
    <row r="169" spans="1:3" x14ac:dyDescent="0.25">
      <c r="A169" s="63">
        <v>42091</v>
      </c>
      <c r="B169" s="26">
        <v>37</v>
      </c>
      <c r="C169" s="48">
        <v>258</v>
      </c>
    </row>
    <row r="170" spans="1:3" x14ac:dyDescent="0.25">
      <c r="A170" s="63">
        <v>42092</v>
      </c>
      <c r="B170" s="26">
        <v>24</v>
      </c>
      <c r="C170" s="48">
        <v>257.5</v>
      </c>
    </row>
    <row r="171" spans="1:3" x14ac:dyDescent="0.25">
      <c r="A171" s="63">
        <v>42093</v>
      </c>
      <c r="B171" s="26">
        <v>36</v>
      </c>
      <c r="C171" s="48">
        <v>313.89999999999998</v>
      </c>
    </row>
    <row r="172" spans="1:3" x14ac:dyDescent="0.25">
      <c r="A172" s="63">
        <v>42094</v>
      </c>
      <c r="B172" s="26">
        <v>37</v>
      </c>
      <c r="C172" s="48">
        <v>481.59999999999997</v>
      </c>
    </row>
    <row r="173" spans="1:3" x14ac:dyDescent="0.25">
      <c r="A173" s="63">
        <v>42095</v>
      </c>
      <c r="B173" s="26">
        <v>47</v>
      </c>
      <c r="C173" s="48">
        <v>594</v>
      </c>
    </row>
    <row r="174" spans="1:3" x14ac:dyDescent="0.25">
      <c r="A174" s="63">
        <v>42096</v>
      </c>
      <c r="B174" s="26">
        <v>64</v>
      </c>
      <c r="C174" s="48">
        <v>442.5</v>
      </c>
    </row>
    <row r="175" spans="1:3" x14ac:dyDescent="0.25">
      <c r="A175" s="63">
        <v>42097</v>
      </c>
      <c r="B175" s="26">
        <v>60</v>
      </c>
      <c r="C175" s="48">
        <v>397.5</v>
      </c>
    </row>
    <row r="176" spans="1:3" x14ac:dyDescent="0.25">
      <c r="A176" s="63">
        <v>42098</v>
      </c>
      <c r="B176" s="26">
        <v>50</v>
      </c>
      <c r="C176" s="48">
        <v>272</v>
      </c>
    </row>
    <row r="177" spans="1:3" x14ac:dyDescent="0.25">
      <c r="A177" s="63">
        <v>42099</v>
      </c>
      <c r="B177" s="26">
        <v>62</v>
      </c>
      <c r="C177" s="48">
        <v>208.5</v>
      </c>
    </row>
    <row r="178" spans="1:3" x14ac:dyDescent="0.25">
      <c r="A178" s="63">
        <v>42100</v>
      </c>
      <c r="B178" s="26">
        <v>50</v>
      </c>
      <c r="C178" s="48">
        <v>200</v>
      </c>
    </row>
    <row r="179" spans="1:3" x14ac:dyDescent="0.25">
      <c r="A179" s="63">
        <v>42101</v>
      </c>
      <c r="B179" s="26">
        <v>62</v>
      </c>
      <c r="C179" s="48">
        <v>301.5</v>
      </c>
    </row>
    <row r="180" spans="1:3" x14ac:dyDescent="0.25">
      <c r="A180" s="63">
        <v>42102</v>
      </c>
      <c r="B180" s="26">
        <v>68</v>
      </c>
      <c r="C180" s="48">
        <v>187</v>
      </c>
    </row>
    <row r="181" spans="1:3" x14ac:dyDescent="0.25">
      <c r="A181" s="63">
        <v>42103</v>
      </c>
      <c r="B181" s="26">
        <v>65</v>
      </c>
      <c r="C181" s="48">
        <v>150</v>
      </c>
    </row>
    <row r="182" spans="1:3" x14ac:dyDescent="0.25">
      <c r="A182" s="63">
        <v>42104</v>
      </c>
      <c r="B182" s="26">
        <v>57</v>
      </c>
      <c r="C182" s="48">
        <v>445.5</v>
      </c>
    </row>
    <row r="183" spans="1:3" x14ac:dyDescent="0.25">
      <c r="A183" s="63">
        <v>42105</v>
      </c>
      <c r="B183" s="26">
        <v>53</v>
      </c>
      <c r="C183" s="48">
        <v>498</v>
      </c>
    </row>
    <row r="184" spans="1:3" x14ac:dyDescent="0.25">
      <c r="A184" s="63">
        <v>42106</v>
      </c>
      <c r="B184" s="26">
        <v>43</v>
      </c>
      <c r="C184" s="48">
        <v>599.85</v>
      </c>
    </row>
    <row r="185" spans="1:3" x14ac:dyDescent="0.25">
      <c r="A185" s="63">
        <v>42107</v>
      </c>
      <c r="B185" s="26">
        <v>39</v>
      </c>
      <c r="C185" s="48">
        <v>393.45</v>
      </c>
    </row>
    <row r="186" spans="1:3" x14ac:dyDescent="0.25">
      <c r="A186" s="63">
        <v>42108</v>
      </c>
      <c r="B186" s="26">
        <v>61</v>
      </c>
      <c r="C186" s="48">
        <v>196.5</v>
      </c>
    </row>
    <row r="187" spans="1:3" x14ac:dyDescent="0.25">
      <c r="A187" s="63">
        <v>42109</v>
      </c>
      <c r="B187" s="26">
        <v>42</v>
      </c>
      <c r="C187" s="48">
        <v>457.95</v>
      </c>
    </row>
    <row r="188" spans="1:3" x14ac:dyDescent="0.25">
      <c r="A188" s="63">
        <v>42110</v>
      </c>
      <c r="B188" s="26">
        <v>42</v>
      </c>
      <c r="C188" s="48">
        <v>225.75</v>
      </c>
    </row>
    <row r="189" spans="1:3" x14ac:dyDescent="0.25">
      <c r="A189" s="63">
        <v>42111</v>
      </c>
      <c r="B189" s="26">
        <v>52</v>
      </c>
      <c r="C189" s="48">
        <v>598</v>
      </c>
    </row>
    <row r="190" spans="1:3" x14ac:dyDescent="0.25">
      <c r="A190" s="63">
        <v>42112</v>
      </c>
      <c r="B190" s="26">
        <v>68</v>
      </c>
      <c r="C190" s="48">
        <v>268</v>
      </c>
    </row>
    <row r="191" spans="1:3" x14ac:dyDescent="0.25">
      <c r="A191" s="63">
        <v>42113</v>
      </c>
      <c r="B191" s="26">
        <v>50</v>
      </c>
      <c r="C191" s="48">
        <v>468</v>
      </c>
    </row>
    <row r="192" spans="1:3" x14ac:dyDescent="0.25">
      <c r="A192" s="63">
        <v>42114</v>
      </c>
      <c r="B192" s="26">
        <v>46</v>
      </c>
      <c r="C192" s="48">
        <v>236</v>
      </c>
    </row>
    <row r="193" spans="1:3" x14ac:dyDescent="0.25">
      <c r="A193" s="63">
        <v>42115</v>
      </c>
      <c r="B193" s="26">
        <v>58</v>
      </c>
      <c r="C193" s="48">
        <v>415.5</v>
      </c>
    </row>
    <row r="194" spans="1:3" x14ac:dyDescent="0.25">
      <c r="A194" s="63">
        <v>42116</v>
      </c>
      <c r="B194" s="26">
        <v>56</v>
      </c>
      <c r="C194" s="48">
        <v>418.5</v>
      </c>
    </row>
    <row r="195" spans="1:3" x14ac:dyDescent="0.25">
      <c r="A195" s="63">
        <v>42117</v>
      </c>
      <c r="B195" s="26">
        <v>61</v>
      </c>
      <c r="C195" s="48">
        <v>279</v>
      </c>
    </row>
    <row r="196" spans="1:3" x14ac:dyDescent="0.25">
      <c r="A196" s="63">
        <v>42118</v>
      </c>
      <c r="B196" s="26">
        <v>56</v>
      </c>
      <c r="C196" s="48">
        <v>195</v>
      </c>
    </row>
    <row r="197" spans="1:3" x14ac:dyDescent="0.25">
      <c r="A197" s="63">
        <v>42119</v>
      </c>
      <c r="B197" s="26">
        <v>61</v>
      </c>
      <c r="C197" s="48">
        <v>325.5</v>
      </c>
    </row>
    <row r="198" spans="1:3" x14ac:dyDescent="0.25">
      <c r="A198" s="63">
        <v>42120</v>
      </c>
      <c r="B198" s="26">
        <v>67</v>
      </c>
      <c r="C198" s="48">
        <v>283</v>
      </c>
    </row>
    <row r="199" spans="1:3" x14ac:dyDescent="0.25">
      <c r="A199" s="63">
        <v>42121</v>
      </c>
      <c r="B199" s="26">
        <v>68</v>
      </c>
      <c r="C199" s="48">
        <v>281</v>
      </c>
    </row>
    <row r="200" spans="1:3" x14ac:dyDescent="0.25">
      <c r="A200" s="63">
        <v>42122</v>
      </c>
      <c r="B200" s="26">
        <v>61</v>
      </c>
      <c r="C200" s="48">
        <v>313.5</v>
      </c>
    </row>
    <row r="201" spans="1:3" x14ac:dyDescent="0.25">
      <c r="A201" s="63">
        <v>42123</v>
      </c>
      <c r="B201" s="26">
        <v>52</v>
      </c>
      <c r="C201" s="48">
        <v>466</v>
      </c>
    </row>
    <row r="202" spans="1:3" x14ac:dyDescent="0.25">
      <c r="A202" s="63">
        <v>42124</v>
      </c>
      <c r="B202" s="26">
        <v>63</v>
      </c>
      <c r="C202" s="48">
        <v>351</v>
      </c>
    </row>
    <row r="203" spans="1:3" x14ac:dyDescent="0.25">
      <c r="A203" s="63">
        <v>42125</v>
      </c>
      <c r="B203" s="26">
        <v>80</v>
      </c>
      <c r="C203" s="48">
        <v>226</v>
      </c>
    </row>
    <row r="204" spans="1:3" x14ac:dyDescent="0.25">
      <c r="A204" s="63">
        <v>42126</v>
      </c>
      <c r="B204" s="26">
        <v>75</v>
      </c>
      <c r="C204" s="48">
        <v>165</v>
      </c>
    </row>
    <row r="205" spans="1:3" x14ac:dyDescent="0.25">
      <c r="A205" s="63">
        <v>42127</v>
      </c>
      <c r="B205" s="26">
        <v>51</v>
      </c>
      <c r="C205" s="48">
        <v>532</v>
      </c>
    </row>
    <row r="206" spans="1:3" x14ac:dyDescent="0.25">
      <c r="A206" s="63">
        <v>42128</v>
      </c>
      <c r="B206" s="26">
        <v>44</v>
      </c>
      <c r="C206" s="48">
        <v>410</v>
      </c>
    </row>
    <row r="207" spans="1:3" x14ac:dyDescent="0.25">
      <c r="A207" s="63">
        <v>42129</v>
      </c>
      <c r="B207" s="26">
        <v>79</v>
      </c>
      <c r="C207" s="48">
        <v>121</v>
      </c>
    </row>
    <row r="208" spans="1:3" x14ac:dyDescent="0.25">
      <c r="A208" s="63">
        <v>42130</v>
      </c>
      <c r="B208" s="26">
        <v>61</v>
      </c>
      <c r="C208" s="48">
        <v>340.5</v>
      </c>
    </row>
    <row r="209" spans="1:3" x14ac:dyDescent="0.25">
      <c r="A209" s="63">
        <v>42131</v>
      </c>
      <c r="B209" s="26">
        <v>49</v>
      </c>
      <c r="C209" s="48">
        <v>264</v>
      </c>
    </row>
    <row r="210" spans="1:3" x14ac:dyDescent="0.25">
      <c r="A210" s="63">
        <v>42132</v>
      </c>
      <c r="B210" s="26">
        <v>80</v>
      </c>
      <c r="C210" s="48">
        <v>212</v>
      </c>
    </row>
    <row r="211" spans="1:3" x14ac:dyDescent="0.25">
      <c r="A211" s="63">
        <v>42133</v>
      </c>
      <c r="B211" s="26">
        <v>47</v>
      </c>
      <c r="C211" s="48">
        <v>590</v>
      </c>
    </row>
    <row r="212" spans="1:3" x14ac:dyDescent="0.25">
      <c r="A212" s="63">
        <v>42134</v>
      </c>
      <c r="B212" s="26">
        <v>77</v>
      </c>
      <c r="C212" s="48">
        <v>153</v>
      </c>
    </row>
    <row r="213" spans="1:3" x14ac:dyDescent="0.25">
      <c r="A213" s="63">
        <v>42135</v>
      </c>
      <c r="B213" s="26">
        <v>60</v>
      </c>
      <c r="C213" s="48">
        <v>202.5</v>
      </c>
    </row>
    <row r="214" spans="1:3" x14ac:dyDescent="0.25">
      <c r="A214" s="63">
        <v>42136</v>
      </c>
      <c r="B214" s="26">
        <v>54</v>
      </c>
      <c r="C214" s="48">
        <v>564</v>
      </c>
    </row>
    <row r="215" spans="1:3" x14ac:dyDescent="0.25">
      <c r="A215" s="63">
        <v>42137</v>
      </c>
      <c r="B215" s="26">
        <v>44</v>
      </c>
      <c r="C215" s="48">
        <v>326</v>
      </c>
    </row>
    <row r="216" spans="1:3" x14ac:dyDescent="0.25">
      <c r="A216" s="63">
        <v>42138</v>
      </c>
      <c r="B216" s="26">
        <v>50</v>
      </c>
      <c r="C216" s="48">
        <v>308</v>
      </c>
    </row>
    <row r="217" spans="1:3" x14ac:dyDescent="0.25">
      <c r="A217" s="63">
        <v>42139</v>
      </c>
      <c r="B217" s="26">
        <v>69</v>
      </c>
      <c r="C217" s="48">
        <v>220</v>
      </c>
    </row>
    <row r="218" spans="1:3" x14ac:dyDescent="0.25">
      <c r="A218" s="63">
        <v>42140</v>
      </c>
      <c r="B218" s="26">
        <v>59</v>
      </c>
      <c r="C218" s="48">
        <v>448.5</v>
      </c>
    </row>
    <row r="219" spans="1:3" x14ac:dyDescent="0.25">
      <c r="A219" s="63">
        <v>42141</v>
      </c>
      <c r="B219" s="26">
        <v>81</v>
      </c>
      <c r="C219" s="48">
        <v>239</v>
      </c>
    </row>
    <row r="220" spans="1:3" x14ac:dyDescent="0.25">
      <c r="A220" s="63">
        <v>42142</v>
      </c>
      <c r="B220" s="26">
        <v>82</v>
      </c>
      <c r="C220" s="48">
        <v>227</v>
      </c>
    </row>
    <row r="221" spans="1:3" x14ac:dyDescent="0.25">
      <c r="A221" s="63">
        <v>42143</v>
      </c>
      <c r="B221" s="26">
        <v>59</v>
      </c>
      <c r="C221" s="48">
        <v>222</v>
      </c>
    </row>
    <row r="222" spans="1:3" x14ac:dyDescent="0.25">
      <c r="A222" s="63">
        <v>42144</v>
      </c>
      <c r="B222" s="26">
        <v>47</v>
      </c>
      <c r="C222" s="48">
        <v>282</v>
      </c>
    </row>
    <row r="223" spans="1:3" x14ac:dyDescent="0.25">
      <c r="A223" s="63">
        <v>42145</v>
      </c>
      <c r="B223" s="26">
        <v>71</v>
      </c>
      <c r="C223" s="48">
        <v>225</v>
      </c>
    </row>
    <row r="224" spans="1:3" x14ac:dyDescent="0.25">
      <c r="A224" s="63">
        <v>42146</v>
      </c>
      <c r="B224" s="26">
        <v>45</v>
      </c>
      <c r="C224" s="48">
        <v>332</v>
      </c>
    </row>
    <row r="225" spans="1:3" x14ac:dyDescent="0.25">
      <c r="A225" s="63">
        <v>42147</v>
      </c>
      <c r="B225" s="26">
        <v>65</v>
      </c>
      <c r="C225" s="48">
        <v>178</v>
      </c>
    </row>
    <row r="226" spans="1:3" x14ac:dyDescent="0.25">
      <c r="A226" s="63">
        <v>42148</v>
      </c>
      <c r="B226" s="26">
        <v>78</v>
      </c>
      <c r="C226" s="48">
        <v>290</v>
      </c>
    </row>
    <row r="227" spans="1:3" x14ac:dyDescent="0.25">
      <c r="A227" s="63">
        <v>42149</v>
      </c>
      <c r="B227" s="26">
        <v>54</v>
      </c>
      <c r="C227" s="48">
        <v>246</v>
      </c>
    </row>
    <row r="228" spans="1:3" x14ac:dyDescent="0.25">
      <c r="A228" s="63">
        <v>42150</v>
      </c>
      <c r="B228" s="26">
        <v>46</v>
      </c>
      <c r="C228" s="48">
        <v>598</v>
      </c>
    </row>
    <row r="229" spans="1:3" x14ac:dyDescent="0.25">
      <c r="A229" s="63">
        <v>42151</v>
      </c>
      <c r="B229" s="26">
        <v>81</v>
      </c>
      <c r="C229" s="48">
        <v>186</v>
      </c>
    </row>
    <row r="230" spans="1:3" x14ac:dyDescent="0.25">
      <c r="A230" s="63">
        <v>42152</v>
      </c>
      <c r="B230" s="26">
        <v>52</v>
      </c>
      <c r="C230" s="48">
        <v>584</v>
      </c>
    </row>
    <row r="231" spans="1:3" x14ac:dyDescent="0.25">
      <c r="A231" s="63">
        <v>42153</v>
      </c>
      <c r="B231" s="26">
        <v>79</v>
      </c>
      <c r="C231" s="48">
        <v>259</v>
      </c>
    </row>
    <row r="232" spans="1:3" x14ac:dyDescent="0.25">
      <c r="A232" s="63">
        <v>42154</v>
      </c>
      <c r="B232" s="26">
        <v>77</v>
      </c>
      <c r="C232" s="48">
        <v>162</v>
      </c>
    </row>
    <row r="233" spans="1:3" x14ac:dyDescent="0.25">
      <c r="A233" s="63">
        <v>42155</v>
      </c>
      <c r="B233" s="26">
        <v>66</v>
      </c>
      <c r="C233" s="48">
        <v>162</v>
      </c>
    </row>
    <row r="234" spans="1:3" x14ac:dyDescent="0.25">
      <c r="A234" s="63">
        <v>42156</v>
      </c>
      <c r="B234" s="26">
        <v>60</v>
      </c>
      <c r="C234" s="48">
        <v>300</v>
      </c>
    </row>
    <row r="235" spans="1:3" x14ac:dyDescent="0.25">
      <c r="A235" s="63">
        <v>42157</v>
      </c>
      <c r="B235" s="26">
        <v>66</v>
      </c>
      <c r="C235" s="48">
        <v>228</v>
      </c>
    </row>
    <row r="236" spans="1:3" x14ac:dyDescent="0.25">
      <c r="A236" s="63">
        <v>42158</v>
      </c>
      <c r="B236" s="26">
        <v>63</v>
      </c>
      <c r="C236" s="48">
        <v>336</v>
      </c>
    </row>
    <row r="237" spans="1:3" x14ac:dyDescent="0.25">
      <c r="A237" s="63">
        <v>42159</v>
      </c>
      <c r="B237" s="26">
        <v>76</v>
      </c>
      <c r="C237" s="48">
        <v>164</v>
      </c>
    </row>
    <row r="238" spans="1:3" x14ac:dyDescent="0.25">
      <c r="A238" s="63">
        <v>42160</v>
      </c>
      <c r="B238" s="26">
        <v>64</v>
      </c>
      <c r="C238" s="48">
        <v>238.5</v>
      </c>
    </row>
    <row r="239" spans="1:3" x14ac:dyDescent="0.25">
      <c r="A239" s="63">
        <v>42161</v>
      </c>
      <c r="B239" s="26">
        <v>54</v>
      </c>
      <c r="C239" s="48">
        <v>548</v>
      </c>
    </row>
    <row r="240" spans="1:3" x14ac:dyDescent="0.25">
      <c r="A240" s="63">
        <v>42162</v>
      </c>
      <c r="B240" s="26">
        <v>62</v>
      </c>
      <c r="C240" s="48">
        <v>187.5</v>
      </c>
    </row>
    <row r="241" spans="1:3" x14ac:dyDescent="0.25">
      <c r="A241" s="63">
        <v>42163</v>
      </c>
      <c r="B241" s="26">
        <v>75</v>
      </c>
      <c r="C241" s="48">
        <v>208</v>
      </c>
    </row>
    <row r="242" spans="1:3" x14ac:dyDescent="0.25">
      <c r="A242" s="63">
        <v>42164</v>
      </c>
      <c r="B242" s="26">
        <v>60</v>
      </c>
      <c r="C242" s="48">
        <v>153</v>
      </c>
    </row>
    <row r="243" spans="1:3" x14ac:dyDescent="0.25">
      <c r="A243" s="63">
        <v>42165</v>
      </c>
      <c r="B243" s="26">
        <v>61</v>
      </c>
      <c r="C243" s="48">
        <v>343.5</v>
      </c>
    </row>
    <row r="244" spans="1:3" x14ac:dyDescent="0.25">
      <c r="A244" s="63">
        <v>42166</v>
      </c>
      <c r="B244" s="26">
        <v>74</v>
      </c>
      <c r="C244" s="48">
        <v>275</v>
      </c>
    </row>
    <row r="245" spans="1:3" x14ac:dyDescent="0.25">
      <c r="A245" s="63">
        <v>42167</v>
      </c>
      <c r="B245" s="26">
        <v>72</v>
      </c>
      <c r="C245" s="48">
        <v>138</v>
      </c>
    </row>
    <row r="246" spans="1:3" x14ac:dyDescent="0.25">
      <c r="A246" s="63">
        <v>42168</v>
      </c>
      <c r="B246" s="26">
        <v>77</v>
      </c>
      <c r="C246" s="48">
        <v>168</v>
      </c>
    </row>
    <row r="247" spans="1:3" x14ac:dyDescent="0.25">
      <c r="A247" s="63">
        <v>42169</v>
      </c>
      <c r="B247" s="26">
        <v>56</v>
      </c>
      <c r="C247" s="48">
        <v>289.5</v>
      </c>
    </row>
    <row r="248" spans="1:3" x14ac:dyDescent="0.25">
      <c r="A248" s="63">
        <v>42170</v>
      </c>
      <c r="B248" s="26">
        <v>73</v>
      </c>
      <c r="C248" s="48">
        <v>156</v>
      </c>
    </row>
    <row r="249" spans="1:3" x14ac:dyDescent="0.25">
      <c r="A249" s="63">
        <v>42171</v>
      </c>
      <c r="B249" s="26">
        <v>60</v>
      </c>
      <c r="C249" s="48">
        <v>345</v>
      </c>
    </row>
    <row r="250" spans="1:3" x14ac:dyDescent="0.25">
      <c r="A250" s="63">
        <v>42172</v>
      </c>
      <c r="B250" s="26">
        <v>72</v>
      </c>
      <c r="C250" s="48">
        <v>292</v>
      </c>
    </row>
    <row r="251" spans="1:3" x14ac:dyDescent="0.25">
      <c r="A251" s="63">
        <v>42173</v>
      </c>
      <c r="B251" s="26">
        <v>66</v>
      </c>
      <c r="C251" s="48">
        <v>100</v>
      </c>
    </row>
    <row r="252" spans="1:3" x14ac:dyDescent="0.25">
      <c r="A252" s="63">
        <v>42174</v>
      </c>
      <c r="B252" s="26">
        <v>57</v>
      </c>
      <c r="C252" s="48">
        <v>355.5</v>
      </c>
    </row>
    <row r="253" spans="1:3" x14ac:dyDescent="0.25">
      <c r="A253" s="63">
        <v>42175</v>
      </c>
      <c r="B253" s="26">
        <v>57</v>
      </c>
      <c r="C253" s="48">
        <v>171</v>
      </c>
    </row>
    <row r="254" spans="1:3" x14ac:dyDescent="0.25">
      <c r="A254" s="63">
        <v>42176</v>
      </c>
      <c r="B254" s="26">
        <v>78</v>
      </c>
      <c r="C254" s="48">
        <v>253</v>
      </c>
    </row>
    <row r="255" spans="1:3" x14ac:dyDescent="0.25">
      <c r="A255" s="63">
        <v>42177</v>
      </c>
      <c r="B255" s="26">
        <v>56</v>
      </c>
      <c r="C255" s="48">
        <v>303</v>
      </c>
    </row>
    <row r="256" spans="1:3" x14ac:dyDescent="0.25">
      <c r="A256" s="63">
        <v>42178</v>
      </c>
      <c r="B256" s="26">
        <v>59</v>
      </c>
      <c r="C256" s="48">
        <v>319.5</v>
      </c>
    </row>
    <row r="257" spans="1:3" x14ac:dyDescent="0.25">
      <c r="A257" s="63">
        <v>42179</v>
      </c>
      <c r="B257" s="26">
        <v>71</v>
      </c>
      <c r="C257" s="48">
        <v>115</v>
      </c>
    </row>
    <row r="258" spans="1:3" x14ac:dyDescent="0.25">
      <c r="A258" s="63">
        <v>42180</v>
      </c>
      <c r="B258" s="26">
        <v>66</v>
      </c>
      <c r="C258" s="48">
        <v>133</v>
      </c>
    </row>
    <row r="259" spans="1:3" x14ac:dyDescent="0.25">
      <c r="A259" s="63">
        <v>42181</v>
      </c>
      <c r="B259" s="26">
        <v>58</v>
      </c>
      <c r="C259" s="48">
        <v>318</v>
      </c>
    </row>
    <row r="260" spans="1:3" x14ac:dyDescent="0.25">
      <c r="A260" s="63">
        <v>42182</v>
      </c>
      <c r="B260" s="26">
        <v>67</v>
      </c>
      <c r="C260" s="48">
        <v>137</v>
      </c>
    </row>
    <row r="261" spans="1:3" x14ac:dyDescent="0.25">
      <c r="A261" s="63">
        <v>42183</v>
      </c>
      <c r="B261" s="26">
        <v>66</v>
      </c>
      <c r="C261" s="48">
        <v>275</v>
      </c>
    </row>
    <row r="262" spans="1:3" x14ac:dyDescent="0.25">
      <c r="A262" s="63">
        <v>42184</v>
      </c>
      <c r="B262" s="26">
        <v>76</v>
      </c>
      <c r="C262" s="48">
        <v>132</v>
      </c>
    </row>
    <row r="263" spans="1:3" x14ac:dyDescent="0.25">
      <c r="A263" s="63">
        <v>42185</v>
      </c>
      <c r="B263" s="26">
        <v>57</v>
      </c>
      <c r="C263" s="48">
        <v>244.5</v>
      </c>
    </row>
    <row r="264" spans="1:3" x14ac:dyDescent="0.25">
      <c r="A264" s="63">
        <v>42186</v>
      </c>
      <c r="B264" s="26">
        <v>72</v>
      </c>
      <c r="C264" s="48">
        <v>135</v>
      </c>
    </row>
    <row r="265" spans="1:3" x14ac:dyDescent="0.25">
      <c r="A265" s="63">
        <v>42187</v>
      </c>
      <c r="B265" s="26">
        <v>62</v>
      </c>
      <c r="C265" s="48">
        <v>246</v>
      </c>
    </row>
    <row r="266" spans="1:3" x14ac:dyDescent="0.25">
      <c r="A266" s="63">
        <v>42188</v>
      </c>
      <c r="B266" s="26">
        <v>79</v>
      </c>
      <c r="C266" s="48">
        <v>222</v>
      </c>
    </row>
    <row r="267" spans="1:3" x14ac:dyDescent="0.25">
      <c r="A267" s="63">
        <v>42189</v>
      </c>
      <c r="B267" s="26">
        <v>83</v>
      </c>
      <c r="C267" s="48">
        <v>297</v>
      </c>
    </row>
    <row r="268" spans="1:3" x14ac:dyDescent="0.25">
      <c r="A268" s="63">
        <v>42190</v>
      </c>
      <c r="B268" s="26">
        <v>71</v>
      </c>
      <c r="C268" s="48">
        <v>173</v>
      </c>
    </row>
    <row r="269" spans="1:3" x14ac:dyDescent="0.25">
      <c r="A269" s="63">
        <v>42191</v>
      </c>
      <c r="B269" s="26">
        <v>78</v>
      </c>
      <c r="C269" s="48">
        <v>154</v>
      </c>
    </row>
    <row r="270" spans="1:3" x14ac:dyDescent="0.25">
      <c r="A270" s="63">
        <v>42192</v>
      </c>
      <c r="B270" s="26">
        <v>70</v>
      </c>
      <c r="C270" s="48">
        <v>160</v>
      </c>
    </row>
    <row r="271" spans="1:3" x14ac:dyDescent="0.25">
      <c r="A271" s="63">
        <v>42193</v>
      </c>
      <c r="B271" s="26">
        <v>81</v>
      </c>
      <c r="C271" s="48">
        <v>139</v>
      </c>
    </row>
    <row r="272" spans="1:3" x14ac:dyDescent="0.25">
      <c r="A272" s="63">
        <v>42194</v>
      </c>
      <c r="B272" s="26">
        <v>74</v>
      </c>
      <c r="C272" s="48">
        <v>103</v>
      </c>
    </row>
    <row r="273" spans="1:3" x14ac:dyDescent="0.25">
      <c r="A273" s="63">
        <v>42195</v>
      </c>
      <c r="B273" s="26">
        <v>92</v>
      </c>
      <c r="C273" s="48">
        <v>508</v>
      </c>
    </row>
    <row r="274" spans="1:3" x14ac:dyDescent="0.25">
      <c r="A274" s="63">
        <v>42196</v>
      </c>
      <c r="B274" s="26">
        <v>78</v>
      </c>
      <c r="C274" s="48">
        <v>172</v>
      </c>
    </row>
    <row r="275" spans="1:3" x14ac:dyDescent="0.25">
      <c r="A275" s="63">
        <v>42197</v>
      </c>
      <c r="B275" s="26">
        <v>87</v>
      </c>
      <c r="C275" s="48">
        <v>429</v>
      </c>
    </row>
    <row r="276" spans="1:3" x14ac:dyDescent="0.25">
      <c r="A276" s="63">
        <v>42198</v>
      </c>
      <c r="B276" s="26">
        <v>62</v>
      </c>
      <c r="C276" s="48">
        <v>406.5</v>
      </c>
    </row>
    <row r="277" spans="1:3" x14ac:dyDescent="0.25">
      <c r="A277" s="63">
        <v>42199</v>
      </c>
      <c r="B277" s="26">
        <v>85</v>
      </c>
      <c r="C277" s="48">
        <v>340.5</v>
      </c>
    </row>
    <row r="278" spans="1:3" x14ac:dyDescent="0.25">
      <c r="A278" s="63">
        <v>42200</v>
      </c>
      <c r="B278" s="26">
        <v>92</v>
      </c>
      <c r="C278" s="48">
        <v>268</v>
      </c>
    </row>
    <row r="279" spans="1:3" x14ac:dyDescent="0.25">
      <c r="A279" s="63">
        <v>42201</v>
      </c>
      <c r="B279" s="26">
        <v>84</v>
      </c>
      <c r="C279" s="48">
        <v>235</v>
      </c>
    </row>
    <row r="280" spans="1:3" x14ac:dyDescent="0.25">
      <c r="A280" s="63">
        <v>42202</v>
      </c>
      <c r="B280" s="26">
        <v>90</v>
      </c>
      <c r="C280" s="48">
        <v>396</v>
      </c>
    </row>
    <row r="281" spans="1:3" x14ac:dyDescent="0.25">
      <c r="A281" s="63">
        <v>42203</v>
      </c>
      <c r="B281" s="26">
        <v>66</v>
      </c>
      <c r="C281" s="48">
        <v>254</v>
      </c>
    </row>
    <row r="282" spans="1:3" x14ac:dyDescent="0.25">
      <c r="A282" s="63">
        <v>42204</v>
      </c>
      <c r="B282" s="26">
        <v>67</v>
      </c>
      <c r="C282" s="48">
        <v>189</v>
      </c>
    </row>
    <row r="283" spans="1:3" x14ac:dyDescent="0.25">
      <c r="A283" s="63">
        <v>42205</v>
      </c>
      <c r="B283" s="26">
        <v>79</v>
      </c>
      <c r="C283" s="48">
        <v>293</v>
      </c>
    </row>
    <row r="284" spans="1:3" x14ac:dyDescent="0.25">
      <c r="A284" s="63">
        <v>42206</v>
      </c>
      <c r="B284" s="26">
        <v>74</v>
      </c>
      <c r="C284" s="48">
        <v>115</v>
      </c>
    </row>
    <row r="285" spans="1:3" x14ac:dyDescent="0.25">
      <c r="A285" s="63">
        <v>42207</v>
      </c>
      <c r="B285" s="26">
        <v>84</v>
      </c>
      <c r="C285" s="48">
        <v>181</v>
      </c>
    </row>
    <row r="286" spans="1:3" x14ac:dyDescent="0.25">
      <c r="A286" s="63">
        <v>42208</v>
      </c>
      <c r="B286" s="26">
        <v>73</v>
      </c>
      <c r="C286" s="48">
        <v>200</v>
      </c>
    </row>
    <row r="287" spans="1:3" x14ac:dyDescent="0.25">
      <c r="A287" s="63">
        <v>42209</v>
      </c>
      <c r="B287" s="26">
        <v>72</v>
      </c>
      <c r="C287" s="48">
        <v>234</v>
      </c>
    </row>
    <row r="288" spans="1:3" x14ac:dyDescent="0.25">
      <c r="A288" s="63">
        <v>42210</v>
      </c>
      <c r="B288" s="26">
        <v>89</v>
      </c>
      <c r="C288" s="48">
        <v>423</v>
      </c>
    </row>
    <row r="289" spans="1:3" x14ac:dyDescent="0.25">
      <c r="A289" s="63">
        <v>42211</v>
      </c>
      <c r="B289" s="26">
        <v>75</v>
      </c>
      <c r="C289" s="48">
        <v>102</v>
      </c>
    </row>
    <row r="290" spans="1:3" x14ac:dyDescent="0.25">
      <c r="A290" s="63">
        <v>42212</v>
      </c>
      <c r="B290" s="26">
        <v>80</v>
      </c>
      <c r="C290" s="48">
        <v>272</v>
      </c>
    </row>
    <row r="291" spans="1:3" x14ac:dyDescent="0.25">
      <c r="A291" s="63">
        <v>42213</v>
      </c>
      <c r="B291" s="26">
        <v>65</v>
      </c>
      <c r="C291" s="48">
        <v>159</v>
      </c>
    </row>
    <row r="292" spans="1:3" x14ac:dyDescent="0.25">
      <c r="A292" s="63">
        <v>42214</v>
      </c>
      <c r="B292" s="26">
        <v>71</v>
      </c>
      <c r="C292" s="48">
        <v>281</v>
      </c>
    </row>
    <row r="293" spans="1:3" x14ac:dyDescent="0.25">
      <c r="A293" s="63">
        <v>42215</v>
      </c>
      <c r="B293" s="26">
        <v>91</v>
      </c>
      <c r="C293" s="48">
        <v>210</v>
      </c>
    </row>
    <row r="294" spans="1:3" x14ac:dyDescent="0.25">
      <c r="A294" s="63">
        <v>42216</v>
      </c>
      <c r="B294" s="26">
        <v>89</v>
      </c>
      <c r="C294" s="48">
        <v>273</v>
      </c>
    </row>
    <row r="295" spans="1:3" x14ac:dyDescent="0.25">
      <c r="A295" s="63">
        <v>42217</v>
      </c>
      <c r="B295" s="26">
        <v>98</v>
      </c>
      <c r="C295" s="48">
        <v>310</v>
      </c>
    </row>
    <row r="296" spans="1:3" x14ac:dyDescent="0.25">
      <c r="A296" s="63">
        <v>42218</v>
      </c>
      <c r="B296" s="26">
        <v>91</v>
      </c>
      <c r="C296" s="48">
        <v>578</v>
      </c>
    </row>
    <row r="297" spans="1:3" x14ac:dyDescent="0.25">
      <c r="A297" s="63">
        <v>42219</v>
      </c>
      <c r="B297" s="26">
        <v>82</v>
      </c>
      <c r="C297" s="48">
        <v>300</v>
      </c>
    </row>
    <row r="298" spans="1:3" x14ac:dyDescent="0.25">
      <c r="A298" s="63">
        <v>42220</v>
      </c>
      <c r="B298" s="26">
        <v>93</v>
      </c>
      <c r="C298" s="48">
        <v>584</v>
      </c>
    </row>
    <row r="299" spans="1:3" x14ac:dyDescent="0.25">
      <c r="A299" s="63">
        <v>42221</v>
      </c>
      <c r="B299" s="26">
        <v>73</v>
      </c>
      <c r="C299" s="48">
        <v>159</v>
      </c>
    </row>
    <row r="300" spans="1:3" x14ac:dyDescent="0.25">
      <c r="A300" s="63">
        <v>42222</v>
      </c>
      <c r="B300" s="26">
        <v>99</v>
      </c>
      <c r="C300" s="48">
        <v>715</v>
      </c>
    </row>
    <row r="301" spans="1:3" x14ac:dyDescent="0.25">
      <c r="A301" s="63">
        <v>42223</v>
      </c>
      <c r="B301" s="26">
        <v>85</v>
      </c>
      <c r="C301" s="48">
        <v>426</v>
      </c>
    </row>
    <row r="302" spans="1:3" x14ac:dyDescent="0.25">
      <c r="A302" s="63">
        <v>42224</v>
      </c>
      <c r="B302" s="26">
        <v>71</v>
      </c>
      <c r="C302" s="48">
        <v>251</v>
      </c>
    </row>
    <row r="303" spans="1:3" x14ac:dyDescent="0.25">
      <c r="A303" s="63">
        <v>42225</v>
      </c>
      <c r="B303" s="26">
        <v>90</v>
      </c>
      <c r="C303" s="48">
        <v>294</v>
      </c>
    </row>
    <row r="304" spans="1:3" x14ac:dyDescent="0.25">
      <c r="A304" s="63">
        <v>42226</v>
      </c>
      <c r="B304" s="26">
        <v>71</v>
      </c>
      <c r="C304" s="48">
        <v>288</v>
      </c>
    </row>
    <row r="305" spans="1:3" x14ac:dyDescent="0.25">
      <c r="A305" s="63">
        <v>42227</v>
      </c>
      <c r="B305" s="26">
        <v>97</v>
      </c>
      <c r="C305" s="48">
        <v>740</v>
      </c>
    </row>
    <row r="306" spans="1:3" x14ac:dyDescent="0.25">
      <c r="A306" s="63">
        <v>42228</v>
      </c>
      <c r="B306" s="26">
        <v>100</v>
      </c>
      <c r="C306" s="48">
        <v>646.25</v>
      </c>
    </row>
    <row r="307" spans="1:3" x14ac:dyDescent="0.25">
      <c r="A307" s="63">
        <v>42229</v>
      </c>
      <c r="B307" s="26">
        <v>96</v>
      </c>
      <c r="C307" s="48">
        <v>337.5</v>
      </c>
    </row>
    <row r="308" spans="1:3" x14ac:dyDescent="0.25">
      <c r="A308" s="63">
        <v>42230</v>
      </c>
      <c r="B308" s="26">
        <v>75</v>
      </c>
      <c r="C308" s="48">
        <v>154</v>
      </c>
    </row>
    <row r="309" spans="1:3" x14ac:dyDescent="0.25">
      <c r="A309" s="63">
        <v>42231</v>
      </c>
      <c r="B309" s="26">
        <v>80</v>
      </c>
      <c r="C309" s="48">
        <v>153</v>
      </c>
    </row>
    <row r="310" spans="1:3" x14ac:dyDescent="0.25">
      <c r="A310" s="63">
        <v>42232</v>
      </c>
      <c r="B310" s="26">
        <v>74</v>
      </c>
      <c r="C310" s="48">
        <v>207</v>
      </c>
    </row>
    <row r="311" spans="1:3" x14ac:dyDescent="0.25">
      <c r="A311" s="63">
        <v>42233</v>
      </c>
      <c r="B311" s="26">
        <v>84</v>
      </c>
      <c r="C311" s="48">
        <v>151</v>
      </c>
    </row>
    <row r="312" spans="1:3" x14ac:dyDescent="0.25">
      <c r="A312" s="63">
        <v>42234</v>
      </c>
      <c r="B312" s="26">
        <v>94</v>
      </c>
      <c r="C312" s="48">
        <v>308</v>
      </c>
    </row>
    <row r="313" spans="1:3" x14ac:dyDescent="0.25">
      <c r="A313" s="63">
        <v>42235</v>
      </c>
      <c r="B313" s="26">
        <v>99</v>
      </c>
      <c r="C313" s="48">
        <v>285</v>
      </c>
    </row>
    <row r="314" spans="1:3" x14ac:dyDescent="0.25">
      <c r="A314" s="63">
        <v>42236</v>
      </c>
      <c r="B314" s="26">
        <v>94</v>
      </c>
      <c r="C314" s="48">
        <v>422</v>
      </c>
    </row>
    <row r="315" spans="1:3" x14ac:dyDescent="0.25">
      <c r="A315" s="63">
        <v>42237</v>
      </c>
      <c r="B315" s="26">
        <v>95</v>
      </c>
      <c r="C315" s="48">
        <v>400</v>
      </c>
    </row>
    <row r="316" spans="1:3" x14ac:dyDescent="0.25">
      <c r="A316" s="63">
        <v>42238</v>
      </c>
      <c r="B316" s="26">
        <v>88</v>
      </c>
      <c r="C316" s="48">
        <v>426</v>
      </c>
    </row>
    <row r="317" spans="1:3" x14ac:dyDescent="0.25">
      <c r="A317" s="63">
        <v>42239</v>
      </c>
      <c r="B317" s="26">
        <v>83</v>
      </c>
      <c r="C317" s="48">
        <v>182</v>
      </c>
    </row>
    <row r="318" spans="1:3" x14ac:dyDescent="0.25">
      <c r="A318" s="63">
        <v>42240</v>
      </c>
      <c r="B318" s="26">
        <v>89</v>
      </c>
      <c r="C318" s="48">
        <v>201</v>
      </c>
    </row>
    <row r="319" spans="1:3" x14ac:dyDescent="0.25">
      <c r="A319" s="63">
        <v>42241</v>
      </c>
      <c r="B319" s="26">
        <v>79</v>
      </c>
      <c r="C319" s="48">
        <v>294</v>
      </c>
    </row>
    <row r="320" spans="1:3" x14ac:dyDescent="0.25">
      <c r="A320" s="63">
        <v>42242</v>
      </c>
      <c r="B320" s="26">
        <v>92</v>
      </c>
      <c r="C320" s="48">
        <v>244</v>
      </c>
    </row>
    <row r="321" spans="1:3" x14ac:dyDescent="0.25">
      <c r="A321" s="63">
        <v>42243</v>
      </c>
      <c r="B321" s="26">
        <v>100</v>
      </c>
      <c r="C321" s="48">
        <v>379.5</v>
      </c>
    </row>
    <row r="322" spans="1:3" x14ac:dyDescent="0.25">
      <c r="A322" s="63">
        <v>42244</v>
      </c>
      <c r="B322" s="26">
        <v>80</v>
      </c>
      <c r="C322" s="48">
        <v>257</v>
      </c>
    </row>
    <row r="323" spans="1:3" x14ac:dyDescent="0.25">
      <c r="A323" s="63">
        <v>42245</v>
      </c>
      <c r="B323" s="26">
        <v>97</v>
      </c>
      <c r="C323" s="48">
        <v>590</v>
      </c>
    </row>
    <row r="324" spans="1:3" x14ac:dyDescent="0.25">
      <c r="A324" s="63">
        <v>42246</v>
      </c>
      <c r="B324" s="26">
        <v>70</v>
      </c>
      <c r="C324" s="48">
        <v>199</v>
      </c>
    </row>
    <row r="325" spans="1:3" x14ac:dyDescent="0.25">
      <c r="A325" s="63">
        <v>42247</v>
      </c>
      <c r="B325" s="26">
        <v>90</v>
      </c>
      <c r="C325" s="48">
        <v>248</v>
      </c>
    </row>
    <row r="326" spans="1:3" x14ac:dyDescent="0.25">
      <c r="A326" s="63">
        <v>42248</v>
      </c>
      <c r="B326" s="26">
        <v>75</v>
      </c>
      <c r="C326" s="48">
        <v>106</v>
      </c>
    </row>
    <row r="327" spans="1:3" x14ac:dyDescent="0.25">
      <c r="A327" s="63">
        <v>42249</v>
      </c>
      <c r="B327" s="26">
        <v>86</v>
      </c>
      <c r="C327" s="48">
        <v>217.5</v>
      </c>
    </row>
    <row r="328" spans="1:3" x14ac:dyDescent="0.25">
      <c r="A328" s="63">
        <v>42250</v>
      </c>
      <c r="B328" s="26">
        <v>91</v>
      </c>
      <c r="C328" s="48">
        <v>328</v>
      </c>
    </row>
    <row r="329" spans="1:3" x14ac:dyDescent="0.25">
      <c r="A329" s="63">
        <v>42251</v>
      </c>
      <c r="B329" s="26">
        <v>80</v>
      </c>
      <c r="C329" s="48">
        <v>133</v>
      </c>
    </row>
    <row r="330" spans="1:3" x14ac:dyDescent="0.25">
      <c r="A330" s="63">
        <v>42252</v>
      </c>
      <c r="B330" s="26">
        <v>73</v>
      </c>
      <c r="C330" s="48">
        <v>118</v>
      </c>
    </row>
    <row r="331" spans="1:3" x14ac:dyDescent="0.25">
      <c r="A331" s="63">
        <v>42253</v>
      </c>
      <c r="B331" s="26">
        <v>85</v>
      </c>
      <c r="C331" s="48">
        <v>442.5</v>
      </c>
    </row>
    <row r="332" spans="1:3" x14ac:dyDescent="0.25">
      <c r="A332" s="63">
        <v>42254</v>
      </c>
      <c r="B332" s="26">
        <v>95</v>
      </c>
      <c r="C332" s="48">
        <v>455</v>
      </c>
    </row>
    <row r="333" spans="1:3" x14ac:dyDescent="0.25">
      <c r="A333" s="63">
        <v>42255</v>
      </c>
      <c r="B333" s="26">
        <v>75</v>
      </c>
      <c r="C333" s="48">
        <v>188</v>
      </c>
    </row>
    <row r="334" spans="1:3" x14ac:dyDescent="0.25">
      <c r="A334" s="63">
        <v>42256</v>
      </c>
      <c r="B334" s="26">
        <v>87</v>
      </c>
      <c r="C334" s="48">
        <v>255</v>
      </c>
    </row>
    <row r="335" spans="1:3" x14ac:dyDescent="0.25">
      <c r="A335" s="63">
        <v>42257</v>
      </c>
      <c r="B335" s="26">
        <v>80</v>
      </c>
      <c r="C335" s="48">
        <v>294</v>
      </c>
    </row>
    <row r="336" spans="1:3" x14ac:dyDescent="0.25">
      <c r="A336" s="63">
        <v>42258</v>
      </c>
      <c r="B336" s="26">
        <v>88</v>
      </c>
      <c r="C336" s="48">
        <v>304.5</v>
      </c>
    </row>
    <row r="337" spans="1:3" x14ac:dyDescent="0.25">
      <c r="A337" s="63">
        <v>42259</v>
      </c>
      <c r="B337" s="26">
        <v>75</v>
      </c>
      <c r="C337" s="48">
        <v>138</v>
      </c>
    </row>
    <row r="338" spans="1:3" x14ac:dyDescent="0.25">
      <c r="A338" s="63">
        <v>42260</v>
      </c>
      <c r="B338" s="26">
        <v>68</v>
      </c>
      <c r="C338" s="48">
        <v>253</v>
      </c>
    </row>
    <row r="339" spans="1:3" x14ac:dyDescent="0.25">
      <c r="A339" s="63">
        <v>42261</v>
      </c>
      <c r="B339" s="26">
        <v>70</v>
      </c>
      <c r="C339" s="48">
        <v>180</v>
      </c>
    </row>
    <row r="340" spans="1:3" x14ac:dyDescent="0.25">
      <c r="A340" s="63">
        <v>42262</v>
      </c>
      <c r="B340" s="26">
        <v>76</v>
      </c>
      <c r="C340" s="48">
        <v>210</v>
      </c>
    </row>
    <row r="341" spans="1:3" x14ac:dyDescent="0.25">
      <c r="A341" s="63">
        <v>42263</v>
      </c>
      <c r="B341" s="26">
        <v>87</v>
      </c>
      <c r="C341" s="48">
        <v>436.5</v>
      </c>
    </row>
    <row r="342" spans="1:3" x14ac:dyDescent="0.25">
      <c r="A342" s="63">
        <v>42264</v>
      </c>
      <c r="B342" s="26">
        <v>90</v>
      </c>
      <c r="C342" s="48">
        <v>456</v>
      </c>
    </row>
    <row r="343" spans="1:3" x14ac:dyDescent="0.25">
      <c r="A343" s="63">
        <v>42265</v>
      </c>
      <c r="B343" s="26">
        <v>67</v>
      </c>
      <c r="C343" s="48">
        <v>273</v>
      </c>
    </row>
    <row r="344" spans="1:3" x14ac:dyDescent="0.25">
      <c r="A344" s="63">
        <v>42266</v>
      </c>
      <c r="B344" s="26">
        <v>70</v>
      </c>
      <c r="C344" s="48">
        <v>283</v>
      </c>
    </row>
    <row r="345" spans="1:3" x14ac:dyDescent="0.25">
      <c r="A345" s="63">
        <v>42267</v>
      </c>
      <c r="B345" s="26">
        <v>97</v>
      </c>
      <c r="C345" s="48">
        <v>345</v>
      </c>
    </row>
    <row r="346" spans="1:3" x14ac:dyDescent="0.25">
      <c r="A346" s="63">
        <v>42268</v>
      </c>
      <c r="B346" s="26">
        <v>90</v>
      </c>
      <c r="C346" s="48">
        <v>232</v>
      </c>
    </row>
    <row r="347" spans="1:3" x14ac:dyDescent="0.25">
      <c r="A347" s="63">
        <v>42269</v>
      </c>
      <c r="B347" s="26">
        <v>86</v>
      </c>
      <c r="C347" s="48">
        <v>301.5</v>
      </c>
    </row>
    <row r="348" spans="1:3" x14ac:dyDescent="0.25">
      <c r="A348" s="63">
        <v>42270</v>
      </c>
      <c r="B348" s="26">
        <v>83</v>
      </c>
      <c r="C348" s="48">
        <v>298</v>
      </c>
    </row>
    <row r="349" spans="1:3" x14ac:dyDescent="0.25">
      <c r="A349" s="63">
        <v>42271</v>
      </c>
      <c r="B349" s="26">
        <v>69</v>
      </c>
      <c r="C349" s="48">
        <v>283</v>
      </c>
    </row>
    <row r="350" spans="1:3" x14ac:dyDescent="0.25">
      <c r="A350" s="63">
        <v>42272</v>
      </c>
      <c r="B350" s="26">
        <v>68</v>
      </c>
      <c r="C350" s="48">
        <v>193</v>
      </c>
    </row>
    <row r="351" spans="1:3" x14ac:dyDescent="0.25">
      <c r="A351" s="63">
        <v>42273</v>
      </c>
      <c r="B351" s="26">
        <v>95</v>
      </c>
      <c r="C351" s="48">
        <v>742.5</v>
      </c>
    </row>
    <row r="352" spans="1:3" x14ac:dyDescent="0.25">
      <c r="A352" s="63">
        <v>42274</v>
      </c>
      <c r="B352" s="26">
        <v>93</v>
      </c>
      <c r="C352" s="48">
        <v>528</v>
      </c>
    </row>
    <row r="353" spans="1:3" x14ac:dyDescent="0.25">
      <c r="A353" s="63">
        <v>42275</v>
      </c>
      <c r="B353" s="26">
        <v>79</v>
      </c>
      <c r="C353" s="48">
        <v>204</v>
      </c>
    </row>
    <row r="354" spans="1:3" x14ac:dyDescent="0.25">
      <c r="A354" s="63">
        <v>42276</v>
      </c>
      <c r="B354" s="26">
        <v>87</v>
      </c>
      <c r="C354" s="48">
        <v>180</v>
      </c>
    </row>
    <row r="355" spans="1:3" x14ac:dyDescent="0.25">
      <c r="A355" s="63">
        <v>42277</v>
      </c>
      <c r="B355" s="26">
        <v>79</v>
      </c>
      <c r="C355" s="48">
        <v>230</v>
      </c>
    </row>
    <row r="356" spans="1:3" x14ac:dyDescent="0.25">
      <c r="A356" s="63">
        <v>42278</v>
      </c>
      <c r="B356" s="26">
        <v>85</v>
      </c>
      <c r="C356" s="48">
        <v>393</v>
      </c>
    </row>
    <row r="357" spans="1:3" x14ac:dyDescent="0.25">
      <c r="A357" s="63">
        <v>42279</v>
      </c>
      <c r="B357" s="26">
        <v>89</v>
      </c>
      <c r="C357" s="48">
        <v>310.5</v>
      </c>
    </row>
    <row r="358" spans="1:3" x14ac:dyDescent="0.25">
      <c r="A358" s="63">
        <v>42280</v>
      </c>
      <c r="B358" s="26">
        <v>71</v>
      </c>
      <c r="C358" s="48">
        <v>298</v>
      </c>
    </row>
    <row r="359" spans="1:3" x14ac:dyDescent="0.25">
      <c r="A359" s="63">
        <v>42281</v>
      </c>
      <c r="B359" s="26">
        <v>58</v>
      </c>
      <c r="C359" s="48">
        <v>424.5</v>
      </c>
    </row>
    <row r="360" spans="1:3" x14ac:dyDescent="0.25">
      <c r="A360" s="63">
        <v>42282</v>
      </c>
      <c r="B360" s="26">
        <v>66</v>
      </c>
      <c r="C360" s="48">
        <v>116</v>
      </c>
    </row>
    <row r="361" spans="1:3" x14ac:dyDescent="0.25">
      <c r="A361" s="63">
        <v>42283</v>
      </c>
      <c r="B361" s="26">
        <v>82</v>
      </c>
      <c r="C361" s="48">
        <v>288</v>
      </c>
    </row>
    <row r="362" spans="1:3" x14ac:dyDescent="0.25">
      <c r="A362" s="63">
        <v>42284</v>
      </c>
      <c r="B362" s="26">
        <v>56</v>
      </c>
      <c r="C362" s="48">
        <v>318</v>
      </c>
    </row>
    <row r="363" spans="1:3" x14ac:dyDescent="0.25">
      <c r="A363" s="63">
        <v>42285</v>
      </c>
      <c r="B363" s="26">
        <v>81</v>
      </c>
      <c r="C363" s="48">
        <v>291</v>
      </c>
    </row>
    <row r="364" spans="1:3" x14ac:dyDescent="0.25">
      <c r="A364" s="63">
        <v>42286</v>
      </c>
      <c r="B364" s="26">
        <v>57</v>
      </c>
      <c r="C364" s="48">
        <v>418.5</v>
      </c>
    </row>
    <row r="365" spans="1:3" x14ac:dyDescent="0.25">
      <c r="A365" s="63">
        <v>42287</v>
      </c>
      <c r="B365" s="26">
        <v>59</v>
      </c>
      <c r="C365" s="48">
        <v>159</v>
      </c>
    </row>
    <row r="366" spans="1:3" x14ac:dyDescent="0.25">
      <c r="A366" s="63">
        <v>42288</v>
      </c>
      <c r="B366" s="26">
        <v>54</v>
      </c>
      <c r="C366" s="48">
        <v>504</v>
      </c>
    </row>
    <row r="367" spans="1:3" x14ac:dyDescent="0.25">
      <c r="A367" s="63">
        <v>42289</v>
      </c>
      <c r="B367" s="26">
        <v>88</v>
      </c>
      <c r="C367" s="48">
        <v>231</v>
      </c>
    </row>
    <row r="368" spans="1:3" x14ac:dyDescent="0.25">
      <c r="A368" s="63">
        <v>42290</v>
      </c>
      <c r="B368" s="26">
        <v>83</v>
      </c>
      <c r="C368" s="48">
        <v>290</v>
      </c>
    </row>
    <row r="369" spans="1:3" x14ac:dyDescent="0.25">
      <c r="A369" s="63">
        <v>42291</v>
      </c>
      <c r="B369" s="26">
        <v>85</v>
      </c>
      <c r="C369" s="48">
        <v>303</v>
      </c>
    </row>
    <row r="370" spans="1:3" x14ac:dyDescent="0.25">
      <c r="A370" s="63">
        <v>42292</v>
      </c>
      <c r="B370" s="26">
        <v>85</v>
      </c>
      <c r="C370" s="48">
        <v>223.5</v>
      </c>
    </row>
    <row r="371" spans="1:3" x14ac:dyDescent="0.25">
      <c r="A371" s="63">
        <v>42293</v>
      </c>
      <c r="B371" s="26">
        <v>81</v>
      </c>
      <c r="C371" s="48">
        <v>300</v>
      </c>
    </row>
    <row r="372" spans="1:3" x14ac:dyDescent="0.25">
      <c r="A372" s="63">
        <v>42294</v>
      </c>
      <c r="B372" s="26">
        <v>73</v>
      </c>
      <c r="C372" s="48">
        <v>276</v>
      </c>
    </row>
    <row r="373" spans="1:3" x14ac:dyDescent="0.25">
      <c r="A373" s="63">
        <v>42295</v>
      </c>
      <c r="B373" s="26">
        <v>71</v>
      </c>
      <c r="C373" s="48">
        <v>142</v>
      </c>
    </row>
    <row r="374" spans="1:3" x14ac:dyDescent="0.25">
      <c r="A374" s="63">
        <v>42296</v>
      </c>
      <c r="B374" s="26">
        <v>87</v>
      </c>
      <c r="C374" s="48">
        <v>285</v>
      </c>
    </row>
    <row r="375" spans="1:3" x14ac:dyDescent="0.25">
      <c r="A375" s="63">
        <v>42297</v>
      </c>
      <c r="B375" s="26">
        <v>86</v>
      </c>
      <c r="C375" s="48">
        <v>396</v>
      </c>
    </row>
    <row r="376" spans="1:3" x14ac:dyDescent="0.25">
      <c r="A376" s="63">
        <v>42298</v>
      </c>
      <c r="B376" s="26">
        <v>79</v>
      </c>
      <c r="C376" s="48">
        <v>265</v>
      </c>
    </row>
    <row r="377" spans="1:3" x14ac:dyDescent="0.25">
      <c r="A377" s="63">
        <v>42299</v>
      </c>
      <c r="B377" s="26">
        <v>61</v>
      </c>
      <c r="C377" s="48">
        <v>151.5</v>
      </c>
    </row>
    <row r="378" spans="1:3" x14ac:dyDescent="0.25">
      <c r="A378" s="63">
        <v>42300</v>
      </c>
      <c r="B378" s="26">
        <v>60</v>
      </c>
      <c r="C378" s="48">
        <v>361.5</v>
      </c>
    </row>
    <row r="379" spans="1:3" x14ac:dyDescent="0.25">
      <c r="A379" s="63">
        <v>42301</v>
      </c>
      <c r="B379" s="26">
        <v>78</v>
      </c>
      <c r="C379" s="48">
        <v>210</v>
      </c>
    </row>
    <row r="380" spans="1:3" x14ac:dyDescent="0.25">
      <c r="A380" s="63">
        <v>42302</v>
      </c>
      <c r="B380" s="26">
        <v>81</v>
      </c>
      <c r="C380" s="48">
        <v>288</v>
      </c>
    </row>
    <row r="381" spans="1:3" x14ac:dyDescent="0.25">
      <c r="A381" s="63">
        <v>42303</v>
      </c>
      <c r="B381" s="26">
        <v>79</v>
      </c>
      <c r="C381" s="48">
        <v>174</v>
      </c>
    </row>
    <row r="382" spans="1:3" x14ac:dyDescent="0.25">
      <c r="A382" s="63">
        <v>42304</v>
      </c>
      <c r="B382" s="26">
        <v>68</v>
      </c>
      <c r="C382" s="48">
        <v>260</v>
      </c>
    </row>
    <row r="383" spans="1:3" x14ac:dyDescent="0.25">
      <c r="A383" s="63">
        <v>42305</v>
      </c>
      <c r="B383" s="26">
        <v>68</v>
      </c>
      <c r="C383" s="48">
        <v>197</v>
      </c>
    </row>
    <row r="384" spans="1:3" x14ac:dyDescent="0.25">
      <c r="A384" s="63">
        <v>42306</v>
      </c>
      <c r="B384" s="26">
        <v>60</v>
      </c>
      <c r="C384" s="48">
        <v>276</v>
      </c>
    </row>
    <row r="385" spans="1:3" x14ac:dyDescent="0.25">
      <c r="A385" s="63">
        <v>42307</v>
      </c>
      <c r="B385" s="26">
        <v>73</v>
      </c>
      <c r="C385" s="48">
        <v>137</v>
      </c>
    </row>
    <row r="386" spans="1:3" x14ac:dyDescent="0.25">
      <c r="A386" s="63">
        <v>42308</v>
      </c>
      <c r="B386" s="26">
        <v>74</v>
      </c>
      <c r="C386" s="48">
        <v>132</v>
      </c>
    </row>
    <row r="387" spans="1:3" x14ac:dyDescent="0.25">
      <c r="A387" s="63">
        <v>42309</v>
      </c>
      <c r="B387" s="26">
        <v>46</v>
      </c>
      <c r="C387" s="48">
        <v>224</v>
      </c>
    </row>
    <row r="388" spans="1:3" x14ac:dyDescent="0.25">
      <c r="A388" s="63">
        <v>42310</v>
      </c>
      <c r="B388" s="26">
        <v>66</v>
      </c>
      <c r="C388" s="48">
        <v>131</v>
      </c>
    </row>
    <row r="389" spans="1:3" x14ac:dyDescent="0.25">
      <c r="A389" s="63">
        <v>42311</v>
      </c>
      <c r="B389" s="26">
        <v>50</v>
      </c>
      <c r="C389" s="48">
        <v>210</v>
      </c>
    </row>
    <row r="390" spans="1:3" x14ac:dyDescent="0.25">
      <c r="A390" s="63">
        <v>42312</v>
      </c>
      <c r="B390" s="26">
        <v>49</v>
      </c>
      <c r="C390" s="48">
        <v>498</v>
      </c>
    </row>
    <row r="391" spans="1:3" x14ac:dyDescent="0.25">
      <c r="A391" s="63">
        <v>42313</v>
      </c>
      <c r="B391" s="26">
        <v>68</v>
      </c>
      <c r="C391" s="48">
        <v>284</v>
      </c>
    </row>
    <row r="392" spans="1:3" x14ac:dyDescent="0.25">
      <c r="A392" s="63">
        <v>42314</v>
      </c>
      <c r="B392" s="26">
        <v>63</v>
      </c>
      <c r="C392" s="48">
        <v>150</v>
      </c>
    </row>
    <row r="393" spans="1:3" x14ac:dyDescent="0.25">
      <c r="A393" s="63">
        <v>42315</v>
      </c>
      <c r="B393" s="26">
        <v>57</v>
      </c>
      <c r="C393" s="48">
        <v>289.5</v>
      </c>
    </row>
    <row r="394" spans="1:3" x14ac:dyDescent="0.25">
      <c r="A394" s="63">
        <v>42316</v>
      </c>
      <c r="B394" s="26">
        <v>62</v>
      </c>
      <c r="C394" s="48">
        <v>237</v>
      </c>
    </row>
    <row r="395" spans="1:3" x14ac:dyDescent="0.25">
      <c r="A395" s="63">
        <v>42317</v>
      </c>
      <c r="B395" s="26">
        <v>66</v>
      </c>
      <c r="C395" s="48">
        <v>136</v>
      </c>
    </row>
    <row r="396" spans="1:3" x14ac:dyDescent="0.25">
      <c r="A396" s="63">
        <v>42318</v>
      </c>
      <c r="B396" s="26">
        <v>62</v>
      </c>
      <c r="C396" s="48">
        <v>424.5</v>
      </c>
    </row>
    <row r="397" spans="1:3" x14ac:dyDescent="0.25">
      <c r="A397" s="63">
        <v>42319</v>
      </c>
      <c r="B397" s="26">
        <v>53</v>
      </c>
      <c r="C397" s="48">
        <v>574</v>
      </c>
    </row>
    <row r="398" spans="1:3" x14ac:dyDescent="0.25">
      <c r="A398" s="63">
        <v>42320</v>
      </c>
      <c r="B398" s="26">
        <v>63</v>
      </c>
      <c r="C398" s="48">
        <v>391.5</v>
      </c>
    </row>
    <row r="399" spans="1:3" x14ac:dyDescent="0.25">
      <c r="A399" s="63">
        <v>42321</v>
      </c>
      <c r="B399" s="26">
        <v>61</v>
      </c>
      <c r="C399" s="48">
        <v>382.5</v>
      </c>
    </row>
    <row r="400" spans="1:3" x14ac:dyDescent="0.25">
      <c r="A400" s="63">
        <v>42322</v>
      </c>
      <c r="B400" s="26">
        <v>64</v>
      </c>
      <c r="C400" s="48">
        <v>436.5</v>
      </c>
    </row>
    <row r="401" spans="1:3" x14ac:dyDescent="0.25">
      <c r="A401" s="63">
        <v>42323</v>
      </c>
      <c r="B401" s="26">
        <v>51</v>
      </c>
      <c r="C401" s="48">
        <v>578</v>
      </c>
    </row>
    <row r="402" spans="1:3" x14ac:dyDescent="0.25">
      <c r="A402" s="63">
        <v>42324</v>
      </c>
      <c r="B402" s="26">
        <v>56</v>
      </c>
      <c r="C402" s="48">
        <v>328.5</v>
      </c>
    </row>
    <row r="403" spans="1:3" x14ac:dyDescent="0.25">
      <c r="A403" s="63">
        <v>42325</v>
      </c>
      <c r="B403" s="26">
        <v>54</v>
      </c>
      <c r="C403" s="48">
        <v>590</v>
      </c>
    </row>
    <row r="404" spans="1:3" x14ac:dyDescent="0.25">
      <c r="A404" s="63">
        <v>42326</v>
      </c>
      <c r="B404" s="26">
        <v>53</v>
      </c>
      <c r="C404" s="48">
        <v>446</v>
      </c>
    </row>
    <row r="405" spans="1:3" x14ac:dyDescent="0.25">
      <c r="A405" s="63">
        <v>42327</v>
      </c>
      <c r="B405" s="26">
        <v>50</v>
      </c>
      <c r="C405" s="48">
        <v>226</v>
      </c>
    </row>
    <row r="406" spans="1:3" x14ac:dyDescent="0.25">
      <c r="A406" s="63">
        <v>42328</v>
      </c>
      <c r="B406" s="26">
        <v>68</v>
      </c>
      <c r="C406" s="48">
        <v>231</v>
      </c>
    </row>
    <row r="407" spans="1:3" x14ac:dyDescent="0.25">
      <c r="A407" s="63">
        <v>42329</v>
      </c>
      <c r="B407" s="26">
        <v>58</v>
      </c>
      <c r="C407" s="48">
        <v>315</v>
      </c>
    </row>
    <row r="408" spans="1:3" x14ac:dyDescent="0.25">
      <c r="A408" s="63">
        <v>42330</v>
      </c>
      <c r="B408" s="26">
        <v>49</v>
      </c>
      <c r="C408" s="48">
        <v>220</v>
      </c>
    </row>
    <row r="409" spans="1:3" x14ac:dyDescent="0.25">
      <c r="A409" s="63">
        <v>42331</v>
      </c>
      <c r="B409" s="26">
        <v>67</v>
      </c>
      <c r="C409" s="48">
        <v>264</v>
      </c>
    </row>
    <row r="410" spans="1:3" x14ac:dyDescent="0.25">
      <c r="A410" s="63">
        <v>42332</v>
      </c>
      <c r="B410" s="26">
        <v>49</v>
      </c>
      <c r="C410" s="48">
        <v>358</v>
      </c>
    </row>
    <row r="411" spans="1:3" x14ac:dyDescent="0.25">
      <c r="A411" s="63">
        <v>42333</v>
      </c>
      <c r="B411" s="26">
        <v>47</v>
      </c>
      <c r="C411" s="48">
        <v>498</v>
      </c>
    </row>
    <row r="412" spans="1:3" x14ac:dyDescent="0.25">
      <c r="A412" s="63">
        <v>42334</v>
      </c>
      <c r="B412" s="26">
        <v>49</v>
      </c>
      <c r="C412" s="48">
        <v>448</v>
      </c>
    </row>
    <row r="413" spans="1:3" x14ac:dyDescent="0.25">
      <c r="A413" s="63">
        <v>42335</v>
      </c>
      <c r="B413" s="26">
        <v>47</v>
      </c>
      <c r="C413" s="48">
        <v>578</v>
      </c>
    </row>
    <row r="414" spans="1:3" x14ac:dyDescent="0.25">
      <c r="A414" s="63">
        <v>42336</v>
      </c>
      <c r="B414" s="26">
        <v>62</v>
      </c>
      <c r="C414" s="48">
        <v>402</v>
      </c>
    </row>
    <row r="415" spans="1:3" x14ac:dyDescent="0.25">
      <c r="A415" s="63">
        <v>42337</v>
      </c>
      <c r="B415" s="26">
        <v>47</v>
      </c>
      <c r="C415" s="48">
        <v>466</v>
      </c>
    </row>
    <row r="416" spans="1:3" x14ac:dyDescent="0.25">
      <c r="A416" s="63">
        <v>42338</v>
      </c>
      <c r="B416" s="26">
        <v>49</v>
      </c>
      <c r="C416" s="48">
        <v>330</v>
      </c>
    </row>
    <row r="417" spans="1:3" x14ac:dyDescent="0.25">
      <c r="A417" s="63">
        <v>42339</v>
      </c>
      <c r="B417" s="26">
        <v>64</v>
      </c>
      <c r="C417" s="48">
        <v>214.5</v>
      </c>
    </row>
    <row r="418" spans="1:3" x14ac:dyDescent="0.25">
      <c r="A418" s="63">
        <v>42340</v>
      </c>
      <c r="B418" s="26">
        <v>62</v>
      </c>
      <c r="C418" s="48">
        <v>190.5</v>
      </c>
    </row>
    <row r="419" spans="1:3" x14ac:dyDescent="0.25">
      <c r="A419" s="63">
        <v>42341</v>
      </c>
      <c r="B419" s="26">
        <v>60</v>
      </c>
      <c r="C419" s="48">
        <v>270</v>
      </c>
    </row>
    <row r="420" spans="1:3" x14ac:dyDescent="0.25">
      <c r="A420" s="63">
        <v>42342</v>
      </c>
      <c r="B420" s="26">
        <v>66</v>
      </c>
      <c r="C420" s="48">
        <v>109</v>
      </c>
    </row>
    <row r="421" spans="1:3" x14ac:dyDescent="0.25">
      <c r="A421" s="63">
        <v>42343</v>
      </c>
      <c r="B421" s="26">
        <v>62</v>
      </c>
      <c r="C421" s="48">
        <v>384</v>
      </c>
    </row>
    <row r="422" spans="1:3" x14ac:dyDescent="0.25">
      <c r="A422" s="63">
        <v>42344</v>
      </c>
      <c r="B422" s="26">
        <v>66</v>
      </c>
      <c r="C422" s="48">
        <v>286</v>
      </c>
    </row>
    <row r="423" spans="1:3" x14ac:dyDescent="0.25">
      <c r="A423" s="63">
        <v>42345</v>
      </c>
      <c r="B423" s="26">
        <v>49</v>
      </c>
      <c r="C423" s="48">
        <v>278</v>
      </c>
    </row>
    <row r="424" spans="1:3" x14ac:dyDescent="0.25">
      <c r="A424" s="63">
        <v>42346</v>
      </c>
      <c r="B424" s="26">
        <v>62</v>
      </c>
      <c r="C424" s="48">
        <v>264</v>
      </c>
    </row>
    <row r="425" spans="1:3" x14ac:dyDescent="0.25">
      <c r="A425" s="63">
        <v>42347</v>
      </c>
      <c r="B425" s="26">
        <v>65</v>
      </c>
      <c r="C425" s="48">
        <v>179</v>
      </c>
    </row>
    <row r="426" spans="1:3" x14ac:dyDescent="0.25">
      <c r="A426" s="63">
        <v>42348</v>
      </c>
      <c r="B426" s="26">
        <v>62</v>
      </c>
      <c r="C426" s="48">
        <v>265.5</v>
      </c>
    </row>
    <row r="427" spans="1:3" x14ac:dyDescent="0.25">
      <c r="A427" s="63">
        <v>42349</v>
      </c>
      <c r="B427" s="26">
        <v>61</v>
      </c>
      <c r="C427" s="48">
        <v>357</v>
      </c>
    </row>
    <row r="428" spans="1:3" x14ac:dyDescent="0.25">
      <c r="A428" s="63">
        <v>42350</v>
      </c>
      <c r="B428" s="26">
        <v>31</v>
      </c>
      <c r="C428" s="48">
        <v>737.5</v>
      </c>
    </row>
    <row r="429" spans="1:3" x14ac:dyDescent="0.25">
      <c r="A429" s="63">
        <v>42351</v>
      </c>
      <c r="B429" s="26">
        <v>53</v>
      </c>
      <c r="C429" s="48">
        <v>272</v>
      </c>
    </row>
    <row r="430" spans="1:3" x14ac:dyDescent="0.25">
      <c r="A430" s="63">
        <v>42352</v>
      </c>
      <c r="B430" s="26">
        <v>52</v>
      </c>
      <c r="C430" s="48">
        <v>236</v>
      </c>
    </row>
    <row r="431" spans="1:3" x14ac:dyDescent="0.25">
      <c r="A431" s="63">
        <v>42353</v>
      </c>
      <c r="B431" s="26">
        <v>55</v>
      </c>
      <c r="C431" s="48">
        <v>267</v>
      </c>
    </row>
    <row r="432" spans="1:3" x14ac:dyDescent="0.25">
      <c r="A432" s="63">
        <v>42354</v>
      </c>
      <c r="B432" s="26">
        <v>61</v>
      </c>
      <c r="C432" s="48">
        <v>450</v>
      </c>
    </row>
    <row r="433" spans="1:3" x14ac:dyDescent="0.25">
      <c r="A433" s="63">
        <v>42355</v>
      </c>
      <c r="B433" s="26">
        <v>50</v>
      </c>
      <c r="C433" s="48">
        <v>486</v>
      </c>
    </row>
    <row r="434" spans="1:3" x14ac:dyDescent="0.25">
      <c r="A434" s="63">
        <v>42356</v>
      </c>
      <c r="B434" s="26">
        <v>55</v>
      </c>
      <c r="C434" s="48">
        <v>217.5</v>
      </c>
    </row>
    <row r="435" spans="1:3" x14ac:dyDescent="0.25">
      <c r="A435" s="63">
        <v>42357</v>
      </c>
      <c r="B435" s="26">
        <v>60</v>
      </c>
      <c r="C435" s="48">
        <v>274.5</v>
      </c>
    </row>
    <row r="436" spans="1:3" x14ac:dyDescent="0.25">
      <c r="A436" s="63">
        <v>42358</v>
      </c>
      <c r="B436" s="26">
        <v>43</v>
      </c>
      <c r="C436" s="48">
        <v>221.45</v>
      </c>
    </row>
    <row r="437" spans="1:3" x14ac:dyDescent="0.25">
      <c r="A437" s="63">
        <v>42359</v>
      </c>
      <c r="B437" s="26">
        <v>63</v>
      </c>
      <c r="C437" s="48">
        <v>174</v>
      </c>
    </row>
    <row r="438" spans="1:3" x14ac:dyDescent="0.25">
      <c r="A438" s="63">
        <v>42360</v>
      </c>
      <c r="B438" s="26">
        <v>49</v>
      </c>
      <c r="C438" s="48">
        <v>206</v>
      </c>
    </row>
    <row r="439" spans="1:3" x14ac:dyDescent="0.25">
      <c r="A439" s="63">
        <v>42361</v>
      </c>
      <c r="B439" s="26">
        <v>40</v>
      </c>
      <c r="C439" s="48">
        <v>539.65</v>
      </c>
    </row>
    <row r="440" spans="1:3" x14ac:dyDescent="0.25">
      <c r="A440" s="63">
        <v>42362</v>
      </c>
      <c r="B440" s="26">
        <v>33</v>
      </c>
      <c r="C440" s="48">
        <v>677.5</v>
      </c>
    </row>
    <row r="441" spans="1:3" x14ac:dyDescent="0.25">
      <c r="A441" s="63">
        <v>42363</v>
      </c>
      <c r="B441" s="26">
        <v>62</v>
      </c>
      <c r="C441" s="48">
        <v>157.5</v>
      </c>
    </row>
    <row r="442" spans="1:3" x14ac:dyDescent="0.25">
      <c r="A442" s="63">
        <v>42364</v>
      </c>
      <c r="B442" s="26">
        <v>32</v>
      </c>
      <c r="C442" s="48">
        <v>680</v>
      </c>
    </row>
    <row r="443" spans="1:3" x14ac:dyDescent="0.25">
      <c r="A443" s="63">
        <v>42365</v>
      </c>
      <c r="B443" s="26">
        <v>33</v>
      </c>
      <c r="C443" s="48">
        <v>580</v>
      </c>
    </row>
    <row r="444" spans="1:3" x14ac:dyDescent="0.25">
      <c r="A444" s="63">
        <v>42366</v>
      </c>
      <c r="B444" s="26">
        <v>52</v>
      </c>
      <c r="C444" s="48">
        <v>538</v>
      </c>
    </row>
    <row r="445" spans="1:3" x14ac:dyDescent="0.25">
      <c r="A445" s="63">
        <v>42367</v>
      </c>
      <c r="B445" s="26">
        <v>32</v>
      </c>
      <c r="C445" s="48">
        <v>252.5</v>
      </c>
    </row>
    <row r="446" spans="1:3" x14ac:dyDescent="0.25">
      <c r="A446" s="63">
        <v>42368</v>
      </c>
      <c r="B446" s="26">
        <v>59</v>
      </c>
      <c r="C446" s="48">
        <v>348</v>
      </c>
    </row>
    <row r="447" spans="1:3" x14ac:dyDescent="0.25">
      <c r="A447" s="63">
        <v>42369</v>
      </c>
      <c r="B447" s="26">
        <v>32</v>
      </c>
      <c r="C447" s="48">
        <v>387.5</v>
      </c>
    </row>
    <row r="451" spans="1:2" x14ac:dyDescent="0.25">
      <c r="A451" s="215" t="s">
        <v>844</v>
      </c>
      <c r="B451" s="83"/>
    </row>
    <row r="453" spans="1:2" x14ac:dyDescent="0.25">
      <c r="A453" s="61" t="s">
        <v>849</v>
      </c>
      <c r="B453" s="30">
        <f>PEARSON(B456:B462,A456:A462)</f>
        <v>1</v>
      </c>
    </row>
    <row r="455" spans="1:2" x14ac:dyDescent="0.25">
      <c r="A455" s="61" t="s">
        <v>525</v>
      </c>
      <c r="B455" s="61" t="s">
        <v>845</v>
      </c>
    </row>
    <row r="456" spans="1:2" x14ac:dyDescent="0.25">
      <c r="A456" s="26">
        <v>5</v>
      </c>
      <c r="B456" s="26">
        <f t="shared" ref="B456:B462" si="0">A456*15</f>
        <v>75</v>
      </c>
    </row>
    <row r="457" spans="1:2" x14ac:dyDescent="0.25">
      <c r="A457" s="26">
        <v>10</v>
      </c>
      <c r="B457" s="26">
        <f t="shared" si="0"/>
        <v>150</v>
      </c>
    </row>
    <row r="458" spans="1:2" x14ac:dyDescent="0.25">
      <c r="A458" s="26">
        <v>6</v>
      </c>
      <c r="B458" s="26">
        <f t="shared" si="0"/>
        <v>90</v>
      </c>
    </row>
    <row r="459" spans="1:2" x14ac:dyDescent="0.25">
      <c r="A459" s="26">
        <v>19</v>
      </c>
      <c r="B459" s="26">
        <f t="shared" si="0"/>
        <v>285</v>
      </c>
    </row>
    <row r="460" spans="1:2" x14ac:dyDescent="0.25">
      <c r="A460" s="26">
        <v>20</v>
      </c>
      <c r="B460" s="26">
        <f t="shared" si="0"/>
        <v>300</v>
      </c>
    </row>
    <row r="461" spans="1:2" x14ac:dyDescent="0.25">
      <c r="A461" s="26">
        <v>15</v>
      </c>
      <c r="B461" s="26">
        <f t="shared" si="0"/>
        <v>225</v>
      </c>
    </row>
    <row r="462" spans="1:2" x14ac:dyDescent="0.25">
      <c r="A462" s="26">
        <v>16</v>
      </c>
      <c r="B462" s="26">
        <f t="shared" si="0"/>
        <v>240</v>
      </c>
    </row>
    <row r="465" spans="1:2" x14ac:dyDescent="0.25">
      <c r="A465" s="215" t="s">
        <v>846</v>
      </c>
      <c r="B465" s="83"/>
    </row>
    <row r="467" spans="1:2" x14ac:dyDescent="0.25">
      <c r="A467" s="61" t="s">
        <v>849</v>
      </c>
      <c r="B467" s="30">
        <f>PEARSON(B470:B474,A470:A474)</f>
        <v>-0.99999999999999989</v>
      </c>
    </row>
    <row r="469" spans="1:2" x14ac:dyDescent="0.25">
      <c r="A469" s="61" t="s">
        <v>847</v>
      </c>
      <c r="B469" s="61" t="s">
        <v>848</v>
      </c>
    </row>
    <row r="470" spans="1:2" x14ac:dyDescent="0.25">
      <c r="A470" s="26">
        <v>25</v>
      </c>
      <c r="B470" s="26">
        <v>5</v>
      </c>
    </row>
    <row r="471" spans="1:2" x14ac:dyDescent="0.25">
      <c r="A471" s="26">
        <f>A470-5</f>
        <v>20</v>
      </c>
      <c r="B471" s="26">
        <f>B470+5</f>
        <v>10</v>
      </c>
    </row>
    <row r="472" spans="1:2" x14ac:dyDescent="0.25">
      <c r="A472" s="26">
        <f>A471-5</f>
        <v>15</v>
      </c>
      <c r="B472" s="26">
        <f>B471+5</f>
        <v>15</v>
      </c>
    </row>
    <row r="473" spans="1:2" x14ac:dyDescent="0.25">
      <c r="A473" s="26">
        <f>A472-5</f>
        <v>10</v>
      </c>
      <c r="B473" s="26">
        <f>B472+5</f>
        <v>20</v>
      </c>
    </row>
    <row r="474" spans="1:2" x14ac:dyDescent="0.25">
      <c r="A474" s="26">
        <f>A473-5</f>
        <v>5</v>
      </c>
      <c r="B474" s="26">
        <f>B473+5</f>
        <v>25</v>
      </c>
    </row>
  </sheetData>
  <pageMargins left="0.7" right="0.7" top="0.75" bottom="0.75" header="0.3" footer="0.3"/>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tabColor rgb="FFFF0000"/>
  </sheetPr>
  <dimension ref="A1:N474"/>
  <sheetViews>
    <sheetView zoomScale="70" zoomScaleNormal="70" workbookViewId="0">
      <selection activeCell="B20" sqref="B20"/>
    </sheetView>
  </sheetViews>
  <sheetFormatPr defaultRowHeight="15" x14ac:dyDescent="0.25"/>
  <cols>
    <col min="1" max="1" width="13.28515625" customWidth="1"/>
    <col min="2" max="2" width="19.28515625" customWidth="1"/>
    <col min="3" max="3" width="22" customWidth="1"/>
    <col min="4" max="4" width="11.42578125" bestFit="1" customWidth="1"/>
    <col min="5" max="5" width="18.7109375" customWidth="1"/>
    <col min="6" max="6" width="19.7109375" customWidth="1"/>
    <col min="7" max="7" width="13.28515625" bestFit="1" customWidth="1"/>
    <col min="8" max="8" width="12.85546875" customWidth="1"/>
    <col min="11" max="11" width="5" bestFit="1" customWidth="1"/>
    <col min="12" max="12" width="2.42578125" bestFit="1" customWidth="1"/>
    <col min="13" max="13" width="44.5703125" bestFit="1" customWidth="1"/>
    <col min="14" max="14" width="10.140625" customWidth="1"/>
    <col min="16" max="16" width="16" customWidth="1"/>
  </cols>
  <sheetData>
    <row r="1" spans="1:14" x14ac:dyDescent="0.25">
      <c r="A1" s="194" t="s">
        <v>833</v>
      </c>
      <c r="B1" s="193"/>
      <c r="C1" s="193"/>
      <c r="D1" s="193"/>
      <c r="E1" s="193"/>
      <c r="F1" s="193"/>
      <c r="G1" s="193"/>
      <c r="H1" s="193"/>
      <c r="I1" s="192"/>
    </row>
    <row r="2" spans="1:14" x14ac:dyDescent="0.25">
      <c r="A2" s="220" t="s">
        <v>805</v>
      </c>
      <c r="B2" s="221"/>
      <c r="C2" s="221"/>
      <c r="D2" s="221"/>
      <c r="E2" s="221"/>
      <c r="F2" s="221"/>
      <c r="G2" s="222"/>
      <c r="H2" s="222"/>
      <c r="I2" s="223"/>
    </row>
    <row r="3" spans="1:14" ht="18" x14ac:dyDescent="0.35">
      <c r="A3" s="224" t="s">
        <v>836</v>
      </c>
      <c r="B3" s="201"/>
      <c r="C3" s="201"/>
      <c r="D3" s="201"/>
      <c r="E3" s="201"/>
      <c r="F3" s="201"/>
      <c r="G3" s="190"/>
      <c r="H3" s="190"/>
      <c r="I3" s="189"/>
    </row>
    <row r="4" spans="1:14" x14ac:dyDescent="0.25">
      <c r="A4" s="224" t="s">
        <v>807</v>
      </c>
      <c r="B4" s="201"/>
      <c r="C4" s="201"/>
      <c r="D4" s="201"/>
      <c r="E4" s="201"/>
      <c r="F4" s="201"/>
      <c r="G4" s="190"/>
      <c r="H4" s="190"/>
      <c r="I4" s="189"/>
    </row>
    <row r="5" spans="1:14" x14ac:dyDescent="0.25">
      <c r="A5" s="224" t="s">
        <v>834</v>
      </c>
      <c r="B5" s="201"/>
      <c r="C5" s="201"/>
      <c r="D5" s="201"/>
      <c r="E5" s="201"/>
      <c r="F5" s="201"/>
      <c r="G5" s="190"/>
      <c r="H5" s="190"/>
      <c r="I5" s="189"/>
    </row>
    <row r="6" spans="1:14" x14ac:dyDescent="0.25">
      <c r="A6" s="224" t="s">
        <v>885</v>
      </c>
      <c r="B6" s="201"/>
      <c r="C6" s="201"/>
      <c r="D6" s="201"/>
      <c r="E6" s="201"/>
      <c r="F6" s="201"/>
      <c r="G6" s="190"/>
      <c r="H6" s="190"/>
      <c r="I6" s="189"/>
    </row>
    <row r="7" spans="1:14" x14ac:dyDescent="0.25">
      <c r="A7" s="220" t="s">
        <v>835</v>
      </c>
      <c r="B7" s="221"/>
      <c r="C7" s="221"/>
      <c r="D7" s="221"/>
      <c r="E7" s="221"/>
      <c r="F7" s="221"/>
      <c r="G7" s="222"/>
      <c r="H7" s="222"/>
      <c r="I7" s="223"/>
    </row>
    <row r="8" spans="1:14" ht="18" x14ac:dyDescent="0.35">
      <c r="A8" s="224" t="s">
        <v>837</v>
      </c>
      <c r="B8" s="201"/>
      <c r="C8" s="201"/>
      <c r="D8" s="201"/>
      <c r="E8" s="201"/>
      <c r="F8" s="201"/>
      <c r="G8" s="190"/>
      <c r="H8" s="190"/>
      <c r="I8" s="189"/>
    </row>
    <row r="9" spans="1:14" x14ac:dyDescent="0.25">
      <c r="A9" s="224" t="s">
        <v>813</v>
      </c>
      <c r="B9" s="201"/>
      <c r="C9" s="201"/>
      <c r="D9" s="201"/>
      <c r="E9" s="201"/>
      <c r="F9" s="201"/>
      <c r="G9" s="190"/>
      <c r="H9" s="190"/>
      <c r="I9" s="189"/>
      <c r="K9" s="61" t="s">
        <v>198</v>
      </c>
      <c r="L9" s="26" t="s">
        <v>199</v>
      </c>
      <c r="M9" s="26" t="s">
        <v>892</v>
      </c>
      <c r="N9" s="26" t="s">
        <v>203</v>
      </c>
    </row>
    <row r="10" spans="1:14" ht="18" x14ac:dyDescent="0.35">
      <c r="A10" s="224" t="s">
        <v>838</v>
      </c>
      <c r="B10" s="201"/>
      <c r="C10" s="201"/>
      <c r="D10" s="201"/>
      <c r="E10" s="201"/>
      <c r="F10" s="201"/>
      <c r="G10" s="190"/>
      <c r="H10" s="190"/>
      <c r="I10" s="189"/>
      <c r="K10" s="61" t="s">
        <v>901</v>
      </c>
      <c r="L10" s="26" t="s">
        <v>199</v>
      </c>
      <c r="M10" s="26" t="s">
        <v>895</v>
      </c>
      <c r="N10" s="26" t="s">
        <v>204</v>
      </c>
    </row>
    <row r="11" spans="1:14" x14ac:dyDescent="0.25">
      <c r="A11" s="224" t="s">
        <v>839</v>
      </c>
      <c r="B11" s="201"/>
      <c r="C11" s="201"/>
      <c r="D11" s="201"/>
      <c r="E11" s="201"/>
      <c r="F11" s="201"/>
      <c r="G11" s="190"/>
      <c r="H11" s="190"/>
      <c r="I11" s="189"/>
      <c r="K11" s="61" t="s">
        <v>891</v>
      </c>
      <c r="L11" s="26" t="s">
        <v>199</v>
      </c>
      <c r="M11" s="26" t="s">
        <v>894</v>
      </c>
      <c r="N11" s="26" t="s">
        <v>893</v>
      </c>
    </row>
    <row r="12" spans="1:14" ht="18" x14ac:dyDescent="0.35">
      <c r="A12" s="224" t="s">
        <v>840</v>
      </c>
      <c r="B12" s="201"/>
      <c r="C12" s="201"/>
      <c r="D12" s="201"/>
      <c r="E12" s="201"/>
      <c r="F12" s="201"/>
      <c r="G12" s="190"/>
      <c r="H12" s="190"/>
      <c r="I12" s="189"/>
      <c r="K12" s="61" t="s">
        <v>902</v>
      </c>
      <c r="L12" s="26" t="s">
        <v>199</v>
      </c>
      <c r="M12" s="26" t="s">
        <v>896</v>
      </c>
      <c r="N12" s="26" t="s">
        <v>898</v>
      </c>
    </row>
    <row r="13" spans="1:14" ht="18" x14ac:dyDescent="0.35">
      <c r="A13" s="224" t="s">
        <v>841</v>
      </c>
      <c r="B13" s="201"/>
      <c r="C13" s="201"/>
      <c r="D13" s="201"/>
      <c r="E13" s="201"/>
      <c r="F13" s="201"/>
      <c r="G13" s="190"/>
      <c r="H13" s="190"/>
      <c r="I13" s="189"/>
      <c r="K13" s="61" t="s">
        <v>903</v>
      </c>
      <c r="L13" s="26" t="s">
        <v>199</v>
      </c>
      <c r="M13" s="26" t="s">
        <v>771</v>
      </c>
      <c r="N13" s="26" t="s">
        <v>899</v>
      </c>
    </row>
    <row r="14" spans="1:14" x14ac:dyDescent="0.25">
      <c r="A14" s="224" t="s">
        <v>842</v>
      </c>
      <c r="B14" s="201"/>
      <c r="C14" s="201"/>
      <c r="D14" s="201"/>
      <c r="E14" s="201"/>
      <c r="F14" s="201"/>
      <c r="G14" s="190"/>
      <c r="H14" s="190"/>
      <c r="I14" s="189"/>
      <c r="K14" s="61" t="s">
        <v>206</v>
      </c>
      <c r="L14" s="26" t="s">
        <v>199</v>
      </c>
      <c r="M14" s="26" t="s">
        <v>897</v>
      </c>
      <c r="N14" s="26" t="s">
        <v>207</v>
      </c>
    </row>
    <row r="15" spans="1:14" ht="18" x14ac:dyDescent="0.35">
      <c r="A15" s="225" t="s">
        <v>886</v>
      </c>
      <c r="B15" s="214"/>
      <c r="C15" s="214"/>
      <c r="D15" s="214"/>
      <c r="E15" s="214"/>
      <c r="F15" s="214"/>
      <c r="G15" s="187"/>
      <c r="H15" s="187"/>
      <c r="I15" s="186"/>
      <c r="K15" s="61" t="s">
        <v>904</v>
      </c>
      <c r="L15" s="26" t="s">
        <v>199</v>
      </c>
      <c r="M15" s="26" t="s">
        <v>900</v>
      </c>
      <c r="N15" s="26" t="s">
        <v>905</v>
      </c>
    </row>
    <row r="16" spans="1:14" ht="18" x14ac:dyDescent="0.35">
      <c r="K16" s="61" t="s">
        <v>906</v>
      </c>
      <c r="L16" s="26" t="s">
        <v>199</v>
      </c>
      <c r="M16" s="26" t="s">
        <v>907</v>
      </c>
      <c r="N16" s="26" t="s">
        <v>908</v>
      </c>
    </row>
    <row r="17" spans="1:6" x14ac:dyDescent="0.25">
      <c r="A17" s="22" t="s">
        <v>737</v>
      </c>
      <c r="B17" s="22" t="s">
        <v>753</v>
      </c>
    </row>
    <row r="18" spans="1:6" x14ac:dyDescent="0.25">
      <c r="A18" s="199" t="s">
        <v>742</v>
      </c>
      <c r="B18" s="199" t="s">
        <v>719</v>
      </c>
      <c r="C18" s="199" t="s">
        <v>718</v>
      </c>
    </row>
    <row r="19" spans="1:6" x14ac:dyDescent="0.25">
      <c r="A19" s="26"/>
      <c r="B19" s="26"/>
      <c r="C19" s="26"/>
    </row>
    <row r="20" spans="1:6" x14ac:dyDescent="0.25">
      <c r="A20" s="1" t="s">
        <v>85</v>
      </c>
      <c r="B20" s="58">
        <f>AVERAGE(B25:B35)</f>
        <v>66.272727272727266</v>
      </c>
      <c r="C20" s="58">
        <f>AVERAGE(C25:C35)</f>
        <v>4068.3636363636365</v>
      </c>
    </row>
    <row r="21" spans="1:6" x14ac:dyDescent="0.25">
      <c r="A21" t="s">
        <v>774</v>
      </c>
      <c r="B21" s="58">
        <f>_xlfn.STDEV.S(B25:B35)</f>
        <v>19.626975870423379</v>
      </c>
      <c r="C21" s="58">
        <f>_xlfn.STDEV.S(C25:C35)</f>
        <v>2309.9667215233758</v>
      </c>
    </row>
    <row r="22" spans="1:6" x14ac:dyDescent="0.25">
      <c r="A22" s="1" t="s">
        <v>482</v>
      </c>
      <c r="B22" s="58">
        <f>COUNT(B25:B35)-1</f>
        <v>10</v>
      </c>
    </row>
    <row r="23" spans="1:6" ht="6" customHeight="1" x14ac:dyDescent="0.25"/>
    <row r="24" spans="1:6" ht="18" x14ac:dyDescent="0.35">
      <c r="A24" s="1" t="s">
        <v>520</v>
      </c>
      <c r="B24" s="1" t="s">
        <v>746</v>
      </c>
      <c r="C24" s="1" t="s">
        <v>749</v>
      </c>
      <c r="D24" s="1" t="s">
        <v>1139</v>
      </c>
      <c r="E24" s="1" t="s">
        <v>1140</v>
      </c>
      <c r="F24" s="203" t="s">
        <v>1141</v>
      </c>
    </row>
    <row r="25" spans="1:6" x14ac:dyDescent="0.25">
      <c r="A25" s="26">
        <v>1</v>
      </c>
      <c r="B25" s="26">
        <v>91</v>
      </c>
      <c r="C25" s="48">
        <v>7113</v>
      </c>
      <c r="D25" s="59">
        <f>B25-$B$20</f>
        <v>24.727272727272734</v>
      </c>
      <c r="E25" s="59">
        <f>C25-$C$20</f>
        <v>3044.6363636363635</v>
      </c>
      <c r="F25" s="30">
        <f>E25*D25</f>
        <v>75285.553719008283</v>
      </c>
    </row>
    <row r="26" spans="1:6" x14ac:dyDescent="0.25">
      <c r="A26" s="26">
        <v>2</v>
      </c>
      <c r="B26" s="26">
        <v>45</v>
      </c>
      <c r="C26" s="48">
        <v>2044</v>
      </c>
      <c r="D26" s="59">
        <f t="shared" ref="D26:D35" si="0">B26-$B$20</f>
        <v>-21.272727272727266</v>
      </c>
      <c r="E26" s="59">
        <f t="shared" ref="E26:E35" si="1">C26-$C$20</f>
        <v>-2024.3636363636365</v>
      </c>
      <c r="F26" s="30">
        <f t="shared" ref="F26:F35" si="2">E26*D26</f>
        <v>43063.73553719007</v>
      </c>
    </row>
    <row r="27" spans="1:6" x14ac:dyDescent="0.25">
      <c r="A27" s="26">
        <v>3</v>
      </c>
      <c r="B27" s="26">
        <v>46</v>
      </c>
      <c r="C27" s="48">
        <v>1108</v>
      </c>
      <c r="D27" s="59">
        <f t="shared" si="0"/>
        <v>-20.272727272727266</v>
      </c>
      <c r="E27" s="59">
        <f t="shared" si="1"/>
        <v>-2960.3636363636365</v>
      </c>
      <c r="F27" s="30">
        <f t="shared" si="2"/>
        <v>60014.644628099159</v>
      </c>
    </row>
    <row r="28" spans="1:6" x14ac:dyDescent="0.25">
      <c r="A28" s="26">
        <v>4</v>
      </c>
      <c r="B28" s="26">
        <v>83</v>
      </c>
      <c r="C28" s="48">
        <v>7093</v>
      </c>
      <c r="D28" s="59">
        <f t="shared" si="0"/>
        <v>16.727272727272734</v>
      </c>
      <c r="E28" s="59">
        <f t="shared" si="1"/>
        <v>3024.6363636363635</v>
      </c>
      <c r="F28" s="30">
        <f t="shared" si="2"/>
        <v>50593.917355371916</v>
      </c>
    </row>
    <row r="29" spans="1:6" x14ac:dyDescent="0.25">
      <c r="A29" s="26">
        <v>5</v>
      </c>
      <c r="B29" s="26">
        <v>76</v>
      </c>
      <c r="C29" s="48">
        <v>3902</v>
      </c>
      <c r="D29" s="59">
        <f t="shared" si="0"/>
        <v>9.7272727272727337</v>
      </c>
      <c r="E29" s="59">
        <f t="shared" si="1"/>
        <v>-166.36363636363649</v>
      </c>
      <c r="F29" s="30">
        <f t="shared" si="2"/>
        <v>-1618.2644628099197</v>
      </c>
    </row>
    <row r="30" spans="1:6" x14ac:dyDescent="0.25">
      <c r="A30" s="26">
        <v>6</v>
      </c>
      <c r="B30" s="26">
        <v>96</v>
      </c>
      <c r="C30" s="48">
        <v>6676</v>
      </c>
      <c r="D30" s="59">
        <f t="shared" si="0"/>
        <v>29.727272727272734</v>
      </c>
      <c r="E30" s="59">
        <f t="shared" si="1"/>
        <v>2607.6363636363635</v>
      </c>
      <c r="F30" s="30">
        <f t="shared" si="2"/>
        <v>77517.917355371916</v>
      </c>
    </row>
    <row r="31" spans="1:6" x14ac:dyDescent="0.25">
      <c r="A31" s="26">
        <v>7</v>
      </c>
      <c r="B31" s="26">
        <v>75</v>
      </c>
      <c r="C31" s="48">
        <v>5403</v>
      </c>
      <c r="D31" s="59">
        <f t="shared" si="0"/>
        <v>8.7272727272727337</v>
      </c>
      <c r="E31" s="59">
        <f t="shared" si="1"/>
        <v>1334.6363636363635</v>
      </c>
      <c r="F31" s="30">
        <f t="shared" si="2"/>
        <v>11647.73553719009</v>
      </c>
    </row>
    <row r="32" spans="1:6" x14ac:dyDescent="0.25">
      <c r="A32" s="26">
        <v>8</v>
      </c>
      <c r="B32" s="26">
        <v>42</v>
      </c>
      <c r="C32" s="48">
        <v>886</v>
      </c>
      <c r="D32" s="59">
        <f t="shared" si="0"/>
        <v>-24.272727272727266</v>
      </c>
      <c r="E32" s="59">
        <f t="shared" si="1"/>
        <v>-3182.3636363636365</v>
      </c>
      <c r="F32" s="30">
        <f t="shared" si="2"/>
        <v>77244.644628099151</v>
      </c>
    </row>
    <row r="33" spans="1:14" x14ac:dyDescent="0.25">
      <c r="A33" s="26">
        <v>9</v>
      </c>
      <c r="B33" s="26">
        <v>70</v>
      </c>
      <c r="C33" s="48">
        <v>4740</v>
      </c>
      <c r="D33" s="59">
        <f t="shared" si="0"/>
        <v>3.7272727272727337</v>
      </c>
      <c r="E33" s="59">
        <f t="shared" si="1"/>
        <v>671.63636363636351</v>
      </c>
      <c r="F33" s="30">
        <f t="shared" si="2"/>
        <v>2503.3719008264502</v>
      </c>
    </row>
    <row r="34" spans="1:14" x14ac:dyDescent="0.25">
      <c r="A34" s="26">
        <v>10</v>
      </c>
      <c r="B34" s="26">
        <v>47</v>
      </c>
      <c r="C34" s="48">
        <v>2637</v>
      </c>
      <c r="D34" s="59">
        <f t="shared" si="0"/>
        <v>-19.272727272727266</v>
      </c>
      <c r="E34" s="59">
        <f t="shared" si="1"/>
        <v>-1431.3636363636365</v>
      </c>
      <c r="F34" s="30">
        <f t="shared" si="2"/>
        <v>27586.28099173553</v>
      </c>
    </row>
    <row r="35" spans="1:14" x14ac:dyDescent="0.25">
      <c r="A35" s="26">
        <v>11</v>
      </c>
      <c r="B35" s="26">
        <v>58</v>
      </c>
      <c r="C35" s="48">
        <v>3150</v>
      </c>
      <c r="D35" s="59">
        <f t="shared" si="0"/>
        <v>-8.2727272727272663</v>
      </c>
      <c r="E35" s="59">
        <f t="shared" si="1"/>
        <v>-918.36363636363649</v>
      </c>
      <c r="F35" s="30">
        <f t="shared" si="2"/>
        <v>7597.3719008264416</v>
      </c>
    </row>
    <row r="37" spans="1:14" x14ac:dyDescent="0.25">
      <c r="E37" s="1" t="s">
        <v>165</v>
      </c>
      <c r="F37" s="30">
        <f>SUM(F25:F35)</f>
        <v>431436.90909090912</v>
      </c>
    </row>
    <row r="38" spans="1:14" x14ac:dyDescent="0.25">
      <c r="E38" s="1" t="s">
        <v>775</v>
      </c>
      <c r="F38" s="30">
        <f>F37/B22</f>
        <v>43143.69090909091</v>
      </c>
      <c r="G38" t="s">
        <v>778</v>
      </c>
    </row>
    <row r="39" spans="1:14" x14ac:dyDescent="0.25">
      <c r="E39" s="1" t="s">
        <v>771</v>
      </c>
      <c r="F39" s="30">
        <f>_xlfn.COVARIANCE.S(C25:C35,B25:B35)</f>
        <v>43143.69090909091</v>
      </c>
      <c r="G39" t="s">
        <v>779</v>
      </c>
    </row>
    <row r="40" spans="1:14" x14ac:dyDescent="0.25">
      <c r="E40" s="1" t="s">
        <v>776</v>
      </c>
      <c r="F40" s="60">
        <f>F38/PRODUCT(B21:C21)</f>
        <v>0.95160821837154441</v>
      </c>
      <c r="G40" t="s">
        <v>1109</v>
      </c>
    </row>
    <row r="41" spans="1:14" x14ac:dyDescent="0.25">
      <c r="E41" s="1" t="s">
        <v>776</v>
      </c>
      <c r="F41" s="60">
        <f>PEARSON(C25:C35,B25:B35)</f>
        <v>0.9516082183715443</v>
      </c>
      <c r="G41" t="s">
        <v>780</v>
      </c>
    </row>
    <row r="42" spans="1:14" x14ac:dyDescent="0.25">
      <c r="F42" s="60">
        <f>F41^2</f>
        <v>0.90555820127226472</v>
      </c>
      <c r="G42" t="s">
        <v>773</v>
      </c>
      <c r="H42" t="s">
        <v>772</v>
      </c>
      <c r="N42" t="s">
        <v>1110</v>
      </c>
    </row>
    <row r="43" spans="1:14" x14ac:dyDescent="0.25">
      <c r="F43" s="60">
        <f>RSQ(C25:C35,B25:B35)</f>
        <v>0.90555820127226427</v>
      </c>
      <c r="G43" t="s">
        <v>781</v>
      </c>
      <c r="H43" t="s">
        <v>772</v>
      </c>
    </row>
    <row r="44" spans="1:14" x14ac:dyDescent="0.25">
      <c r="A44" s="22" t="s">
        <v>745</v>
      </c>
      <c r="B44" s="22" t="s">
        <v>754</v>
      </c>
    </row>
    <row r="46" spans="1:14" ht="20.25" x14ac:dyDescent="0.35">
      <c r="A46" s="216" t="s">
        <v>850</v>
      </c>
      <c r="B46" s="30">
        <f>_xlfn.COVARIANCE.S(C50:C64,B50:B64)</f>
        <v>-37874.333333333328</v>
      </c>
      <c r="C46" t="s">
        <v>778</v>
      </c>
    </row>
    <row r="47" spans="1:14" ht="20.25" x14ac:dyDescent="0.35">
      <c r="A47" s="216" t="s">
        <v>851</v>
      </c>
      <c r="B47" s="30">
        <f>CORREL(C50:C64,B50:B64)</f>
        <v>-0.84813245031454598</v>
      </c>
      <c r="C47" t="s">
        <v>777</v>
      </c>
    </row>
    <row r="49" spans="1:3" x14ac:dyDescent="0.25">
      <c r="A49" s="1" t="s">
        <v>520</v>
      </c>
      <c r="B49" s="1" t="s">
        <v>830</v>
      </c>
      <c r="C49" s="1" t="s">
        <v>843</v>
      </c>
    </row>
    <row r="50" spans="1:3" x14ac:dyDescent="0.25">
      <c r="A50" s="26">
        <v>1</v>
      </c>
      <c r="B50" s="26">
        <v>86</v>
      </c>
      <c r="C50" s="48">
        <v>3300</v>
      </c>
    </row>
    <row r="51" spans="1:3" x14ac:dyDescent="0.25">
      <c r="A51" s="26">
        <v>2</v>
      </c>
      <c r="B51" s="26">
        <v>40</v>
      </c>
      <c r="C51" s="48">
        <v>8200</v>
      </c>
    </row>
    <row r="52" spans="1:3" x14ac:dyDescent="0.25">
      <c r="A52" s="26">
        <v>3</v>
      </c>
      <c r="B52" s="26">
        <v>41</v>
      </c>
      <c r="C52" s="48">
        <v>8900</v>
      </c>
    </row>
    <row r="53" spans="1:3" x14ac:dyDescent="0.25">
      <c r="A53" s="26">
        <v>4</v>
      </c>
      <c r="B53" s="26">
        <v>78</v>
      </c>
      <c r="C53" s="48">
        <v>3100</v>
      </c>
    </row>
    <row r="54" spans="1:3" x14ac:dyDescent="0.25">
      <c r="A54" s="26">
        <v>5</v>
      </c>
      <c r="B54" s="26">
        <v>71</v>
      </c>
      <c r="C54" s="48">
        <v>4020</v>
      </c>
    </row>
    <row r="55" spans="1:3" x14ac:dyDescent="0.25">
      <c r="A55" s="26">
        <v>6</v>
      </c>
      <c r="B55" s="26">
        <v>91</v>
      </c>
      <c r="C55" s="48">
        <v>1950</v>
      </c>
    </row>
    <row r="56" spans="1:3" x14ac:dyDescent="0.25">
      <c r="A56" s="26">
        <v>7</v>
      </c>
      <c r="B56" s="26">
        <v>70</v>
      </c>
      <c r="C56" s="48">
        <v>2500</v>
      </c>
    </row>
    <row r="57" spans="1:3" x14ac:dyDescent="0.25">
      <c r="A57" s="26">
        <v>8</v>
      </c>
      <c r="B57" s="26">
        <v>37</v>
      </c>
      <c r="C57" s="48">
        <v>6500</v>
      </c>
    </row>
    <row r="58" spans="1:3" x14ac:dyDescent="0.25">
      <c r="A58" s="26">
        <v>9</v>
      </c>
      <c r="B58" s="26">
        <v>65</v>
      </c>
      <c r="C58" s="48">
        <v>6210</v>
      </c>
    </row>
    <row r="59" spans="1:3" x14ac:dyDescent="0.25">
      <c r="A59" s="26">
        <v>10</v>
      </c>
      <c r="B59" s="26">
        <v>42</v>
      </c>
      <c r="C59" s="48">
        <v>5250</v>
      </c>
    </row>
    <row r="60" spans="1:3" x14ac:dyDescent="0.25">
      <c r="A60" s="26">
        <v>11</v>
      </c>
      <c r="B60" s="26">
        <v>53</v>
      </c>
      <c r="C60" s="48">
        <v>7200</v>
      </c>
    </row>
    <row r="61" spans="1:3" x14ac:dyDescent="0.25">
      <c r="A61" s="26">
        <v>12</v>
      </c>
      <c r="B61" s="26">
        <v>83</v>
      </c>
      <c r="C61" s="48">
        <v>2750</v>
      </c>
    </row>
    <row r="62" spans="1:3" x14ac:dyDescent="0.25">
      <c r="A62" s="26">
        <v>13</v>
      </c>
      <c r="B62" s="26">
        <v>63</v>
      </c>
      <c r="C62" s="48">
        <v>7150</v>
      </c>
    </row>
    <row r="63" spans="1:3" x14ac:dyDescent="0.25">
      <c r="A63" s="26">
        <v>14</v>
      </c>
      <c r="B63" s="26">
        <v>36</v>
      </c>
      <c r="C63" s="48">
        <v>7900</v>
      </c>
    </row>
    <row r="64" spans="1:3" x14ac:dyDescent="0.25">
      <c r="A64" s="26">
        <v>15</v>
      </c>
      <c r="B64" s="26">
        <v>43</v>
      </c>
      <c r="C64" s="48">
        <v>6210</v>
      </c>
    </row>
    <row r="67" spans="1:3" x14ac:dyDescent="0.25">
      <c r="A67" s="22" t="s">
        <v>750</v>
      </c>
      <c r="B67" s="22" t="s">
        <v>769</v>
      </c>
    </row>
    <row r="69" spans="1:3" ht="20.25" x14ac:dyDescent="0.35">
      <c r="A69" s="216" t="s">
        <v>850</v>
      </c>
      <c r="B69" s="30">
        <f>_xlfn.COVARIANCE.S(C73:C85,B73:B85)</f>
        <v>1.7500000000000002</v>
      </c>
      <c r="C69" t="s">
        <v>778</v>
      </c>
    </row>
    <row r="70" spans="1:3" ht="20.25" x14ac:dyDescent="0.35">
      <c r="A70" s="216" t="s">
        <v>851</v>
      </c>
      <c r="B70" s="30">
        <f>PEARSON(C73:C85,B73:B85)</f>
        <v>8.8517994535762423E-2</v>
      </c>
      <c r="C70" t="s">
        <v>777</v>
      </c>
    </row>
    <row r="72" spans="1:3" ht="30" x14ac:dyDescent="0.25">
      <c r="A72" s="1" t="s">
        <v>520</v>
      </c>
      <c r="B72" s="33" t="s">
        <v>765</v>
      </c>
      <c r="C72" s="33" t="s">
        <v>768</v>
      </c>
    </row>
    <row r="73" spans="1:3" x14ac:dyDescent="0.25">
      <c r="A73" s="26">
        <v>1</v>
      </c>
      <c r="B73" s="26">
        <v>3</v>
      </c>
      <c r="C73" s="26">
        <v>5</v>
      </c>
    </row>
    <row r="74" spans="1:3" x14ac:dyDescent="0.25">
      <c r="A74" s="26">
        <v>2</v>
      </c>
      <c r="B74" s="26">
        <v>8</v>
      </c>
      <c r="C74" s="26">
        <v>1</v>
      </c>
    </row>
    <row r="75" spans="1:3" x14ac:dyDescent="0.25">
      <c r="A75" s="26">
        <v>3</v>
      </c>
      <c r="B75" s="26">
        <v>6</v>
      </c>
      <c r="C75" s="26">
        <v>9</v>
      </c>
    </row>
    <row r="76" spans="1:3" x14ac:dyDescent="0.25">
      <c r="A76" s="26">
        <v>4</v>
      </c>
      <c r="B76" s="26">
        <v>11</v>
      </c>
      <c r="C76" s="26">
        <v>5</v>
      </c>
    </row>
    <row r="77" spans="1:3" x14ac:dyDescent="0.25">
      <c r="A77" s="26">
        <v>5</v>
      </c>
      <c r="B77" s="26">
        <v>20</v>
      </c>
      <c r="C77" s="26">
        <v>3</v>
      </c>
    </row>
    <row r="78" spans="1:3" x14ac:dyDescent="0.25">
      <c r="A78" s="26">
        <v>6</v>
      </c>
      <c r="B78" s="26">
        <v>7</v>
      </c>
      <c r="C78" s="26">
        <v>4</v>
      </c>
    </row>
    <row r="79" spans="1:3" x14ac:dyDescent="0.25">
      <c r="A79" s="26">
        <v>7</v>
      </c>
      <c r="B79" s="26">
        <v>9</v>
      </c>
      <c r="C79" s="26">
        <v>10</v>
      </c>
    </row>
    <row r="80" spans="1:3" x14ac:dyDescent="0.25">
      <c r="A80" s="26">
        <v>8</v>
      </c>
      <c r="B80" s="26">
        <v>3</v>
      </c>
      <c r="C80" s="26">
        <v>6</v>
      </c>
    </row>
    <row r="81" spans="1:3" x14ac:dyDescent="0.25">
      <c r="A81" s="26">
        <v>9</v>
      </c>
      <c r="B81" s="26">
        <v>19</v>
      </c>
      <c r="C81" s="26">
        <v>10</v>
      </c>
    </row>
    <row r="82" spans="1:3" x14ac:dyDescent="0.25">
      <c r="A82" s="26">
        <v>10</v>
      </c>
      <c r="B82" s="26">
        <v>2</v>
      </c>
      <c r="C82" s="26">
        <v>1</v>
      </c>
    </row>
    <row r="83" spans="1:3" x14ac:dyDescent="0.25">
      <c r="A83" s="26">
        <v>11</v>
      </c>
      <c r="B83" s="26">
        <v>16</v>
      </c>
      <c r="C83" s="26">
        <v>2</v>
      </c>
    </row>
    <row r="84" spans="1:3" x14ac:dyDescent="0.25">
      <c r="A84" s="26">
        <v>12</v>
      </c>
      <c r="B84" s="26">
        <v>12</v>
      </c>
      <c r="C84" s="26">
        <v>7</v>
      </c>
    </row>
    <row r="85" spans="1:3" x14ac:dyDescent="0.25">
      <c r="A85" s="26">
        <v>13</v>
      </c>
      <c r="B85" s="26">
        <v>1</v>
      </c>
      <c r="C85" s="26">
        <v>6</v>
      </c>
    </row>
    <row r="88" spans="1:3" x14ac:dyDescent="0.25">
      <c r="A88" s="22" t="s">
        <v>828</v>
      </c>
      <c r="B88" s="22" t="s">
        <v>829</v>
      </c>
    </row>
    <row r="90" spans="1:3" ht="20.25" x14ac:dyDescent="0.35">
      <c r="A90" s="216" t="s">
        <v>850</v>
      </c>
      <c r="B90" s="30">
        <f>_xlfn.COVARIANCE.S(C94:C447,B94:B447)</f>
        <v>-878.32237000048053</v>
      </c>
      <c r="C90" t="s">
        <v>778</v>
      </c>
    </row>
    <row r="91" spans="1:3" ht="20.25" x14ac:dyDescent="0.35">
      <c r="A91" s="216" t="s">
        <v>851</v>
      </c>
      <c r="B91" s="30">
        <f>PEARSON(C94:C447,B94:B447)</f>
        <v>-0.34094297478401964</v>
      </c>
      <c r="C91" t="s">
        <v>777</v>
      </c>
    </row>
    <row r="93" spans="1:3" x14ac:dyDescent="0.25">
      <c r="A93" s="62" t="s">
        <v>192</v>
      </c>
      <c r="B93" s="62" t="s">
        <v>826</v>
      </c>
      <c r="C93" s="62" t="s">
        <v>827</v>
      </c>
    </row>
    <row r="94" spans="1:3" x14ac:dyDescent="0.25">
      <c r="A94" s="63">
        <v>42016</v>
      </c>
      <c r="B94" s="26">
        <v>46</v>
      </c>
      <c r="C94" s="48">
        <v>236</v>
      </c>
    </row>
    <row r="95" spans="1:3" x14ac:dyDescent="0.25">
      <c r="A95" s="63">
        <v>42017</v>
      </c>
      <c r="B95" s="26">
        <v>52</v>
      </c>
      <c r="C95" s="48">
        <v>304</v>
      </c>
    </row>
    <row r="96" spans="1:3" x14ac:dyDescent="0.25">
      <c r="A96" s="63">
        <v>42018</v>
      </c>
      <c r="B96" s="26">
        <v>55</v>
      </c>
      <c r="C96" s="48">
        <v>163.5</v>
      </c>
    </row>
    <row r="97" spans="1:3" x14ac:dyDescent="0.25">
      <c r="A97" s="63">
        <v>42019</v>
      </c>
      <c r="B97" s="26">
        <v>46</v>
      </c>
      <c r="C97" s="48">
        <v>214</v>
      </c>
    </row>
    <row r="98" spans="1:3" x14ac:dyDescent="0.25">
      <c r="A98" s="63">
        <v>42020</v>
      </c>
      <c r="B98" s="26">
        <v>47</v>
      </c>
      <c r="C98" s="48">
        <v>210</v>
      </c>
    </row>
    <row r="99" spans="1:3" x14ac:dyDescent="0.25">
      <c r="A99" s="63">
        <v>42021</v>
      </c>
      <c r="B99" s="26">
        <v>50</v>
      </c>
      <c r="C99" s="48">
        <v>508</v>
      </c>
    </row>
    <row r="100" spans="1:3" x14ac:dyDescent="0.25">
      <c r="A100" s="63">
        <v>42022</v>
      </c>
      <c r="B100" s="26">
        <v>36</v>
      </c>
      <c r="C100" s="48">
        <v>294.55</v>
      </c>
    </row>
    <row r="101" spans="1:3" x14ac:dyDescent="0.25">
      <c r="A101" s="63">
        <v>42023</v>
      </c>
      <c r="B101" s="26">
        <v>47</v>
      </c>
      <c r="C101" s="48">
        <v>250</v>
      </c>
    </row>
    <row r="102" spans="1:3" x14ac:dyDescent="0.25">
      <c r="A102" s="63">
        <v>42024</v>
      </c>
      <c r="B102" s="26">
        <v>40</v>
      </c>
      <c r="C102" s="48">
        <v>371.95</v>
      </c>
    </row>
    <row r="103" spans="1:3" x14ac:dyDescent="0.25">
      <c r="A103" s="63">
        <v>42025</v>
      </c>
      <c r="B103" s="26">
        <v>46</v>
      </c>
      <c r="C103" s="48">
        <v>478</v>
      </c>
    </row>
    <row r="104" spans="1:3" x14ac:dyDescent="0.25">
      <c r="A104" s="63">
        <v>42026</v>
      </c>
      <c r="B104" s="26">
        <v>55</v>
      </c>
      <c r="C104" s="48">
        <v>258</v>
      </c>
    </row>
    <row r="105" spans="1:3" x14ac:dyDescent="0.25">
      <c r="A105" s="63">
        <v>42027</v>
      </c>
      <c r="B105" s="26">
        <v>40</v>
      </c>
      <c r="C105" s="48">
        <v>559</v>
      </c>
    </row>
    <row r="106" spans="1:3" x14ac:dyDescent="0.25">
      <c r="A106" s="63">
        <v>42028</v>
      </c>
      <c r="B106" s="26">
        <v>53</v>
      </c>
      <c r="C106" s="48">
        <v>536</v>
      </c>
    </row>
    <row r="107" spans="1:3" x14ac:dyDescent="0.25">
      <c r="A107" s="63">
        <v>42029</v>
      </c>
      <c r="B107" s="26">
        <v>44</v>
      </c>
      <c r="C107" s="48">
        <v>576</v>
      </c>
    </row>
    <row r="108" spans="1:3" x14ac:dyDescent="0.25">
      <c r="A108" s="63">
        <v>42030</v>
      </c>
      <c r="B108" s="26">
        <v>48</v>
      </c>
      <c r="C108" s="48">
        <v>446</v>
      </c>
    </row>
    <row r="109" spans="1:3" x14ac:dyDescent="0.25">
      <c r="A109" s="63">
        <v>42031</v>
      </c>
      <c r="B109" s="26">
        <v>46</v>
      </c>
      <c r="C109" s="48">
        <v>300</v>
      </c>
    </row>
    <row r="110" spans="1:3" x14ac:dyDescent="0.25">
      <c r="A110" s="63">
        <v>42032</v>
      </c>
      <c r="B110" s="26">
        <v>56</v>
      </c>
      <c r="C110" s="48">
        <v>250.5</v>
      </c>
    </row>
    <row r="111" spans="1:3" x14ac:dyDescent="0.25">
      <c r="A111" s="63">
        <v>42033</v>
      </c>
      <c r="B111" s="26">
        <v>36</v>
      </c>
      <c r="C111" s="48">
        <v>412.79999999999995</v>
      </c>
    </row>
    <row r="112" spans="1:3" x14ac:dyDescent="0.25">
      <c r="A112" s="63">
        <v>42034</v>
      </c>
      <c r="B112" s="26">
        <v>38</v>
      </c>
      <c r="C112" s="48">
        <v>511.7</v>
      </c>
    </row>
    <row r="113" spans="1:3" x14ac:dyDescent="0.25">
      <c r="A113" s="63">
        <v>42035</v>
      </c>
      <c r="B113" s="26">
        <v>37</v>
      </c>
      <c r="C113" s="48">
        <v>311.75</v>
      </c>
    </row>
    <row r="114" spans="1:3" x14ac:dyDescent="0.25">
      <c r="A114" s="63">
        <v>42036</v>
      </c>
      <c r="B114" s="26">
        <v>44</v>
      </c>
      <c r="C114" s="48">
        <v>478</v>
      </c>
    </row>
    <row r="115" spans="1:3" x14ac:dyDescent="0.25">
      <c r="A115" s="63">
        <v>42037</v>
      </c>
      <c r="B115" s="26">
        <v>30</v>
      </c>
      <c r="C115" s="48">
        <v>282.5</v>
      </c>
    </row>
    <row r="116" spans="1:3" x14ac:dyDescent="0.25">
      <c r="A116" s="63">
        <v>42038</v>
      </c>
      <c r="B116" s="26">
        <v>48</v>
      </c>
      <c r="C116" s="48">
        <v>476</v>
      </c>
    </row>
    <row r="117" spans="1:3" x14ac:dyDescent="0.25">
      <c r="A117" s="63">
        <v>42039</v>
      </c>
      <c r="B117" s="26">
        <v>37</v>
      </c>
      <c r="C117" s="48">
        <v>565.44999999999993</v>
      </c>
    </row>
    <row r="118" spans="1:3" x14ac:dyDescent="0.25">
      <c r="A118" s="63">
        <v>42040</v>
      </c>
      <c r="B118" s="26">
        <v>43</v>
      </c>
      <c r="C118" s="48">
        <v>567.6</v>
      </c>
    </row>
    <row r="119" spans="1:3" x14ac:dyDescent="0.25">
      <c r="A119" s="63">
        <v>42041</v>
      </c>
      <c r="B119" s="26">
        <v>39</v>
      </c>
      <c r="C119" s="48">
        <v>634.25</v>
      </c>
    </row>
    <row r="120" spans="1:3" x14ac:dyDescent="0.25">
      <c r="A120" s="63">
        <v>42042</v>
      </c>
      <c r="B120" s="26">
        <v>34</v>
      </c>
      <c r="C120" s="48">
        <v>266.59999999999997</v>
      </c>
    </row>
    <row r="121" spans="1:3" x14ac:dyDescent="0.25">
      <c r="A121" s="63">
        <v>42043</v>
      </c>
      <c r="B121" s="26">
        <v>33</v>
      </c>
      <c r="C121" s="48">
        <v>345</v>
      </c>
    </row>
    <row r="122" spans="1:3" x14ac:dyDescent="0.25">
      <c r="A122" s="63">
        <v>42044</v>
      </c>
      <c r="B122" s="26">
        <v>38</v>
      </c>
      <c r="C122" s="48">
        <v>393.45</v>
      </c>
    </row>
    <row r="123" spans="1:3" x14ac:dyDescent="0.25">
      <c r="A123" s="63">
        <v>42045</v>
      </c>
      <c r="B123" s="26">
        <v>38</v>
      </c>
      <c r="C123" s="48">
        <v>567.6</v>
      </c>
    </row>
    <row r="124" spans="1:3" x14ac:dyDescent="0.25">
      <c r="A124" s="63">
        <v>42046</v>
      </c>
      <c r="B124" s="26">
        <v>37</v>
      </c>
      <c r="C124" s="48">
        <v>266.59999999999997</v>
      </c>
    </row>
    <row r="125" spans="1:3" x14ac:dyDescent="0.25">
      <c r="A125" s="63">
        <v>42047</v>
      </c>
      <c r="B125" s="26">
        <v>35</v>
      </c>
      <c r="C125" s="48">
        <v>503.09999999999997</v>
      </c>
    </row>
    <row r="126" spans="1:3" x14ac:dyDescent="0.25">
      <c r="A126" s="63">
        <v>42048</v>
      </c>
      <c r="B126" s="26">
        <v>53</v>
      </c>
      <c r="C126" s="48">
        <v>242</v>
      </c>
    </row>
    <row r="127" spans="1:3" x14ac:dyDescent="0.25">
      <c r="A127" s="63">
        <v>42049</v>
      </c>
      <c r="B127" s="26">
        <v>55</v>
      </c>
      <c r="C127" s="48">
        <v>216</v>
      </c>
    </row>
    <row r="128" spans="1:3" x14ac:dyDescent="0.25">
      <c r="A128" s="63">
        <v>42050</v>
      </c>
      <c r="B128" s="26">
        <v>58</v>
      </c>
      <c r="C128" s="48">
        <v>354</v>
      </c>
    </row>
    <row r="129" spans="1:3" x14ac:dyDescent="0.25">
      <c r="A129" s="63">
        <v>42051</v>
      </c>
      <c r="B129" s="26">
        <v>41</v>
      </c>
      <c r="C129" s="48">
        <v>432.15</v>
      </c>
    </row>
    <row r="130" spans="1:3" x14ac:dyDescent="0.25">
      <c r="A130" s="63">
        <v>42052</v>
      </c>
      <c r="B130" s="26">
        <v>43</v>
      </c>
      <c r="C130" s="48">
        <v>406.34999999999997</v>
      </c>
    </row>
    <row r="131" spans="1:3" x14ac:dyDescent="0.25">
      <c r="A131" s="63">
        <v>42053</v>
      </c>
      <c r="B131" s="26">
        <v>43</v>
      </c>
      <c r="C131" s="48">
        <v>627.79999999999995</v>
      </c>
    </row>
    <row r="132" spans="1:3" x14ac:dyDescent="0.25">
      <c r="A132" s="63">
        <v>42054</v>
      </c>
      <c r="B132" s="26">
        <v>32</v>
      </c>
      <c r="C132" s="48">
        <v>705</v>
      </c>
    </row>
    <row r="133" spans="1:3" x14ac:dyDescent="0.25">
      <c r="A133" s="63">
        <v>42055</v>
      </c>
      <c r="B133" s="26">
        <v>53</v>
      </c>
      <c r="C133" s="48">
        <v>534</v>
      </c>
    </row>
    <row r="134" spans="1:3" x14ac:dyDescent="0.25">
      <c r="A134" s="63">
        <v>42056</v>
      </c>
      <c r="B134" s="26">
        <v>54</v>
      </c>
      <c r="C134" s="48">
        <v>282</v>
      </c>
    </row>
    <row r="135" spans="1:3" x14ac:dyDescent="0.25">
      <c r="A135" s="63">
        <v>42057</v>
      </c>
      <c r="B135" s="26">
        <v>56</v>
      </c>
      <c r="C135" s="48">
        <v>435</v>
      </c>
    </row>
    <row r="136" spans="1:3" x14ac:dyDescent="0.25">
      <c r="A136" s="63">
        <v>42058</v>
      </c>
      <c r="B136" s="26">
        <v>52</v>
      </c>
      <c r="C136" s="48">
        <v>380</v>
      </c>
    </row>
    <row r="137" spans="1:3" x14ac:dyDescent="0.25">
      <c r="A137" s="63">
        <v>42059</v>
      </c>
      <c r="B137" s="26">
        <v>57</v>
      </c>
      <c r="C137" s="48">
        <v>372</v>
      </c>
    </row>
    <row r="138" spans="1:3" x14ac:dyDescent="0.25">
      <c r="A138" s="63">
        <v>42060</v>
      </c>
      <c r="B138" s="26">
        <v>51</v>
      </c>
      <c r="C138" s="48">
        <v>240</v>
      </c>
    </row>
    <row r="139" spans="1:3" x14ac:dyDescent="0.25">
      <c r="A139" s="63">
        <v>42061</v>
      </c>
      <c r="B139" s="26">
        <v>40</v>
      </c>
      <c r="C139" s="48">
        <v>346.15</v>
      </c>
    </row>
    <row r="140" spans="1:3" x14ac:dyDescent="0.25">
      <c r="A140" s="63">
        <v>42062</v>
      </c>
      <c r="B140" s="26">
        <v>32</v>
      </c>
      <c r="C140" s="48">
        <v>577.5</v>
      </c>
    </row>
    <row r="141" spans="1:3" x14ac:dyDescent="0.25">
      <c r="A141" s="63">
        <v>42063</v>
      </c>
      <c r="B141" s="26">
        <v>34</v>
      </c>
      <c r="C141" s="48">
        <v>406.34999999999997</v>
      </c>
    </row>
    <row r="142" spans="1:3" x14ac:dyDescent="0.25">
      <c r="A142" s="63">
        <v>42064</v>
      </c>
      <c r="B142" s="26">
        <v>37</v>
      </c>
      <c r="C142" s="48">
        <v>468.7</v>
      </c>
    </row>
    <row r="143" spans="1:3" x14ac:dyDescent="0.25">
      <c r="A143" s="63">
        <v>42065</v>
      </c>
      <c r="B143" s="26">
        <v>39</v>
      </c>
      <c r="C143" s="48">
        <v>483.75</v>
      </c>
    </row>
    <row r="144" spans="1:3" x14ac:dyDescent="0.25">
      <c r="A144" s="63">
        <v>42066</v>
      </c>
      <c r="B144" s="26">
        <v>22</v>
      </c>
      <c r="C144" s="48">
        <v>462.5</v>
      </c>
    </row>
    <row r="145" spans="1:3" x14ac:dyDescent="0.25">
      <c r="A145" s="63">
        <v>42067</v>
      </c>
      <c r="B145" s="26">
        <v>38</v>
      </c>
      <c r="C145" s="48">
        <v>408.5</v>
      </c>
    </row>
    <row r="146" spans="1:3" x14ac:dyDescent="0.25">
      <c r="A146" s="63">
        <v>42068</v>
      </c>
      <c r="B146" s="26">
        <v>40</v>
      </c>
      <c r="C146" s="48">
        <v>311.75</v>
      </c>
    </row>
    <row r="147" spans="1:3" x14ac:dyDescent="0.25">
      <c r="A147" s="63">
        <v>42069</v>
      </c>
      <c r="B147" s="26">
        <v>51</v>
      </c>
      <c r="C147" s="48">
        <v>420</v>
      </c>
    </row>
    <row r="148" spans="1:3" x14ac:dyDescent="0.25">
      <c r="A148" s="63">
        <v>42070</v>
      </c>
      <c r="B148" s="26">
        <v>32</v>
      </c>
      <c r="C148" s="48">
        <v>410</v>
      </c>
    </row>
    <row r="149" spans="1:3" x14ac:dyDescent="0.25">
      <c r="A149" s="63">
        <v>42071</v>
      </c>
      <c r="B149" s="26">
        <v>45</v>
      </c>
      <c r="C149" s="48">
        <v>400</v>
      </c>
    </row>
    <row r="150" spans="1:3" x14ac:dyDescent="0.25">
      <c r="A150" s="63">
        <v>42072</v>
      </c>
      <c r="B150" s="26">
        <v>40</v>
      </c>
      <c r="C150" s="48">
        <v>460.09999999999997</v>
      </c>
    </row>
    <row r="151" spans="1:3" x14ac:dyDescent="0.25">
      <c r="A151" s="63">
        <v>42073</v>
      </c>
      <c r="B151" s="26">
        <v>52</v>
      </c>
      <c r="C151" s="48">
        <v>538</v>
      </c>
    </row>
    <row r="152" spans="1:3" x14ac:dyDescent="0.25">
      <c r="A152" s="63">
        <v>42074</v>
      </c>
      <c r="B152" s="26">
        <v>25</v>
      </c>
      <c r="C152" s="48">
        <v>597.5</v>
      </c>
    </row>
    <row r="153" spans="1:3" x14ac:dyDescent="0.25">
      <c r="A153" s="63">
        <v>42075</v>
      </c>
      <c r="B153" s="26">
        <v>42</v>
      </c>
      <c r="C153" s="48">
        <v>389.15</v>
      </c>
    </row>
    <row r="154" spans="1:3" x14ac:dyDescent="0.25">
      <c r="A154" s="63">
        <v>42076</v>
      </c>
      <c r="B154" s="26">
        <v>45</v>
      </c>
      <c r="C154" s="48">
        <v>228</v>
      </c>
    </row>
    <row r="155" spans="1:3" x14ac:dyDescent="0.25">
      <c r="A155" s="63">
        <v>42077</v>
      </c>
      <c r="B155" s="26">
        <v>31</v>
      </c>
      <c r="C155" s="48">
        <v>627.5</v>
      </c>
    </row>
    <row r="156" spans="1:3" x14ac:dyDescent="0.25">
      <c r="A156" s="63">
        <v>42078</v>
      </c>
      <c r="B156" s="26">
        <v>51</v>
      </c>
      <c r="C156" s="48">
        <v>408</v>
      </c>
    </row>
    <row r="157" spans="1:3" x14ac:dyDescent="0.25">
      <c r="A157" s="63">
        <v>42079</v>
      </c>
      <c r="B157" s="26">
        <v>34</v>
      </c>
      <c r="C157" s="48">
        <v>339.7</v>
      </c>
    </row>
    <row r="158" spans="1:3" x14ac:dyDescent="0.25">
      <c r="A158" s="63">
        <v>42080</v>
      </c>
      <c r="B158" s="26">
        <v>21</v>
      </c>
      <c r="C158" s="48">
        <v>527.5</v>
      </c>
    </row>
    <row r="159" spans="1:3" x14ac:dyDescent="0.25">
      <c r="A159" s="63">
        <v>42081</v>
      </c>
      <c r="B159" s="26">
        <v>55</v>
      </c>
      <c r="C159" s="48">
        <v>364.5</v>
      </c>
    </row>
    <row r="160" spans="1:3" x14ac:dyDescent="0.25">
      <c r="A160" s="63">
        <v>42082</v>
      </c>
      <c r="B160" s="26">
        <v>24</v>
      </c>
      <c r="C160" s="48">
        <v>695</v>
      </c>
    </row>
    <row r="161" spans="1:3" x14ac:dyDescent="0.25">
      <c r="A161" s="63">
        <v>42083</v>
      </c>
      <c r="B161" s="26">
        <v>42</v>
      </c>
      <c r="C161" s="48">
        <v>462.25</v>
      </c>
    </row>
    <row r="162" spans="1:3" x14ac:dyDescent="0.25">
      <c r="A162" s="63">
        <v>42084</v>
      </c>
      <c r="B162" s="26">
        <v>38</v>
      </c>
      <c r="C162" s="48">
        <v>277.34999999999997</v>
      </c>
    </row>
    <row r="163" spans="1:3" x14ac:dyDescent="0.25">
      <c r="A163" s="63">
        <v>42085</v>
      </c>
      <c r="B163" s="26">
        <v>48</v>
      </c>
      <c r="C163" s="48">
        <v>334</v>
      </c>
    </row>
    <row r="164" spans="1:3" x14ac:dyDescent="0.25">
      <c r="A164" s="63">
        <v>42086</v>
      </c>
      <c r="B164" s="26">
        <v>40</v>
      </c>
      <c r="C164" s="48">
        <v>445.04999999999995</v>
      </c>
    </row>
    <row r="165" spans="1:3" x14ac:dyDescent="0.25">
      <c r="A165" s="63">
        <v>42087</v>
      </c>
      <c r="B165" s="26">
        <v>45</v>
      </c>
      <c r="C165" s="48">
        <v>496</v>
      </c>
    </row>
    <row r="166" spans="1:3" x14ac:dyDescent="0.25">
      <c r="A166" s="63">
        <v>42088</v>
      </c>
      <c r="B166" s="26">
        <v>45</v>
      </c>
      <c r="C166" s="48">
        <v>514</v>
      </c>
    </row>
    <row r="167" spans="1:3" x14ac:dyDescent="0.25">
      <c r="A167" s="63">
        <v>42089</v>
      </c>
      <c r="B167" s="26">
        <v>46</v>
      </c>
      <c r="C167" s="48">
        <v>350</v>
      </c>
    </row>
    <row r="168" spans="1:3" x14ac:dyDescent="0.25">
      <c r="A168" s="63">
        <v>42090</v>
      </c>
      <c r="B168" s="26">
        <v>33</v>
      </c>
      <c r="C168" s="48">
        <v>697.5</v>
      </c>
    </row>
    <row r="169" spans="1:3" x14ac:dyDescent="0.25">
      <c r="A169" s="63">
        <v>42091</v>
      </c>
      <c r="B169" s="26">
        <v>37</v>
      </c>
      <c r="C169" s="48">
        <v>258</v>
      </c>
    </row>
    <row r="170" spans="1:3" x14ac:dyDescent="0.25">
      <c r="A170" s="63">
        <v>42092</v>
      </c>
      <c r="B170" s="26">
        <v>24</v>
      </c>
      <c r="C170" s="48">
        <v>257.5</v>
      </c>
    </row>
    <row r="171" spans="1:3" x14ac:dyDescent="0.25">
      <c r="A171" s="63">
        <v>42093</v>
      </c>
      <c r="B171" s="26">
        <v>36</v>
      </c>
      <c r="C171" s="48">
        <v>313.89999999999998</v>
      </c>
    </row>
    <row r="172" spans="1:3" x14ac:dyDescent="0.25">
      <c r="A172" s="63">
        <v>42094</v>
      </c>
      <c r="B172" s="26">
        <v>37</v>
      </c>
      <c r="C172" s="48">
        <v>481.59999999999997</v>
      </c>
    </row>
    <row r="173" spans="1:3" x14ac:dyDescent="0.25">
      <c r="A173" s="63">
        <v>42095</v>
      </c>
      <c r="B173" s="26">
        <v>47</v>
      </c>
      <c r="C173" s="48">
        <v>594</v>
      </c>
    </row>
    <row r="174" spans="1:3" x14ac:dyDescent="0.25">
      <c r="A174" s="63">
        <v>42096</v>
      </c>
      <c r="B174" s="26">
        <v>64</v>
      </c>
      <c r="C174" s="48">
        <v>442.5</v>
      </c>
    </row>
    <row r="175" spans="1:3" x14ac:dyDescent="0.25">
      <c r="A175" s="63">
        <v>42097</v>
      </c>
      <c r="B175" s="26">
        <v>60</v>
      </c>
      <c r="C175" s="48">
        <v>397.5</v>
      </c>
    </row>
    <row r="176" spans="1:3" x14ac:dyDescent="0.25">
      <c r="A176" s="63">
        <v>42098</v>
      </c>
      <c r="B176" s="26">
        <v>50</v>
      </c>
      <c r="C176" s="48">
        <v>272</v>
      </c>
    </row>
    <row r="177" spans="1:3" x14ac:dyDescent="0.25">
      <c r="A177" s="63">
        <v>42099</v>
      </c>
      <c r="B177" s="26">
        <v>62</v>
      </c>
      <c r="C177" s="48">
        <v>208.5</v>
      </c>
    </row>
    <row r="178" spans="1:3" x14ac:dyDescent="0.25">
      <c r="A178" s="63">
        <v>42100</v>
      </c>
      <c r="B178" s="26">
        <v>50</v>
      </c>
      <c r="C178" s="48">
        <v>200</v>
      </c>
    </row>
    <row r="179" spans="1:3" x14ac:dyDescent="0.25">
      <c r="A179" s="63">
        <v>42101</v>
      </c>
      <c r="B179" s="26">
        <v>62</v>
      </c>
      <c r="C179" s="48">
        <v>301.5</v>
      </c>
    </row>
    <row r="180" spans="1:3" x14ac:dyDescent="0.25">
      <c r="A180" s="63">
        <v>42102</v>
      </c>
      <c r="B180" s="26">
        <v>68</v>
      </c>
      <c r="C180" s="48">
        <v>187</v>
      </c>
    </row>
    <row r="181" spans="1:3" x14ac:dyDescent="0.25">
      <c r="A181" s="63">
        <v>42103</v>
      </c>
      <c r="B181" s="26">
        <v>65</v>
      </c>
      <c r="C181" s="48">
        <v>150</v>
      </c>
    </row>
    <row r="182" spans="1:3" x14ac:dyDescent="0.25">
      <c r="A182" s="63">
        <v>42104</v>
      </c>
      <c r="B182" s="26">
        <v>57</v>
      </c>
      <c r="C182" s="48">
        <v>445.5</v>
      </c>
    </row>
    <row r="183" spans="1:3" x14ac:dyDescent="0.25">
      <c r="A183" s="63">
        <v>42105</v>
      </c>
      <c r="B183" s="26">
        <v>53</v>
      </c>
      <c r="C183" s="48">
        <v>498</v>
      </c>
    </row>
    <row r="184" spans="1:3" x14ac:dyDescent="0.25">
      <c r="A184" s="63">
        <v>42106</v>
      </c>
      <c r="B184" s="26">
        <v>43</v>
      </c>
      <c r="C184" s="48">
        <v>599.85</v>
      </c>
    </row>
    <row r="185" spans="1:3" x14ac:dyDescent="0.25">
      <c r="A185" s="63">
        <v>42107</v>
      </c>
      <c r="B185" s="26">
        <v>39</v>
      </c>
      <c r="C185" s="48">
        <v>393.45</v>
      </c>
    </row>
    <row r="186" spans="1:3" x14ac:dyDescent="0.25">
      <c r="A186" s="63">
        <v>42108</v>
      </c>
      <c r="B186" s="26">
        <v>61</v>
      </c>
      <c r="C186" s="48">
        <v>196.5</v>
      </c>
    </row>
    <row r="187" spans="1:3" x14ac:dyDescent="0.25">
      <c r="A187" s="63">
        <v>42109</v>
      </c>
      <c r="B187" s="26">
        <v>42</v>
      </c>
      <c r="C187" s="48">
        <v>457.95</v>
      </c>
    </row>
    <row r="188" spans="1:3" x14ac:dyDescent="0.25">
      <c r="A188" s="63">
        <v>42110</v>
      </c>
      <c r="B188" s="26">
        <v>42</v>
      </c>
      <c r="C188" s="48">
        <v>225.75</v>
      </c>
    </row>
    <row r="189" spans="1:3" x14ac:dyDescent="0.25">
      <c r="A189" s="63">
        <v>42111</v>
      </c>
      <c r="B189" s="26">
        <v>52</v>
      </c>
      <c r="C189" s="48">
        <v>598</v>
      </c>
    </row>
    <row r="190" spans="1:3" x14ac:dyDescent="0.25">
      <c r="A190" s="63">
        <v>42112</v>
      </c>
      <c r="B190" s="26">
        <v>68</v>
      </c>
      <c r="C190" s="48">
        <v>268</v>
      </c>
    </row>
    <row r="191" spans="1:3" x14ac:dyDescent="0.25">
      <c r="A191" s="63">
        <v>42113</v>
      </c>
      <c r="B191" s="26">
        <v>50</v>
      </c>
      <c r="C191" s="48">
        <v>468</v>
      </c>
    </row>
    <row r="192" spans="1:3" x14ac:dyDescent="0.25">
      <c r="A192" s="63">
        <v>42114</v>
      </c>
      <c r="B192" s="26">
        <v>46</v>
      </c>
      <c r="C192" s="48">
        <v>236</v>
      </c>
    </row>
    <row r="193" spans="1:3" x14ac:dyDescent="0.25">
      <c r="A193" s="63">
        <v>42115</v>
      </c>
      <c r="B193" s="26">
        <v>58</v>
      </c>
      <c r="C193" s="48">
        <v>415.5</v>
      </c>
    </row>
    <row r="194" spans="1:3" x14ac:dyDescent="0.25">
      <c r="A194" s="63">
        <v>42116</v>
      </c>
      <c r="B194" s="26">
        <v>56</v>
      </c>
      <c r="C194" s="48">
        <v>418.5</v>
      </c>
    </row>
    <row r="195" spans="1:3" x14ac:dyDescent="0.25">
      <c r="A195" s="63">
        <v>42117</v>
      </c>
      <c r="B195" s="26">
        <v>61</v>
      </c>
      <c r="C195" s="48">
        <v>279</v>
      </c>
    </row>
    <row r="196" spans="1:3" x14ac:dyDescent="0.25">
      <c r="A196" s="63">
        <v>42118</v>
      </c>
      <c r="B196" s="26">
        <v>56</v>
      </c>
      <c r="C196" s="48">
        <v>195</v>
      </c>
    </row>
    <row r="197" spans="1:3" x14ac:dyDescent="0.25">
      <c r="A197" s="63">
        <v>42119</v>
      </c>
      <c r="B197" s="26">
        <v>61</v>
      </c>
      <c r="C197" s="48">
        <v>325.5</v>
      </c>
    </row>
    <row r="198" spans="1:3" x14ac:dyDescent="0.25">
      <c r="A198" s="63">
        <v>42120</v>
      </c>
      <c r="B198" s="26">
        <v>67</v>
      </c>
      <c r="C198" s="48">
        <v>283</v>
      </c>
    </row>
    <row r="199" spans="1:3" x14ac:dyDescent="0.25">
      <c r="A199" s="63">
        <v>42121</v>
      </c>
      <c r="B199" s="26">
        <v>68</v>
      </c>
      <c r="C199" s="48">
        <v>281</v>
      </c>
    </row>
    <row r="200" spans="1:3" x14ac:dyDescent="0.25">
      <c r="A200" s="63">
        <v>42122</v>
      </c>
      <c r="B200" s="26">
        <v>61</v>
      </c>
      <c r="C200" s="48">
        <v>313.5</v>
      </c>
    </row>
    <row r="201" spans="1:3" x14ac:dyDescent="0.25">
      <c r="A201" s="63">
        <v>42123</v>
      </c>
      <c r="B201" s="26">
        <v>52</v>
      </c>
      <c r="C201" s="48">
        <v>466</v>
      </c>
    </row>
    <row r="202" spans="1:3" x14ac:dyDescent="0.25">
      <c r="A202" s="63">
        <v>42124</v>
      </c>
      <c r="B202" s="26">
        <v>63</v>
      </c>
      <c r="C202" s="48">
        <v>351</v>
      </c>
    </row>
    <row r="203" spans="1:3" x14ac:dyDescent="0.25">
      <c r="A203" s="63">
        <v>42125</v>
      </c>
      <c r="B203" s="26">
        <v>80</v>
      </c>
      <c r="C203" s="48">
        <v>226</v>
      </c>
    </row>
    <row r="204" spans="1:3" x14ac:dyDescent="0.25">
      <c r="A204" s="63">
        <v>42126</v>
      </c>
      <c r="B204" s="26">
        <v>75</v>
      </c>
      <c r="C204" s="48">
        <v>165</v>
      </c>
    </row>
    <row r="205" spans="1:3" x14ac:dyDescent="0.25">
      <c r="A205" s="63">
        <v>42127</v>
      </c>
      <c r="B205" s="26">
        <v>51</v>
      </c>
      <c r="C205" s="48">
        <v>532</v>
      </c>
    </row>
    <row r="206" spans="1:3" x14ac:dyDescent="0.25">
      <c r="A206" s="63">
        <v>42128</v>
      </c>
      <c r="B206" s="26">
        <v>44</v>
      </c>
      <c r="C206" s="48">
        <v>410</v>
      </c>
    </row>
    <row r="207" spans="1:3" x14ac:dyDescent="0.25">
      <c r="A207" s="63">
        <v>42129</v>
      </c>
      <c r="B207" s="26">
        <v>79</v>
      </c>
      <c r="C207" s="48">
        <v>121</v>
      </c>
    </row>
    <row r="208" spans="1:3" x14ac:dyDescent="0.25">
      <c r="A208" s="63">
        <v>42130</v>
      </c>
      <c r="B208" s="26">
        <v>61</v>
      </c>
      <c r="C208" s="48">
        <v>340.5</v>
      </c>
    </row>
    <row r="209" spans="1:3" x14ac:dyDescent="0.25">
      <c r="A209" s="63">
        <v>42131</v>
      </c>
      <c r="B209" s="26">
        <v>49</v>
      </c>
      <c r="C209" s="48">
        <v>264</v>
      </c>
    </row>
    <row r="210" spans="1:3" x14ac:dyDescent="0.25">
      <c r="A210" s="63">
        <v>42132</v>
      </c>
      <c r="B210" s="26">
        <v>80</v>
      </c>
      <c r="C210" s="48">
        <v>212</v>
      </c>
    </row>
    <row r="211" spans="1:3" x14ac:dyDescent="0.25">
      <c r="A211" s="63">
        <v>42133</v>
      </c>
      <c r="B211" s="26">
        <v>47</v>
      </c>
      <c r="C211" s="48">
        <v>590</v>
      </c>
    </row>
    <row r="212" spans="1:3" x14ac:dyDescent="0.25">
      <c r="A212" s="63">
        <v>42134</v>
      </c>
      <c r="B212" s="26">
        <v>77</v>
      </c>
      <c r="C212" s="48">
        <v>153</v>
      </c>
    </row>
    <row r="213" spans="1:3" x14ac:dyDescent="0.25">
      <c r="A213" s="63">
        <v>42135</v>
      </c>
      <c r="B213" s="26">
        <v>60</v>
      </c>
      <c r="C213" s="48">
        <v>202.5</v>
      </c>
    </row>
    <row r="214" spans="1:3" x14ac:dyDescent="0.25">
      <c r="A214" s="63">
        <v>42136</v>
      </c>
      <c r="B214" s="26">
        <v>54</v>
      </c>
      <c r="C214" s="48">
        <v>564</v>
      </c>
    </row>
    <row r="215" spans="1:3" x14ac:dyDescent="0.25">
      <c r="A215" s="63">
        <v>42137</v>
      </c>
      <c r="B215" s="26">
        <v>44</v>
      </c>
      <c r="C215" s="48">
        <v>326</v>
      </c>
    </row>
    <row r="216" spans="1:3" x14ac:dyDescent="0.25">
      <c r="A216" s="63">
        <v>42138</v>
      </c>
      <c r="B216" s="26">
        <v>50</v>
      </c>
      <c r="C216" s="48">
        <v>308</v>
      </c>
    </row>
    <row r="217" spans="1:3" x14ac:dyDescent="0.25">
      <c r="A217" s="63">
        <v>42139</v>
      </c>
      <c r="B217" s="26">
        <v>69</v>
      </c>
      <c r="C217" s="48">
        <v>220</v>
      </c>
    </row>
    <row r="218" spans="1:3" x14ac:dyDescent="0.25">
      <c r="A218" s="63">
        <v>42140</v>
      </c>
      <c r="B218" s="26">
        <v>59</v>
      </c>
      <c r="C218" s="48">
        <v>448.5</v>
      </c>
    </row>
    <row r="219" spans="1:3" x14ac:dyDescent="0.25">
      <c r="A219" s="63">
        <v>42141</v>
      </c>
      <c r="B219" s="26">
        <v>81</v>
      </c>
      <c r="C219" s="48">
        <v>239</v>
      </c>
    </row>
    <row r="220" spans="1:3" x14ac:dyDescent="0.25">
      <c r="A220" s="63">
        <v>42142</v>
      </c>
      <c r="B220" s="26">
        <v>82</v>
      </c>
      <c r="C220" s="48">
        <v>227</v>
      </c>
    </row>
    <row r="221" spans="1:3" x14ac:dyDescent="0.25">
      <c r="A221" s="63">
        <v>42143</v>
      </c>
      <c r="B221" s="26">
        <v>59</v>
      </c>
      <c r="C221" s="48">
        <v>222</v>
      </c>
    </row>
    <row r="222" spans="1:3" x14ac:dyDescent="0.25">
      <c r="A222" s="63">
        <v>42144</v>
      </c>
      <c r="B222" s="26">
        <v>47</v>
      </c>
      <c r="C222" s="48">
        <v>282</v>
      </c>
    </row>
    <row r="223" spans="1:3" x14ac:dyDescent="0.25">
      <c r="A223" s="63">
        <v>42145</v>
      </c>
      <c r="B223" s="26">
        <v>71</v>
      </c>
      <c r="C223" s="48">
        <v>225</v>
      </c>
    </row>
    <row r="224" spans="1:3" x14ac:dyDescent="0.25">
      <c r="A224" s="63">
        <v>42146</v>
      </c>
      <c r="B224" s="26">
        <v>45</v>
      </c>
      <c r="C224" s="48">
        <v>332</v>
      </c>
    </row>
    <row r="225" spans="1:3" x14ac:dyDescent="0.25">
      <c r="A225" s="63">
        <v>42147</v>
      </c>
      <c r="B225" s="26">
        <v>65</v>
      </c>
      <c r="C225" s="48">
        <v>178</v>
      </c>
    </row>
    <row r="226" spans="1:3" x14ac:dyDescent="0.25">
      <c r="A226" s="63">
        <v>42148</v>
      </c>
      <c r="B226" s="26">
        <v>78</v>
      </c>
      <c r="C226" s="48">
        <v>290</v>
      </c>
    </row>
    <row r="227" spans="1:3" x14ac:dyDescent="0.25">
      <c r="A227" s="63">
        <v>42149</v>
      </c>
      <c r="B227" s="26">
        <v>54</v>
      </c>
      <c r="C227" s="48">
        <v>246</v>
      </c>
    </row>
    <row r="228" spans="1:3" x14ac:dyDescent="0.25">
      <c r="A228" s="63">
        <v>42150</v>
      </c>
      <c r="B228" s="26">
        <v>46</v>
      </c>
      <c r="C228" s="48">
        <v>598</v>
      </c>
    </row>
    <row r="229" spans="1:3" x14ac:dyDescent="0.25">
      <c r="A229" s="63">
        <v>42151</v>
      </c>
      <c r="B229" s="26">
        <v>81</v>
      </c>
      <c r="C229" s="48">
        <v>186</v>
      </c>
    </row>
    <row r="230" spans="1:3" x14ac:dyDescent="0.25">
      <c r="A230" s="63">
        <v>42152</v>
      </c>
      <c r="B230" s="26">
        <v>52</v>
      </c>
      <c r="C230" s="48">
        <v>584</v>
      </c>
    </row>
    <row r="231" spans="1:3" x14ac:dyDescent="0.25">
      <c r="A231" s="63">
        <v>42153</v>
      </c>
      <c r="B231" s="26">
        <v>79</v>
      </c>
      <c r="C231" s="48">
        <v>259</v>
      </c>
    </row>
    <row r="232" spans="1:3" x14ac:dyDescent="0.25">
      <c r="A232" s="63">
        <v>42154</v>
      </c>
      <c r="B232" s="26">
        <v>77</v>
      </c>
      <c r="C232" s="48">
        <v>162</v>
      </c>
    </row>
    <row r="233" spans="1:3" x14ac:dyDescent="0.25">
      <c r="A233" s="63">
        <v>42155</v>
      </c>
      <c r="B233" s="26">
        <v>66</v>
      </c>
      <c r="C233" s="48">
        <v>162</v>
      </c>
    </row>
    <row r="234" spans="1:3" x14ac:dyDescent="0.25">
      <c r="A234" s="63">
        <v>42156</v>
      </c>
      <c r="B234" s="26">
        <v>60</v>
      </c>
      <c r="C234" s="48">
        <v>300</v>
      </c>
    </row>
    <row r="235" spans="1:3" x14ac:dyDescent="0.25">
      <c r="A235" s="63">
        <v>42157</v>
      </c>
      <c r="B235" s="26">
        <v>66</v>
      </c>
      <c r="C235" s="48">
        <v>228</v>
      </c>
    </row>
    <row r="236" spans="1:3" x14ac:dyDescent="0.25">
      <c r="A236" s="63">
        <v>42158</v>
      </c>
      <c r="B236" s="26">
        <v>63</v>
      </c>
      <c r="C236" s="48">
        <v>336</v>
      </c>
    </row>
    <row r="237" spans="1:3" x14ac:dyDescent="0.25">
      <c r="A237" s="63">
        <v>42159</v>
      </c>
      <c r="B237" s="26">
        <v>76</v>
      </c>
      <c r="C237" s="48">
        <v>164</v>
      </c>
    </row>
    <row r="238" spans="1:3" x14ac:dyDescent="0.25">
      <c r="A238" s="63">
        <v>42160</v>
      </c>
      <c r="B238" s="26">
        <v>64</v>
      </c>
      <c r="C238" s="48">
        <v>238.5</v>
      </c>
    </row>
    <row r="239" spans="1:3" x14ac:dyDescent="0.25">
      <c r="A239" s="63">
        <v>42161</v>
      </c>
      <c r="B239" s="26">
        <v>54</v>
      </c>
      <c r="C239" s="48">
        <v>548</v>
      </c>
    </row>
    <row r="240" spans="1:3" x14ac:dyDescent="0.25">
      <c r="A240" s="63">
        <v>42162</v>
      </c>
      <c r="B240" s="26">
        <v>62</v>
      </c>
      <c r="C240" s="48">
        <v>187.5</v>
      </c>
    </row>
    <row r="241" spans="1:3" x14ac:dyDescent="0.25">
      <c r="A241" s="63">
        <v>42163</v>
      </c>
      <c r="B241" s="26">
        <v>75</v>
      </c>
      <c r="C241" s="48">
        <v>208</v>
      </c>
    </row>
    <row r="242" spans="1:3" x14ac:dyDescent="0.25">
      <c r="A242" s="63">
        <v>42164</v>
      </c>
      <c r="B242" s="26">
        <v>60</v>
      </c>
      <c r="C242" s="48">
        <v>153</v>
      </c>
    </row>
    <row r="243" spans="1:3" x14ac:dyDescent="0.25">
      <c r="A243" s="63">
        <v>42165</v>
      </c>
      <c r="B243" s="26">
        <v>61</v>
      </c>
      <c r="C243" s="48">
        <v>343.5</v>
      </c>
    </row>
    <row r="244" spans="1:3" x14ac:dyDescent="0.25">
      <c r="A244" s="63">
        <v>42166</v>
      </c>
      <c r="B244" s="26">
        <v>74</v>
      </c>
      <c r="C244" s="48">
        <v>275</v>
      </c>
    </row>
    <row r="245" spans="1:3" x14ac:dyDescent="0.25">
      <c r="A245" s="63">
        <v>42167</v>
      </c>
      <c r="B245" s="26">
        <v>72</v>
      </c>
      <c r="C245" s="48">
        <v>138</v>
      </c>
    </row>
    <row r="246" spans="1:3" x14ac:dyDescent="0.25">
      <c r="A246" s="63">
        <v>42168</v>
      </c>
      <c r="B246" s="26">
        <v>77</v>
      </c>
      <c r="C246" s="48">
        <v>168</v>
      </c>
    </row>
    <row r="247" spans="1:3" x14ac:dyDescent="0.25">
      <c r="A247" s="63">
        <v>42169</v>
      </c>
      <c r="B247" s="26">
        <v>56</v>
      </c>
      <c r="C247" s="48">
        <v>289.5</v>
      </c>
    </row>
    <row r="248" spans="1:3" x14ac:dyDescent="0.25">
      <c r="A248" s="63">
        <v>42170</v>
      </c>
      <c r="B248" s="26">
        <v>73</v>
      </c>
      <c r="C248" s="48">
        <v>156</v>
      </c>
    </row>
    <row r="249" spans="1:3" x14ac:dyDescent="0.25">
      <c r="A249" s="63">
        <v>42171</v>
      </c>
      <c r="B249" s="26">
        <v>60</v>
      </c>
      <c r="C249" s="48">
        <v>345</v>
      </c>
    </row>
    <row r="250" spans="1:3" x14ac:dyDescent="0.25">
      <c r="A250" s="63">
        <v>42172</v>
      </c>
      <c r="B250" s="26">
        <v>72</v>
      </c>
      <c r="C250" s="48">
        <v>292</v>
      </c>
    </row>
    <row r="251" spans="1:3" x14ac:dyDescent="0.25">
      <c r="A251" s="63">
        <v>42173</v>
      </c>
      <c r="B251" s="26">
        <v>66</v>
      </c>
      <c r="C251" s="48">
        <v>100</v>
      </c>
    </row>
    <row r="252" spans="1:3" x14ac:dyDescent="0.25">
      <c r="A252" s="63">
        <v>42174</v>
      </c>
      <c r="B252" s="26">
        <v>57</v>
      </c>
      <c r="C252" s="48">
        <v>355.5</v>
      </c>
    </row>
    <row r="253" spans="1:3" x14ac:dyDescent="0.25">
      <c r="A253" s="63">
        <v>42175</v>
      </c>
      <c r="B253" s="26">
        <v>57</v>
      </c>
      <c r="C253" s="48">
        <v>171</v>
      </c>
    </row>
    <row r="254" spans="1:3" x14ac:dyDescent="0.25">
      <c r="A254" s="63">
        <v>42176</v>
      </c>
      <c r="B254" s="26">
        <v>78</v>
      </c>
      <c r="C254" s="48">
        <v>253</v>
      </c>
    </row>
    <row r="255" spans="1:3" x14ac:dyDescent="0.25">
      <c r="A255" s="63">
        <v>42177</v>
      </c>
      <c r="B255" s="26">
        <v>56</v>
      </c>
      <c r="C255" s="48">
        <v>303</v>
      </c>
    </row>
    <row r="256" spans="1:3" x14ac:dyDescent="0.25">
      <c r="A256" s="63">
        <v>42178</v>
      </c>
      <c r="B256" s="26">
        <v>59</v>
      </c>
      <c r="C256" s="48">
        <v>319.5</v>
      </c>
    </row>
    <row r="257" spans="1:3" x14ac:dyDescent="0.25">
      <c r="A257" s="63">
        <v>42179</v>
      </c>
      <c r="B257" s="26">
        <v>71</v>
      </c>
      <c r="C257" s="48">
        <v>115</v>
      </c>
    </row>
    <row r="258" spans="1:3" x14ac:dyDescent="0.25">
      <c r="A258" s="63">
        <v>42180</v>
      </c>
      <c r="B258" s="26">
        <v>66</v>
      </c>
      <c r="C258" s="48">
        <v>133</v>
      </c>
    </row>
    <row r="259" spans="1:3" x14ac:dyDescent="0.25">
      <c r="A259" s="63">
        <v>42181</v>
      </c>
      <c r="B259" s="26">
        <v>58</v>
      </c>
      <c r="C259" s="48">
        <v>318</v>
      </c>
    </row>
    <row r="260" spans="1:3" x14ac:dyDescent="0.25">
      <c r="A260" s="63">
        <v>42182</v>
      </c>
      <c r="B260" s="26">
        <v>67</v>
      </c>
      <c r="C260" s="48">
        <v>137</v>
      </c>
    </row>
    <row r="261" spans="1:3" x14ac:dyDescent="0.25">
      <c r="A261" s="63">
        <v>42183</v>
      </c>
      <c r="B261" s="26">
        <v>66</v>
      </c>
      <c r="C261" s="48">
        <v>275</v>
      </c>
    </row>
    <row r="262" spans="1:3" x14ac:dyDescent="0.25">
      <c r="A262" s="63">
        <v>42184</v>
      </c>
      <c r="B262" s="26">
        <v>76</v>
      </c>
      <c r="C262" s="48">
        <v>132</v>
      </c>
    </row>
    <row r="263" spans="1:3" x14ac:dyDescent="0.25">
      <c r="A263" s="63">
        <v>42185</v>
      </c>
      <c r="B263" s="26">
        <v>57</v>
      </c>
      <c r="C263" s="48">
        <v>244.5</v>
      </c>
    </row>
    <row r="264" spans="1:3" x14ac:dyDescent="0.25">
      <c r="A264" s="63">
        <v>42186</v>
      </c>
      <c r="B264" s="26">
        <v>72</v>
      </c>
      <c r="C264" s="48">
        <v>135</v>
      </c>
    </row>
    <row r="265" spans="1:3" x14ac:dyDescent="0.25">
      <c r="A265" s="63">
        <v>42187</v>
      </c>
      <c r="B265" s="26">
        <v>62</v>
      </c>
      <c r="C265" s="48">
        <v>246</v>
      </c>
    </row>
    <row r="266" spans="1:3" x14ac:dyDescent="0.25">
      <c r="A266" s="63">
        <v>42188</v>
      </c>
      <c r="B266" s="26">
        <v>79</v>
      </c>
      <c r="C266" s="48">
        <v>222</v>
      </c>
    </row>
    <row r="267" spans="1:3" x14ac:dyDescent="0.25">
      <c r="A267" s="63">
        <v>42189</v>
      </c>
      <c r="B267" s="26">
        <v>83</v>
      </c>
      <c r="C267" s="48">
        <v>297</v>
      </c>
    </row>
    <row r="268" spans="1:3" x14ac:dyDescent="0.25">
      <c r="A268" s="63">
        <v>42190</v>
      </c>
      <c r="B268" s="26">
        <v>71</v>
      </c>
      <c r="C268" s="48">
        <v>173</v>
      </c>
    </row>
    <row r="269" spans="1:3" x14ac:dyDescent="0.25">
      <c r="A269" s="63">
        <v>42191</v>
      </c>
      <c r="B269" s="26">
        <v>78</v>
      </c>
      <c r="C269" s="48">
        <v>154</v>
      </c>
    </row>
    <row r="270" spans="1:3" x14ac:dyDescent="0.25">
      <c r="A270" s="63">
        <v>42192</v>
      </c>
      <c r="B270" s="26">
        <v>70</v>
      </c>
      <c r="C270" s="48">
        <v>160</v>
      </c>
    </row>
    <row r="271" spans="1:3" x14ac:dyDescent="0.25">
      <c r="A271" s="63">
        <v>42193</v>
      </c>
      <c r="B271" s="26">
        <v>81</v>
      </c>
      <c r="C271" s="48">
        <v>139</v>
      </c>
    </row>
    <row r="272" spans="1:3" x14ac:dyDescent="0.25">
      <c r="A272" s="63">
        <v>42194</v>
      </c>
      <c r="B272" s="26">
        <v>74</v>
      </c>
      <c r="C272" s="48">
        <v>103</v>
      </c>
    </row>
    <row r="273" spans="1:3" x14ac:dyDescent="0.25">
      <c r="A273" s="63">
        <v>42195</v>
      </c>
      <c r="B273" s="26">
        <v>92</v>
      </c>
      <c r="C273" s="48">
        <v>508</v>
      </c>
    </row>
    <row r="274" spans="1:3" x14ac:dyDescent="0.25">
      <c r="A274" s="63">
        <v>42196</v>
      </c>
      <c r="B274" s="26">
        <v>78</v>
      </c>
      <c r="C274" s="48">
        <v>172</v>
      </c>
    </row>
    <row r="275" spans="1:3" x14ac:dyDescent="0.25">
      <c r="A275" s="63">
        <v>42197</v>
      </c>
      <c r="B275" s="26">
        <v>87</v>
      </c>
      <c r="C275" s="48">
        <v>429</v>
      </c>
    </row>
    <row r="276" spans="1:3" x14ac:dyDescent="0.25">
      <c r="A276" s="63">
        <v>42198</v>
      </c>
      <c r="B276" s="26">
        <v>62</v>
      </c>
      <c r="C276" s="48">
        <v>406.5</v>
      </c>
    </row>
    <row r="277" spans="1:3" x14ac:dyDescent="0.25">
      <c r="A277" s="63">
        <v>42199</v>
      </c>
      <c r="B277" s="26">
        <v>85</v>
      </c>
      <c r="C277" s="48">
        <v>340.5</v>
      </c>
    </row>
    <row r="278" spans="1:3" x14ac:dyDescent="0.25">
      <c r="A278" s="63">
        <v>42200</v>
      </c>
      <c r="B278" s="26">
        <v>92</v>
      </c>
      <c r="C278" s="48">
        <v>268</v>
      </c>
    </row>
    <row r="279" spans="1:3" x14ac:dyDescent="0.25">
      <c r="A279" s="63">
        <v>42201</v>
      </c>
      <c r="B279" s="26">
        <v>84</v>
      </c>
      <c r="C279" s="48">
        <v>235</v>
      </c>
    </row>
    <row r="280" spans="1:3" x14ac:dyDescent="0.25">
      <c r="A280" s="63">
        <v>42202</v>
      </c>
      <c r="B280" s="26">
        <v>90</v>
      </c>
      <c r="C280" s="48">
        <v>396</v>
      </c>
    </row>
    <row r="281" spans="1:3" x14ac:dyDescent="0.25">
      <c r="A281" s="63">
        <v>42203</v>
      </c>
      <c r="B281" s="26">
        <v>66</v>
      </c>
      <c r="C281" s="48">
        <v>254</v>
      </c>
    </row>
    <row r="282" spans="1:3" x14ac:dyDescent="0.25">
      <c r="A282" s="63">
        <v>42204</v>
      </c>
      <c r="B282" s="26">
        <v>67</v>
      </c>
      <c r="C282" s="48">
        <v>189</v>
      </c>
    </row>
    <row r="283" spans="1:3" x14ac:dyDescent="0.25">
      <c r="A283" s="63">
        <v>42205</v>
      </c>
      <c r="B283" s="26">
        <v>79</v>
      </c>
      <c r="C283" s="48">
        <v>293</v>
      </c>
    </row>
    <row r="284" spans="1:3" x14ac:dyDescent="0.25">
      <c r="A284" s="63">
        <v>42206</v>
      </c>
      <c r="B284" s="26">
        <v>74</v>
      </c>
      <c r="C284" s="48">
        <v>115</v>
      </c>
    </row>
    <row r="285" spans="1:3" x14ac:dyDescent="0.25">
      <c r="A285" s="63">
        <v>42207</v>
      </c>
      <c r="B285" s="26">
        <v>84</v>
      </c>
      <c r="C285" s="48">
        <v>181</v>
      </c>
    </row>
    <row r="286" spans="1:3" x14ac:dyDescent="0.25">
      <c r="A286" s="63">
        <v>42208</v>
      </c>
      <c r="B286" s="26">
        <v>73</v>
      </c>
      <c r="C286" s="48">
        <v>200</v>
      </c>
    </row>
    <row r="287" spans="1:3" x14ac:dyDescent="0.25">
      <c r="A287" s="63">
        <v>42209</v>
      </c>
      <c r="B287" s="26">
        <v>72</v>
      </c>
      <c r="C287" s="48">
        <v>234</v>
      </c>
    </row>
    <row r="288" spans="1:3" x14ac:dyDescent="0.25">
      <c r="A288" s="63">
        <v>42210</v>
      </c>
      <c r="B288" s="26">
        <v>89</v>
      </c>
      <c r="C288" s="48">
        <v>423</v>
      </c>
    </row>
    <row r="289" spans="1:3" x14ac:dyDescent="0.25">
      <c r="A289" s="63">
        <v>42211</v>
      </c>
      <c r="B289" s="26">
        <v>75</v>
      </c>
      <c r="C289" s="48">
        <v>102</v>
      </c>
    </row>
    <row r="290" spans="1:3" x14ac:dyDescent="0.25">
      <c r="A290" s="63">
        <v>42212</v>
      </c>
      <c r="B290" s="26">
        <v>80</v>
      </c>
      <c r="C290" s="48">
        <v>272</v>
      </c>
    </row>
    <row r="291" spans="1:3" x14ac:dyDescent="0.25">
      <c r="A291" s="63">
        <v>42213</v>
      </c>
      <c r="B291" s="26">
        <v>65</v>
      </c>
      <c r="C291" s="48">
        <v>159</v>
      </c>
    </row>
    <row r="292" spans="1:3" x14ac:dyDescent="0.25">
      <c r="A292" s="63">
        <v>42214</v>
      </c>
      <c r="B292" s="26">
        <v>71</v>
      </c>
      <c r="C292" s="48">
        <v>281</v>
      </c>
    </row>
    <row r="293" spans="1:3" x14ac:dyDescent="0.25">
      <c r="A293" s="63">
        <v>42215</v>
      </c>
      <c r="B293" s="26">
        <v>91</v>
      </c>
      <c r="C293" s="48">
        <v>210</v>
      </c>
    </row>
    <row r="294" spans="1:3" x14ac:dyDescent="0.25">
      <c r="A294" s="63">
        <v>42216</v>
      </c>
      <c r="B294" s="26">
        <v>89</v>
      </c>
      <c r="C294" s="48">
        <v>273</v>
      </c>
    </row>
    <row r="295" spans="1:3" x14ac:dyDescent="0.25">
      <c r="A295" s="63">
        <v>42217</v>
      </c>
      <c r="B295" s="26">
        <v>98</v>
      </c>
      <c r="C295" s="48">
        <v>310</v>
      </c>
    </row>
    <row r="296" spans="1:3" x14ac:dyDescent="0.25">
      <c r="A296" s="63">
        <v>42218</v>
      </c>
      <c r="B296" s="26">
        <v>91</v>
      </c>
      <c r="C296" s="48">
        <v>578</v>
      </c>
    </row>
    <row r="297" spans="1:3" x14ac:dyDescent="0.25">
      <c r="A297" s="63">
        <v>42219</v>
      </c>
      <c r="B297" s="26">
        <v>82</v>
      </c>
      <c r="C297" s="48">
        <v>300</v>
      </c>
    </row>
    <row r="298" spans="1:3" x14ac:dyDescent="0.25">
      <c r="A298" s="63">
        <v>42220</v>
      </c>
      <c r="B298" s="26">
        <v>93</v>
      </c>
      <c r="C298" s="48">
        <v>584</v>
      </c>
    </row>
    <row r="299" spans="1:3" x14ac:dyDescent="0.25">
      <c r="A299" s="63">
        <v>42221</v>
      </c>
      <c r="B299" s="26">
        <v>73</v>
      </c>
      <c r="C299" s="48">
        <v>159</v>
      </c>
    </row>
    <row r="300" spans="1:3" x14ac:dyDescent="0.25">
      <c r="A300" s="63">
        <v>42222</v>
      </c>
      <c r="B300" s="26">
        <v>99</v>
      </c>
      <c r="C300" s="48">
        <v>715</v>
      </c>
    </row>
    <row r="301" spans="1:3" x14ac:dyDescent="0.25">
      <c r="A301" s="63">
        <v>42223</v>
      </c>
      <c r="B301" s="26">
        <v>85</v>
      </c>
      <c r="C301" s="48">
        <v>426</v>
      </c>
    </row>
    <row r="302" spans="1:3" x14ac:dyDescent="0.25">
      <c r="A302" s="63">
        <v>42224</v>
      </c>
      <c r="B302" s="26">
        <v>71</v>
      </c>
      <c r="C302" s="48">
        <v>251</v>
      </c>
    </row>
    <row r="303" spans="1:3" x14ac:dyDescent="0.25">
      <c r="A303" s="63">
        <v>42225</v>
      </c>
      <c r="B303" s="26">
        <v>90</v>
      </c>
      <c r="C303" s="48">
        <v>294</v>
      </c>
    </row>
    <row r="304" spans="1:3" x14ac:dyDescent="0.25">
      <c r="A304" s="63">
        <v>42226</v>
      </c>
      <c r="B304" s="26">
        <v>71</v>
      </c>
      <c r="C304" s="48">
        <v>288</v>
      </c>
    </row>
    <row r="305" spans="1:3" x14ac:dyDescent="0.25">
      <c r="A305" s="63">
        <v>42227</v>
      </c>
      <c r="B305" s="26">
        <v>97</v>
      </c>
      <c r="C305" s="48">
        <v>740</v>
      </c>
    </row>
    <row r="306" spans="1:3" x14ac:dyDescent="0.25">
      <c r="A306" s="63">
        <v>42228</v>
      </c>
      <c r="B306" s="26">
        <v>100</v>
      </c>
      <c r="C306" s="48">
        <v>646.25</v>
      </c>
    </row>
    <row r="307" spans="1:3" x14ac:dyDescent="0.25">
      <c r="A307" s="63">
        <v>42229</v>
      </c>
      <c r="B307" s="26">
        <v>96</v>
      </c>
      <c r="C307" s="48">
        <v>337.5</v>
      </c>
    </row>
    <row r="308" spans="1:3" x14ac:dyDescent="0.25">
      <c r="A308" s="63">
        <v>42230</v>
      </c>
      <c r="B308" s="26">
        <v>75</v>
      </c>
      <c r="C308" s="48">
        <v>154</v>
      </c>
    </row>
    <row r="309" spans="1:3" x14ac:dyDescent="0.25">
      <c r="A309" s="63">
        <v>42231</v>
      </c>
      <c r="B309" s="26">
        <v>80</v>
      </c>
      <c r="C309" s="48">
        <v>153</v>
      </c>
    </row>
    <row r="310" spans="1:3" x14ac:dyDescent="0.25">
      <c r="A310" s="63">
        <v>42232</v>
      </c>
      <c r="B310" s="26">
        <v>74</v>
      </c>
      <c r="C310" s="48">
        <v>207</v>
      </c>
    </row>
    <row r="311" spans="1:3" x14ac:dyDescent="0.25">
      <c r="A311" s="63">
        <v>42233</v>
      </c>
      <c r="B311" s="26">
        <v>84</v>
      </c>
      <c r="C311" s="48">
        <v>151</v>
      </c>
    </row>
    <row r="312" spans="1:3" x14ac:dyDescent="0.25">
      <c r="A312" s="63">
        <v>42234</v>
      </c>
      <c r="B312" s="26">
        <v>94</v>
      </c>
      <c r="C312" s="48">
        <v>308</v>
      </c>
    </row>
    <row r="313" spans="1:3" x14ac:dyDescent="0.25">
      <c r="A313" s="63">
        <v>42235</v>
      </c>
      <c r="B313" s="26">
        <v>99</v>
      </c>
      <c r="C313" s="48">
        <v>285</v>
      </c>
    </row>
    <row r="314" spans="1:3" x14ac:dyDescent="0.25">
      <c r="A314" s="63">
        <v>42236</v>
      </c>
      <c r="B314" s="26">
        <v>94</v>
      </c>
      <c r="C314" s="48">
        <v>422</v>
      </c>
    </row>
    <row r="315" spans="1:3" x14ac:dyDescent="0.25">
      <c r="A315" s="63">
        <v>42237</v>
      </c>
      <c r="B315" s="26">
        <v>95</v>
      </c>
      <c r="C315" s="48">
        <v>400</v>
      </c>
    </row>
    <row r="316" spans="1:3" x14ac:dyDescent="0.25">
      <c r="A316" s="63">
        <v>42238</v>
      </c>
      <c r="B316" s="26">
        <v>88</v>
      </c>
      <c r="C316" s="48">
        <v>426</v>
      </c>
    </row>
    <row r="317" spans="1:3" x14ac:dyDescent="0.25">
      <c r="A317" s="63">
        <v>42239</v>
      </c>
      <c r="B317" s="26">
        <v>83</v>
      </c>
      <c r="C317" s="48">
        <v>182</v>
      </c>
    </row>
    <row r="318" spans="1:3" x14ac:dyDescent="0.25">
      <c r="A318" s="63">
        <v>42240</v>
      </c>
      <c r="B318" s="26">
        <v>89</v>
      </c>
      <c r="C318" s="48">
        <v>201</v>
      </c>
    </row>
    <row r="319" spans="1:3" x14ac:dyDescent="0.25">
      <c r="A319" s="63">
        <v>42241</v>
      </c>
      <c r="B319" s="26">
        <v>79</v>
      </c>
      <c r="C319" s="48">
        <v>294</v>
      </c>
    </row>
    <row r="320" spans="1:3" x14ac:dyDescent="0.25">
      <c r="A320" s="63">
        <v>42242</v>
      </c>
      <c r="B320" s="26">
        <v>92</v>
      </c>
      <c r="C320" s="48">
        <v>244</v>
      </c>
    </row>
    <row r="321" spans="1:3" x14ac:dyDescent="0.25">
      <c r="A321" s="63">
        <v>42243</v>
      </c>
      <c r="B321" s="26">
        <v>100</v>
      </c>
      <c r="C321" s="48">
        <v>379.5</v>
      </c>
    </row>
    <row r="322" spans="1:3" x14ac:dyDescent="0.25">
      <c r="A322" s="63">
        <v>42244</v>
      </c>
      <c r="B322" s="26">
        <v>80</v>
      </c>
      <c r="C322" s="48">
        <v>257</v>
      </c>
    </row>
    <row r="323" spans="1:3" x14ac:dyDescent="0.25">
      <c r="A323" s="63">
        <v>42245</v>
      </c>
      <c r="B323" s="26">
        <v>97</v>
      </c>
      <c r="C323" s="48">
        <v>590</v>
      </c>
    </row>
    <row r="324" spans="1:3" x14ac:dyDescent="0.25">
      <c r="A324" s="63">
        <v>42246</v>
      </c>
      <c r="B324" s="26">
        <v>70</v>
      </c>
      <c r="C324" s="48">
        <v>199</v>
      </c>
    </row>
    <row r="325" spans="1:3" x14ac:dyDescent="0.25">
      <c r="A325" s="63">
        <v>42247</v>
      </c>
      <c r="B325" s="26">
        <v>90</v>
      </c>
      <c r="C325" s="48">
        <v>248</v>
      </c>
    </row>
    <row r="326" spans="1:3" x14ac:dyDescent="0.25">
      <c r="A326" s="63">
        <v>42248</v>
      </c>
      <c r="B326" s="26">
        <v>75</v>
      </c>
      <c r="C326" s="48">
        <v>106</v>
      </c>
    </row>
    <row r="327" spans="1:3" x14ac:dyDescent="0.25">
      <c r="A327" s="63">
        <v>42249</v>
      </c>
      <c r="B327" s="26">
        <v>86</v>
      </c>
      <c r="C327" s="48">
        <v>217.5</v>
      </c>
    </row>
    <row r="328" spans="1:3" x14ac:dyDescent="0.25">
      <c r="A328" s="63">
        <v>42250</v>
      </c>
      <c r="B328" s="26">
        <v>91</v>
      </c>
      <c r="C328" s="48">
        <v>328</v>
      </c>
    </row>
    <row r="329" spans="1:3" x14ac:dyDescent="0.25">
      <c r="A329" s="63">
        <v>42251</v>
      </c>
      <c r="B329" s="26">
        <v>80</v>
      </c>
      <c r="C329" s="48">
        <v>133</v>
      </c>
    </row>
    <row r="330" spans="1:3" x14ac:dyDescent="0.25">
      <c r="A330" s="63">
        <v>42252</v>
      </c>
      <c r="B330" s="26">
        <v>73</v>
      </c>
      <c r="C330" s="48">
        <v>118</v>
      </c>
    </row>
    <row r="331" spans="1:3" x14ac:dyDescent="0.25">
      <c r="A331" s="63">
        <v>42253</v>
      </c>
      <c r="B331" s="26">
        <v>85</v>
      </c>
      <c r="C331" s="48">
        <v>442.5</v>
      </c>
    </row>
    <row r="332" spans="1:3" x14ac:dyDescent="0.25">
      <c r="A332" s="63">
        <v>42254</v>
      </c>
      <c r="B332" s="26">
        <v>95</v>
      </c>
      <c r="C332" s="48">
        <v>455</v>
      </c>
    </row>
    <row r="333" spans="1:3" x14ac:dyDescent="0.25">
      <c r="A333" s="63">
        <v>42255</v>
      </c>
      <c r="B333" s="26">
        <v>75</v>
      </c>
      <c r="C333" s="48">
        <v>188</v>
      </c>
    </row>
    <row r="334" spans="1:3" x14ac:dyDescent="0.25">
      <c r="A334" s="63">
        <v>42256</v>
      </c>
      <c r="B334" s="26">
        <v>87</v>
      </c>
      <c r="C334" s="48">
        <v>255</v>
      </c>
    </row>
    <row r="335" spans="1:3" x14ac:dyDescent="0.25">
      <c r="A335" s="63">
        <v>42257</v>
      </c>
      <c r="B335" s="26">
        <v>80</v>
      </c>
      <c r="C335" s="48">
        <v>294</v>
      </c>
    </row>
    <row r="336" spans="1:3" x14ac:dyDescent="0.25">
      <c r="A336" s="63">
        <v>42258</v>
      </c>
      <c r="B336" s="26">
        <v>88</v>
      </c>
      <c r="C336" s="48">
        <v>304.5</v>
      </c>
    </row>
    <row r="337" spans="1:3" x14ac:dyDescent="0.25">
      <c r="A337" s="63">
        <v>42259</v>
      </c>
      <c r="B337" s="26">
        <v>75</v>
      </c>
      <c r="C337" s="48">
        <v>138</v>
      </c>
    </row>
    <row r="338" spans="1:3" x14ac:dyDescent="0.25">
      <c r="A338" s="63">
        <v>42260</v>
      </c>
      <c r="B338" s="26">
        <v>68</v>
      </c>
      <c r="C338" s="48">
        <v>253</v>
      </c>
    </row>
    <row r="339" spans="1:3" x14ac:dyDescent="0.25">
      <c r="A339" s="63">
        <v>42261</v>
      </c>
      <c r="B339" s="26">
        <v>70</v>
      </c>
      <c r="C339" s="48">
        <v>180</v>
      </c>
    </row>
    <row r="340" spans="1:3" x14ac:dyDescent="0.25">
      <c r="A340" s="63">
        <v>42262</v>
      </c>
      <c r="B340" s="26">
        <v>76</v>
      </c>
      <c r="C340" s="48">
        <v>210</v>
      </c>
    </row>
    <row r="341" spans="1:3" x14ac:dyDescent="0.25">
      <c r="A341" s="63">
        <v>42263</v>
      </c>
      <c r="B341" s="26">
        <v>87</v>
      </c>
      <c r="C341" s="48">
        <v>436.5</v>
      </c>
    </row>
    <row r="342" spans="1:3" x14ac:dyDescent="0.25">
      <c r="A342" s="63">
        <v>42264</v>
      </c>
      <c r="B342" s="26">
        <v>90</v>
      </c>
      <c r="C342" s="48">
        <v>456</v>
      </c>
    </row>
    <row r="343" spans="1:3" x14ac:dyDescent="0.25">
      <c r="A343" s="63">
        <v>42265</v>
      </c>
      <c r="B343" s="26">
        <v>67</v>
      </c>
      <c r="C343" s="48">
        <v>273</v>
      </c>
    </row>
    <row r="344" spans="1:3" x14ac:dyDescent="0.25">
      <c r="A344" s="63">
        <v>42266</v>
      </c>
      <c r="B344" s="26">
        <v>70</v>
      </c>
      <c r="C344" s="48">
        <v>283</v>
      </c>
    </row>
    <row r="345" spans="1:3" x14ac:dyDescent="0.25">
      <c r="A345" s="63">
        <v>42267</v>
      </c>
      <c r="B345" s="26">
        <v>97</v>
      </c>
      <c r="C345" s="48">
        <v>345</v>
      </c>
    </row>
    <row r="346" spans="1:3" x14ac:dyDescent="0.25">
      <c r="A346" s="63">
        <v>42268</v>
      </c>
      <c r="B346" s="26">
        <v>90</v>
      </c>
      <c r="C346" s="48">
        <v>232</v>
      </c>
    </row>
    <row r="347" spans="1:3" x14ac:dyDescent="0.25">
      <c r="A347" s="63">
        <v>42269</v>
      </c>
      <c r="B347" s="26">
        <v>86</v>
      </c>
      <c r="C347" s="48">
        <v>301.5</v>
      </c>
    </row>
    <row r="348" spans="1:3" x14ac:dyDescent="0.25">
      <c r="A348" s="63">
        <v>42270</v>
      </c>
      <c r="B348" s="26">
        <v>83</v>
      </c>
      <c r="C348" s="48">
        <v>298</v>
      </c>
    </row>
    <row r="349" spans="1:3" x14ac:dyDescent="0.25">
      <c r="A349" s="63">
        <v>42271</v>
      </c>
      <c r="B349" s="26">
        <v>69</v>
      </c>
      <c r="C349" s="48">
        <v>283</v>
      </c>
    </row>
    <row r="350" spans="1:3" x14ac:dyDescent="0.25">
      <c r="A350" s="63">
        <v>42272</v>
      </c>
      <c r="B350" s="26">
        <v>68</v>
      </c>
      <c r="C350" s="48">
        <v>193</v>
      </c>
    </row>
    <row r="351" spans="1:3" x14ac:dyDescent="0.25">
      <c r="A351" s="63">
        <v>42273</v>
      </c>
      <c r="B351" s="26">
        <v>95</v>
      </c>
      <c r="C351" s="48">
        <v>742.5</v>
      </c>
    </row>
    <row r="352" spans="1:3" x14ac:dyDescent="0.25">
      <c r="A352" s="63">
        <v>42274</v>
      </c>
      <c r="B352" s="26">
        <v>93</v>
      </c>
      <c r="C352" s="48">
        <v>528</v>
      </c>
    </row>
    <row r="353" spans="1:3" x14ac:dyDescent="0.25">
      <c r="A353" s="63">
        <v>42275</v>
      </c>
      <c r="B353" s="26">
        <v>79</v>
      </c>
      <c r="C353" s="48">
        <v>204</v>
      </c>
    </row>
    <row r="354" spans="1:3" x14ac:dyDescent="0.25">
      <c r="A354" s="63">
        <v>42276</v>
      </c>
      <c r="B354" s="26">
        <v>87</v>
      </c>
      <c r="C354" s="48">
        <v>180</v>
      </c>
    </row>
    <row r="355" spans="1:3" x14ac:dyDescent="0.25">
      <c r="A355" s="63">
        <v>42277</v>
      </c>
      <c r="B355" s="26">
        <v>79</v>
      </c>
      <c r="C355" s="48">
        <v>230</v>
      </c>
    </row>
    <row r="356" spans="1:3" x14ac:dyDescent="0.25">
      <c r="A356" s="63">
        <v>42278</v>
      </c>
      <c r="B356" s="26">
        <v>85</v>
      </c>
      <c r="C356" s="48">
        <v>393</v>
      </c>
    </row>
    <row r="357" spans="1:3" x14ac:dyDescent="0.25">
      <c r="A357" s="63">
        <v>42279</v>
      </c>
      <c r="B357" s="26">
        <v>89</v>
      </c>
      <c r="C357" s="48">
        <v>310.5</v>
      </c>
    </row>
    <row r="358" spans="1:3" x14ac:dyDescent="0.25">
      <c r="A358" s="63">
        <v>42280</v>
      </c>
      <c r="B358" s="26">
        <v>71</v>
      </c>
      <c r="C358" s="48">
        <v>298</v>
      </c>
    </row>
    <row r="359" spans="1:3" x14ac:dyDescent="0.25">
      <c r="A359" s="63">
        <v>42281</v>
      </c>
      <c r="B359" s="26">
        <v>58</v>
      </c>
      <c r="C359" s="48">
        <v>424.5</v>
      </c>
    </row>
    <row r="360" spans="1:3" x14ac:dyDescent="0.25">
      <c r="A360" s="63">
        <v>42282</v>
      </c>
      <c r="B360" s="26">
        <v>66</v>
      </c>
      <c r="C360" s="48">
        <v>116</v>
      </c>
    </row>
    <row r="361" spans="1:3" x14ac:dyDescent="0.25">
      <c r="A361" s="63">
        <v>42283</v>
      </c>
      <c r="B361" s="26">
        <v>82</v>
      </c>
      <c r="C361" s="48">
        <v>288</v>
      </c>
    </row>
    <row r="362" spans="1:3" x14ac:dyDescent="0.25">
      <c r="A362" s="63">
        <v>42284</v>
      </c>
      <c r="B362" s="26">
        <v>56</v>
      </c>
      <c r="C362" s="48">
        <v>318</v>
      </c>
    </row>
    <row r="363" spans="1:3" x14ac:dyDescent="0.25">
      <c r="A363" s="63">
        <v>42285</v>
      </c>
      <c r="B363" s="26">
        <v>81</v>
      </c>
      <c r="C363" s="48">
        <v>291</v>
      </c>
    </row>
    <row r="364" spans="1:3" x14ac:dyDescent="0.25">
      <c r="A364" s="63">
        <v>42286</v>
      </c>
      <c r="B364" s="26">
        <v>57</v>
      </c>
      <c r="C364" s="48">
        <v>418.5</v>
      </c>
    </row>
    <row r="365" spans="1:3" x14ac:dyDescent="0.25">
      <c r="A365" s="63">
        <v>42287</v>
      </c>
      <c r="B365" s="26">
        <v>59</v>
      </c>
      <c r="C365" s="48">
        <v>159</v>
      </c>
    </row>
    <row r="366" spans="1:3" x14ac:dyDescent="0.25">
      <c r="A366" s="63">
        <v>42288</v>
      </c>
      <c r="B366" s="26">
        <v>54</v>
      </c>
      <c r="C366" s="48">
        <v>504</v>
      </c>
    </row>
    <row r="367" spans="1:3" x14ac:dyDescent="0.25">
      <c r="A367" s="63">
        <v>42289</v>
      </c>
      <c r="B367" s="26">
        <v>88</v>
      </c>
      <c r="C367" s="48">
        <v>231</v>
      </c>
    </row>
    <row r="368" spans="1:3" x14ac:dyDescent="0.25">
      <c r="A368" s="63">
        <v>42290</v>
      </c>
      <c r="B368" s="26">
        <v>83</v>
      </c>
      <c r="C368" s="48">
        <v>290</v>
      </c>
    </row>
    <row r="369" spans="1:3" x14ac:dyDescent="0.25">
      <c r="A369" s="63">
        <v>42291</v>
      </c>
      <c r="B369" s="26">
        <v>85</v>
      </c>
      <c r="C369" s="48">
        <v>303</v>
      </c>
    </row>
    <row r="370" spans="1:3" x14ac:dyDescent="0.25">
      <c r="A370" s="63">
        <v>42292</v>
      </c>
      <c r="B370" s="26">
        <v>85</v>
      </c>
      <c r="C370" s="48">
        <v>223.5</v>
      </c>
    </row>
    <row r="371" spans="1:3" x14ac:dyDescent="0.25">
      <c r="A371" s="63">
        <v>42293</v>
      </c>
      <c r="B371" s="26">
        <v>81</v>
      </c>
      <c r="C371" s="48">
        <v>300</v>
      </c>
    </row>
    <row r="372" spans="1:3" x14ac:dyDescent="0.25">
      <c r="A372" s="63">
        <v>42294</v>
      </c>
      <c r="B372" s="26">
        <v>73</v>
      </c>
      <c r="C372" s="48">
        <v>276</v>
      </c>
    </row>
    <row r="373" spans="1:3" x14ac:dyDescent="0.25">
      <c r="A373" s="63">
        <v>42295</v>
      </c>
      <c r="B373" s="26">
        <v>71</v>
      </c>
      <c r="C373" s="48">
        <v>142</v>
      </c>
    </row>
    <row r="374" spans="1:3" x14ac:dyDescent="0.25">
      <c r="A374" s="63">
        <v>42296</v>
      </c>
      <c r="B374" s="26">
        <v>87</v>
      </c>
      <c r="C374" s="48">
        <v>285</v>
      </c>
    </row>
    <row r="375" spans="1:3" x14ac:dyDescent="0.25">
      <c r="A375" s="63">
        <v>42297</v>
      </c>
      <c r="B375" s="26">
        <v>86</v>
      </c>
      <c r="C375" s="48">
        <v>396</v>
      </c>
    </row>
    <row r="376" spans="1:3" x14ac:dyDescent="0.25">
      <c r="A376" s="63">
        <v>42298</v>
      </c>
      <c r="B376" s="26">
        <v>79</v>
      </c>
      <c r="C376" s="48">
        <v>265</v>
      </c>
    </row>
    <row r="377" spans="1:3" x14ac:dyDescent="0.25">
      <c r="A377" s="63">
        <v>42299</v>
      </c>
      <c r="B377" s="26">
        <v>61</v>
      </c>
      <c r="C377" s="48">
        <v>151.5</v>
      </c>
    </row>
    <row r="378" spans="1:3" x14ac:dyDescent="0.25">
      <c r="A378" s="63">
        <v>42300</v>
      </c>
      <c r="B378" s="26">
        <v>60</v>
      </c>
      <c r="C378" s="48">
        <v>361.5</v>
      </c>
    </row>
    <row r="379" spans="1:3" x14ac:dyDescent="0.25">
      <c r="A379" s="63">
        <v>42301</v>
      </c>
      <c r="B379" s="26">
        <v>78</v>
      </c>
      <c r="C379" s="48">
        <v>210</v>
      </c>
    </row>
    <row r="380" spans="1:3" x14ac:dyDescent="0.25">
      <c r="A380" s="63">
        <v>42302</v>
      </c>
      <c r="B380" s="26">
        <v>81</v>
      </c>
      <c r="C380" s="48">
        <v>288</v>
      </c>
    </row>
    <row r="381" spans="1:3" x14ac:dyDescent="0.25">
      <c r="A381" s="63">
        <v>42303</v>
      </c>
      <c r="B381" s="26">
        <v>79</v>
      </c>
      <c r="C381" s="48">
        <v>174</v>
      </c>
    </row>
    <row r="382" spans="1:3" x14ac:dyDescent="0.25">
      <c r="A382" s="63">
        <v>42304</v>
      </c>
      <c r="B382" s="26">
        <v>68</v>
      </c>
      <c r="C382" s="48">
        <v>260</v>
      </c>
    </row>
    <row r="383" spans="1:3" x14ac:dyDescent="0.25">
      <c r="A383" s="63">
        <v>42305</v>
      </c>
      <c r="B383" s="26">
        <v>68</v>
      </c>
      <c r="C383" s="48">
        <v>197</v>
      </c>
    </row>
    <row r="384" spans="1:3" x14ac:dyDescent="0.25">
      <c r="A384" s="63">
        <v>42306</v>
      </c>
      <c r="B384" s="26">
        <v>60</v>
      </c>
      <c r="C384" s="48">
        <v>276</v>
      </c>
    </row>
    <row r="385" spans="1:3" x14ac:dyDescent="0.25">
      <c r="A385" s="63">
        <v>42307</v>
      </c>
      <c r="B385" s="26">
        <v>73</v>
      </c>
      <c r="C385" s="48">
        <v>137</v>
      </c>
    </row>
    <row r="386" spans="1:3" x14ac:dyDescent="0.25">
      <c r="A386" s="63">
        <v>42308</v>
      </c>
      <c r="B386" s="26">
        <v>74</v>
      </c>
      <c r="C386" s="48">
        <v>132</v>
      </c>
    </row>
    <row r="387" spans="1:3" x14ac:dyDescent="0.25">
      <c r="A387" s="63">
        <v>42309</v>
      </c>
      <c r="B387" s="26">
        <v>46</v>
      </c>
      <c r="C387" s="48">
        <v>224</v>
      </c>
    </row>
    <row r="388" spans="1:3" x14ac:dyDescent="0.25">
      <c r="A388" s="63">
        <v>42310</v>
      </c>
      <c r="B388" s="26">
        <v>66</v>
      </c>
      <c r="C388" s="48">
        <v>131</v>
      </c>
    </row>
    <row r="389" spans="1:3" x14ac:dyDescent="0.25">
      <c r="A389" s="63">
        <v>42311</v>
      </c>
      <c r="B389" s="26">
        <v>50</v>
      </c>
      <c r="C389" s="48">
        <v>210</v>
      </c>
    </row>
    <row r="390" spans="1:3" x14ac:dyDescent="0.25">
      <c r="A390" s="63">
        <v>42312</v>
      </c>
      <c r="B390" s="26">
        <v>49</v>
      </c>
      <c r="C390" s="48">
        <v>498</v>
      </c>
    </row>
    <row r="391" spans="1:3" x14ac:dyDescent="0.25">
      <c r="A391" s="63">
        <v>42313</v>
      </c>
      <c r="B391" s="26">
        <v>68</v>
      </c>
      <c r="C391" s="48">
        <v>284</v>
      </c>
    </row>
    <row r="392" spans="1:3" x14ac:dyDescent="0.25">
      <c r="A392" s="63">
        <v>42314</v>
      </c>
      <c r="B392" s="26">
        <v>63</v>
      </c>
      <c r="C392" s="48">
        <v>150</v>
      </c>
    </row>
    <row r="393" spans="1:3" x14ac:dyDescent="0.25">
      <c r="A393" s="63">
        <v>42315</v>
      </c>
      <c r="B393" s="26">
        <v>57</v>
      </c>
      <c r="C393" s="48">
        <v>289.5</v>
      </c>
    </row>
    <row r="394" spans="1:3" x14ac:dyDescent="0.25">
      <c r="A394" s="63">
        <v>42316</v>
      </c>
      <c r="B394" s="26">
        <v>62</v>
      </c>
      <c r="C394" s="48">
        <v>237</v>
      </c>
    </row>
    <row r="395" spans="1:3" x14ac:dyDescent="0.25">
      <c r="A395" s="63">
        <v>42317</v>
      </c>
      <c r="B395" s="26">
        <v>66</v>
      </c>
      <c r="C395" s="48">
        <v>136</v>
      </c>
    </row>
    <row r="396" spans="1:3" x14ac:dyDescent="0.25">
      <c r="A396" s="63">
        <v>42318</v>
      </c>
      <c r="B396" s="26">
        <v>62</v>
      </c>
      <c r="C396" s="48">
        <v>424.5</v>
      </c>
    </row>
    <row r="397" spans="1:3" x14ac:dyDescent="0.25">
      <c r="A397" s="63">
        <v>42319</v>
      </c>
      <c r="B397" s="26">
        <v>53</v>
      </c>
      <c r="C397" s="48">
        <v>574</v>
      </c>
    </row>
    <row r="398" spans="1:3" x14ac:dyDescent="0.25">
      <c r="A398" s="63">
        <v>42320</v>
      </c>
      <c r="B398" s="26">
        <v>63</v>
      </c>
      <c r="C398" s="48">
        <v>391.5</v>
      </c>
    </row>
    <row r="399" spans="1:3" x14ac:dyDescent="0.25">
      <c r="A399" s="63">
        <v>42321</v>
      </c>
      <c r="B399" s="26">
        <v>61</v>
      </c>
      <c r="C399" s="48">
        <v>382.5</v>
      </c>
    </row>
    <row r="400" spans="1:3" x14ac:dyDescent="0.25">
      <c r="A400" s="63">
        <v>42322</v>
      </c>
      <c r="B400" s="26">
        <v>64</v>
      </c>
      <c r="C400" s="48">
        <v>436.5</v>
      </c>
    </row>
    <row r="401" spans="1:3" x14ac:dyDescent="0.25">
      <c r="A401" s="63">
        <v>42323</v>
      </c>
      <c r="B401" s="26">
        <v>51</v>
      </c>
      <c r="C401" s="48">
        <v>578</v>
      </c>
    </row>
    <row r="402" spans="1:3" x14ac:dyDescent="0.25">
      <c r="A402" s="63">
        <v>42324</v>
      </c>
      <c r="B402" s="26">
        <v>56</v>
      </c>
      <c r="C402" s="48">
        <v>328.5</v>
      </c>
    </row>
    <row r="403" spans="1:3" x14ac:dyDescent="0.25">
      <c r="A403" s="63">
        <v>42325</v>
      </c>
      <c r="B403" s="26">
        <v>54</v>
      </c>
      <c r="C403" s="48">
        <v>590</v>
      </c>
    </row>
    <row r="404" spans="1:3" x14ac:dyDescent="0.25">
      <c r="A404" s="63">
        <v>42326</v>
      </c>
      <c r="B404" s="26">
        <v>53</v>
      </c>
      <c r="C404" s="48">
        <v>446</v>
      </c>
    </row>
    <row r="405" spans="1:3" x14ac:dyDescent="0.25">
      <c r="A405" s="63">
        <v>42327</v>
      </c>
      <c r="B405" s="26">
        <v>50</v>
      </c>
      <c r="C405" s="48">
        <v>226</v>
      </c>
    </row>
    <row r="406" spans="1:3" x14ac:dyDescent="0.25">
      <c r="A406" s="63">
        <v>42328</v>
      </c>
      <c r="B406" s="26">
        <v>68</v>
      </c>
      <c r="C406" s="48">
        <v>231</v>
      </c>
    </row>
    <row r="407" spans="1:3" x14ac:dyDescent="0.25">
      <c r="A407" s="63">
        <v>42329</v>
      </c>
      <c r="B407" s="26">
        <v>58</v>
      </c>
      <c r="C407" s="48">
        <v>315</v>
      </c>
    </row>
    <row r="408" spans="1:3" x14ac:dyDescent="0.25">
      <c r="A408" s="63">
        <v>42330</v>
      </c>
      <c r="B408" s="26">
        <v>49</v>
      </c>
      <c r="C408" s="48">
        <v>220</v>
      </c>
    </row>
    <row r="409" spans="1:3" x14ac:dyDescent="0.25">
      <c r="A409" s="63">
        <v>42331</v>
      </c>
      <c r="B409" s="26">
        <v>67</v>
      </c>
      <c r="C409" s="48">
        <v>264</v>
      </c>
    </row>
    <row r="410" spans="1:3" x14ac:dyDescent="0.25">
      <c r="A410" s="63">
        <v>42332</v>
      </c>
      <c r="B410" s="26">
        <v>49</v>
      </c>
      <c r="C410" s="48">
        <v>358</v>
      </c>
    </row>
    <row r="411" spans="1:3" x14ac:dyDescent="0.25">
      <c r="A411" s="63">
        <v>42333</v>
      </c>
      <c r="B411" s="26">
        <v>47</v>
      </c>
      <c r="C411" s="48">
        <v>498</v>
      </c>
    </row>
    <row r="412" spans="1:3" x14ac:dyDescent="0.25">
      <c r="A412" s="63">
        <v>42334</v>
      </c>
      <c r="B412" s="26">
        <v>49</v>
      </c>
      <c r="C412" s="48">
        <v>448</v>
      </c>
    </row>
    <row r="413" spans="1:3" x14ac:dyDescent="0.25">
      <c r="A413" s="63">
        <v>42335</v>
      </c>
      <c r="B413" s="26">
        <v>47</v>
      </c>
      <c r="C413" s="48">
        <v>578</v>
      </c>
    </row>
    <row r="414" spans="1:3" x14ac:dyDescent="0.25">
      <c r="A414" s="63">
        <v>42336</v>
      </c>
      <c r="B414" s="26">
        <v>62</v>
      </c>
      <c r="C414" s="48">
        <v>402</v>
      </c>
    </row>
    <row r="415" spans="1:3" x14ac:dyDescent="0.25">
      <c r="A415" s="63">
        <v>42337</v>
      </c>
      <c r="B415" s="26">
        <v>47</v>
      </c>
      <c r="C415" s="48">
        <v>466</v>
      </c>
    </row>
    <row r="416" spans="1:3" x14ac:dyDescent="0.25">
      <c r="A416" s="63">
        <v>42338</v>
      </c>
      <c r="B416" s="26">
        <v>49</v>
      </c>
      <c r="C416" s="48">
        <v>330</v>
      </c>
    </row>
    <row r="417" spans="1:3" x14ac:dyDescent="0.25">
      <c r="A417" s="63">
        <v>42339</v>
      </c>
      <c r="B417" s="26">
        <v>64</v>
      </c>
      <c r="C417" s="48">
        <v>214.5</v>
      </c>
    </row>
    <row r="418" spans="1:3" x14ac:dyDescent="0.25">
      <c r="A418" s="63">
        <v>42340</v>
      </c>
      <c r="B418" s="26">
        <v>62</v>
      </c>
      <c r="C418" s="48">
        <v>190.5</v>
      </c>
    </row>
    <row r="419" spans="1:3" x14ac:dyDescent="0.25">
      <c r="A419" s="63">
        <v>42341</v>
      </c>
      <c r="B419" s="26">
        <v>60</v>
      </c>
      <c r="C419" s="48">
        <v>270</v>
      </c>
    </row>
    <row r="420" spans="1:3" x14ac:dyDescent="0.25">
      <c r="A420" s="63">
        <v>42342</v>
      </c>
      <c r="B420" s="26">
        <v>66</v>
      </c>
      <c r="C420" s="48">
        <v>109</v>
      </c>
    </row>
    <row r="421" spans="1:3" x14ac:dyDescent="0.25">
      <c r="A421" s="63">
        <v>42343</v>
      </c>
      <c r="B421" s="26">
        <v>62</v>
      </c>
      <c r="C421" s="48">
        <v>384</v>
      </c>
    </row>
    <row r="422" spans="1:3" x14ac:dyDescent="0.25">
      <c r="A422" s="63">
        <v>42344</v>
      </c>
      <c r="B422" s="26">
        <v>66</v>
      </c>
      <c r="C422" s="48">
        <v>286</v>
      </c>
    </row>
    <row r="423" spans="1:3" x14ac:dyDescent="0.25">
      <c r="A423" s="63">
        <v>42345</v>
      </c>
      <c r="B423" s="26">
        <v>49</v>
      </c>
      <c r="C423" s="48">
        <v>278</v>
      </c>
    </row>
    <row r="424" spans="1:3" x14ac:dyDescent="0.25">
      <c r="A424" s="63">
        <v>42346</v>
      </c>
      <c r="B424" s="26">
        <v>62</v>
      </c>
      <c r="C424" s="48">
        <v>264</v>
      </c>
    </row>
    <row r="425" spans="1:3" x14ac:dyDescent="0.25">
      <c r="A425" s="63">
        <v>42347</v>
      </c>
      <c r="B425" s="26">
        <v>65</v>
      </c>
      <c r="C425" s="48">
        <v>179</v>
      </c>
    </row>
    <row r="426" spans="1:3" x14ac:dyDescent="0.25">
      <c r="A426" s="63">
        <v>42348</v>
      </c>
      <c r="B426" s="26">
        <v>62</v>
      </c>
      <c r="C426" s="48">
        <v>265.5</v>
      </c>
    </row>
    <row r="427" spans="1:3" x14ac:dyDescent="0.25">
      <c r="A427" s="63">
        <v>42349</v>
      </c>
      <c r="B427" s="26">
        <v>61</v>
      </c>
      <c r="C427" s="48">
        <v>357</v>
      </c>
    </row>
    <row r="428" spans="1:3" x14ac:dyDescent="0.25">
      <c r="A428" s="63">
        <v>42350</v>
      </c>
      <c r="B428" s="26">
        <v>31</v>
      </c>
      <c r="C428" s="48">
        <v>737.5</v>
      </c>
    </row>
    <row r="429" spans="1:3" x14ac:dyDescent="0.25">
      <c r="A429" s="63">
        <v>42351</v>
      </c>
      <c r="B429" s="26">
        <v>53</v>
      </c>
      <c r="C429" s="48">
        <v>272</v>
      </c>
    </row>
    <row r="430" spans="1:3" x14ac:dyDescent="0.25">
      <c r="A430" s="63">
        <v>42352</v>
      </c>
      <c r="B430" s="26">
        <v>52</v>
      </c>
      <c r="C430" s="48">
        <v>236</v>
      </c>
    </row>
    <row r="431" spans="1:3" x14ac:dyDescent="0.25">
      <c r="A431" s="63">
        <v>42353</v>
      </c>
      <c r="B431" s="26">
        <v>55</v>
      </c>
      <c r="C431" s="48">
        <v>267</v>
      </c>
    </row>
    <row r="432" spans="1:3" x14ac:dyDescent="0.25">
      <c r="A432" s="63">
        <v>42354</v>
      </c>
      <c r="B432" s="26">
        <v>61</v>
      </c>
      <c r="C432" s="48">
        <v>450</v>
      </c>
    </row>
    <row r="433" spans="1:3" x14ac:dyDescent="0.25">
      <c r="A433" s="63">
        <v>42355</v>
      </c>
      <c r="B433" s="26">
        <v>50</v>
      </c>
      <c r="C433" s="48">
        <v>486</v>
      </c>
    </row>
    <row r="434" spans="1:3" x14ac:dyDescent="0.25">
      <c r="A434" s="63">
        <v>42356</v>
      </c>
      <c r="B434" s="26">
        <v>55</v>
      </c>
      <c r="C434" s="48">
        <v>217.5</v>
      </c>
    </row>
    <row r="435" spans="1:3" x14ac:dyDescent="0.25">
      <c r="A435" s="63">
        <v>42357</v>
      </c>
      <c r="B435" s="26">
        <v>60</v>
      </c>
      <c r="C435" s="48">
        <v>274.5</v>
      </c>
    </row>
    <row r="436" spans="1:3" x14ac:dyDescent="0.25">
      <c r="A436" s="63">
        <v>42358</v>
      </c>
      <c r="B436" s="26">
        <v>43</v>
      </c>
      <c r="C436" s="48">
        <v>221.45</v>
      </c>
    </row>
    <row r="437" spans="1:3" x14ac:dyDescent="0.25">
      <c r="A437" s="63">
        <v>42359</v>
      </c>
      <c r="B437" s="26">
        <v>63</v>
      </c>
      <c r="C437" s="48">
        <v>174</v>
      </c>
    </row>
    <row r="438" spans="1:3" x14ac:dyDescent="0.25">
      <c r="A438" s="63">
        <v>42360</v>
      </c>
      <c r="B438" s="26">
        <v>49</v>
      </c>
      <c r="C438" s="48">
        <v>206</v>
      </c>
    </row>
    <row r="439" spans="1:3" x14ac:dyDescent="0.25">
      <c r="A439" s="63">
        <v>42361</v>
      </c>
      <c r="B439" s="26">
        <v>40</v>
      </c>
      <c r="C439" s="48">
        <v>539.65</v>
      </c>
    </row>
    <row r="440" spans="1:3" x14ac:dyDescent="0.25">
      <c r="A440" s="63">
        <v>42362</v>
      </c>
      <c r="B440" s="26">
        <v>33</v>
      </c>
      <c r="C440" s="48">
        <v>677.5</v>
      </c>
    </row>
    <row r="441" spans="1:3" x14ac:dyDescent="0.25">
      <c r="A441" s="63">
        <v>42363</v>
      </c>
      <c r="B441" s="26">
        <v>62</v>
      </c>
      <c r="C441" s="48">
        <v>157.5</v>
      </c>
    </row>
    <row r="442" spans="1:3" x14ac:dyDescent="0.25">
      <c r="A442" s="63">
        <v>42364</v>
      </c>
      <c r="B442" s="26">
        <v>32</v>
      </c>
      <c r="C442" s="48">
        <v>680</v>
      </c>
    </row>
    <row r="443" spans="1:3" x14ac:dyDescent="0.25">
      <c r="A443" s="63">
        <v>42365</v>
      </c>
      <c r="B443" s="26">
        <v>33</v>
      </c>
      <c r="C443" s="48">
        <v>580</v>
      </c>
    </row>
    <row r="444" spans="1:3" x14ac:dyDescent="0.25">
      <c r="A444" s="63">
        <v>42366</v>
      </c>
      <c r="B444" s="26">
        <v>52</v>
      </c>
      <c r="C444" s="48">
        <v>538</v>
      </c>
    </row>
    <row r="445" spans="1:3" x14ac:dyDescent="0.25">
      <c r="A445" s="63">
        <v>42367</v>
      </c>
      <c r="B445" s="26">
        <v>32</v>
      </c>
      <c r="C445" s="48">
        <v>252.5</v>
      </c>
    </row>
    <row r="446" spans="1:3" x14ac:dyDescent="0.25">
      <c r="A446" s="63">
        <v>42368</v>
      </c>
      <c r="B446" s="26">
        <v>59</v>
      </c>
      <c r="C446" s="48">
        <v>348</v>
      </c>
    </row>
    <row r="447" spans="1:3" x14ac:dyDescent="0.25">
      <c r="A447" s="63">
        <v>42369</v>
      </c>
      <c r="B447" s="26">
        <v>32</v>
      </c>
      <c r="C447" s="48">
        <v>387.5</v>
      </c>
    </row>
    <row r="451" spans="1:2" x14ac:dyDescent="0.25">
      <c r="A451" s="215" t="s">
        <v>844</v>
      </c>
      <c r="B451" s="83"/>
    </row>
    <row r="453" spans="1:2" x14ac:dyDescent="0.25">
      <c r="A453" s="61" t="s">
        <v>849</v>
      </c>
      <c r="B453" s="30">
        <f>PEARSON(B456:B462,A456:A462)</f>
        <v>1</v>
      </c>
    </row>
    <row r="455" spans="1:2" x14ac:dyDescent="0.25">
      <c r="A455" s="61" t="s">
        <v>525</v>
      </c>
      <c r="B455" s="61" t="s">
        <v>845</v>
      </c>
    </row>
    <row r="456" spans="1:2" x14ac:dyDescent="0.25">
      <c r="A456" s="26">
        <v>5</v>
      </c>
      <c r="B456" s="26">
        <f t="shared" ref="B456:B462" si="3">A456*15</f>
        <v>75</v>
      </c>
    </row>
    <row r="457" spans="1:2" x14ac:dyDescent="0.25">
      <c r="A457" s="26">
        <v>10</v>
      </c>
      <c r="B457" s="26">
        <f t="shared" si="3"/>
        <v>150</v>
      </c>
    </row>
    <row r="458" spans="1:2" x14ac:dyDescent="0.25">
      <c r="A458" s="26">
        <v>6</v>
      </c>
      <c r="B458" s="26">
        <f t="shared" si="3"/>
        <v>90</v>
      </c>
    </row>
    <row r="459" spans="1:2" x14ac:dyDescent="0.25">
      <c r="A459" s="26">
        <v>19</v>
      </c>
      <c r="B459" s="26">
        <f t="shared" si="3"/>
        <v>285</v>
      </c>
    </row>
    <row r="460" spans="1:2" x14ac:dyDescent="0.25">
      <c r="A460" s="26">
        <v>20</v>
      </c>
      <c r="B460" s="26">
        <f t="shared" si="3"/>
        <v>300</v>
      </c>
    </row>
    <row r="461" spans="1:2" x14ac:dyDescent="0.25">
      <c r="A461" s="26">
        <v>15</v>
      </c>
      <c r="B461" s="26">
        <f t="shared" si="3"/>
        <v>225</v>
      </c>
    </row>
    <row r="462" spans="1:2" x14ac:dyDescent="0.25">
      <c r="A462" s="26">
        <v>16</v>
      </c>
      <c r="B462" s="26">
        <f t="shared" si="3"/>
        <v>240</v>
      </c>
    </row>
    <row r="465" spans="1:2" x14ac:dyDescent="0.25">
      <c r="A465" s="215" t="s">
        <v>846</v>
      </c>
      <c r="B465" s="83"/>
    </row>
    <row r="467" spans="1:2" x14ac:dyDescent="0.25">
      <c r="A467" s="61" t="s">
        <v>849</v>
      </c>
      <c r="B467" s="30">
        <f>PEARSON(B470:B474,A470:A474)</f>
        <v>-0.99999999999999989</v>
      </c>
    </row>
    <row r="469" spans="1:2" x14ac:dyDescent="0.25">
      <c r="A469" s="61" t="s">
        <v>847</v>
      </c>
      <c r="B469" s="61" t="s">
        <v>848</v>
      </c>
    </row>
    <row r="470" spans="1:2" x14ac:dyDescent="0.25">
      <c r="A470" s="26">
        <v>25</v>
      </c>
      <c r="B470" s="26">
        <v>5</v>
      </c>
    </row>
    <row r="471" spans="1:2" x14ac:dyDescent="0.25">
      <c r="A471" s="26">
        <f>A470-5</f>
        <v>20</v>
      </c>
      <c r="B471" s="26">
        <f>B470+5</f>
        <v>10</v>
      </c>
    </row>
    <row r="472" spans="1:2" x14ac:dyDescent="0.25">
      <c r="A472" s="26">
        <f>A471-5</f>
        <v>15</v>
      </c>
      <c r="B472" s="26">
        <f>B471+5</f>
        <v>15</v>
      </c>
    </row>
    <row r="473" spans="1:2" x14ac:dyDescent="0.25">
      <c r="A473" s="26">
        <f>A472-5</f>
        <v>10</v>
      </c>
      <c r="B473" s="26">
        <f>B472+5</f>
        <v>20</v>
      </c>
    </row>
    <row r="474" spans="1:2" x14ac:dyDescent="0.25">
      <c r="A474" s="26">
        <f>A473-5</f>
        <v>5</v>
      </c>
      <c r="B474" s="26">
        <f>B473+5</f>
        <v>25</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95DA1CC306AED45A7C34DAE8131F5F0" ma:contentTypeVersion="0" ma:contentTypeDescription="Create a new document." ma:contentTypeScope="" ma:versionID="13d1488ab429c4b07fdb2e8665e2a8ee">
  <xsd:schema xmlns:xsd="http://www.w3.org/2001/XMLSchema" xmlns:xs="http://www.w3.org/2001/XMLSchema" xmlns:p="http://schemas.microsoft.com/office/2006/metadata/properties" targetNamespace="http://schemas.microsoft.com/office/2006/metadata/properties" ma:root="true" ma:fieldsID="658c82ff41bb488454361111d0c8b865">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A79C414-0354-437D-A91F-77B1852F11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A38D3DF-3D0F-4429-8E08-E420D47ECAC2}">
  <ds:schemaRefs>
    <ds:schemaRef ds:uri="http://schemas.openxmlformats.org/package/2006/metadata/core-properties"/>
    <ds:schemaRef ds:uri="http://purl.org/dc/terms/"/>
    <ds:schemaRef ds:uri="http://purl.org/dc/dcmitype/"/>
    <ds:schemaRef ds:uri="http://schemas.microsoft.com/office/2006/metadata/properties"/>
    <ds:schemaRef ds:uri="http://purl.org/dc/elements/1.1/"/>
    <ds:schemaRef ds:uri="http://schemas.microsoft.com/office/2006/documentManagement/type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4258734B-1CFA-4C4B-BCF0-CAF095B7D48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81</vt:i4>
      </vt:variant>
      <vt:variant>
        <vt:lpstr>Named Ranges</vt:lpstr>
      </vt:variant>
      <vt:variant>
        <vt:i4>1</vt:i4>
      </vt:variant>
    </vt:vector>
  </HeadingPairs>
  <TitlesOfParts>
    <vt:vector size="82" baseType="lpstr">
      <vt:lpstr>Topics</vt:lpstr>
      <vt:lpstr>Detailed Topic List</vt:lpstr>
      <vt:lpstr>Keyboards</vt:lpstr>
      <vt:lpstr>Notes</vt:lpstr>
      <vt:lpstr>Location</vt:lpstr>
      <vt:lpstr>Location (an)</vt:lpstr>
      <vt:lpstr>Terms</vt:lpstr>
      <vt:lpstr>MeanPorS</vt:lpstr>
      <vt:lpstr>MeanPorS (an)</vt:lpstr>
      <vt:lpstr>Mean</vt:lpstr>
      <vt:lpstr>Mean (an)</vt:lpstr>
      <vt:lpstr>Median</vt:lpstr>
      <vt:lpstr>Median (an)</vt:lpstr>
      <vt:lpstr>Mode</vt:lpstr>
      <vt:lpstr>Mode (an)</vt:lpstr>
      <vt:lpstr>Skew</vt:lpstr>
      <vt:lpstr>Skew (an)</vt:lpstr>
      <vt:lpstr>Weighted Mean</vt:lpstr>
      <vt:lpstr>Weighted Mean (an)</vt:lpstr>
      <vt:lpstr>WM(2)</vt:lpstr>
      <vt:lpstr>WM(2an)</vt:lpstr>
      <vt:lpstr>GroupedDataMean</vt:lpstr>
      <vt:lpstr>Trimmed Mean</vt:lpstr>
      <vt:lpstr>Geometric Mean</vt:lpstr>
      <vt:lpstr>Geometric Mean (an)</vt:lpstr>
      <vt:lpstr>PercentiileAndQuartile</vt:lpstr>
      <vt:lpstr>PercentiileAndQuartile (an)</vt:lpstr>
      <vt:lpstr>Rank</vt:lpstr>
      <vt:lpstr>Stock</vt:lpstr>
      <vt:lpstr>Rank (an)</vt:lpstr>
      <vt:lpstr>V(1)</vt:lpstr>
      <vt:lpstr>V(2)</vt:lpstr>
      <vt:lpstr>V(3)</vt:lpstr>
      <vt:lpstr>V(4)</vt:lpstr>
      <vt:lpstr>V(4an)</vt:lpstr>
      <vt:lpstr>V(5)</vt:lpstr>
      <vt:lpstr>V(5an)</vt:lpstr>
      <vt:lpstr>V(6)</vt:lpstr>
      <vt:lpstr>V(7)</vt:lpstr>
      <vt:lpstr>V(7an)</vt:lpstr>
      <vt:lpstr>V(8)</vt:lpstr>
      <vt:lpstr>V(9)</vt:lpstr>
      <vt:lpstr>V(9an)</vt:lpstr>
      <vt:lpstr>V(10)</vt:lpstr>
      <vt:lpstr>DS</vt:lpstr>
      <vt:lpstr>DS (an)</vt:lpstr>
      <vt:lpstr>Skew (2)</vt:lpstr>
      <vt:lpstr>Skew (2an)</vt:lpstr>
      <vt:lpstr>Skew (3)</vt:lpstr>
      <vt:lpstr>S(L)</vt:lpstr>
      <vt:lpstr>S(B)</vt:lpstr>
      <vt:lpstr>S(R)</vt:lpstr>
      <vt:lpstr>S(HR)</vt:lpstr>
      <vt:lpstr>z(1)</vt:lpstr>
      <vt:lpstr>z(1an)</vt:lpstr>
      <vt:lpstr>z(2)</vt:lpstr>
      <vt:lpstr>z(2an)</vt:lpstr>
      <vt:lpstr>z(3)</vt:lpstr>
      <vt:lpstr>z(3an)</vt:lpstr>
      <vt:lpstr>Chebyshev</vt:lpstr>
      <vt:lpstr>Chebyshev (an)</vt:lpstr>
      <vt:lpstr>Empirical Rule</vt:lpstr>
      <vt:lpstr>HeightChart</vt:lpstr>
      <vt:lpstr>Empirical Rule (an)</vt:lpstr>
      <vt:lpstr>Bell&amp;Cheb</vt:lpstr>
      <vt:lpstr>Bell&amp;Cheb (an)</vt:lpstr>
      <vt:lpstr>5 N S</vt:lpstr>
      <vt:lpstr>5 N S (an)</vt:lpstr>
      <vt:lpstr>5 Number &amp; Box Blot</vt:lpstr>
      <vt:lpstr>5 Number &amp; Box Blot (an)</vt:lpstr>
      <vt:lpstr>Outliers</vt:lpstr>
      <vt:lpstr>Outliers (an)</vt:lpstr>
      <vt:lpstr>BP Chart</vt:lpstr>
      <vt:lpstr>Multiple BP</vt:lpstr>
      <vt:lpstr>Monthly Salary</vt:lpstr>
      <vt:lpstr>2 Variable Notes</vt:lpstr>
      <vt:lpstr>2 Variable Scatter</vt:lpstr>
      <vt:lpstr>2 Variable Xbar Lines</vt:lpstr>
      <vt:lpstr>2 Variable Xbar Lines (an)</vt:lpstr>
      <vt:lpstr>2 Variables Cov and Corr</vt:lpstr>
      <vt:lpstr>2 Variables Cov and Corr (an)</vt:lpstr>
      <vt:lpstr>Notes!Print_Area</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hp</cp:lastModifiedBy>
  <cp:lastPrinted>2015-01-26T18:36:51Z</cp:lastPrinted>
  <dcterms:created xsi:type="dcterms:W3CDTF">2015-01-07T18:46:23Z</dcterms:created>
  <dcterms:modified xsi:type="dcterms:W3CDTF">2021-12-27T22:29:54Z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0x010100095DA1CC306AED45A7C34DAE8131F5F0</vt:lpwstr>
  </property>
</Properties>
</file>