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rototype. " sheetId="1" state="visible" r:id="rId2"/>
  </sheets>
  <definedNames>
    <definedName function="false" hidden="false" name="BoardQty" vbProcedure="false">'prototype. '!$I$1</definedName>
    <definedName function="false" hidden="false" name="digikey_part_data" vbProcedure="false">'prototype. '!$J$5:$N$54</definedName>
    <definedName function="false" hidden="false" name="global_part_data" vbProcedure="false">'prototype. '!$A$5:$I$54</definedName>
    <definedName function="false" hidden="false" name="TotalCost" vbProcedure="false">'prototype. '!$I$3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6" authorId="0">
      <text>
        <r>
          <rPr>
            <sz val="8"/>
            <color rgb="FF000000"/>
            <rFont val="Tahoma"/>
            <family val="2"/>
            <charset val="1"/>
          </rPr>
          <t xml:space="preserve">Schematic identifier for each part.</t>
        </r>
      </text>
    </comment>
    <comment ref="B6" authorId="0">
      <text>
        <r>
          <rPr>
            <sz val="8"/>
            <color rgb="FF000000"/>
            <rFont val="Tahoma"/>
            <family val="2"/>
            <charset val="1"/>
          </rPr>
          <t xml:space="preserve">Value of each part.</t>
        </r>
      </text>
    </comment>
    <comment ref="C6" authorId="0">
      <text>
        <r>
          <rPr>
            <sz val="8"/>
            <color rgb="FF000000"/>
            <rFont val="Tahoma"/>
            <family val="2"/>
            <charset val="1"/>
          </rPr>
          <t xml:space="preserve">Description of each part.</t>
        </r>
      </text>
    </comment>
    <comment ref="D6" authorId="0">
      <text>
        <r>
          <rPr>
            <sz val="8"/>
            <color rgb="FF000000"/>
            <rFont val="Tahoma"/>
            <family val="2"/>
            <charset val="1"/>
          </rPr>
          <t xml:space="preserve">PCB footprint for each part.</t>
        </r>
      </text>
    </comment>
    <comment ref="E6" authorId="0">
      <text>
        <r>
          <rPr>
            <sz val="8"/>
            <color rgb="FF000000"/>
            <rFont val="Tahoma"/>
            <family val="2"/>
            <charset val="1"/>
          </rPr>
          <t xml:space="preserve">Manufacturer of each part.</t>
        </r>
      </text>
    </comment>
    <comment ref="F6" authorId="0">
      <text>
        <r>
          <rPr>
            <sz val="8"/>
            <color rgb="FF000000"/>
            <rFont val="Tahoma"/>
            <family val="2"/>
            <charset val="1"/>
          </rPr>
          <t xml:space="preserve">Manufacturer number for each part and link to it's datasheet (ctrl-click).</t>
        </r>
      </text>
    </comment>
    <comment ref="G6" authorId="0">
      <text>
        <r>
          <rPr>
            <sz val="8"/>
            <color rgb="FF000000"/>
            <rFont val="Tahoma"/>
            <family val="2"/>
            <charset val="1"/>
          </rPr>
          <t xml:space="preserve">Total number of each part needed to assemble the board(s).
Gray -&gt; Not manf# codes.
Red -&gt; No parts available.
Orange -&gt; Parts available, but not enough.
Yellow -&gt; Enough parts available, but haven't purchased enough.</t>
        </r>
      </text>
    </comment>
    <comment ref="H6" authorId="0">
      <text>
        <r>
          <rPr>
            <sz val="8"/>
            <color rgb="FF000000"/>
            <rFont val="Tahoma"/>
            <family val="2"/>
            <charset val="1"/>
          </rPr>
          <t xml:space="preserve">Minimum unit price for each part across all distributors.</t>
        </r>
      </text>
    </comment>
    <comment ref="I6" authorId="0">
      <text>
        <r>
          <rPr>
            <sz val="8"/>
            <color rgb="FF000000"/>
            <rFont val="Tahoma"/>
            <family val="2"/>
            <charset val="1"/>
          </rPr>
          <t xml:space="preserve">Minimum extended price for each part across all distributors.</t>
        </r>
      </text>
    </comment>
    <comment ref="J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K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K56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L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L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$10.21     $10.21
   100   $9.19    $918.75
   500   $8.67   $4336.51
  1000   $8.06   $8064.04</t>
        </r>
      </text>
    </comment>
    <comment ref="L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$0.16      $0.16
    10   $0.12      $1.17
   100   $0.06      $5.50
   500   $0.04     $19.29
  1000   $0.03     $31.94
  2500   $0.03     $74.33
  5000   $0.03    $136.00
 10000   $0.02    $220.00
 20000   $0.02    $418.00
 30000   $0.02    $594.00</t>
        </r>
      </text>
    </comment>
    <comment ref="L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$0.52      $0.52
    10   $0.36      $3.62
   100   $0.22     $21.70
   500   $0.16     $81.38
  1000   $0.12    $119.50
  2000   $0.11    $226.42
  5000   $0.11    $534.60
 10000   $0.10   $1006.30
 25000   $0.09   $2358.50
 50000   $0.09   $4402.50
100000   $0.08   $8176.00</t>
        </r>
      </text>
    </comment>
    <comment ref="L1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$0.75      $0.75
    10   $0.53      $5.30
   100   $0.35     $34.93
   500   $0.26    $129.38
  1000   $0.22    $219.94
  4000   $0.17    $675.00</t>
        </r>
      </text>
    </comment>
    <comment ref="L1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$0.18      $0.18
    10   $0.13      $1.28
   100   $0.06      $6.03
   500   $0.04     $21.15
  1000   $0.04     $35.02
  3000   $0.03     $85.05</t>
        </r>
      </text>
    </comment>
    <comment ref="L1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$0.75      $0.75
    10   $0.53      $5.30
   100   $0.35     $34.93
   500   $0.26    $129.38
  1000   $0.22    $219.94
  4000   $0.17    $675.00</t>
        </r>
      </text>
    </comment>
    <comment ref="L1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$0.24      $0.24
    10   $0.16      $1.61
   100   $0.08      $8.14
   500   $0.06     $27.85
  1000   $0.05     $49.28
  4000   $0.04    $160.20
 30000   $0.02    $675.00</t>
        </r>
      </text>
    </comment>
    <comment ref="L1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$0.49      $0.49
    10   $0.41      $4.10
    25   $0.36      $8.97
   100   $0.31     $30.77
   250   $0.27     $66.67
   500   $0.23    $112.82
  1000   $0.17    $174.36
  2500   $0.16    $397.45
  5000   $0.14    $723.50
 10000   $0.13   $1347.20
 25000   $0.13   $3326.50</t>
        </r>
      </text>
    </comment>
    <comment ref="L1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$0.31      $0.31
    10   $0.23      $2.25
    25   $0.17      $4.14
   100   $0.12     $11.83
   250   $0.08     $20.10
   500   $0.07     $35.48
  1000   $0.06     $55.58
  3000   $0.05    $148.35
  6000   $0.04    $258.00
 15000   $0.04    $580.50
 30000   $0.03   $1032.00
 75000   $0.03   $2338.50
150000   $0.03   $4354.50</t>
        </r>
      </text>
    </comment>
    <comment ref="L1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$0.31      $0.31
    10   $0.23      $2.25
    25   $0.17      $4.14
   100   $0.12     $11.83
   250   $0.08     $20.10
   500   $0.07     $35.48
  1000   $0.06     $55.58
  3000   $0.05    $148.35
  6000   $0.04    $258.00
 15000   $0.04    $580.50
 30000   $0.03   $1032.00
 75000   $0.03   $2338.50
150000   $0.03   $4354.50</t>
        </r>
      </text>
    </comment>
    <comment ref="L1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$1.80      $1.80
     5   $1.72      $8.58
    10   $1.63     $16.30
    50   $1.32     $65.78
   100   $1.12    $111.54
   250   $1.09    $271.70
   500   $0.92    $457.60
  1000   $0.82    $815.10
  2500   $0.70   $1755.00
  5000   $0.65   $3250.00</t>
        </r>
      </text>
    </comment>
    <comment ref="L1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$2.60      $2.60
     5   $2.48     $12.39
    10   $2.35     $23.54
    50   $1.90     $95.00
   100   $1.61    $161.09
   250   $1.57    $392.40
   500   $1.20    $600.80
  1000   $1.07   $1070.18
  1500   $1.03   $1548.94
  2500   $1.01   $2534.62
  3500   $0.98   $3417.05
  5000   $0.94   $4693.75</t>
        </r>
      </text>
    </comment>
    <comment ref="L1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$0.60      $0.60
    10   $0.56      $5.58
    25   $0.50     $12.56
    50   $0.45     $22.32
   100   $0.43     $42.78
   250   $0.39     $97.65
   500   $0.37    $186.00
  1000   $0.31    $306.90
  2500   $0.28    $697.50</t>
        </r>
      </text>
    </comment>
    <comment ref="L2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$1.24      $1.24
    10   $1.12     $11.25
   100   $0.96     $96.39
   500   $0.80    $401.63
  1000   $0.69    $688.50
  5000   $0.66   $3315.00</t>
        </r>
      </text>
    </comment>
    <comment ref="L2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$1.51      $1.51
    10   $1.37     $13.74
   100   $1.18    $117.75
   500   $0.98    $490.61
  1000   $0.84    $841.05
  5000   $0.81   $4049.50</t>
        </r>
      </text>
    </comment>
    <comment ref="L2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$0.21      $0.21
    10   $0.20      $1.99
    25   $0.17      $4.25
    50   $0.15      $7.43
   100   $0.14     $13.81
   250   $0.12     $30.53
   500   $0.12     $58.41
  1000   $0.10     $95.58
  2500   $0.09    $219.05</t>
        </r>
      </text>
    </comment>
    <comment ref="L2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$0.93      $0.93
    10   $0.82      $8.19
   100   $0.71     $70.69
   500   $0.58    $289.17
  1000   $0.51    $514.08
  5000   $0.46   $2320.50</t>
        </r>
      </text>
    </comment>
    <comment ref="L2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$1.24      $1.24
    10   $1.12     $11.25
   100   $0.96     $96.39
   500   $0.80    $401.63
  1000   $0.69    $688.50
  5000   $0.66   $3315.00</t>
        </r>
      </text>
    </comment>
    <comment ref="L2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$0.65      $0.65
    10   $0.61      $6.08
   100   $0.47     $46.58
   500   $0.41    $202.50
  1000   $0.33    $334.13
  5000   $0.29   $1468.15
 10000   $0.29   $2925.00</t>
        </r>
      </text>
    </comment>
    <comment ref="L2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$9.52      $9.52
    10   $9.11     $91.09
    25   $8.28    $207.03
    50   $7.87    $393.36
   100   $7.66    $766.01
   250   $6.83   $1708.00
   500   $6.42   $3208.97
  1000   $5.67   $5672.62</t>
        </r>
      </text>
    </comment>
    <comment ref="L2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$30.22     $30.22
    10  $27.95    $279.54
    25  $25.69    $642.18
   100  $23.87   $2387.38
   250  $21.91   $5477.38</t>
        </r>
      </text>
    </comment>
    <comment ref="L2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$0.45      $0.45
    10   $0.42      $4.24
   100   $0.33     $32.50
   500   $0.28    $141.30
  1000   $0.23    $233.15
  5000   $0.20   $1024.45
 10000   $0.20   $2041.00</t>
        </r>
      </text>
    </comment>
    <comment ref="L2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$0.73      $0.73
    10   $0.69      $6.88
    25   $0.62     $15.47
    50   $0.55     $27.51
   100   $0.53     $52.73
   250   $0.48    $120.35
   500   $0.46    $229.24
  1000   $0.38    $378.25
  2000   $0.38    $756.30
  2500   $0.34    $859.65
  3000   $0.37   $1096.65
  5000   $0.30   $1510.90
 10000   $0.28   $2813.40
 15000   $0.28   $4157.55
 25000   $0.27   $6773.00</t>
        </r>
      </text>
    </comment>
    <comment ref="L3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$5.95      $5.95</t>
        </r>
      </text>
    </comment>
    <comment ref="L3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$9.95      $9.95</t>
        </r>
      </text>
    </comment>
    <comment ref="L3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$7.22      $7.22
    10   $6.92     $69.21
   100   $5.72    $571.70
   500   $4.81   $2407.18
  1000   $4.21   $4212.56</t>
        </r>
      </text>
    </comment>
    <comment ref="L3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$0.28      $0.28
    10   $0.66      $6.58
    25   $0.26      $6.43
    50   $0.44     $21.95
   100   $0.23     $23.30
   650   $0.32    $207.48
  1000   $0.22    $219.60</t>
        </r>
      </text>
    </comment>
    <comment ref="L3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$1.17      $1.17
    10   $1.03     $10.26
   100   $0.89     $88.51
   500   $0.72    $362.07
  1000   $0.64    $643.68
  5000   $0.58   $2905.50</t>
        </r>
      </text>
    </comment>
    <comment ref="L3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$0.13      $0.13
    10   $0.11      $1.06
    25   $0.09      $2.20
    50   $0.07      $3.70
   100   $0.07      $6.70
  1000   $0.06     $61.00</t>
        </r>
      </text>
    </comment>
    <comment ref="L3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$0.13      $0.13
    10   $0.11      $1.06
    25   $0.09      $2.20
    50   $0.07      $3.70
   100   $0.07      $6.70
  1000   $0.06     $61.00</t>
        </r>
      </text>
    </comment>
    <comment ref="L4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$0.13      $0.13
    10   $0.11      $1.06
    25   $0.09      $2.20
    50   $0.07      $3.70
   100   $0.07      $6.70
  1000   $0.06     $61.00</t>
        </r>
      </text>
    </comment>
    <comment ref="L4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$0.90      $0.90
    10   $0.79      $7.88
   100   $0.61     $60.76
   500   $0.45    $225.06
  1000   $0.36    $360.09
  3000   $0.32    $950.49</t>
        </r>
      </text>
    </comment>
    <comment ref="L4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$0.21      $0.21
    10   $0.19      $1.93
    25   $0.18      $4.39
   100   $0.13     $12.65
   250   $0.07     $18.63
   500   $0.06     $30.93
  1000   $0.04     $42.18
  3000   $0.03    $104.43
  6000   $0.03    $188.40
 15000   $0.03    $409.50
 30000   $0.02    $737.10
 75000   $0.02   $1638.00
150000   $0.02   $2730.00</t>
        </r>
      </text>
    </comment>
    <comment ref="L4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$0.24      $0.24
    10   $0.20      $2.04
    25   $0.15      $3.72
    50   $0.11      $5.39
   100   $0.08      $7.99
   250   $0.06     $15.34
   500   $0.05     $24.17
  1000   $0.03     $33.46
  5000   $0.03    $126.75
 10000   $0.02    $236.60
 25000   $0.02    $562.00
 50000   $0.02   $1101.00
125000   $0.02   $2693.75</t>
        </r>
      </text>
    </comment>
    <comment ref="L4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$0.22
   100   $0.01      $0.88
  1000   $0.00      $3.96
  2500   $0.00      $8.60
  5000   $0.00     $14.20
 10000   $0.00     $24.70
 25000   $0.00     $54.25
 50000   $0.00     $99.50
125000   $0.00    $243.75</t>
        </r>
      </text>
    </comment>
    <comment ref="L4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$0.09      $0.87
   100   $0.03      $3.33
  1000   $0.01     $14.64
  2500   $0.01     $31.60
  5000   $0.01     $51.45</t>
        </r>
      </text>
    </comment>
    <comment ref="L4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$0.06      $0.55
   100   $0.02      $2.23
  1000   $0.01     $10.03
  2500   $0.01     $21.75
  5000   $0.01     $32.70
 10000   $0.01     $56.80
 20000   $0.01    $113.60
 25000   $0.01    $133.00
 30000   $0.01    $159.60</t>
        </r>
      </text>
    </comment>
    <comment ref="L4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$0.36      $0.36
    10   $0.30      $3.02
   100   $0.12     $11.82
  1000   $0.05     $49.48
  2500   $0.05    $113.40
  5000   $0.04    $187.45
 10000   $0.03    $349.90
 25000   $0.03    $862.75</t>
        </r>
      </text>
    </comment>
    <comment ref="L4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$0.11      $0.11
    10   $0.10      $0.98
   100   $0.04      $3.76
  1000   $0.02     $16.54
  2500   $0.01     $35.70
  5000   $0.01     $58.10
 10000   $0.01    $104.20
 25000   $0.01    $239.25
 50000   $0.01    $472.00</t>
        </r>
      </text>
    </comment>
    <comment ref="L5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$0.40      $0.40
    10   $0.34      $3.44
   100   $0.26     $25.67
   250   $0.26     $64.53
   500   $0.21    $106.80
  1000   $0.14    $142.76
  1250   $0.16    $200.25
  3000   $0.10    $288.75</t>
        </r>
      </text>
    </comment>
    <comment ref="L5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$10.64     $10.64</t>
        </r>
      </text>
    </comment>
    <comment ref="L5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$90.78     $90.78</t>
        </r>
      </text>
    </comment>
    <comment ref="M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N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N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  <comment ref="N7" authorId="0">
      <text>
        <r>
          <rPr>
            <sz val="8"/>
            <color rgb="FF000000"/>
            <rFont val="Tahoma"/>
            <family val="2"/>
            <charset val="1"/>
          </rPr>
          <t xml:space="preserve">Manf: Taoglas Limited</t>
        </r>
      </text>
    </comment>
    <comment ref="N8" authorId="0">
      <text>
        <r>
          <rPr>
            <sz val="8"/>
            <color rgb="FF000000"/>
            <rFont val="Tahoma"/>
            <family val="2"/>
            <charset val="1"/>
          </rPr>
          <t xml:space="preserve">Footprint: 0805 (2012 Metric)
Manf: Murata Electronics North America
Size: 0.079" L x 0.049" W (2.00mm x 1.25mm)
Tolerance: ±10%
Value: 0.1µF
Voltage: 100V</t>
        </r>
      </text>
    </comment>
    <comment ref="N9" authorId="0">
      <text>
        <r>
          <rPr>
            <sz val="8"/>
            <color rgb="FF000000"/>
            <rFont val="Tahoma"/>
            <family val="2"/>
            <charset val="1"/>
          </rPr>
          <t xml:space="preserve">Footprint: Radial, Can - SMD
Manf: Nichicon
Size: 0.248" Dia (6.30mm)
Tolerance: ±20%
Value: 220µF
Voltage: 6.3V</t>
        </r>
      </text>
    </comment>
    <comment ref="N10" authorId="0">
      <text>
        <r>
          <rPr>
            <sz val="8"/>
            <color rgb="FF000000"/>
            <rFont val="Tahoma"/>
            <family val="2"/>
            <charset val="1"/>
          </rPr>
          <t xml:space="preserve">Footprint: 0805 (2012 Metric)
Manf: TDK Corporation
Size: 0.079" L x 0.049" W (2.00mm x 1.25mm)
Tolerance: ±20%
Value: 10µF
Voltage: 25V</t>
        </r>
      </text>
    </comment>
    <comment ref="N11" authorId="0">
      <text>
        <r>
          <rPr>
            <sz val="8"/>
            <color rgb="FF000000"/>
            <rFont val="Tahoma"/>
            <family val="2"/>
            <charset val="1"/>
          </rPr>
          <t xml:space="preserve">Footprint: 0805 (2012 Metric)
Manf: Yageo
Size: 0.079" L x 0.049" W (2.00mm x 1.25mm)
Tolerance: ±10%
Value: 1µF
Voltage: 16V</t>
        </r>
      </text>
    </comment>
    <comment ref="N12" authorId="0">
      <text>
        <r>
          <rPr>
            <sz val="8"/>
            <color rgb="FF000000"/>
            <rFont val="Tahoma"/>
            <family val="2"/>
            <charset val="1"/>
          </rPr>
          <t xml:space="preserve">Footprint: 0805 (2012 Metric)
Manf: TDK Corporation
Size: 0.079" L x 0.049" W (2.00mm x 1.25mm)
Tolerance: ±20%
Value: 10µF
Voltage: 25V</t>
        </r>
      </text>
    </comment>
    <comment ref="N13" authorId="0">
      <text>
        <r>
          <rPr>
            <sz val="8"/>
            <color rgb="FF000000"/>
            <rFont val="Tahoma"/>
            <family val="2"/>
            <charset val="1"/>
          </rPr>
          <t xml:space="preserve">Footprint: 0603 (1608 Metric)
Manf: AVX Corporation
Size: 0.063" L x 0.032" W (1.60mm x 0.81mm)
Tolerance: ±1%
Value: 100pF
Voltage: 50V</t>
        </r>
      </text>
    </comment>
    <comment ref="N14" authorId="0">
      <text>
        <r>
          <rPr>
            <sz val="8"/>
            <color rgb="FF000000"/>
            <rFont val="Tahoma"/>
            <family val="2"/>
            <charset val="1"/>
          </rPr>
          <t xml:space="preserve">Footprint: DO-214AC, SMA
Manf: Littelfuse Inc.</t>
        </r>
      </text>
    </comment>
    <comment ref="N15" authorId="0">
      <text>
        <r>
          <rPr>
            <sz val="8"/>
            <color rgb="FF000000"/>
            <rFont val="Tahoma"/>
            <family val="2"/>
            <charset val="1"/>
          </rPr>
          <t xml:space="preserve">Footprint: 0805 (2012 Metric)
Manf: Lite-On Inc.
Size: 2.00mm L x 1.25mm W</t>
        </r>
      </text>
    </comment>
    <comment ref="N16" authorId="0">
      <text>
        <r>
          <rPr>
            <sz val="8"/>
            <color rgb="FF000000"/>
            <rFont val="Tahoma"/>
            <family val="2"/>
            <charset val="1"/>
          </rPr>
          <t xml:space="preserve">Footprint: 0805 (2012 Metric)
Manf: Lite-On Inc.
Size: 2.00mm L x 1.25mm W</t>
        </r>
      </text>
    </comment>
    <comment ref="N17" authorId="0">
      <text>
        <r>
          <rPr>
            <sz val="8"/>
            <color rgb="FF000000"/>
            <rFont val="Tahoma"/>
            <family val="2"/>
            <charset val="1"/>
          </rPr>
          <t xml:space="preserve">Footprint: 2-SMD, Square End Block
Manf: Littelfuse Inc.
Size: 0.398" L x 0.123" W x 0.123" H (10.10mm x 3.12mm x 3.12mm)</t>
        </r>
      </text>
    </comment>
    <comment ref="N18" authorId="0">
      <text>
        <r>
          <rPr>
            <sz val="8"/>
            <color rgb="FF000000"/>
            <rFont val="Tahoma"/>
            <family val="2"/>
            <charset val="1"/>
          </rPr>
          <t xml:space="preserve">Footprint: 2-SMD Cylinder Square End
Manf: Littelfuse Inc.
Tolerance: -</t>
        </r>
      </text>
    </comment>
    <comment ref="N19" authorId="0">
      <text>
        <r>
          <rPr>
            <sz val="8"/>
            <color rgb="FF000000"/>
            <rFont val="Tahoma"/>
            <family val="2"/>
            <charset val="1"/>
          </rPr>
          <t xml:space="preserve">Manf: CUI Inc.
Voltage: 24VDC</t>
        </r>
      </text>
    </comment>
    <comment ref="N20" authorId="0">
      <text>
        <r>
          <rPr>
            <sz val="8"/>
            <color rgb="FF000000"/>
            <rFont val="Tahoma"/>
            <family val="2"/>
            <charset val="1"/>
          </rPr>
          <t xml:space="preserve">Manf: Sullins Connector Solutions</t>
        </r>
      </text>
    </comment>
    <comment ref="N21" authorId="0">
      <text>
        <r>
          <rPr>
            <sz val="8"/>
            <color rgb="FF000000"/>
            <rFont val="Tahoma"/>
            <family val="2"/>
            <charset val="1"/>
          </rPr>
          <t xml:space="preserve">Manf: Sullins Connector Solutions</t>
        </r>
      </text>
    </comment>
    <comment ref="N22" authorId="0">
      <text>
        <r>
          <rPr>
            <sz val="8"/>
            <color rgb="FF000000"/>
            <rFont val="Tahoma"/>
            <family val="2"/>
            <charset val="1"/>
          </rPr>
          <t xml:space="preserve">Manf: Sullins Connector Solutions</t>
        </r>
      </text>
    </comment>
    <comment ref="N23" authorId="0">
      <text>
        <r>
          <rPr>
            <sz val="8"/>
            <color rgb="FF000000"/>
            <rFont val="Tahoma"/>
            <family val="2"/>
            <charset val="1"/>
          </rPr>
          <t xml:space="preserve">Manf: Sullins Connector Solutions</t>
        </r>
      </text>
    </comment>
    <comment ref="N24" authorId="0">
      <text>
        <r>
          <rPr>
            <sz val="8"/>
            <color rgb="FF000000"/>
            <rFont val="Tahoma"/>
            <family val="2"/>
            <charset val="1"/>
          </rPr>
          <t xml:space="preserve">Manf: Sullins Connector Solutions</t>
        </r>
      </text>
    </comment>
    <comment ref="N25" authorId="0">
      <text>
        <r>
          <rPr>
            <sz val="8"/>
            <color rgb="FF000000"/>
            <rFont val="Tahoma"/>
            <family val="2"/>
            <charset val="1"/>
          </rPr>
          <t xml:space="preserve">Manf: Sullins Connector Solutions</t>
        </r>
      </text>
    </comment>
    <comment ref="N26" authorId="0">
      <text>
        <r>
          <rPr>
            <sz val="8"/>
            <color rgb="FF000000"/>
            <rFont val="Tahoma"/>
            <family val="2"/>
            <charset val="1"/>
          </rPr>
          <t xml:space="preserve">Manf: Amphenol LTW</t>
        </r>
      </text>
    </comment>
    <comment ref="N27" authorId="0">
      <text>
        <r>
          <rPr>
            <sz val="8"/>
            <color rgb="FF000000"/>
            <rFont val="Tahoma"/>
            <family val="2"/>
            <charset val="1"/>
          </rPr>
          <t xml:space="preserve">Manf: Laird Technologies IAS</t>
        </r>
      </text>
    </comment>
    <comment ref="N28" authorId="0">
      <text>
        <r>
          <rPr>
            <sz val="8"/>
            <color rgb="FF000000"/>
            <rFont val="Tahoma"/>
            <family val="2"/>
            <charset val="1"/>
          </rPr>
          <t xml:space="preserve">Manf: Sullins Connector Solutions</t>
        </r>
      </text>
    </comment>
    <comment ref="N29" authorId="0">
      <text>
        <r>
          <rPr>
            <sz val="8"/>
            <color rgb="FF000000"/>
            <rFont val="Tahoma"/>
            <family val="2"/>
            <charset val="1"/>
          </rPr>
          <t xml:space="preserve">Manf: Molex, LLC</t>
        </r>
      </text>
    </comment>
    <comment ref="N30" authorId="0">
      <text>
        <r>
          <rPr>
            <sz val="8"/>
            <color rgb="FF000000"/>
            <rFont val="Tahoma"/>
            <family val="2"/>
            <charset val="1"/>
          </rPr>
          <t xml:space="preserve">Manf: Adafruit Industries LLC</t>
        </r>
      </text>
    </comment>
    <comment ref="N31" authorId="0">
      <text>
        <r>
          <rPr>
            <sz val="8"/>
            <color rgb="FF000000"/>
            <rFont val="Tahoma"/>
            <family val="2"/>
            <charset val="1"/>
          </rPr>
          <t xml:space="preserve">Footprint: Housed Sensor
Manf: Adafruit Industries LLC</t>
        </r>
      </text>
    </comment>
    <comment ref="N32" authorId="0">
      <text>
        <r>
          <rPr>
            <sz val="8"/>
            <color rgb="FF000000"/>
            <rFont val="Tahoma"/>
            <family val="2"/>
            <charset val="1"/>
          </rPr>
          <t xml:space="preserve">Manf: Mill-Max Manufacturing Corp.</t>
        </r>
      </text>
    </comment>
    <comment ref="N34" authorId="0">
      <text>
        <r>
          <rPr>
            <sz val="8"/>
            <color rgb="FF000000"/>
            <rFont val="Tahoma"/>
            <family val="2"/>
            <charset val="1"/>
          </rPr>
          <t xml:space="preserve">Manf: Linx Technologies Inc.</t>
        </r>
      </text>
    </comment>
    <comment ref="N36" authorId="0">
      <text>
        <r>
          <rPr>
            <sz val="8"/>
            <color rgb="FF000000"/>
            <rFont val="Tahoma"/>
            <family val="2"/>
            <charset val="1"/>
          </rPr>
          <t xml:space="preserve">Manf: Sullins Connector Solutions</t>
        </r>
      </text>
    </comment>
    <comment ref="N38" authorId="0">
      <text>
        <r>
          <rPr>
            <sz val="8"/>
            <color rgb="FF000000"/>
            <rFont val="Tahoma"/>
            <family val="2"/>
            <charset val="1"/>
          </rPr>
          <t xml:space="preserve">Manf: Wurth Electronics Inc.</t>
        </r>
      </text>
    </comment>
    <comment ref="N39" authorId="0">
      <text>
        <r>
          <rPr>
            <sz val="8"/>
            <color rgb="FF000000"/>
            <rFont val="Tahoma"/>
            <family val="2"/>
            <charset val="1"/>
          </rPr>
          <t xml:space="preserve">Manf: Wurth Electronics Inc.</t>
        </r>
      </text>
    </comment>
    <comment ref="N40" authorId="0">
      <text>
        <r>
          <rPr>
            <sz val="8"/>
            <color rgb="FF000000"/>
            <rFont val="Tahoma"/>
            <family val="2"/>
            <charset val="1"/>
          </rPr>
          <t xml:space="preserve">Manf: Wurth Electronics Inc.</t>
        </r>
      </text>
    </comment>
    <comment ref="N42" authorId="0">
      <text>
        <r>
          <rPr>
            <sz val="8"/>
            <color rgb="FF000000"/>
            <rFont val="Tahoma"/>
            <family val="2"/>
            <charset val="1"/>
          </rPr>
          <t xml:space="preserve">Footprint: TO-236-3, SC-59, SOT-23-3
Manf: Vishay Siliconix</t>
        </r>
      </text>
    </comment>
    <comment ref="N43" authorId="0">
      <text>
        <r>
          <rPr>
            <sz val="8"/>
            <color rgb="FF000000"/>
            <rFont val="Tahoma"/>
            <family val="2"/>
            <charset val="1"/>
          </rPr>
          <t xml:space="preserve">Footprint: TO-236-3, SC-59, SOT-23-3
Manf: Rohm Semiconductor</t>
        </r>
      </text>
    </comment>
    <comment ref="N44" authorId="0">
      <text>
        <r>
          <rPr>
            <sz val="8"/>
            <color rgb="FF000000"/>
            <rFont val="Tahoma"/>
            <family val="2"/>
            <charset val="1"/>
          </rPr>
          <t xml:space="preserve">Footprint: 0805 (2012 Metric)
Manf: Panasonic Electronic Components
Size: 0.079" L x 0.049" W (2.00mm x 1.25mm)
Tolerance: ±0.5%
Value: 300 Ohms</t>
        </r>
      </text>
    </comment>
    <comment ref="N45" authorId="0">
      <text>
        <r>
          <rPr>
            <sz val="8"/>
            <color rgb="FF000000"/>
            <rFont val="Tahoma"/>
            <family val="2"/>
            <charset val="1"/>
          </rPr>
          <t xml:space="preserve">Footprint: 0805 (2012 Metric)
Manf: Yageo
Size: 0.079" L x 0.049" W (2.00mm x 1.25mm)
Tolerance: ±1%
Value: 33 Ohms</t>
        </r>
      </text>
    </comment>
    <comment ref="N46" authorId="0">
      <text>
        <r>
          <rPr>
            <sz val="8"/>
            <color rgb="FF000000"/>
            <rFont val="Tahoma"/>
            <family val="2"/>
            <charset val="1"/>
          </rPr>
          <t xml:space="preserve">Footprint: 0805 (2012 Metric)
Manf: Rohm Semiconductor
Size: 0.079" L x 0.049" W (2.00mm x 1.25mm)
Tolerance: ±5%
Value: 1.5 kOhms</t>
        </r>
      </text>
    </comment>
    <comment ref="N47" authorId="0">
      <text>
        <r>
          <rPr>
            <sz val="8"/>
            <color rgb="FF000000"/>
            <rFont val="Tahoma"/>
            <family val="2"/>
            <charset val="1"/>
          </rPr>
          <t xml:space="preserve">Footprint: 0805 (2012 Metric)
Manf: Vishay Dale
Size: 0.079" L x 0.049" W (2.00mm x 1.25mm)
Tolerance: ±1%
Value: 110 Ohms</t>
        </r>
      </text>
    </comment>
    <comment ref="N48" authorId="0">
      <text>
        <r>
          <rPr>
            <sz val="8"/>
            <color rgb="FF000000"/>
            <rFont val="Tahoma"/>
            <family val="2"/>
            <charset val="1"/>
          </rPr>
          <t xml:space="preserve">Footprint: 0805 (2012 Metric)
Manf: Panasonic Electronic Components
Size: 0.079" L x 0.049" W (2.00mm x 1.25mm)
Tolerance: ±0.1%
Value: 130 Ohms</t>
        </r>
      </text>
    </comment>
    <comment ref="N49" authorId="0">
      <text>
        <r>
          <rPr>
            <sz val="8"/>
            <color rgb="FF000000"/>
            <rFont val="Tahoma"/>
            <family val="2"/>
            <charset val="1"/>
          </rPr>
          <t xml:space="preserve">Footprint: 0805 (2012 Metric)
Manf: Susumu
Size: 0.079" L x 0.049" W (2.00mm x 1.25mm)
Tolerance: ±0.5%
Value: 10 kOhms</t>
        </r>
      </text>
    </comment>
    <comment ref="N51" authorId="0">
      <text>
        <r>
          <rPr>
            <sz val="8"/>
            <color rgb="FF000000"/>
            <rFont val="Tahoma"/>
            <family val="2"/>
            <charset val="1"/>
          </rPr>
          <t xml:space="preserve">Footprint: SC-74A, SOT-753
Manf: Texas Instruments</t>
        </r>
      </text>
    </comment>
    <comment ref="N53" authorId="0">
      <text>
        <r>
          <rPr>
            <sz val="8"/>
            <color rgb="FF000000"/>
            <rFont val="Tahoma"/>
            <family val="2"/>
            <charset val="1"/>
          </rPr>
          <t xml:space="preserve">Frequency: 2.4GHz
Manf: Espressif Systems</t>
        </r>
      </text>
    </comment>
    <comment ref="N54" authorId="0">
      <text>
        <r>
          <rPr>
            <sz val="8"/>
            <color rgb="FF000000"/>
            <rFont val="Tahoma"/>
            <family val="2"/>
            <charset val="1"/>
          </rPr>
          <t xml:space="preserve">Manf: MikroElektronika</t>
        </r>
      </text>
    </comment>
  </commentList>
</comments>
</file>

<file path=xl/sharedStrings.xml><?xml version="1.0" encoding="utf-8"?>
<sst xmlns="http://schemas.openxmlformats.org/spreadsheetml/2006/main" count="246" uniqueCount="216">
  <si>
    <t xml:space="preserve">Prj:</t>
  </si>
  <si>
    <t xml:space="preserve">ESP32 LoRa gateway with surge suppression</t>
  </si>
  <si>
    <t xml:space="preserve">Board Qty:</t>
  </si>
  <si>
    <t xml:space="preserve">Co.:</t>
  </si>
  <si>
    <t xml:space="preserve">Kaiote Limited</t>
  </si>
  <si>
    <t xml:space="preserve">Unit Cost:</t>
  </si>
  <si>
    <t xml:space="preserve">Prj date:</t>
  </si>
  <si>
    <t xml:space="preserve">Fri 04 May 2018 10:15:02 AM EAT</t>
  </si>
  <si>
    <t xml:space="preserve">Total Cost:</t>
  </si>
  <si>
    <t xml:space="preserve">$ date:</t>
  </si>
  <si>
    <t xml:space="preserve">2018-05-04 10:15:51</t>
  </si>
  <si>
    <t xml:space="preserve">Global Part Info</t>
  </si>
  <si>
    <t xml:space="preserve">Digi-Key</t>
  </si>
  <si>
    <t xml:space="preserve">Refs</t>
  </si>
  <si>
    <t xml:space="preserve">Value</t>
  </si>
  <si>
    <t xml:space="preserve">Desc</t>
  </si>
  <si>
    <t xml:space="preserve">Footprint</t>
  </si>
  <si>
    <t xml:space="preserve">Manf</t>
  </si>
  <si>
    <t xml:space="preserve">Manf#</t>
  </si>
  <si>
    <t xml:space="preserve">Qty</t>
  </si>
  <si>
    <t xml:space="preserve">Unit$</t>
  </si>
  <si>
    <t xml:space="preserve">Ext$</t>
  </si>
  <si>
    <t xml:space="preserve">Avail</t>
  </si>
  <si>
    <t xml:space="preserve">Purch</t>
  </si>
  <si>
    <t xml:space="preserve">Cat#</t>
  </si>
  <si>
    <t xml:space="preserve">AE1</t>
  </si>
  <si>
    <t xml:space="preserve">Antenna</t>
  </si>
  <si>
    <t xml:space="preserve">TG.10.0113</t>
  </si>
  <si>
    <t xml:space="preserve">931-1163-ND</t>
  </si>
  <si>
    <t xml:space="preserve">C1,C4,C5,C7,C8,C10,C14,C16</t>
  </si>
  <si>
    <t xml:space="preserve">0.1uF</t>
  </si>
  <si>
    <t xml:space="preserve">Capacitor_SMD:C_0805_2012Metric_Pad1.15x1.50mm_HandSolder</t>
  </si>
  <si>
    <t xml:space="preserve">GCM21BR72A104KA37K</t>
  </si>
  <si>
    <t xml:space="preserve">490-8051-1-ND</t>
  </si>
  <si>
    <t xml:space="preserve">C11,C12,C15</t>
  </si>
  <si>
    <t xml:space="preserve">220uF</t>
  </si>
  <si>
    <t xml:space="preserve">Capacitor_SMD:CP_Elec_6.3x5.8</t>
  </si>
  <si>
    <t xml:space="preserve">UUD0J221MCL1GS</t>
  </si>
  <si>
    <t xml:space="preserve">493-2236-1-ND</t>
  </si>
  <si>
    <t xml:space="preserve">C2</t>
  </si>
  <si>
    <t xml:space="preserve">10uF</t>
  </si>
  <si>
    <t xml:space="preserve">C2012X5R1E106M085AC</t>
  </si>
  <si>
    <t xml:space="preserve">445-14388-1-ND</t>
  </si>
  <si>
    <t xml:space="preserve">C3</t>
  </si>
  <si>
    <t xml:space="preserve">1uF</t>
  </si>
  <si>
    <t xml:space="preserve">CC0805KKX7R7BB105</t>
  </si>
  <si>
    <t xml:space="preserve">311-1365-1-ND</t>
  </si>
  <si>
    <t xml:space="preserve">C6,C13</t>
  </si>
  <si>
    <t xml:space="preserve">Capacitor_SMD:C_1206_3216Metric_Pad1.24x1.80mm_HandSolder</t>
  </si>
  <si>
    <t xml:space="preserve">C9</t>
  </si>
  <si>
    <t xml:space="preserve">100pF</t>
  </si>
  <si>
    <t xml:space="preserve">06035A101FAT2A</t>
  </si>
  <si>
    <t xml:space="preserve">478-6202-1-ND</t>
  </si>
  <si>
    <t xml:space="preserve">D1,D2</t>
  </si>
  <si>
    <t xml:space="preserve">D_TVS</t>
  </si>
  <si>
    <t xml:space="preserve">digikey-footprints:DO-214AC</t>
  </si>
  <si>
    <t xml:space="preserve">SMA6J12A</t>
  </si>
  <si>
    <t xml:space="preserve">SMA6J12ACT-ND</t>
  </si>
  <si>
    <t xml:space="preserve">D3,D5,D6</t>
  </si>
  <si>
    <t xml:space="preserve">LED</t>
  </si>
  <si>
    <t xml:space="preserve">LED_SMD:LED_0805_2012Metric_Pad0.97x1.50mm_HandSolder</t>
  </si>
  <si>
    <t xml:space="preserve">LTST-C171KRKT</t>
  </si>
  <si>
    <t xml:space="preserve">160-1427-1-ND</t>
  </si>
  <si>
    <t xml:space="preserve">D4</t>
  </si>
  <si>
    <t xml:space="preserve">LTST-C171KGKT</t>
  </si>
  <si>
    <t xml:space="preserve">160-1426-1-ND</t>
  </si>
  <si>
    <t xml:space="preserve">F1,F2</t>
  </si>
  <si>
    <t xml:space="preserve">Fuse_Small</t>
  </si>
  <si>
    <t xml:space="preserve">lib_fp:461_series_Telelink</t>
  </si>
  <si>
    <t xml:space="preserve">0461002.ER</t>
  </si>
  <si>
    <t xml:space="preserve">F1551CT-ND</t>
  </si>
  <si>
    <t xml:space="preserve">GDT1,GDT2</t>
  </si>
  <si>
    <t xml:space="preserve">GDT-</t>
  </si>
  <si>
    <t xml:space="preserve">lib_fp:SL1411A075-SM</t>
  </si>
  <si>
    <t xml:space="preserve">SL1411A075SM</t>
  </si>
  <si>
    <t xml:space="preserve">F10923CT-ND</t>
  </si>
  <si>
    <t xml:space="preserve">J1</t>
  </si>
  <si>
    <t xml:space="preserve">Jack-DC</t>
  </si>
  <si>
    <t xml:space="preserve">Connector_BarrelJack:BarrelJack_Horizontal</t>
  </si>
  <si>
    <t xml:space="preserve">PJ-002A</t>
  </si>
  <si>
    <t xml:space="preserve">CP-002A-ND</t>
  </si>
  <si>
    <t xml:space="preserve">J10</t>
  </si>
  <si>
    <t xml:space="preserve">Conn_02x12_Odd_Even</t>
  </si>
  <si>
    <t xml:space="preserve">PPPC072LJBN-RC</t>
  </si>
  <si>
    <t xml:space="preserve">S5560-ND</t>
  </si>
  <si>
    <t xml:space="preserve">J11</t>
  </si>
  <si>
    <t xml:space="preserve">PPPC122LFBN-RC</t>
  </si>
  <si>
    <t xml:space="preserve">S7115-ND</t>
  </si>
  <si>
    <t xml:space="preserve">J12</t>
  </si>
  <si>
    <t xml:space="preserve">Conn_01x02</t>
  </si>
  <si>
    <t xml:space="preserve">SSC02SYAN</t>
  </si>
  <si>
    <t xml:space="preserve">S9002-ND</t>
  </si>
  <si>
    <t xml:space="preserve">J13</t>
  </si>
  <si>
    <t xml:space="preserve">Conn_02x07_Odd_Even</t>
  </si>
  <si>
    <t xml:space="preserve">PPTC072LFBN-RC</t>
  </si>
  <si>
    <t xml:space="preserve">S7075-ND</t>
  </si>
  <si>
    <t xml:space="preserve">J14</t>
  </si>
  <si>
    <t xml:space="preserve">J15,J16</t>
  </si>
  <si>
    <t xml:space="preserve">Conn_01x08</t>
  </si>
  <si>
    <t xml:space="preserve">PPTC081LFBN-RC</t>
  </si>
  <si>
    <t xml:space="preserve">S7006-ND</t>
  </si>
  <si>
    <t xml:space="preserve">J17</t>
  </si>
  <si>
    <t xml:space="preserve">RJ45</t>
  </si>
  <si>
    <t xml:space="preserve">RCP-5SPFFH-TCU7001</t>
  </si>
  <si>
    <t xml:space="preserve">APC1766-ND</t>
  </si>
  <si>
    <t xml:space="preserve">J18</t>
  </si>
  <si>
    <t xml:space="preserve">RJ45_LEDS</t>
  </si>
  <si>
    <t xml:space="preserve">ESP-100-POE</t>
  </si>
  <si>
    <t xml:space="preserve">994-1011-ND</t>
  </si>
  <si>
    <t xml:space="preserve">J19</t>
  </si>
  <si>
    <t xml:space="preserve">Conn_01x04</t>
  </si>
  <si>
    <t xml:space="preserve">PPTC041LFBN-RC</t>
  </si>
  <si>
    <t xml:space="preserve">S7002-ND</t>
  </si>
  <si>
    <t xml:space="preserve">J2</t>
  </si>
  <si>
    <t xml:space="preserve">0734120114</t>
  </si>
  <si>
    <t xml:space="preserve">CONN UMC RCPT STR 50 OHM SMD</t>
  </si>
  <si>
    <t xml:space="preserve">digikey-footprints:Molex_734120114_UMC_RF_CONN_Vertical</t>
  </si>
  <si>
    <t xml:space="preserve">Molex, LLC</t>
  </si>
  <si>
    <t xml:space="preserve">WM5587CT-ND</t>
  </si>
  <si>
    <t xml:space="preserve">J20</t>
  </si>
  <si>
    <t xml:space="preserve">RJ45-TRANSFO</t>
  </si>
  <si>
    <t xml:space="preserve">1528-1773-ND</t>
  </si>
  <si>
    <t xml:space="preserve">J3</t>
  </si>
  <si>
    <t xml:space="preserve">lib_fp:PinHeader_1x04_P2.54mm_staggered_Vertical</t>
  </si>
  <si>
    <t xml:space="preserve">1528-1504-ND</t>
  </si>
  <si>
    <t xml:space="preserve">J4</t>
  </si>
  <si>
    <t xml:space="preserve">801-43-050-10-001000</t>
  </si>
  <si>
    <t xml:space="preserve">ED6350-50-ND</t>
  </si>
  <si>
    <t xml:space="preserve">J5</t>
  </si>
  <si>
    <t xml:space="preserve">lib_fp:lan_waveshare_8720</t>
  </si>
  <si>
    <t xml:space="preserve">J6</t>
  </si>
  <si>
    <t xml:space="preserve">Battery-holder</t>
  </si>
  <si>
    <t xml:space="preserve">lib_fp:BAT-HLD-001-xx-OTL</t>
  </si>
  <si>
    <t xml:space="preserve">BAT-HLD-001</t>
  </si>
  <si>
    <t xml:space="preserve">BAT-HLD-001-ND</t>
  </si>
  <si>
    <t xml:space="preserve">J7</t>
  </si>
  <si>
    <t xml:space="preserve">lib_fp:Hybrid_concentrator</t>
  </si>
  <si>
    <t xml:space="preserve">J8,J9</t>
  </si>
  <si>
    <t xml:space="preserve">Conn_01x19</t>
  </si>
  <si>
    <t xml:space="preserve">PPTC191LFBN-RC</t>
  </si>
  <si>
    <t xml:space="preserve">S7017-ND</t>
  </si>
  <si>
    <t xml:space="preserve">JP1,JP21</t>
  </si>
  <si>
    <t xml:space="preserve">SolderJumper_2_Open</t>
  </si>
  <si>
    <t xml:space="preserve">Jumper:SolderJumper-2_P1.3mm_Open_RoundedPad1.0x1.5mm</t>
  </si>
  <si>
    <t xml:space="preserve">JP6</t>
  </si>
  <si>
    <t xml:space="preserve">Jumper_3_Open</t>
  </si>
  <si>
    <t xml:space="preserve">lib_fp:PinHeader_1x03_P2.54mm_staggered_Vertical</t>
  </si>
  <si>
    <t xml:space="preserve">61300311121</t>
  </si>
  <si>
    <t xml:space="preserve">732-5316-ND</t>
  </si>
  <si>
    <t xml:space="preserve">JP18-JP20</t>
  </si>
  <si>
    <t xml:space="preserve">Jumper</t>
  </si>
  <si>
    <t xml:space="preserve">lib_fp:PinHeader_1x02_P2.54mm_staggered_Vertical</t>
  </si>
  <si>
    <t xml:space="preserve">61300211121</t>
  </si>
  <si>
    <t xml:space="preserve">732-5315-ND</t>
  </si>
  <si>
    <t xml:space="preserve">JP2-JP5,JP7-JP17</t>
  </si>
  <si>
    <t xml:space="preserve">Jumper_NC_Dual</t>
  </si>
  <si>
    <t xml:space="preserve">MK1-MK4</t>
  </si>
  <si>
    <t xml:space="preserve">Mounting_Hole_PAD</t>
  </si>
  <si>
    <t xml:space="preserve">MountingHole:MountingHole_3.2mm_M3_Pad_Via</t>
  </si>
  <si>
    <t xml:space="preserve">Q1</t>
  </si>
  <si>
    <t xml:space="preserve">Si2323</t>
  </si>
  <si>
    <t xml:space="preserve">Package_TO_SOT_SMD:SOT-23</t>
  </si>
  <si>
    <t xml:space="preserve">SI2323CDS-T1-GE3</t>
  </si>
  <si>
    <t xml:space="preserve">SI2323CDS-T1-GE3CT-ND</t>
  </si>
  <si>
    <t xml:space="preserve">Q2</t>
  </si>
  <si>
    <t xml:space="preserve">DTC143Z</t>
  </si>
  <si>
    <t xml:space="preserve">Package_TO_SOT_SMD:SC-59_Handsoldering</t>
  </si>
  <si>
    <t xml:space="preserve">DTC143ZKAT146</t>
  </si>
  <si>
    <t xml:space="preserve">DTC143ZKAT146CT-ND</t>
  </si>
  <si>
    <t xml:space="preserve">R11</t>
  </si>
  <si>
    <t xml:space="preserve">300R</t>
  </si>
  <si>
    <t xml:space="preserve">Resistor_SMD:R_0805_2012Metric</t>
  </si>
  <si>
    <t xml:space="preserve">ERJ-PB6D3000V</t>
  </si>
  <si>
    <t xml:space="preserve">P20957CT-ND</t>
  </si>
  <si>
    <t xml:space="preserve">R6</t>
  </si>
  <si>
    <t xml:space="preserve">33R</t>
  </si>
  <si>
    <t xml:space="preserve">RC0805FR-0733RL</t>
  </si>
  <si>
    <t xml:space="preserve">311-33.0CRCT-ND</t>
  </si>
  <si>
    <t xml:space="preserve">R7</t>
  </si>
  <si>
    <t xml:space="preserve">1.5k</t>
  </si>
  <si>
    <t xml:space="preserve">ESR10EZPJ152</t>
  </si>
  <si>
    <t xml:space="preserve">RHM1.5KKCT-ND</t>
  </si>
  <si>
    <t xml:space="preserve">R8</t>
  </si>
  <si>
    <t xml:space="preserve">110R</t>
  </si>
  <si>
    <t xml:space="preserve">CRCW0805110RFKEA</t>
  </si>
  <si>
    <t xml:space="preserve">541-110CCT-ND</t>
  </si>
  <si>
    <t xml:space="preserve">R9,R10</t>
  </si>
  <si>
    <t xml:space="preserve">130R</t>
  </si>
  <si>
    <t xml:space="preserve">ERA-6AEB131V</t>
  </si>
  <si>
    <t xml:space="preserve">P130DACT-ND</t>
  </si>
  <si>
    <t xml:space="preserve">R1-R5</t>
  </si>
  <si>
    <t xml:space="preserve">10k</t>
  </si>
  <si>
    <t xml:space="preserve">RR1220P-103-D</t>
  </si>
  <si>
    <t xml:space="preserve">RR12P10.0KDCT-ND</t>
  </si>
  <si>
    <t xml:space="preserve">U1</t>
  </si>
  <si>
    <t xml:space="preserve">QUECTEL_L80</t>
  </si>
  <si>
    <t xml:space="preserve">lib_fp:QUECTEL_L80-M39</t>
  </si>
  <si>
    <t xml:space="preserve">U2</t>
  </si>
  <si>
    <t xml:space="preserve">TLV71333PDBV</t>
  </si>
  <si>
    <t xml:space="preserve">Package_TO_SOT_SMD:SOT-23-5</t>
  </si>
  <si>
    <t xml:space="preserve">TLV73333PDBVR</t>
  </si>
  <si>
    <t xml:space="preserve">296-38492-1-ND</t>
  </si>
  <si>
    <t xml:space="preserve">U3</t>
  </si>
  <si>
    <t xml:space="preserve">LM2596_MODULE</t>
  </si>
  <si>
    <t xml:space="preserve">lib_fp:LM2596_MODULE</t>
  </si>
  <si>
    <t xml:space="preserve">U4</t>
  </si>
  <si>
    <t xml:space="preserve">DevkitC</t>
  </si>
  <si>
    <t xml:space="preserve">lib_fp:ESP32_DEVKITC</t>
  </si>
  <si>
    <t xml:space="preserve">ESP32-DEVKITC</t>
  </si>
  <si>
    <t xml:space="preserve">1904-1011-ND</t>
  </si>
  <si>
    <t xml:space="preserve">U5</t>
  </si>
  <si>
    <t xml:space="preserve">MIKROE_3G_CLICK</t>
  </si>
  <si>
    <t xml:space="preserve">lib_fp:MIKROE_UG95</t>
  </si>
  <si>
    <t xml:space="preserve">MIKROE-2226</t>
  </si>
  <si>
    <t xml:space="preserve">1471-1619-ND</t>
  </si>
  <si>
    <t xml:space="preserve">Distributors scraped by KiCost® v.0.1.43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</si>
</sst>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i val="true"/>
      <sz val="10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8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CC0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0FF8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digikey.com/products/en?keywords=TG.10.0113+" TargetMode="External"/><Relationship Id="rId3" Type="http://schemas.openxmlformats.org/officeDocument/2006/relationships/hyperlink" Target="https://www.digikey.com/product-detail/en/murata-electronics-north-america/GCM21BR72A104KA37K/490-8051-1-ND/4380336" TargetMode="External"/><Relationship Id="rId4" Type="http://schemas.openxmlformats.org/officeDocument/2006/relationships/hyperlink" Target="https://www.digikey.com/product-detail/en/nichicon/UUD0J221MCL1GS/493-2236-1-ND/590211" TargetMode="External"/><Relationship Id="rId5" Type="http://schemas.openxmlformats.org/officeDocument/2006/relationships/hyperlink" Target="http://search.murata.co.jp/Ceramy/image/img/A01X/G101/ENG/GRM21BR61E106KA73-01.pdf" TargetMode="External"/><Relationship Id="rId6" Type="http://schemas.openxmlformats.org/officeDocument/2006/relationships/hyperlink" Target="https://www.digikey.com/product-detail/en/tdk-corporation/C2012X5R1E106M085AC/445-14388-1-ND/3956054" TargetMode="External"/><Relationship Id="rId7" Type="http://schemas.openxmlformats.org/officeDocument/2006/relationships/hyperlink" Target="http://www.yageo.com/documents/recent/UPY-GPHC_X7R_6.3V-to-50V_18.pdf" TargetMode="External"/><Relationship Id="rId8" Type="http://schemas.openxmlformats.org/officeDocument/2006/relationships/hyperlink" Target="https://www.digikey.com/product-detail/en/yageo/CC0805KKX7R7BB105/311-1365-1-ND/2103149" TargetMode="External"/><Relationship Id="rId9" Type="http://schemas.openxmlformats.org/officeDocument/2006/relationships/hyperlink" Target="https://www.digikey.com/product-detail/en/tdk-corporation/C2012X5R1E106M085AC/445-14388-1-ND/3956054" TargetMode="External"/><Relationship Id="rId10" Type="http://schemas.openxmlformats.org/officeDocument/2006/relationships/hyperlink" Target="http://datasheets.avx.com/C0GNP0-Dielectric.pdf" TargetMode="External"/><Relationship Id="rId11" Type="http://schemas.openxmlformats.org/officeDocument/2006/relationships/hyperlink" Target="https://www.digikey.com/product-detail/en/avx-corporation/06035A101FAT2A/478-6202-1-ND/2391401" TargetMode="External"/><Relationship Id="rId12" Type="http://schemas.openxmlformats.org/officeDocument/2006/relationships/hyperlink" Target="https://www.digikey.com/product-detail/en/littelfuse-inc/SMA6J12A/SMA6J12ACT-ND/4279585" TargetMode="External"/><Relationship Id="rId13" Type="http://schemas.openxmlformats.org/officeDocument/2006/relationships/hyperlink" Target="http://optoelectronics.liteon.com/upload/download/DS22-2000-109/LTST-C171KRKT.pdf" TargetMode="External"/><Relationship Id="rId14" Type="http://schemas.openxmlformats.org/officeDocument/2006/relationships/hyperlink" Target="https://www.digikey.com/product-detail/en/lite-on-inc/LTST-C171KRKT/160-1427-1-ND/386800" TargetMode="External"/><Relationship Id="rId15" Type="http://schemas.openxmlformats.org/officeDocument/2006/relationships/hyperlink" Target="http://optoelectronics.liteon.com/upload/download/DS22-2000-118/LTST-C171KGKT.pdf" TargetMode="External"/><Relationship Id="rId16" Type="http://schemas.openxmlformats.org/officeDocument/2006/relationships/hyperlink" Target="https://www.digikey.com/product-detail/en/lite-on-inc/LTST-C171KGKT/160-1426-1-ND/386798" TargetMode="External"/><Relationship Id="rId17" Type="http://schemas.openxmlformats.org/officeDocument/2006/relationships/hyperlink" Target="https://www.digikey.com/product-detail/en/littelfuse-inc/0461002.ER/F1551CT-ND/447217" TargetMode="External"/><Relationship Id="rId18" Type="http://schemas.openxmlformats.org/officeDocument/2006/relationships/hyperlink" Target="https://www.digikey.com/product-detail/en/littelfuse-inc/SL1411A075SM/F10923CT-ND/8109613" TargetMode="External"/><Relationship Id="rId19" Type="http://schemas.openxmlformats.org/officeDocument/2006/relationships/hyperlink" Target="https://www.cui.com/product/resource/pj-002a.pdf" TargetMode="External"/><Relationship Id="rId20" Type="http://schemas.openxmlformats.org/officeDocument/2006/relationships/hyperlink" Target="https://www.digikey.com/product-detail/en/cui-inc/PJ-002A/CP-002A-ND/96962" TargetMode="External"/><Relationship Id="rId21" Type="http://schemas.openxmlformats.org/officeDocument/2006/relationships/hyperlink" Target="https://www.digikey.com/products/en?keywords=PPPC072LJBN-RC+" TargetMode="External"/><Relationship Id="rId22" Type="http://schemas.openxmlformats.org/officeDocument/2006/relationships/hyperlink" Target="https://www.digikey.com/products/en?keywords=PPPC122LFBN-RC+" TargetMode="External"/><Relationship Id="rId23" Type="http://schemas.openxmlformats.org/officeDocument/2006/relationships/hyperlink" Target="https://www.digikey.com/products/en?keywords=SSC02SYAN+" TargetMode="External"/><Relationship Id="rId24" Type="http://schemas.openxmlformats.org/officeDocument/2006/relationships/hyperlink" Target="https://www.digikey.com/products/en?keywords=PPTC072LFBN-RC+" TargetMode="External"/><Relationship Id="rId25" Type="http://schemas.openxmlformats.org/officeDocument/2006/relationships/hyperlink" Target="https://www.digikey.com/products/en?keywords=PPPC072LJBN-RC+" TargetMode="External"/><Relationship Id="rId26" Type="http://schemas.openxmlformats.org/officeDocument/2006/relationships/hyperlink" Target="https://www.digikey.com/products/en?keywords=PPTC081LFBN-RC+" TargetMode="External"/><Relationship Id="rId27" Type="http://schemas.openxmlformats.org/officeDocument/2006/relationships/hyperlink" Target="https://www.digikey.com/products/en?keywords=RCP-5SPFFH-TCU7001+" TargetMode="External"/><Relationship Id="rId28" Type="http://schemas.openxmlformats.org/officeDocument/2006/relationships/hyperlink" Target="https://www.digikey.com/products/en?keywords=ESP-100-POE+" TargetMode="External"/><Relationship Id="rId29" Type="http://schemas.openxmlformats.org/officeDocument/2006/relationships/hyperlink" Target="https://www.digikey.com/products/en?keywords=PPTC041LFBN-RC+" TargetMode="External"/><Relationship Id="rId30" Type="http://schemas.openxmlformats.org/officeDocument/2006/relationships/hyperlink" Target="http://www.molex.com/pdm_docs/sd/734120110_sd.pdf" TargetMode="External"/><Relationship Id="rId31" Type="http://schemas.openxmlformats.org/officeDocument/2006/relationships/hyperlink" Target="https://www.digikey.com/product-detail/en/molex-llc/0734120110/WM5587CT-ND/1894612" TargetMode="External"/><Relationship Id="rId32" Type="http://schemas.openxmlformats.org/officeDocument/2006/relationships/hyperlink" Target="https://www.digikey.com/products/en?keywords=1528-1773-ND+" TargetMode="External"/><Relationship Id="rId33" Type="http://schemas.openxmlformats.org/officeDocument/2006/relationships/hyperlink" Target="https://www.digikey.com/products/en?keywords=1528-1504-ND+" TargetMode="External"/><Relationship Id="rId34" Type="http://schemas.openxmlformats.org/officeDocument/2006/relationships/hyperlink" Target="https://www.digikey.com/products/en?keywords=801-43-050-10-001000+" TargetMode="External"/><Relationship Id="rId35" Type="http://schemas.openxmlformats.org/officeDocument/2006/relationships/hyperlink" Target="https://www.mouser.co.za/datasheet/2/238/bat-hld-001-220194.pdf" TargetMode="External"/><Relationship Id="rId36" Type="http://schemas.openxmlformats.org/officeDocument/2006/relationships/hyperlink" Target="https://www.digikey.com/product-detail/en/linx-technologies-inc/BAT-HLD-001/BAT-HLD-001-ND/1577235" TargetMode="External"/><Relationship Id="rId37" Type="http://schemas.openxmlformats.org/officeDocument/2006/relationships/hyperlink" Target="https://www.digikey.com/products/en?keywords=PPTC191LFBN-RC+" TargetMode="External"/><Relationship Id="rId38" Type="http://schemas.openxmlformats.org/officeDocument/2006/relationships/hyperlink" Target="https://www.digikey.com/products/en?keywords=61300311121+" TargetMode="External"/><Relationship Id="rId39" Type="http://schemas.openxmlformats.org/officeDocument/2006/relationships/hyperlink" Target="https://www.digikey.com/products/en?keywords=61300211121+" TargetMode="External"/><Relationship Id="rId40" Type="http://schemas.openxmlformats.org/officeDocument/2006/relationships/hyperlink" Target="https://www.digikey.com/products/en?keywords=61300311121+" TargetMode="External"/><Relationship Id="rId41" Type="http://schemas.openxmlformats.org/officeDocument/2006/relationships/hyperlink" Target="http://www.vishay.com/docs/65700/si2323cds.pdf" TargetMode="External"/><Relationship Id="rId42" Type="http://schemas.openxmlformats.org/officeDocument/2006/relationships/hyperlink" Target="https://www.digikey.com/product-detail/en/vishay-siliconix/SI2323CDS-T1-GE3/SI2323CDS-T1-GE3CT-ND/2441900" TargetMode="External"/><Relationship Id="rId43" Type="http://schemas.openxmlformats.org/officeDocument/2006/relationships/hyperlink" Target="http://www.rohm.com/web/global/datasheet/DTC143ZEB/dtc143zebtl-e" TargetMode="External"/><Relationship Id="rId44" Type="http://schemas.openxmlformats.org/officeDocument/2006/relationships/hyperlink" Target="https://www.digikey.com/product-detail/en/rohm-semiconductor/DTC143ZKAT146/DTC143ZKAT146CT-ND/650725" TargetMode="External"/><Relationship Id="rId45" Type="http://schemas.openxmlformats.org/officeDocument/2006/relationships/hyperlink" Target="https://industrial.panasonic.com/cdbs/www-data/pdf/RDM0000/AOA0000C328.pdf" TargetMode="External"/><Relationship Id="rId46" Type="http://schemas.openxmlformats.org/officeDocument/2006/relationships/hyperlink" Target="https://www.digikey.com/product-detail/en/panasonic-electronic-components/ERJ-PB6D3000V/P20957CT-ND/6215212" TargetMode="External"/><Relationship Id="rId47" Type="http://schemas.openxmlformats.org/officeDocument/2006/relationships/hyperlink" Target="http://www.yageo.com/documents/recent/PYu-RC_Group_51_RoHS_L_9.pdf" TargetMode="External"/><Relationship Id="rId48" Type="http://schemas.openxmlformats.org/officeDocument/2006/relationships/hyperlink" Target="https://www.digikey.com/product-detail/en/yageo/RC0805FR-0733RL/311-33.0CRCT-ND/730809" TargetMode="External"/><Relationship Id="rId49" Type="http://schemas.openxmlformats.org/officeDocument/2006/relationships/hyperlink" Target="http://www.rohm.com/web/global/datasheet/ESR01MZPF/esr-e" TargetMode="External"/><Relationship Id="rId50" Type="http://schemas.openxmlformats.org/officeDocument/2006/relationships/hyperlink" Target="https://www.digikey.com/product-detail/en/rohm-semiconductor/ESR10EZPJ152/RHM1.5KKCT-ND/1762968" TargetMode="External"/><Relationship Id="rId51" Type="http://schemas.openxmlformats.org/officeDocument/2006/relationships/hyperlink" Target="http://www.vishay.com/docs/20035/dcrcwe3.pdf" TargetMode="External"/><Relationship Id="rId52" Type="http://schemas.openxmlformats.org/officeDocument/2006/relationships/hyperlink" Target="https://www.digikey.com/product-detail/en/vishay-dale/CRCW0805110RFKEA/541-110CCT-ND/1180673" TargetMode="External"/><Relationship Id="rId53" Type="http://schemas.openxmlformats.org/officeDocument/2006/relationships/hyperlink" Target="https://industrial.panasonic.com/cdbs/www-data/pdf/RDM0000/AOA0000C307.pdf" TargetMode="External"/><Relationship Id="rId54" Type="http://schemas.openxmlformats.org/officeDocument/2006/relationships/hyperlink" Target="https://www.digikey.com/product-detail/en/panasonic-electronic-components/ERA-6AEB131V/P130DACT-ND/1465926" TargetMode="External"/><Relationship Id="rId55" Type="http://schemas.openxmlformats.org/officeDocument/2006/relationships/hyperlink" Target="https://www.digikey.com/product-detail/en/susumu/RR1220P-103-D/RR12P10.0KDCT-ND/432854" TargetMode="External"/><Relationship Id="rId56" Type="http://schemas.openxmlformats.org/officeDocument/2006/relationships/hyperlink" Target="http://www.ti.com/lit/ds/symlink/tlv733p.pdf" TargetMode="External"/><Relationship Id="rId57" Type="http://schemas.openxmlformats.org/officeDocument/2006/relationships/hyperlink" Target="https://www.digikey.com/product-detail/en/texas-instruments/TLV73333PDBVT/296-38492-1-ND/5023884" TargetMode="External"/><Relationship Id="rId58" Type="http://schemas.openxmlformats.org/officeDocument/2006/relationships/hyperlink" Target="https://www.espressif.com/sites/default/files/documentation/esp32_datasheet_en.pdf" TargetMode="External"/><Relationship Id="rId59" Type="http://schemas.openxmlformats.org/officeDocument/2006/relationships/hyperlink" Target="https://www.digikey.com/product-detail/en/espressif-systems/ESP32-DEVKITC/1904-1011-ND/8544299" TargetMode="External"/><Relationship Id="rId60" Type="http://schemas.openxmlformats.org/officeDocument/2006/relationships/hyperlink" Target="https://download.mikroe.com/documents/add-on-boards/click/3g/3g-click-schematic-v103.pdf" TargetMode="External"/><Relationship Id="rId61" Type="http://schemas.openxmlformats.org/officeDocument/2006/relationships/hyperlink" Target="https://www.digikey.com/products/en?keywords=MIKROE-2226+" TargetMode="External"/><Relationship Id="rId6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9" ySplit="6" topLeftCell="J37" activePane="bottomRight" state="frozen"/>
      <selection pane="topLeft" activeCell="A1" activeCellId="0" sqref="A1"/>
      <selection pane="topRight" activeCell="J1" activeCellId="0" sqref="J1"/>
      <selection pane="bottomLeft" activeCell="A37" activeCellId="0" sqref="A37"/>
      <selection pane="bottomRight" activeCell="K20" activeCellId="0" sqref="K20"/>
    </sheetView>
  </sheetViews>
  <sheetFormatPr defaultRowHeight="15"/>
  <cols>
    <col collapsed="false" hidden="false" max="8" min="1" style="0" width="9.10526315789474"/>
    <col collapsed="false" hidden="false" max="9" min="9" style="0" width="15.7449392712551"/>
    <col collapsed="false" hidden="false" max="10" min="10" style="0" width="9.10526315789474"/>
    <col collapsed="false" hidden="false" max="12" min="11" style="0" width="9.10526315789474"/>
    <col collapsed="false" hidden="false" max="13" min="13" style="0" width="15.7449392712551"/>
    <col collapsed="false" hidden="false" max="14" min="14" style="0" width="15.7449392712551"/>
    <col collapsed="false" hidden="false" max="1025" min="15" style="0" width="8.57085020242915"/>
  </cols>
  <sheetData>
    <row r="1" customFormat="false" ht="15" hidden="false" customHeight="false" outlineLevel="0" collapsed="false">
      <c r="A1" s="1" t="s">
        <v>0</v>
      </c>
      <c r="B1" s="2" t="s">
        <v>1</v>
      </c>
      <c r="H1" s="3" t="s">
        <v>2</v>
      </c>
      <c r="I1" s="3" t="n">
        <v>1</v>
      </c>
    </row>
    <row r="2" customFormat="false" ht="15" hidden="false" customHeight="false" outlineLevel="0" collapsed="false">
      <c r="A2" s="1" t="s">
        <v>3</v>
      </c>
      <c r="B2" s="2" t="s">
        <v>4</v>
      </c>
      <c r="H2" s="1" t="s">
        <v>5</v>
      </c>
      <c r="I2" s="4" t="n">
        <f aca="false">TotalCost/BoardQty</f>
        <v>207.28</v>
      </c>
    </row>
    <row r="3" customFormat="false" ht="15" hidden="false" customHeight="false" outlineLevel="0" collapsed="false">
      <c r="A3" s="1" t="s">
        <v>6</v>
      </c>
      <c r="B3" s="2" t="s">
        <v>7</v>
      </c>
      <c r="H3" s="1" t="s">
        <v>8</v>
      </c>
      <c r="I3" s="5" t="n">
        <f aca="false">SUM(I7:I54)</f>
        <v>207.28</v>
      </c>
      <c r="M3" s="5" t="n">
        <f aca="false">SUM(M7:M54)</f>
        <v>210.31</v>
      </c>
      <c r="N3" s="6" t="str">
        <f aca="false">(ROWS(M7:M54)-COUNTBLANK(M7:M54))&amp;" of "&amp;ROWS(M7:M54)&amp;" parts found"</f>
        <v>42 of 48 parts found</v>
      </c>
    </row>
    <row r="4" customFormat="false" ht="15" hidden="false" customHeight="false" outlineLevel="0" collapsed="false">
      <c r="A4" s="1" t="s">
        <v>9</v>
      </c>
      <c r="B4" s="2" t="s">
        <v>10</v>
      </c>
    </row>
    <row r="5" customFormat="false" ht="15" hidden="false" customHeight="false" outlineLevel="0" collapsed="false">
      <c r="A5" s="7" t="s">
        <v>11</v>
      </c>
      <c r="B5" s="7"/>
      <c r="C5" s="7"/>
      <c r="D5" s="7"/>
      <c r="E5" s="7"/>
      <c r="F5" s="7"/>
      <c r="G5" s="7"/>
      <c r="H5" s="7"/>
      <c r="I5" s="7"/>
      <c r="J5" s="8" t="s">
        <v>12</v>
      </c>
      <c r="K5" s="8"/>
      <c r="L5" s="8"/>
      <c r="M5" s="8"/>
      <c r="N5" s="8"/>
    </row>
    <row r="6" customFormat="false" ht="15" hidden="false" customHeight="false" outlineLevel="0" collapsed="false">
      <c r="A6" s="9" t="s">
        <v>13</v>
      </c>
      <c r="B6" s="9" t="s">
        <v>14</v>
      </c>
      <c r="C6" s="9" t="s">
        <v>15</v>
      </c>
      <c r="D6" s="9" t="s">
        <v>16</v>
      </c>
      <c r="E6" s="9" t="s">
        <v>17</v>
      </c>
      <c r="F6" s="9" t="s">
        <v>18</v>
      </c>
      <c r="G6" s="9" t="s">
        <v>19</v>
      </c>
      <c r="H6" s="9" t="s">
        <v>20</v>
      </c>
      <c r="I6" s="9" t="s">
        <v>21</v>
      </c>
      <c r="J6" s="9" t="s">
        <v>22</v>
      </c>
      <c r="K6" s="9" t="s">
        <v>23</v>
      </c>
      <c r="L6" s="9" t="s">
        <v>20</v>
      </c>
      <c r="M6" s="9" t="s">
        <v>21</v>
      </c>
      <c r="N6" s="9" t="s">
        <v>24</v>
      </c>
    </row>
    <row r="7" customFormat="false" ht="14.9" hidden="false" customHeight="false" outlineLevel="0" collapsed="false">
      <c r="A7" s="10" t="s">
        <v>25</v>
      </c>
      <c r="B7" s="10" t="s">
        <v>26</v>
      </c>
      <c r="F7" s="10" t="s">
        <v>27</v>
      </c>
      <c r="G7" s="11" t="n">
        <f aca="false">BoardQty*1</f>
        <v>1</v>
      </c>
      <c r="H7" s="12" t="n">
        <f aca="true">MINA(INDIRECT(ADDRESS(ROW(),COLUMN(digikey_part_data)+2)))</f>
        <v>10.21</v>
      </c>
      <c r="I7" s="12" t="n">
        <f aca="false">IFERROR(G7*H7,"")</f>
        <v>10.21</v>
      </c>
      <c r="J7" s="11" t="n">
        <v>1432</v>
      </c>
      <c r="K7" s="0" t="n">
        <v>1</v>
      </c>
      <c r="L7" s="12" t="n">
        <f aca="false">IFERROR(LOOKUP(IF(K7="",G7,K7),{0,1,100,500,1000},{0,10.21,9.1875,8.67302,8.06404}),"")</f>
        <v>10.21</v>
      </c>
      <c r="M7" s="12" t="n">
        <f aca="false">IFERROR(IF(K7="",G7,K7)*L7,"")</f>
        <v>10.21</v>
      </c>
      <c r="N7" s="13" t="s">
        <v>28</v>
      </c>
    </row>
    <row r="8" customFormat="false" ht="14.9" hidden="false" customHeight="false" outlineLevel="0" collapsed="false">
      <c r="A8" s="10" t="s">
        <v>29</v>
      </c>
      <c r="B8" s="10" t="s">
        <v>30</v>
      </c>
      <c r="D8" s="10" t="s">
        <v>31</v>
      </c>
      <c r="F8" s="10" t="s">
        <v>32</v>
      </c>
      <c r="G8" s="11" t="n">
        <f aca="false">BoardQty*8</f>
        <v>8</v>
      </c>
      <c r="H8" s="12" t="n">
        <f aca="true">MINA(INDIRECT(ADDRESS(ROW(),COLUMN(digikey_part_data)+2)))</f>
        <v>0.16</v>
      </c>
      <c r="I8" s="12" t="n">
        <f aca="false">IFERROR(G8*H8,"")</f>
        <v>1.28</v>
      </c>
      <c r="J8" s="11" t="n">
        <v>9292</v>
      </c>
      <c r="K8" s="0" t="n">
        <v>8</v>
      </c>
      <c r="L8" s="12" t="n">
        <f aca="false">IFERROR(LOOKUP(IF(K8="",G8,K8),{0,1,10,100,500,1000,2500,5000,10000,20000,30000},{0,0.16,0.117,0.055,0.03858,0.03194,0.02973,0.0272,0.022,0.0209,0.0198}),"")</f>
        <v>0.16</v>
      </c>
      <c r="M8" s="12" t="n">
        <f aca="false">IFERROR(IF(K8="",G8,K8)*L8,"")</f>
        <v>1.28</v>
      </c>
      <c r="N8" s="13" t="s">
        <v>33</v>
      </c>
    </row>
    <row r="9" customFormat="false" ht="14.9" hidden="false" customHeight="false" outlineLevel="0" collapsed="false">
      <c r="A9" s="10" t="s">
        <v>34</v>
      </c>
      <c r="B9" s="10" t="s">
        <v>35</v>
      </c>
      <c r="D9" s="10" t="s">
        <v>36</v>
      </c>
      <c r="F9" s="10" t="s">
        <v>37</v>
      </c>
      <c r="G9" s="11" t="n">
        <f aca="false">BoardQty*3</f>
        <v>3</v>
      </c>
      <c r="H9" s="12" t="n">
        <f aca="true">MINA(INDIRECT(ADDRESS(ROW(),COLUMN(digikey_part_data)+2)))</f>
        <v>0.52</v>
      </c>
      <c r="I9" s="12" t="n">
        <f aca="false">IFERROR(G9*H9,"")</f>
        <v>1.56</v>
      </c>
      <c r="J9" s="11" t="n">
        <v>99161</v>
      </c>
      <c r="K9" s="0" t="n">
        <v>3</v>
      </c>
      <c r="L9" s="12" t="n">
        <f aca="false">IFERROR(LOOKUP(IF(K9="",G9,K9),{0,1,10,100,500,1000,2000,5000,10000,25000,50000,100000},{0,0.52,0.362,0.217,0.16276,0.1195,0.11321,0.10692,0.10063,0.09434,0.08805,0.08176}),"")</f>
        <v>0.52</v>
      </c>
      <c r="M9" s="12" t="n">
        <f aca="false">IFERROR(IF(K9="",G9,K9)*L9,"")</f>
        <v>1.56</v>
      </c>
      <c r="N9" s="13" t="s">
        <v>38</v>
      </c>
    </row>
    <row r="10" customFormat="false" ht="14.9" hidden="false" customHeight="false" outlineLevel="0" collapsed="false">
      <c r="A10" s="10" t="s">
        <v>39</v>
      </c>
      <c r="B10" s="10" t="s">
        <v>40</v>
      </c>
      <c r="D10" s="10" t="s">
        <v>31</v>
      </c>
      <c r="F10" s="13" t="s">
        <v>41</v>
      </c>
      <c r="G10" s="11" t="n">
        <f aca="false">BoardQty*1</f>
        <v>1</v>
      </c>
      <c r="H10" s="12" t="n">
        <f aca="true">MINA(INDIRECT(ADDRESS(ROW(),COLUMN(digikey_part_data)+2)))</f>
        <v>0.75</v>
      </c>
      <c r="I10" s="12" t="n">
        <f aca="false">IFERROR(G10*H10,"")</f>
        <v>0.75</v>
      </c>
      <c r="J10" s="11" t="n">
        <v>12945</v>
      </c>
      <c r="K10" s="0" t="n">
        <v>1</v>
      </c>
      <c r="L10" s="12" t="n">
        <f aca="false">IFERROR(LOOKUP(IF(K10="",G10,K10),{0,1,10,100,500,1000,4000},{0,0.75,0.53,0.3493,0.25876,0.21994,0.16875}),"")</f>
        <v>0.75</v>
      </c>
      <c r="M10" s="12" t="n">
        <f aca="false">IFERROR(IF(K10="",G10,K10)*L10,"")</f>
        <v>0.75</v>
      </c>
      <c r="N10" s="13" t="s">
        <v>42</v>
      </c>
    </row>
    <row r="11" customFormat="false" ht="14.9" hidden="false" customHeight="false" outlineLevel="0" collapsed="false">
      <c r="A11" s="10" t="s">
        <v>43</v>
      </c>
      <c r="B11" s="10" t="s">
        <v>44</v>
      </c>
      <c r="D11" s="10" t="s">
        <v>31</v>
      </c>
      <c r="F11" s="13" t="s">
        <v>45</v>
      </c>
      <c r="G11" s="11" t="n">
        <f aca="false">BoardQty*1</f>
        <v>1</v>
      </c>
      <c r="H11" s="12" t="n">
        <f aca="true">MINA(INDIRECT(ADDRESS(ROW(),COLUMN(digikey_part_data)+2)))</f>
        <v>0.18</v>
      </c>
      <c r="I11" s="12" t="n">
        <f aca="false">IFERROR(G11*H11,"")</f>
        <v>0.18</v>
      </c>
      <c r="J11" s="11" t="n">
        <v>674609</v>
      </c>
      <c r="K11" s="0" t="n">
        <v>1</v>
      </c>
      <c r="L11" s="12" t="n">
        <f aca="false">IFERROR(LOOKUP(IF(K11="",G11,K11),{0,1,10,100,500,1000,3000},{0,0.18,0.128,0.0603,0.0423,0.03502,0.02835}),"")</f>
        <v>0.18</v>
      </c>
      <c r="M11" s="12" t="n">
        <f aca="false">IFERROR(IF(K11="",G11,K11)*L11,"")</f>
        <v>0.18</v>
      </c>
      <c r="N11" s="13" t="s">
        <v>46</v>
      </c>
    </row>
    <row r="12" customFormat="false" ht="14.9" hidden="false" customHeight="false" outlineLevel="0" collapsed="false">
      <c r="A12" s="10" t="s">
        <v>47</v>
      </c>
      <c r="B12" s="10" t="s">
        <v>40</v>
      </c>
      <c r="D12" s="10" t="s">
        <v>48</v>
      </c>
      <c r="F12" s="10" t="s">
        <v>41</v>
      </c>
      <c r="G12" s="11" t="n">
        <f aca="false">BoardQty*2</f>
        <v>2</v>
      </c>
      <c r="H12" s="12" t="n">
        <f aca="true">MINA(INDIRECT(ADDRESS(ROW(),COLUMN(digikey_part_data)+2)))</f>
        <v>0.75</v>
      </c>
      <c r="I12" s="12" t="n">
        <f aca="false">IFERROR(G12*H12,"")</f>
        <v>1.5</v>
      </c>
      <c r="J12" s="11" t="n">
        <v>12945</v>
      </c>
      <c r="K12" s="0" t="n">
        <v>2</v>
      </c>
      <c r="L12" s="12" t="n">
        <f aca="false">IFERROR(LOOKUP(IF(K12="",G12,K12),{0,1,10,100,500,1000,4000},{0,0.75,0.53,0.3493,0.25876,0.21994,0.16875}),"")</f>
        <v>0.75</v>
      </c>
      <c r="M12" s="12" t="n">
        <f aca="false">IFERROR(IF(K12="",G12,K12)*L12,"")</f>
        <v>1.5</v>
      </c>
      <c r="N12" s="13" t="s">
        <v>42</v>
      </c>
    </row>
    <row r="13" customFormat="false" ht="14.9" hidden="false" customHeight="false" outlineLevel="0" collapsed="false">
      <c r="A13" s="10" t="s">
        <v>49</v>
      </c>
      <c r="B13" s="10" t="s">
        <v>50</v>
      </c>
      <c r="D13" s="10" t="s">
        <v>31</v>
      </c>
      <c r="F13" s="13" t="s">
        <v>51</v>
      </c>
      <c r="G13" s="11" t="n">
        <f aca="false">BoardQty*1</f>
        <v>1</v>
      </c>
      <c r="H13" s="12" t="n">
        <f aca="true">MINA(INDIRECT(ADDRESS(ROW(),COLUMN(digikey_part_data)+2)))</f>
        <v>0.24</v>
      </c>
      <c r="I13" s="12" t="n">
        <f aca="false">IFERROR(G13*H13,"")</f>
        <v>0.24</v>
      </c>
      <c r="J13" s="11" t="n">
        <v>268669</v>
      </c>
      <c r="K13" s="0" t="n">
        <v>1</v>
      </c>
      <c r="L13" s="12" t="n">
        <f aca="false">IFERROR(LOOKUP(IF(K13="",G13,K13),{0,1,10,100,500,1000,4000,30000},{0,0.24,0.161,0.0814,0.0557,0.04928,0.04005,0.0225}),"")</f>
        <v>0.24</v>
      </c>
      <c r="M13" s="12" t="n">
        <f aca="false">IFERROR(IF(K13="",G13,K13)*L13,"")</f>
        <v>0.24</v>
      </c>
      <c r="N13" s="13" t="s">
        <v>52</v>
      </c>
    </row>
    <row r="14" customFormat="false" ht="14.9" hidden="false" customHeight="false" outlineLevel="0" collapsed="false">
      <c r="A14" s="10" t="s">
        <v>53</v>
      </c>
      <c r="B14" s="10" t="s">
        <v>54</v>
      </c>
      <c r="D14" s="10" t="s">
        <v>55</v>
      </c>
      <c r="F14" s="10" t="s">
        <v>56</v>
      </c>
      <c r="G14" s="11" t="n">
        <f aca="false">BoardQty*2</f>
        <v>2</v>
      </c>
      <c r="H14" s="12" t="n">
        <f aca="true">MINA(INDIRECT(ADDRESS(ROW(),COLUMN(digikey_part_data)+2)))</f>
        <v>0.49</v>
      </c>
      <c r="I14" s="12" t="n">
        <f aca="false">IFERROR(G14*H14,"")</f>
        <v>0.98</v>
      </c>
      <c r="J14" s="11" t="n">
        <v>67953</v>
      </c>
      <c r="K14" s="0" t="n">
        <v>2</v>
      </c>
      <c r="L14" s="12" t="n">
        <f aca="false">IFERROR(LOOKUP(IF(K14="",G14,K14),{0,1,10,25,100,250,500,1000,2500,5000,10000,25000},{0,0.49,0.41,0.3588,0.3077,0.26668,0.22564,0.17436,0.15898,0.1447,0.13472,0.13306}),"")</f>
        <v>0.49</v>
      </c>
      <c r="M14" s="12" t="n">
        <f aca="false">IFERROR(IF(K14="",G14,K14)*L14,"")</f>
        <v>0.98</v>
      </c>
      <c r="N14" s="13" t="s">
        <v>57</v>
      </c>
    </row>
    <row r="15" customFormat="false" ht="14.9" hidden="false" customHeight="false" outlineLevel="0" collapsed="false">
      <c r="A15" s="10" t="s">
        <v>58</v>
      </c>
      <c r="B15" s="10" t="s">
        <v>59</v>
      </c>
      <c r="D15" s="10" t="s">
        <v>60</v>
      </c>
      <c r="F15" s="13" t="s">
        <v>61</v>
      </c>
      <c r="G15" s="11" t="n">
        <f aca="false">BoardQty*3</f>
        <v>3</v>
      </c>
      <c r="H15" s="12" t="n">
        <f aca="true">MINA(INDIRECT(ADDRESS(ROW(),COLUMN(digikey_part_data)+2)))</f>
        <v>0.31</v>
      </c>
      <c r="I15" s="12" t="n">
        <f aca="false">IFERROR(G15*H15,"")</f>
        <v>0.93</v>
      </c>
      <c r="J15" s="11" t="n">
        <v>228689</v>
      </c>
      <c r="K15" s="0" t="n">
        <v>4</v>
      </c>
      <c r="L15" s="12" t="n">
        <f aca="false">IFERROR(LOOKUP(IF(K15="",G15,K15),{0,1,10,25,100,250,500,1000,3000,6000,15000,30000,75000,150000},{0,0.31,0.225,0.1656,0.1183,0.0804,0.07096,0.05558,0.04945,0.043,0.0387,0.0344,0.03118,0.02903}),"")</f>
        <v>0.31</v>
      </c>
      <c r="M15" s="12" t="n">
        <f aca="false">IFERROR(IF(K15="",G15,K15)*L15,"")</f>
        <v>1.24</v>
      </c>
      <c r="N15" s="13" t="s">
        <v>62</v>
      </c>
    </row>
    <row r="16" customFormat="false" ht="14.9" hidden="false" customHeight="false" outlineLevel="0" collapsed="false">
      <c r="A16" s="10" t="s">
        <v>63</v>
      </c>
      <c r="B16" s="10" t="s">
        <v>59</v>
      </c>
      <c r="D16" s="10" t="s">
        <v>60</v>
      </c>
      <c r="F16" s="13" t="s">
        <v>64</v>
      </c>
      <c r="G16" s="11" t="n">
        <f aca="false">BoardQty*1</f>
        <v>1</v>
      </c>
      <c r="H16" s="12" t="n">
        <f aca="true">MINA(INDIRECT(ADDRESS(ROW(),COLUMN(digikey_part_data)+2)))</f>
        <v>0.31</v>
      </c>
      <c r="I16" s="12" t="n">
        <f aca="false">IFERROR(G16*H16,"")</f>
        <v>0.31</v>
      </c>
      <c r="J16" s="11" t="n">
        <v>259780</v>
      </c>
      <c r="K16" s="0" t="n">
        <v>2</v>
      </c>
      <c r="L16" s="12" t="n">
        <f aca="false">IFERROR(LOOKUP(IF(K16="",G16,K16),{0,1,10,25,100,250,500,1000,3000,6000,15000,30000,75000,150000},{0,0.31,0.225,0.1656,0.1183,0.0804,0.07096,0.05558,0.04945,0.043,0.0387,0.0344,0.03118,0.02903}),"")</f>
        <v>0.31</v>
      </c>
      <c r="M16" s="12" t="n">
        <f aca="false">IFERROR(IF(K16="",G16,K16)*L16,"")</f>
        <v>0.62</v>
      </c>
      <c r="N16" s="13" t="s">
        <v>65</v>
      </c>
    </row>
    <row r="17" customFormat="false" ht="14.9" hidden="false" customHeight="false" outlineLevel="0" collapsed="false">
      <c r="A17" s="10" t="s">
        <v>66</v>
      </c>
      <c r="B17" s="10" t="s">
        <v>67</v>
      </c>
      <c r="D17" s="10" t="s">
        <v>68</v>
      </c>
      <c r="F17" s="10" t="s">
        <v>69</v>
      </c>
      <c r="G17" s="11" t="n">
        <f aca="false">BoardQty*2</f>
        <v>2</v>
      </c>
      <c r="H17" s="12" t="n">
        <f aca="true">MINA(INDIRECT(ADDRESS(ROW(),COLUMN(digikey_part_data)+2)))</f>
        <v>1.8</v>
      </c>
      <c r="I17" s="12" t="n">
        <f aca="false">IFERROR(G17*H17,"")</f>
        <v>3.6</v>
      </c>
      <c r="J17" s="11" t="n">
        <v>3726</v>
      </c>
      <c r="K17" s="0" t="n">
        <v>2</v>
      </c>
      <c r="L17" s="12" t="n">
        <f aca="false">IFERROR(LOOKUP(IF(K17="",G17,K17),{0,1,5,10,50,100,250,500,1000,2500,5000},{0,1.8,1.716,1.63,1.3156,1.1154,1.0868,0.9152,0.8151,0.702,0.65}),"")</f>
        <v>1.8</v>
      </c>
      <c r="M17" s="12" t="n">
        <f aca="false">IFERROR(IF(K17="",G17,K17)*L17,"")</f>
        <v>3.6</v>
      </c>
      <c r="N17" s="13" t="s">
        <v>70</v>
      </c>
    </row>
    <row r="18" customFormat="false" ht="14.9" hidden="false" customHeight="false" outlineLevel="0" collapsed="false">
      <c r="A18" s="10" t="s">
        <v>71</v>
      </c>
      <c r="B18" s="10" t="s">
        <v>72</v>
      </c>
      <c r="D18" s="10" t="s">
        <v>73</v>
      </c>
      <c r="F18" s="10" t="s">
        <v>74</v>
      </c>
      <c r="G18" s="11" t="n">
        <f aca="false">BoardQty*2</f>
        <v>2</v>
      </c>
      <c r="H18" s="12" t="n">
        <f aca="true">MINA(INDIRECT(ADDRESS(ROW(),COLUMN(digikey_part_data)+2)))</f>
        <v>2.6</v>
      </c>
      <c r="I18" s="12" t="n">
        <f aca="false">IFERROR(G18*H18,"")</f>
        <v>5.2</v>
      </c>
      <c r="J18" s="11" t="n">
        <v>435</v>
      </c>
      <c r="K18" s="0" t="n">
        <v>2</v>
      </c>
      <c r="L18" s="12" t="n">
        <f aca="false">IFERROR(LOOKUP(IF(K18="",G18,K18),{0,1,5,10,50,100,250,500,1000,1500,2500,3500,5000},{0,2.6,2.478,2.354,1.9,1.6109,1.5696,1.2016,1.07018,1.03263,1.01385,0.9763,0.93875}),"")</f>
        <v>2.6</v>
      </c>
      <c r="M18" s="12" t="n">
        <f aca="false">IFERROR(IF(K18="",G18,K18)*L18,"")</f>
        <v>5.2</v>
      </c>
      <c r="N18" s="13" t="s">
        <v>75</v>
      </c>
    </row>
    <row r="19" customFormat="false" ht="14.9" hidden="false" customHeight="false" outlineLevel="0" collapsed="false">
      <c r="A19" s="10" t="s">
        <v>76</v>
      </c>
      <c r="B19" s="10" t="s">
        <v>77</v>
      </c>
      <c r="D19" s="10" t="s">
        <v>78</v>
      </c>
      <c r="F19" s="13" t="s">
        <v>79</v>
      </c>
      <c r="G19" s="11" t="n">
        <f aca="false">BoardQty*1</f>
        <v>1</v>
      </c>
      <c r="H19" s="12" t="n">
        <f aca="true">MINA(INDIRECT(ADDRESS(ROW(),COLUMN(digikey_part_data)+2)))</f>
        <v>0.6</v>
      </c>
      <c r="I19" s="12" t="n">
        <f aca="false">IFERROR(G19*H19,"")</f>
        <v>0.6</v>
      </c>
      <c r="J19" s="11" t="n">
        <v>112548</v>
      </c>
      <c r="K19" s="0" t="n">
        <v>1</v>
      </c>
      <c r="L19" s="12" t="n">
        <f aca="false">IFERROR(LOOKUP(IF(K19="",G19,K19),{0,1,10,25,50,100,250,500,1000,2500},{0,0.6,0.558,0.5024,0.4464,0.4278,0.3906,0.372,0.3069,0.279}),"")</f>
        <v>0.6</v>
      </c>
      <c r="M19" s="12" t="n">
        <f aca="false">IFERROR(IF(K19="",G19,K19)*L19,"")</f>
        <v>0.6</v>
      </c>
      <c r="N19" s="13" t="s">
        <v>80</v>
      </c>
    </row>
    <row r="20" customFormat="false" ht="14.9" hidden="false" customHeight="false" outlineLevel="0" collapsed="false">
      <c r="A20" s="10" t="s">
        <v>81</v>
      </c>
      <c r="B20" s="10" t="s">
        <v>82</v>
      </c>
      <c r="F20" s="10" t="s">
        <v>83</v>
      </c>
      <c r="G20" s="11" t="n">
        <f aca="false">BoardQty*1</f>
        <v>1</v>
      </c>
      <c r="H20" s="12" t="n">
        <f aca="true">MINA(INDIRECT(ADDRESS(ROW(),COLUMN(digikey_part_data)+2)))</f>
        <v>1.24</v>
      </c>
      <c r="I20" s="12" t="n">
        <f aca="false">IFERROR(G20*H20,"")</f>
        <v>1.24</v>
      </c>
      <c r="J20" s="11" t="n">
        <v>9060</v>
      </c>
      <c r="K20" s="0" t="n">
        <v>1</v>
      </c>
      <c r="L20" s="12" t="n">
        <f aca="false">IFERROR(LOOKUP(IF(K20="",G20,K20),{0,1,10,100,500,1000,5000},{0,1.24,1.125,0.9639,0.80326,0.6885,0.663}),"")</f>
        <v>1.24</v>
      </c>
      <c r="M20" s="12" t="n">
        <f aca="false">IFERROR(IF(K20="",G20,K20)*L20,"")</f>
        <v>1.24</v>
      </c>
      <c r="N20" s="13" t="s">
        <v>84</v>
      </c>
    </row>
    <row r="21" customFormat="false" ht="14.9" hidden="false" customHeight="false" outlineLevel="0" collapsed="false">
      <c r="A21" s="10" t="s">
        <v>85</v>
      </c>
      <c r="B21" s="10" t="s">
        <v>82</v>
      </c>
      <c r="F21" s="10" t="s">
        <v>86</v>
      </c>
      <c r="G21" s="11" t="n">
        <f aca="false">BoardQty*1</f>
        <v>1</v>
      </c>
      <c r="H21" s="12" t="n">
        <f aca="true">MINA(INDIRECT(ADDRESS(ROW(),COLUMN(digikey_part_data)+2)))</f>
        <v>1.51</v>
      </c>
      <c r="I21" s="12" t="n">
        <f aca="false">IFERROR(G21*H21,"")</f>
        <v>1.51</v>
      </c>
      <c r="J21" s="11" t="n">
        <v>2786</v>
      </c>
      <c r="K21" s="0" t="n">
        <v>1</v>
      </c>
      <c r="L21" s="12" t="n">
        <f aca="false">IFERROR(LOOKUP(IF(K21="",G21,K21),{0,1,10,100,500,1000,5000},{0,1.51,1.374,1.1775,0.98122,0.84105,0.8099}),"")</f>
        <v>1.51</v>
      </c>
      <c r="M21" s="12" t="n">
        <f aca="false">IFERROR(IF(K21="",G21,K21)*L21,"")</f>
        <v>1.51</v>
      </c>
      <c r="N21" s="13" t="s">
        <v>87</v>
      </c>
    </row>
    <row r="22" customFormat="false" ht="14.9" hidden="false" customHeight="false" outlineLevel="0" collapsed="false">
      <c r="A22" s="10" t="s">
        <v>88</v>
      </c>
      <c r="B22" s="10" t="s">
        <v>89</v>
      </c>
      <c r="F22" s="10" t="s">
        <v>90</v>
      </c>
      <c r="G22" s="11" t="n">
        <f aca="false">BoardQty*1</f>
        <v>1</v>
      </c>
      <c r="H22" s="12" t="n">
        <f aca="true">MINA(INDIRECT(ADDRESS(ROW(),COLUMN(digikey_part_data)+2)))</f>
        <v>0.21</v>
      </c>
      <c r="I22" s="12" t="n">
        <f aca="false">IFERROR(G22*H22,"")</f>
        <v>0.21</v>
      </c>
      <c r="J22" s="11" t="n">
        <v>111130</v>
      </c>
      <c r="K22" s="0" t="n">
        <v>1</v>
      </c>
      <c r="L22" s="12" t="n">
        <f aca="false">IFERROR(LOOKUP(IF(K22="",G22,K22),{0,1,10,25,50,100,250,500,1000,2500},{0,0.21,0.199,0.17,0.1486,0.1381,0.12212,0.11682,0.09558,0.08762}),"")</f>
        <v>0.21</v>
      </c>
      <c r="M22" s="12" t="n">
        <f aca="false">IFERROR(IF(K22="",G22,K22)*L22,"")</f>
        <v>0.21</v>
      </c>
      <c r="N22" s="13" t="s">
        <v>91</v>
      </c>
    </row>
    <row r="23" customFormat="false" ht="14.9" hidden="false" customHeight="false" outlineLevel="0" collapsed="false">
      <c r="A23" s="10" t="s">
        <v>92</v>
      </c>
      <c r="B23" s="10" t="s">
        <v>93</v>
      </c>
      <c r="F23" s="10" t="s">
        <v>94</v>
      </c>
      <c r="G23" s="11" t="n">
        <f aca="false">BoardQty*1</f>
        <v>1</v>
      </c>
      <c r="H23" s="12" t="n">
        <f aca="true">MINA(INDIRECT(ADDRESS(ROW(),COLUMN(digikey_part_data)+2)))</f>
        <v>0.93</v>
      </c>
      <c r="I23" s="12" t="n">
        <f aca="false">IFERROR(G23*H23,"")</f>
        <v>0.93</v>
      </c>
      <c r="J23" s="11" t="n">
        <v>9951</v>
      </c>
      <c r="K23" s="0" t="n">
        <v>1</v>
      </c>
      <c r="L23" s="12" t="n">
        <f aca="false">IFERROR(LOOKUP(IF(K23="",G23,K23),{0,1,10,100,500,1000,5000},{0,0.93,0.819,0.7069,0.57834,0.51408,0.4641}),"")</f>
        <v>0.93</v>
      </c>
      <c r="M23" s="12" t="n">
        <f aca="false">IFERROR(IF(K23="",G23,K23)*L23,"")</f>
        <v>0.93</v>
      </c>
      <c r="N23" s="13" t="s">
        <v>95</v>
      </c>
    </row>
    <row r="24" customFormat="false" ht="14.9" hidden="false" customHeight="false" outlineLevel="0" collapsed="false">
      <c r="A24" s="10" t="s">
        <v>96</v>
      </c>
      <c r="B24" s="10" t="s">
        <v>93</v>
      </c>
      <c r="F24" s="10" t="s">
        <v>83</v>
      </c>
      <c r="G24" s="11" t="n">
        <f aca="false">BoardQty*1</f>
        <v>1</v>
      </c>
      <c r="H24" s="12" t="n">
        <f aca="true">MINA(INDIRECT(ADDRESS(ROW(),COLUMN(digikey_part_data)+2)))</f>
        <v>1.24</v>
      </c>
      <c r="I24" s="12" t="n">
        <f aca="false">IFERROR(G24*H24,"")</f>
        <v>1.24</v>
      </c>
      <c r="J24" s="11" t="n">
        <v>9060</v>
      </c>
      <c r="K24" s="0" t="n">
        <v>1</v>
      </c>
      <c r="L24" s="12" t="n">
        <f aca="false">IFERROR(LOOKUP(IF(K24="",G24,K24),{0,1,10,100,500,1000,5000},{0,1.24,1.125,0.9639,0.80326,0.6885,0.663}),"")</f>
        <v>1.24</v>
      </c>
      <c r="M24" s="12" t="n">
        <f aca="false">IFERROR(IF(K24="",G24,K24)*L24,"")</f>
        <v>1.24</v>
      </c>
      <c r="N24" s="13" t="s">
        <v>84</v>
      </c>
    </row>
    <row r="25" customFormat="false" ht="14.9" hidden="false" customHeight="false" outlineLevel="0" collapsed="false">
      <c r="A25" s="10" t="s">
        <v>97</v>
      </c>
      <c r="B25" s="10" t="s">
        <v>98</v>
      </c>
      <c r="F25" s="10" t="s">
        <v>99</v>
      </c>
      <c r="G25" s="11" t="n">
        <f aca="false">BoardQty*2</f>
        <v>2</v>
      </c>
      <c r="H25" s="12" t="n">
        <f aca="true">MINA(INDIRECT(ADDRESS(ROW(),COLUMN(digikey_part_data)+2)))</f>
        <v>0.65</v>
      </c>
      <c r="I25" s="12" t="n">
        <f aca="false">IFERROR(G25*H25,"")</f>
        <v>1.3</v>
      </c>
      <c r="J25" s="11" t="n">
        <v>40265</v>
      </c>
      <c r="K25" s="0" t="n">
        <v>2</v>
      </c>
      <c r="L25" s="12" t="n">
        <f aca="false">IFERROR(LOOKUP(IF(K25="",G25,K25),{0,1,10,100,500,1000,5000,10000},{0,0.65,0.608,0.4658,0.405,0.33413,0.29363,0.2925}),"")</f>
        <v>0.65</v>
      </c>
      <c r="M25" s="12" t="n">
        <f aca="false">IFERROR(IF(K25="",G25,K25)*L25,"")</f>
        <v>1.3</v>
      </c>
      <c r="N25" s="13" t="s">
        <v>100</v>
      </c>
    </row>
    <row r="26" customFormat="false" ht="14.9" hidden="false" customHeight="false" outlineLevel="0" collapsed="false">
      <c r="A26" s="10" t="s">
        <v>101</v>
      </c>
      <c r="B26" s="10" t="s">
        <v>102</v>
      </c>
      <c r="F26" s="10" t="s">
        <v>103</v>
      </c>
      <c r="G26" s="11" t="n">
        <f aca="false">BoardQty*1</f>
        <v>1</v>
      </c>
      <c r="H26" s="12" t="n">
        <f aca="true">MINA(INDIRECT(ADDRESS(ROW(),COLUMN(digikey_part_data)+2)))</f>
        <v>9.52</v>
      </c>
      <c r="I26" s="12" t="n">
        <f aca="false">IFERROR(G26*H26,"")</f>
        <v>9.52</v>
      </c>
      <c r="J26" s="11" t="n">
        <v>8041</v>
      </c>
      <c r="K26" s="0" t="n">
        <v>1</v>
      </c>
      <c r="L26" s="12" t="n">
        <f aca="false">IFERROR(LOOKUP(IF(K26="",G26,K26),{0,1,10,25,50,100,250,500,1000},{0,9.52,9.109,8.2812,7.8672,7.6601,6.832,6.41794,5.67262}),"")</f>
        <v>9.52</v>
      </c>
      <c r="M26" s="12" t="n">
        <f aca="false">IFERROR(IF(K26="",G26,K26)*L26,"")</f>
        <v>9.52</v>
      </c>
      <c r="N26" s="13" t="s">
        <v>104</v>
      </c>
    </row>
    <row r="27" customFormat="false" ht="14.9" hidden="false" customHeight="false" outlineLevel="0" collapsed="false">
      <c r="A27" s="10" t="s">
        <v>105</v>
      </c>
      <c r="B27" s="10" t="s">
        <v>106</v>
      </c>
      <c r="F27" s="10" t="s">
        <v>107</v>
      </c>
      <c r="G27" s="11" t="n">
        <f aca="false">BoardQty*1</f>
        <v>1</v>
      </c>
      <c r="H27" s="12" t="n">
        <f aca="true">MINA(INDIRECT(ADDRESS(ROW(),COLUMN(digikey_part_data)+2)))</f>
        <v>30.22</v>
      </c>
      <c r="I27" s="12" t="n">
        <f aca="false">IFERROR(G27*H27,"")</f>
        <v>30.22</v>
      </c>
      <c r="J27" s="11" t="n">
        <v>515</v>
      </c>
      <c r="K27" s="0" t="n">
        <v>1</v>
      </c>
      <c r="L27" s="12" t="n">
        <f aca="false">IFERROR(LOOKUP(IF(K27="",G27,K27),{0,1,10,25,100,250},{0,30.22,27.954,25.6872,23.8738,21.90952}),"")</f>
        <v>30.22</v>
      </c>
      <c r="M27" s="12" t="n">
        <f aca="false">IFERROR(IF(K27="",G27,K27)*L27,"")</f>
        <v>30.22</v>
      </c>
      <c r="N27" s="13" t="s">
        <v>108</v>
      </c>
    </row>
    <row r="28" customFormat="false" ht="14.9" hidden="false" customHeight="false" outlineLevel="0" collapsed="false">
      <c r="A28" s="10" t="s">
        <v>109</v>
      </c>
      <c r="B28" s="10" t="s">
        <v>110</v>
      </c>
      <c r="F28" s="10" t="s">
        <v>111</v>
      </c>
      <c r="G28" s="11" t="n">
        <f aca="false">BoardQty*1</f>
        <v>1</v>
      </c>
      <c r="H28" s="12" t="n">
        <f aca="true">MINA(INDIRECT(ADDRESS(ROW(),COLUMN(digikey_part_data)+2)))</f>
        <v>0.45</v>
      </c>
      <c r="I28" s="12" t="n">
        <f aca="false">IFERROR(G28*H28,"")</f>
        <v>0.45</v>
      </c>
      <c r="J28" s="11" t="n">
        <v>12131</v>
      </c>
      <c r="K28" s="0" t="n">
        <v>1</v>
      </c>
      <c r="L28" s="12" t="n">
        <f aca="false">IFERROR(LOOKUP(IF(K28="",G28,K28),{0,1,10,100,500,1000,5000,10000},{0,0.45,0.424,0.325,0.2826,0.23315,0.20489,0.2041}),"")</f>
        <v>0.45</v>
      </c>
      <c r="M28" s="12" t="n">
        <f aca="false">IFERROR(IF(K28="",G28,K28)*L28,"")</f>
        <v>0.45</v>
      </c>
      <c r="N28" s="13" t="s">
        <v>112</v>
      </c>
    </row>
    <row r="29" customFormat="false" ht="14.9" hidden="false" customHeight="false" outlineLevel="0" collapsed="false">
      <c r="A29" s="10" t="s">
        <v>113</v>
      </c>
      <c r="B29" s="10" t="s">
        <v>114</v>
      </c>
      <c r="C29" s="10" t="s">
        <v>115</v>
      </c>
      <c r="D29" s="10" t="s">
        <v>116</v>
      </c>
      <c r="E29" s="10" t="s">
        <v>117</v>
      </c>
      <c r="F29" s="13" t="s">
        <v>114</v>
      </c>
      <c r="G29" s="11" t="n">
        <f aca="false">BoardQty*1</f>
        <v>1</v>
      </c>
      <c r="H29" s="12" t="n">
        <f aca="true">MINA(INDIRECT(ADDRESS(ROW(),COLUMN(digikey_part_data)+2)))</f>
        <v>0.73</v>
      </c>
      <c r="I29" s="12" t="n">
        <f aca="false">IFERROR(G29*H29,"")</f>
        <v>0.73</v>
      </c>
      <c r="J29" s="11" t="n">
        <v>37284</v>
      </c>
      <c r="K29" s="0" t="n">
        <v>1</v>
      </c>
      <c r="L29" s="12" t="n">
        <f aca="false">IFERROR(LOOKUP(IF(K29="",G29,K29),{0,1,10,25,50,100,250,500,1000,2000,2500,3000,5000,10000,15000,25000},{0,0.73,0.688,0.6188,0.5502,0.5273,0.4814,0.45848,0.37825,0.37815,0.34386,0.36555,0.30218,0.28134,0.27717,0.27092}),"")</f>
        <v>0.73</v>
      </c>
      <c r="M29" s="12" t="n">
        <f aca="false">IFERROR(IF(K29="",G29,K29)*L29,"")</f>
        <v>0.73</v>
      </c>
      <c r="N29" s="13" t="s">
        <v>118</v>
      </c>
    </row>
    <row r="30" customFormat="false" ht="14.9" hidden="false" customHeight="false" outlineLevel="0" collapsed="false">
      <c r="A30" s="10" t="s">
        <v>119</v>
      </c>
      <c r="B30" s="10" t="s">
        <v>120</v>
      </c>
      <c r="F30" s="10" t="s">
        <v>121</v>
      </c>
      <c r="G30" s="11" t="n">
        <f aca="false">BoardQty*1</f>
        <v>1</v>
      </c>
      <c r="H30" s="12" t="n">
        <f aca="true">MINA(INDIRECT(ADDRESS(ROW(),COLUMN(digikey_part_data)+2)))</f>
        <v>5.95</v>
      </c>
      <c r="I30" s="12" t="n">
        <f aca="false">IFERROR(G30*H30,"")</f>
        <v>5.95</v>
      </c>
      <c r="J30" s="11" t="n">
        <v>35</v>
      </c>
      <c r="K30" s="0" t="n">
        <v>1</v>
      </c>
      <c r="L30" s="12" t="n">
        <f aca="false">IFERROR(LOOKUP(IF(K30="",G30,K30),{0,1},{0,5.95}),"")</f>
        <v>5.95</v>
      </c>
      <c r="M30" s="12" t="n">
        <f aca="false">IFERROR(IF(K30="",G30,K30)*L30,"")</f>
        <v>5.95</v>
      </c>
      <c r="N30" s="13" t="s">
        <v>121</v>
      </c>
    </row>
    <row r="31" customFormat="false" ht="14.9" hidden="false" customHeight="false" outlineLevel="0" collapsed="false">
      <c r="A31" s="10" t="s">
        <v>122</v>
      </c>
      <c r="B31" s="10" t="s">
        <v>110</v>
      </c>
      <c r="D31" s="10" t="s">
        <v>123</v>
      </c>
      <c r="F31" s="10" t="s">
        <v>124</v>
      </c>
      <c r="G31" s="11" t="n">
        <f aca="false">BoardQty*1</f>
        <v>1</v>
      </c>
      <c r="H31" s="12" t="n">
        <f aca="true">MINA(INDIRECT(ADDRESS(ROW(),COLUMN(digikey_part_data)+2)))</f>
        <v>9.95</v>
      </c>
      <c r="I31" s="12" t="n">
        <f aca="false">IFERROR(G31*H31,"")</f>
        <v>9.95</v>
      </c>
      <c r="J31" s="11" t="n">
        <v>122</v>
      </c>
      <c r="K31" s="0" t="n">
        <v>1</v>
      </c>
      <c r="L31" s="12" t="n">
        <f aca="false">IFERROR(LOOKUP(IF(K31="",G31,K31),{0,1},{0,9.95}),"")</f>
        <v>9.95</v>
      </c>
      <c r="M31" s="12" t="n">
        <f aca="false">IFERROR(IF(K31="",G31,K31)*L31,"")</f>
        <v>9.95</v>
      </c>
      <c r="N31" s="13" t="s">
        <v>124</v>
      </c>
    </row>
    <row r="32" customFormat="false" ht="14.9" hidden="false" customHeight="false" outlineLevel="0" collapsed="false">
      <c r="A32" s="10" t="s">
        <v>125</v>
      </c>
      <c r="B32" s="10" t="s">
        <v>110</v>
      </c>
      <c r="D32" s="10" t="s">
        <v>123</v>
      </c>
      <c r="F32" s="10" t="s">
        <v>126</v>
      </c>
      <c r="G32" s="11" t="n">
        <f aca="false">BoardQty*1</f>
        <v>1</v>
      </c>
      <c r="H32" s="12" t="n">
        <f aca="true">MINA(INDIRECT(ADDRESS(ROW(),COLUMN(digikey_part_data)+2)))</f>
        <v>7.22</v>
      </c>
      <c r="I32" s="12" t="n">
        <f aca="false">IFERROR(G32*H32,"")</f>
        <v>7.22</v>
      </c>
      <c r="J32" s="11" t="n">
        <v>6326</v>
      </c>
      <c r="K32" s="0" t="n">
        <v>1</v>
      </c>
      <c r="L32" s="12" t="n">
        <f aca="false">IFERROR(LOOKUP(IF(K32="",G32,K32),{0,1,10,100,500,1000},{0,7.22,6.921,5.717,4.81436,4.21256}),"")</f>
        <v>7.22</v>
      </c>
      <c r="M32" s="12" t="n">
        <f aca="false">IFERROR(IF(K32="",G32,K32)*L32,"")</f>
        <v>7.22</v>
      </c>
      <c r="N32" s="13" t="s">
        <v>127</v>
      </c>
    </row>
    <row r="33" customFormat="false" ht="15" hidden="false" customHeight="false" outlineLevel="0" collapsed="false">
      <c r="A33" s="10" t="s">
        <v>128</v>
      </c>
      <c r="B33" s="10" t="s">
        <v>93</v>
      </c>
      <c r="D33" s="10" t="s">
        <v>129</v>
      </c>
      <c r="G33" s="11" t="n">
        <f aca="false">BoardQty*1</f>
        <v>1</v>
      </c>
      <c r="H33" s="12" t="n">
        <f aca="true">MINA(INDIRECT(ADDRESS(ROW(),COLUMN(digikey_part_data)+2)))</f>
        <v>0</v>
      </c>
      <c r="I33" s="12" t="n">
        <f aca="false">IFERROR(G33*H33,"")</f>
        <v>0</v>
      </c>
    </row>
    <row r="34" customFormat="false" ht="14.9" hidden="false" customHeight="false" outlineLevel="0" collapsed="false">
      <c r="A34" s="10" t="s">
        <v>130</v>
      </c>
      <c r="B34" s="10" t="s">
        <v>131</v>
      </c>
      <c r="D34" s="10" t="s">
        <v>132</v>
      </c>
      <c r="F34" s="13" t="s">
        <v>133</v>
      </c>
      <c r="G34" s="11" t="n">
        <f aca="false">BoardQty*1</f>
        <v>1</v>
      </c>
      <c r="H34" s="12" t="n">
        <f aca="true">MINA(INDIRECT(ADDRESS(ROW(),COLUMN(digikey_part_data)+2)))</f>
        <v>0.28</v>
      </c>
      <c r="I34" s="12" t="n">
        <f aca="false">IFERROR(G34*H34,"")</f>
        <v>0.28</v>
      </c>
      <c r="J34" s="11" t="n">
        <v>54393</v>
      </c>
      <c r="K34" s="0" t="n">
        <v>1</v>
      </c>
      <c r="L34" s="12" t="n">
        <f aca="false">IFERROR(LOOKUP(IF(K34="",G34,K34),{0,1,10,25,50,100,650,1000},{0,0.28,0.658,0.2572,0.439,0.233,0.3192,0.2196}),"")</f>
        <v>0.28</v>
      </c>
      <c r="M34" s="12" t="n">
        <f aca="false">IFERROR(IF(K34="",G34,K34)*L34,"")</f>
        <v>0.28</v>
      </c>
      <c r="N34" s="13" t="s">
        <v>134</v>
      </c>
    </row>
    <row r="35" customFormat="false" ht="15" hidden="false" customHeight="false" outlineLevel="0" collapsed="false">
      <c r="A35" s="10" t="s">
        <v>135</v>
      </c>
      <c r="B35" s="10" t="s">
        <v>82</v>
      </c>
      <c r="D35" s="10" t="s">
        <v>136</v>
      </c>
      <c r="G35" s="11" t="n">
        <f aca="false">BoardQty*1</f>
        <v>1</v>
      </c>
      <c r="H35" s="12" t="n">
        <f aca="true">MINA(INDIRECT(ADDRESS(ROW(),COLUMN(digikey_part_data)+2)))</f>
        <v>0</v>
      </c>
      <c r="I35" s="12" t="n">
        <f aca="false">IFERROR(G35*H35,"")</f>
        <v>0</v>
      </c>
    </row>
    <row r="36" customFormat="false" ht="14.9" hidden="false" customHeight="false" outlineLevel="0" collapsed="false">
      <c r="A36" s="10" t="s">
        <v>137</v>
      </c>
      <c r="B36" s="10" t="s">
        <v>138</v>
      </c>
      <c r="F36" s="10" t="s">
        <v>139</v>
      </c>
      <c r="G36" s="11" t="n">
        <f aca="false">BoardQty*2</f>
        <v>2</v>
      </c>
      <c r="H36" s="12" t="n">
        <f aca="true">MINA(INDIRECT(ADDRESS(ROW(),COLUMN(digikey_part_data)+2)))</f>
        <v>1.17</v>
      </c>
      <c r="I36" s="12" t="n">
        <f aca="false">IFERROR(G36*H36,"")</f>
        <v>2.34</v>
      </c>
      <c r="J36" s="11" t="n">
        <v>1012</v>
      </c>
      <c r="K36" s="0" t="n">
        <v>2</v>
      </c>
      <c r="L36" s="12" t="n">
        <f aca="false">IFERROR(LOOKUP(IF(K36="",G36,K36),{0,1,10,100,500,1000,5000},{0,1.17,1.026,0.8851,0.72414,0.64368,0.5811}),"")</f>
        <v>1.17</v>
      </c>
      <c r="M36" s="12" t="n">
        <f aca="false">IFERROR(IF(K36="",G36,K36)*L36,"")</f>
        <v>2.34</v>
      </c>
      <c r="N36" s="13" t="s">
        <v>140</v>
      </c>
    </row>
    <row r="37" customFormat="false" ht="15" hidden="false" customHeight="false" outlineLevel="0" collapsed="false">
      <c r="A37" s="10" t="s">
        <v>141</v>
      </c>
      <c r="B37" s="10" t="s">
        <v>142</v>
      </c>
      <c r="D37" s="10" t="s">
        <v>143</v>
      </c>
      <c r="G37" s="11" t="n">
        <f aca="false">BoardQty*2</f>
        <v>2</v>
      </c>
      <c r="H37" s="12" t="n">
        <f aca="true">MINA(INDIRECT(ADDRESS(ROW(),COLUMN(digikey_part_data)+2)))</f>
        <v>0</v>
      </c>
      <c r="I37" s="12" t="n">
        <f aca="false">IFERROR(G37*H37,"")</f>
        <v>0</v>
      </c>
    </row>
    <row r="38" customFormat="false" ht="14.9" hidden="false" customHeight="false" outlineLevel="0" collapsed="false">
      <c r="A38" s="10" t="s">
        <v>144</v>
      </c>
      <c r="B38" s="10" t="s">
        <v>145</v>
      </c>
      <c r="D38" s="10" t="s">
        <v>146</v>
      </c>
      <c r="F38" s="10" t="s">
        <v>147</v>
      </c>
      <c r="G38" s="11" t="n">
        <f aca="false">BoardQty*1</f>
        <v>1</v>
      </c>
      <c r="H38" s="12" t="n">
        <f aca="true">MINA(INDIRECT(ADDRESS(ROW(),COLUMN(digikey_part_data)+2)))</f>
        <v>0.13</v>
      </c>
      <c r="I38" s="12" t="n">
        <f aca="false">IFERROR(G38*H38,"")</f>
        <v>0.13</v>
      </c>
      <c r="J38" s="11" t="n">
        <v>132223</v>
      </c>
      <c r="K38" s="0" t="n">
        <v>1</v>
      </c>
      <c r="L38" s="12" t="n">
        <f aca="false">IFERROR(LOOKUP(IF(K38="",G38,K38),{0,1,10,25,50,100,1000},{0,0.13,0.106,0.088,0.074,0.067,0.061}),"")</f>
        <v>0.13</v>
      </c>
      <c r="M38" s="12" t="n">
        <f aca="false">IFERROR(IF(K38="",G38,K38)*L38,"")</f>
        <v>0.13</v>
      </c>
      <c r="N38" s="13" t="s">
        <v>148</v>
      </c>
    </row>
    <row r="39" customFormat="false" ht="14.9" hidden="false" customHeight="false" outlineLevel="0" collapsed="false">
      <c r="A39" s="10" t="s">
        <v>149</v>
      </c>
      <c r="B39" s="10" t="s">
        <v>150</v>
      </c>
      <c r="D39" s="10" t="s">
        <v>151</v>
      </c>
      <c r="F39" s="10" t="s">
        <v>152</v>
      </c>
      <c r="G39" s="11" t="n">
        <f aca="false">BoardQty*3</f>
        <v>3</v>
      </c>
      <c r="H39" s="12" t="n">
        <f aca="true">MINA(INDIRECT(ADDRESS(ROW(),COLUMN(digikey_part_data)+2)))</f>
        <v>0.13</v>
      </c>
      <c r="I39" s="12" t="n">
        <f aca="false">IFERROR(G39*H39,"")</f>
        <v>0.39</v>
      </c>
      <c r="J39" s="11" t="n">
        <v>77395</v>
      </c>
      <c r="K39" s="0" t="n">
        <v>3</v>
      </c>
      <c r="L39" s="12" t="n">
        <f aca="false">IFERROR(LOOKUP(IF(K39="",G39,K39),{0,1,10,25,50,100,1000},{0,0.13,0.106,0.088,0.074,0.067,0.061}),"")</f>
        <v>0.13</v>
      </c>
      <c r="M39" s="12" t="n">
        <f aca="false">IFERROR(IF(K39="",G39,K39)*L39,"")</f>
        <v>0.39</v>
      </c>
      <c r="N39" s="13" t="s">
        <v>153</v>
      </c>
    </row>
    <row r="40" customFormat="false" ht="14.9" hidden="false" customHeight="false" outlineLevel="0" collapsed="false">
      <c r="A40" s="10" t="s">
        <v>154</v>
      </c>
      <c r="B40" s="10" t="s">
        <v>155</v>
      </c>
      <c r="D40" s="10" t="s">
        <v>146</v>
      </c>
      <c r="F40" s="10" t="s">
        <v>147</v>
      </c>
      <c r="G40" s="11" t="n">
        <f aca="false">BoardQty*15</f>
        <v>15</v>
      </c>
      <c r="H40" s="12" t="n">
        <f aca="true">MINA(INDIRECT(ADDRESS(ROW(),COLUMN(digikey_part_data)+2)))</f>
        <v>0.106</v>
      </c>
      <c r="I40" s="12" t="n">
        <f aca="false">IFERROR(G40*H40,"")</f>
        <v>1.59</v>
      </c>
      <c r="J40" s="11" t="n">
        <v>132223</v>
      </c>
      <c r="K40" s="0" t="n">
        <v>15</v>
      </c>
      <c r="L40" s="12" t="n">
        <f aca="false">IFERROR(LOOKUP(IF(K40="",G40,K40),{0,1,10,25,50,100,1000},{0,0.13,0.106,0.088,0.074,0.067,0.061}),"")</f>
        <v>0.106</v>
      </c>
      <c r="M40" s="12" t="n">
        <f aca="false">IFERROR(IF(K40="",G40,K40)*L40,"")</f>
        <v>1.59</v>
      </c>
      <c r="N40" s="13" t="s">
        <v>148</v>
      </c>
    </row>
    <row r="41" customFormat="false" ht="15" hidden="false" customHeight="false" outlineLevel="0" collapsed="false">
      <c r="A41" s="10" t="s">
        <v>156</v>
      </c>
      <c r="B41" s="10" t="s">
        <v>157</v>
      </c>
      <c r="D41" s="10" t="s">
        <v>158</v>
      </c>
      <c r="G41" s="11" t="n">
        <f aca="false">BoardQty*4</f>
        <v>4</v>
      </c>
      <c r="H41" s="12" t="n">
        <f aca="true">MINA(INDIRECT(ADDRESS(ROW(),COLUMN(digikey_part_data)+2)))</f>
        <v>0</v>
      </c>
      <c r="I41" s="12" t="n">
        <f aca="false">IFERROR(G41*H41,"")</f>
        <v>0</v>
      </c>
    </row>
    <row r="42" customFormat="false" ht="14.9" hidden="false" customHeight="false" outlineLevel="0" collapsed="false">
      <c r="A42" s="10" t="s">
        <v>159</v>
      </c>
      <c r="B42" s="10" t="s">
        <v>160</v>
      </c>
      <c r="D42" s="10" t="s">
        <v>161</v>
      </c>
      <c r="F42" s="13" t="s">
        <v>162</v>
      </c>
      <c r="G42" s="11" t="n">
        <f aca="false">BoardQty*1</f>
        <v>1</v>
      </c>
      <c r="H42" s="12" t="n">
        <f aca="true">MINA(INDIRECT(ADDRESS(ROW(),COLUMN(digikey_part_data)+2)))</f>
        <v>0.9</v>
      </c>
      <c r="I42" s="12" t="n">
        <f aca="false">IFERROR(G42*H42,"")</f>
        <v>0.9</v>
      </c>
      <c r="J42" s="11" t="n">
        <v>3495</v>
      </c>
      <c r="K42" s="0" t="n">
        <v>2</v>
      </c>
      <c r="L42" s="12" t="n">
        <f aca="false">IFERROR(LOOKUP(IF(K42="",G42,K42),{0,1,10,100,500,1000,3000},{0,0.9,0.788,0.6076,0.45012,0.36009,0.31683}),"")</f>
        <v>0.9</v>
      </c>
      <c r="M42" s="12" t="n">
        <f aca="false">IFERROR(IF(K42="",G42,K42)*L42,"")</f>
        <v>1.8</v>
      </c>
      <c r="N42" s="13" t="s">
        <v>163</v>
      </c>
    </row>
    <row r="43" customFormat="false" ht="14.9" hidden="false" customHeight="false" outlineLevel="0" collapsed="false">
      <c r="A43" s="10" t="s">
        <v>164</v>
      </c>
      <c r="B43" s="10" t="s">
        <v>165</v>
      </c>
      <c r="D43" s="10" t="s">
        <v>166</v>
      </c>
      <c r="F43" s="13" t="s">
        <v>167</v>
      </c>
      <c r="G43" s="11" t="n">
        <f aca="false">BoardQty*1</f>
        <v>1</v>
      </c>
      <c r="H43" s="12" t="n">
        <f aca="true">MINA(INDIRECT(ADDRESS(ROW(),COLUMN(digikey_part_data)+2)))</f>
        <v>0.21</v>
      </c>
      <c r="I43" s="12" t="n">
        <f aca="false">IFERROR(G43*H43,"")</f>
        <v>0.21</v>
      </c>
      <c r="J43" s="11" t="n">
        <v>31381</v>
      </c>
      <c r="K43" s="0" t="n">
        <v>2</v>
      </c>
      <c r="L43" s="12" t="n">
        <f aca="false">IFERROR(LOOKUP(IF(K43="",G43,K43),{0,1,10,25,100,250,500,1000,3000,6000,15000,30000,75000,150000},{0,0.21,0.193,0.1756,0.1265,0.07452,0.06186,0.04218,0.03481,0.0314,0.0273,0.02457,0.02184,0.0182}),"")</f>
        <v>0.21</v>
      </c>
      <c r="M43" s="12" t="n">
        <f aca="false">IFERROR(IF(K43="",G43,K43)*L43,"")</f>
        <v>0.42</v>
      </c>
      <c r="N43" s="13" t="s">
        <v>168</v>
      </c>
    </row>
    <row r="44" customFormat="false" ht="14.9" hidden="false" customHeight="false" outlineLevel="0" collapsed="false">
      <c r="A44" s="10" t="s">
        <v>169</v>
      </c>
      <c r="B44" s="10" t="s">
        <v>170</v>
      </c>
      <c r="D44" s="10" t="s">
        <v>171</v>
      </c>
      <c r="F44" s="13" t="s">
        <v>172</v>
      </c>
      <c r="G44" s="11" t="n">
        <f aca="false">BoardQty*1</f>
        <v>1</v>
      </c>
      <c r="H44" s="12" t="n">
        <f aca="true">MINA(INDIRECT(ADDRESS(ROW(),COLUMN(digikey_part_data)+2)))</f>
        <v>0.24</v>
      </c>
      <c r="I44" s="12" t="n">
        <f aca="false">IFERROR(G44*H44,"")</f>
        <v>0.24</v>
      </c>
      <c r="J44" s="11" t="n">
        <v>2815</v>
      </c>
      <c r="K44" s="0" t="n">
        <v>2</v>
      </c>
      <c r="L44" s="12" t="n">
        <f aca="false">IFERROR(LOOKUP(IF(K44="",G44,K44),{0,1,10,25,50,100,250,500,1000,5000,10000,25000,50000,125000},{0,0.24,0.204,0.1488,0.1078,0.0799,0.06136,0.04834,0.03346,0.02535,0.02366,0.02248,0.02202,0.02155}),"")</f>
        <v>0.24</v>
      </c>
      <c r="M44" s="12" t="n">
        <f aca="false">IFERROR(IF(K44="",G44,K44)*L44,"")</f>
        <v>0.48</v>
      </c>
      <c r="N44" s="13" t="s">
        <v>173</v>
      </c>
    </row>
    <row r="45" customFormat="false" ht="14.9" hidden="false" customHeight="false" outlineLevel="0" collapsed="false">
      <c r="A45" s="10" t="s">
        <v>174</v>
      </c>
      <c r="B45" s="10" t="s">
        <v>175</v>
      </c>
      <c r="D45" s="10" t="s">
        <v>171</v>
      </c>
      <c r="F45" s="13" t="s">
        <v>176</v>
      </c>
      <c r="G45" s="11" t="n">
        <f aca="false">BoardQty*1</f>
        <v>1</v>
      </c>
      <c r="H45" s="12" t="n">
        <f aca="true">MINA(INDIRECT(ADDRESS(ROW(),COLUMN(digikey_part_data)+2)))</f>
        <v>0.1</v>
      </c>
      <c r="I45" s="12" t="n">
        <f aca="false">IFERROR(G45*H45,"")</f>
        <v>0.1</v>
      </c>
      <c r="J45" s="11" t="n">
        <v>433629</v>
      </c>
      <c r="K45" s="0" t="n">
        <v>2</v>
      </c>
      <c r="L45" s="12" t="n">
        <f aca="false">IFERROR(LOOKUP(IF(K45="",G45,K45),{0,1,10,100,1000,2500,5000,10000,25000,50000,125000},{0,0.1,0.022,0.0088,0.00396,0.00344,0.00284,0.00247,0.00217,0.00199,0.00195}),"")</f>
        <v>0.1</v>
      </c>
      <c r="M45" s="12" t="n">
        <f aca="false">IFERROR(IF(K45="",G45,K45)*L45,"")</f>
        <v>0.2</v>
      </c>
      <c r="N45" s="13" t="s">
        <v>177</v>
      </c>
    </row>
    <row r="46" customFormat="false" ht="14.9" hidden="false" customHeight="false" outlineLevel="0" collapsed="false">
      <c r="A46" s="10" t="s">
        <v>178</v>
      </c>
      <c r="B46" s="10" t="s">
        <v>179</v>
      </c>
      <c r="D46" s="10" t="s">
        <v>171</v>
      </c>
      <c r="F46" s="13" t="s">
        <v>180</v>
      </c>
      <c r="G46" s="11" t="n">
        <f aca="false">BoardQty*1</f>
        <v>1</v>
      </c>
      <c r="H46" s="12" t="n">
        <f aca="true">MINA(INDIRECT(ADDRESS(ROW(),COLUMN(digikey_part_data)+2)))</f>
        <v>0.1</v>
      </c>
      <c r="I46" s="12" t="n">
        <f aca="false">IFERROR(G46*H46,"")</f>
        <v>0.1</v>
      </c>
      <c r="J46" s="11" t="n">
        <v>17206</v>
      </c>
      <c r="K46" s="0" t="n">
        <v>2</v>
      </c>
      <c r="L46" s="12" t="n">
        <f aca="false">IFERROR(LOOKUP(IF(K46="",G46,K46),{0,1,10,100,1000,2500,5000},{0,0.1,0.087,0.0333,0.01464,0.01264,0.01029}),"")</f>
        <v>0.1</v>
      </c>
      <c r="M46" s="12" t="n">
        <f aca="false">IFERROR(IF(K46="",G46,K46)*L46,"")</f>
        <v>0.2</v>
      </c>
      <c r="N46" s="13" t="s">
        <v>181</v>
      </c>
    </row>
    <row r="47" customFormat="false" ht="14.9" hidden="false" customHeight="false" outlineLevel="0" collapsed="false">
      <c r="A47" s="10" t="s">
        <v>182</v>
      </c>
      <c r="B47" s="10" t="s">
        <v>183</v>
      </c>
      <c r="D47" s="10" t="s">
        <v>171</v>
      </c>
      <c r="F47" s="13" t="s">
        <v>184</v>
      </c>
      <c r="G47" s="11" t="n">
        <f aca="false">BoardQty*1</f>
        <v>1</v>
      </c>
      <c r="H47" s="12" t="n">
        <f aca="true">MINA(INDIRECT(ADDRESS(ROW(),COLUMN(digikey_part_data)+2)))</f>
        <v>0.1</v>
      </c>
      <c r="I47" s="12" t="n">
        <f aca="false">IFERROR(G47*H47,"")</f>
        <v>0.1</v>
      </c>
      <c r="J47" s="11" t="n">
        <v>29526</v>
      </c>
      <c r="K47" s="0" t="n">
        <v>2</v>
      </c>
      <c r="L47" s="12" t="n">
        <f aca="false">IFERROR(LOOKUP(IF(K47="",G47,K47),{0,1,10,100,1000,2500,5000,10000,20000,25000,30000},{0,0.1,0.055,0.0223,0.01003,0.0087,0.00654,0.00568,0.00568,0.00532,0.00532}),"")</f>
        <v>0.1</v>
      </c>
      <c r="M47" s="12" t="n">
        <f aca="false">IFERROR(IF(K47="",G47,K47)*L47,"")</f>
        <v>0.2</v>
      </c>
      <c r="N47" s="13" t="s">
        <v>185</v>
      </c>
    </row>
    <row r="48" customFormat="false" ht="14.9" hidden="false" customHeight="false" outlineLevel="0" collapsed="false">
      <c r="A48" s="10" t="s">
        <v>186</v>
      </c>
      <c r="B48" s="10" t="s">
        <v>187</v>
      </c>
      <c r="D48" s="10" t="s">
        <v>171</v>
      </c>
      <c r="F48" s="13" t="s">
        <v>188</v>
      </c>
      <c r="G48" s="11" t="n">
        <f aca="false">BoardQty*2</f>
        <v>2</v>
      </c>
      <c r="H48" s="12" t="n">
        <f aca="true">MINA(INDIRECT(ADDRESS(ROW(),COLUMN(digikey_part_data)+2)))</f>
        <v>0.36</v>
      </c>
      <c r="I48" s="12" t="n">
        <f aca="false">IFERROR(G48*H48,"")</f>
        <v>0.72</v>
      </c>
      <c r="J48" s="11" t="n">
        <v>18309</v>
      </c>
      <c r="K48" s="0" t="n">
        <v>3</v>
      </c>
      <c r="L48" s="12" t="n">
        <f aca="false">IFERROR(LOOKUP(IF(K48="",G48,K48),{0,1,10,100,1000,2500,5000,10000,25000},{0,0.36,0.302,0.1182,0.04948,0.04536,0.03749,0.03499,0.03451}),"")</f>
        <v>0.36</v>
      </c>
      <c r="M48" s="12" t="n">
        <f aca="false">IFERROR(IF(K48="",G48,K48)*L48,"")</f>
        <v>1.08</v>
      </c>
      <c r="N48" s="13" t="s">
        <v>189</v>
      </c>
    </row>
    <row r="49" customFormat="false" ht="14.9" hidden="false" customHeight="false" outlineLevel="0" collapsed="false">
      <c r="A49" s="10" t="s">
        <v>190</v>
      </c>
      <c r="B49" s="10" t="s">
        <v>191</v>
      </c>
      <c r="D49" s="10" t="s">
        <v>171</v>
      </c>
      <c r="F49" s="10" t="s">
        <v>192</v>
      </c>
      <c r="G49" s="11" t="n">
        <f aca="false">BoardQty*5</f>
        <v>5</v>
      </c>
      <c r="H49" s="12" t="n">
        <f aca="true">MINA(INDIRECT(ADDRESS(ROW(),COLUMN(digikey_part_data)+2)))</f>
        <v>0.11</v>
      </c>
      <c r="I49" s="12" t="n">
        <f aca="false">IFERROR(G49*H49,"")</f>
        <v>0.55</v>
      </c>
      <c r="J49" s="11" t="n">
        <v>663207</v>
      </c>
      <c r="K49" s="0" t="n">
        <v>5</v>
      </c>
      <c r="L49" s="12" t="n">
        <f aca="false">IFERROR(LOOKUP(IF(K49="",G49,K49),{0,1,10,100,1000,2500,5000,10000,25000,50000},{0,0.11,0.098,0.0376,0.01654,0.01428,0.01162,0.01042,0.00957,0.00944}),"")</f>
        <v>0.11</v>
      </c>
      <c r="M49" s="12" t="n">
        <f aca="false">IFERROR(IF(K49="",G49,K49)*L49,"")</f>
        <v>0.55</v>
      </c>
      <c r="N49" s="13" t="s">
        <v>193</v>
      </c>
    </row>
    <row r="50" customFormat="false" ht="15" hidden="false" customHeight="false" outlineLevel="0" collapsed="false">
      <c r="A50" s="10" t="s">
        <v>194</v>
      </c>
      <c r="B50" s="10" t="s">
        <v>195</v>
      </c>
      <c r="D50" s="10" t="s">
        <v>196</v>
      </c>
      <c r="G50" s="11" t="n">
        <f aca="false">BoardQty*1</f>
        <v>1</v>
      </c>
      <c r="H50" s="12" t="n">
        <f aca="true">MINA(INDIRECT(ADDRESS(ROW(),COLUMN(digikey_part_data)+2)))</f>
        <v>0</v>
      </c>
      <c r="I50" s="12" t="n">
        <f aca="false">IFERROR(G50*H50,"")</f>
        <v>0</v>
      </c>
    </row>
    <row r="51" customFormat="false" ht="14.9" hidden="false" customHeight="false" outlineLevel="0" collapsed="false">
      <c r="A51" s="10" t="s">
        <v>197</v>
      </c>
      <c r="B51" s="10" t="s">
        <v>198</v>
      </c>
      <c r="D51" s="10" t="s">
        <v>199</v>
      </c>
      <c r="F51" s="13" t="s">
        <v>200</v>
      </c>
      <c r="G51" s="11" t="n">
        <f aca="false">BoardQty*1</f>
        <v>1</v>
      </c>
      <c r="H51" s="12" t="n">
        <f aca="true">MINA(INDIRECT(ADDRESS(ROW(),COLUMN(digikey_part_data)+2)))</f>
        <v>0.4</v>
      </c>
      <c r="I51" s="12" t="n">
        <f aca="false">IFERROR(G51*H51,"")</f>
        <v>0.4</v>
      </c>
      <c r="J51" s="11" t="n">
        <v>5992</v>
      </c>
      <c r="K51" s="0" t="n">
        <v>2</v>
      </c>
      <c r="L51" s="12" t="n">
        <f aca="false">IFERROR(LOOKUP(IF(K51="",G51,K51),{0,1,10,100,250,500,1000,1250,3000},{0,0.4,0.344,0.2567,0.25812,0.2136,0.14276,0.1602,0.09625}),"")</f>
        <v>0.4</v>
      </c>
      <c r="M51" s="12" t="n">
        <f aca="false">IFERROR(IF(K51="",G51,K51)*L51,"")</f>
        <v>0.8</v>
      </c>
      <c r="N51" s="13" t="s">
        <v>201</v>
      </c>
    </row>
    <row r="52" customFormat="false" ht="15" hidden="false" customHeight="false" outlineLevel="0" collapsed="false">
      <c r="A52" s="10" t="s">
        <v>202</v>
      </c>
      <c r="B52" s="10" t="s">
        <v>203</v>
      </c>
      <c r="D52" s="10" t="s">
        <v>204</v>
      </c>
      <c r="G52" s="11" t="n">
        <f aca="false">BoardQty*1</f>
        <v>1</v>
      </c>
      <c r="H52" s="12" t="n">
        <f aca="true">MINA(INDIRECT(ADDRESS(ROW(),COLUMN(digikey_part_data)+2)))</f>
        <v>0</v>
      </c>
      <c r="I52" s="12" t="n">
        <f aca="false">IFERROR(G52*H52,"")</f>
        <v>0</v>
      </c>
    </row>
    <row r="53" customFormat="false" ht="14.9" hidden="false" customHeight="false" outlineLevel="0" collapsed="false">
      <c r="A53" s="10" t="s">
        <v>205</v>
      </c>
      <c r="B53" s="10" t="s">
        <v>206</v>
      </c>
      <c r="D53" s="10" t="s">
        <v>207</v>
      </c>
      <c r="F53" s="13" t="s">
        <v>208</v>
      </c>
      <c r="G53" s="11" t="n">
        <f aca="false">BoardQty*1</f>
        <v>1</v>
      </c>
      <c r="H53" s="12" t="n">
        <f aca="true">MINA(INDIRECT(ADDRESS(ROW(),COLUMN(digikey_part_data)+2)))</f>
        <v>10.64</v>
      </c>
      <c r="I53" s="12" t="n">
        <f aca="false">IFERROR(G53*H53,"")</f>
        <v>10.64</v>
      </c>
      <c r="J53" s="11" t="n">
        <v>485</v>
      </c>
      <c r="K53" s="0" t="n">
        <v>1</v>
      </c>
      <c r="L53" s="12" t="n">
        <f aca="false">IFERROR(LOOKUP(IF(K53="",G53,K53),{0,1},{0,10.64}),"")</f>
        <v>10.64</v>
      </c>
      <c r="M53" s="12" t="n">
        <f aca="false">IFERROR(IF(K53="",G53,K53)*L53,"")</f>
        <v>10.64</v>
      </c>
      <c r="N53" s="13" t="s">
        <v>209</v>
      </c>
    </row>
    <row r="54" customFormat="false" ht="14.9" hidden="false" customHeight="false" outlineLevel="0" collapsed="false">
      <c r="A54" s="10" t="s">
        <v>210</v>
      </c>
      <c r="B54" s="10" t="s">
        <v>211</v>
      </c>
      <c r="D54" s="10" t="s">
        <v>212</v>
      </c>
      <c r="F54" s="13" t="s">
        <v>213</v>
      </c>
      <c r="G54" s="11" t="n">
        <f aca="false">BoardQty*1</f>
        <v>1</v>
      </c>
      <c r="H54" s="12" t="n">
        <f aca="true">MINA(INDIRECT(ADDRESS(ROW(),COLUMN(digikey_part_data)+2)))</f>
        <v>90.78</v>
      </c>
      <c r="I54" s="12" t="n">
        <f aca="false">IFERROR(G54*H54,"")</f>
        <v>90.78</v>
      </c>
      <c r="J54" s="11" t="n">
        <v>7</v>
      </c>
      <c r="K54" s="0" t="n">
        <v>1</v>
      </c>
      <c r="L54" s="12" t="n">
        <f aca="false">IFERROR(LOOKUP(IF(K54="",G54,K54),{0,1},{0,90.78}),"")</f>
        <v>90.78</v>
      </c>
      <c r="M54" s="12" t="n">
        <f aca="false">IFERROR(IF(K54="",G54,K54)*L54,"")</f>
        <v>90.78</v>
      </c>
      <c r="N54" s="13" t="s">
        <v>214</v>
      </c>
    </row>
    <row r="56" customFormat="false" ht="15" hidden="false" customHeight="false" outlineLevel="0" collapsed="false">
      <c r="A56" s="2" t="s">
        <v>215</v>
      </c>
      <c r="K56" s="6" t="str">
        <f aca="false">IFERROR(IF(OR(K7:K54),COUNTIF(K7:K54,"&gt;0")&amp;" of "&amp;ROWS(K7:K54)&amp;" parts purchased",""),"")</f>
        <v>42 of 48 parts purchased</v>
      </c>
    </row>
    <row r="57" customFormat="false" ht="15" hidden="false" customHeight="false" outlineLevel="0" collapsed="false">
      <c r="K57" s="0" t="str">
        <f aca="false" t="array" ref="K57:K57">IFERROR(CONCATENATE(TEXT(INDEX($K$7:$K$54,SMALL(IF($N$7:$N$54&lt;&gt;"",IF($K$7:$K$54&lt;&gt;"",ROW($K$7:$K$54)-MIN(ROW($K$7:$K$54))+1,""),""),ROW()-ROW(A$57)+1)),"##0"),","),"")</f>
        <v>1,</v>
      </c>
      <c r="L57" s="0" t="str">
        <f aca="false" t="array" ref="L57:L57">IFERROR(CONCATENATE((INDEX($N$7:$N$54,SMALL(IF($N$7:$N$54&lt;&gt;"",IF($K$7:$K$54&lt;&gt;"",ROW($K$7:$K$54)-MIN(ROW($K$7:$K$54))+1,""),""),ROW()-ROW(A$57)+1))),","),"")</f>
        <v>931-1163-ND,</v>
      </c>
      <c r="M57" s="0" t="str">
        <f aca="false" t="array" ref="M57:M57">IFERROR(CONCATENATE((INDEX($A$7:$A$54,SMALL(IF($N$7:$N$54&lt;&gt;"",IF($K$7:$K$54&lt;&gt;"",ROW($K$7:$K$54)-MIN(ROW($K$7:$K$54))+1,""),""),ROW()-ROW(A$57)+1))),),"")</f>
        <v>AE1</v>
      </c>
    </row>
    <row r="58" customFormat="false" ht="15" hidden="false" customHeight="false" outlineLevel="0" collapsed="false">
      <c r="K58" s="0" t="str">
        <f aca="false" t="array" ref="K58:K58">IFERROR(CONCATENATE(TEXT(INDEX($K$7:$K$54,SMALL(IF($N$7:$N$54&lt;&gt;"",IF($K$7:$K$54&lt;&gt;"",ROW($K$7:$K$54)-MIN(ROW($K$7:$K$54))+1,""),""),ROW()-ROW(A$57)+1)),"##0"),","),"")</f>
        <v>8,</v>
      </c>
      <c r="L58" s="0" t="str">
        <f aca="false" t="array" ref="L58:L58">IFERROR(CONCATENATE((INDEX($N$7:$N$54,SMALL(IF($N$7:$N$54&lt;&gt;"",IF($K$7:$K$54&lt;&gt;"",ROW($K$7:$K$54)-MIN(ROW($K$7:$K$54))+1,""),""),ROW()-ROW(A$57)+1))),","),"")</f>
        <v>490-8051-1-ND,</v>
      </c>
      <c r="M58" s="0" t="str">
        <f aca="false" t="array" ref="M58:M58">IFERROR(CONCATENATE((INDEX($A$7:$A$54,SMALL(IF($N$7:$N$54&lt;&gt;"",IF($K$7:$K$54&lt;&gt;"",ROW($K$7:$K$54)-MIN(ROW($K$7:$K$54))+1,""),""),ROW()-ROW(A$57)+1))),),"")</f>
        <v>C1,C4,C5,C7,C8,C10,C14,C16</v>
      </c>
    </row>
    <row r="59" customFormat="false" ht="15" hidden="false" customHeight="false" outlineLevel="0" collapsed="false">
      <c r="K59" s="0" t="str">
        <f aca="false" t="array" ref="K59:K59">IFERROR(CONCATENATE(TEXT(INDEX($K$7:$K$54,SMALL(IF($N$7:$N$54&lt;&gt;"",IF($K$7:$K$54&lt;&gt;"",ROW($K$7:$K$54)-MIN(ROW($K$7:$K$54))+1,""),""),ROW()-ROW(A$57)+1)),"##0"),","),"")</f>
        <v>3,</v>
      </c>
      <c r="L59" s="0" t="str">
        <f aca="false" t="array" ref="L59:L59">IFERROR(CONCATENATE((INDEX($N$7:$N$54,SMALL(IF($N$7:$N$54&lt;&gt;"",IF($K$7:$K$54&lt;&gt;"",ROW($K$7:$K$54)-MIN(ROW($K$7:$K$54))+1,""),""),ROW()-ROW(A$57)+1))),","),"")</f>
        <v>493-2236-1-ND,</v>
      </c>
      <c r="M59" s="0" t="str">
        <f aca="false" t="array" ref="M59:M59">IFERROR(CONCATENATE((INDEX($A$7:$A$54,SMALL(IF($N$7:$N$54&lt;&gt;"",IF($K$7:$K$54&lt;&gt;"",ROW($K$7:$K$54)-MIN(ROW($K$7:$K$54))+1,""),""),ROW()-ROW(A$57)+1))),),"")</f>
        <v>C11,C12,C15</v>
      </c>
    </row>
    <row r="60" customFormat="false" ht="15" hidden="false" customHeight="false" outlineLevel="0" collapsed="false">
      <c r="K60" s="0" t="str">
        <f aca="false" t="array" ref="K60:K60">IFERROR(CONCATENATE(TEXT(INDEX($K$7:$K$54,SMALL(IF($N$7:$N$54&lt;&gt;"",IF($K$7:$K$54&lt;&gt;"",ROW($K$7:$K$54)-MIN(ROW($K$7:$K$54))+1,""),""),ROW()-ROW(A$57)+1)),"##0"),","),"")</f>
        <v>1,</v>
      </c>
      <c r="L60" s="0" t="str">
        <f aca="false" t="array" ref="L60:L60">IFERROR(CONCATENATE((INDEX($N$7:$N$54,SMALL(IF($N$7:$N$54&lt;&gt;"",IF($K$7:$K$54&lt;&gt;"",ROW($K$7:$K$54)-MIN(ROW($K$7:$K$54))+1,""),""),ROW()-ROW(A$57)+1))),","),"")</f>
        <v>445-14388-1-ND,</v>
      </c>
      <c r="M60" s="0" t="str">
        <f aca="false" t="array" ref="M60:M60">IFERROR(CONCATENATE((INDEX($A$7:$A$54,SMALL(IF($N$7:$N$54&lt;&gt;"",IF($K$7:$K$54&lt;&gt;"",ROW($K$7:$K$54)-MIN(ROW($K$7:$K$54))+1,""),""),ROW()-ROW(A$57)+1))),),"")</f>
        <v>C2</v>
      </c>
    </row>
    <row r="61" customFormat="false" ht="15" hidden="false" customHeight="false" outlineLevel="0" collapsed="false">
      <c r="K61" s="0" t="str">
        <f aca="false" t="array" ref="K61:K61">IFERROR(CONCATENATE(TEXT(INDEX($K$7:$K$54,SMALL(IF($N$7:$N$54&lt;&gt;"",IF($K$7:$K$54&lt;&gt;"",ROW($K$7:$K$54)-MIN(ROW($K$7:$K$54))+1,""),""),ROW()-ROW(A$57)+1)),"##0"),","),"")</f>
        <v>1,</v>
      </c>
      <c r="L61" s="0" t="str">
        <f aca="false" t="array" ref="L61:L61">IFERROR(CONCATENATE((INDEX($N$7:$N$54,SMALL(IF($N$7:$N$54&lt;&gt;"",IF($K$7:$K$54&lt;&gt;"",ROW($K$7:$K$54)-MIN(ROW($K$7:$K$54))+1,""),""),ROW()-ROW(A$57)+1))),","),"")</f>
        <v>311-1365-1-ND,</v>
      </c>
      <c r="M61" s="0" t="str">
        <f aca="false" t="array" ref="M61:M61">IFERROR(CONCATENATE((INDEX($A$7:$A$54,SMALL(IF($N$7:$N$54&lt;&gt;"",IF($K$7:$K$54&lt;&gt;"",ROW($K$7:$K$54)-MIN(ROW($K$7:$K$54))+1,""),""),ROW()-ROW(A$57)+1))),),"")</f>
        <v>C3</v>
      </c>
    </row>
    <row r="62" customFormat="false" ht="15" hidden="false" customHeight="false" outlineLevel="0" collapsed="false">
      <c r="K62" s="0" t="str">
        <f aca="false" t="array" ref="K62:K62">IFERROR(CONCATENATE(TEXT(INDEX($K$7:$K$54,SMALL(IF($N$7:$N$54&lt;&gt;"",IF($K$7:$K$54&lt;&gt;"",ROW($K$7:$K$54)-MIN(ROW($K$7:$K$54))+1,""),""),ROW()-ROW(A$57)+1)),"##0"),","),"")</f>
        <v>2,</v>
      </c>
      <c r="L62" s="0" t="str">
        <f aca="false" t="array" ref="L62:L62">IFERROR(CONCATENATE((INDEX($N$7:$N$54,SMALL(IF($N$7:$N$54&lt;&gt;"",IF($K$7:$K$54&lt;&gt;"",ROW($K$7:$K$54)-MIN(ROW($K$7:$K$54))+1,""),""),ROW()-ROW(A$57)+1))),","),"")</f>
        <v>445-14388-1-ND,</v>
      </c>
      <c r="M62" s="0" t="str">
        <f aca="false" t="array" ref="M62:M62">IFERROR(CONCATENATE((INDEX($A$7:$A$54,SMALL(IF($N$7:$N$54&lt;&gt;"",IF($K$7:$K$54&lt;&gt;"",ROW($K$7:$K$54)-MIN(ROW($K$7:$K$54))+1,""),""),ROW()-ROW(A$57)+1))),),"")</f>
        <v>C6,C13</v>
      </c>
    </row>
    <row r="63" customFormat="false" ht="15" hidden="false" customHeight="false" outlineLevel="0" collapsed="false">
      <c r="K63" s="0" t="str">
        <f aca="false" t="array" ref="K63:K63">IFERROR(CONCATENATE(TEXT(INDEX($K$7:$K$54,SMALL(IF($N$7:$N$54&lt;&gt;"",IF($K$7:$K$54&lt;&gt;"",ROW($K$7:$K$54)-MIN(ROW($K$7:$K$54))+1,""),""),ROW()-ROW(A$57)+1)),"##0"),","),"")</f>
        <v>1,</v>
      </c>
      <c r="L63" s="0" t="str">
        <f aca="false" t="array" ref="L63:L63">IFERROR(CONCATENATE((INDEX($N$7:$N$54,SMALL(IF($N$7:$N$54&lt;&gt;"",IF($K$7:$K$54&lt;&gt;"",ROW($K$7:$K$54)-MIN(ROW($K$7:$K$54))+1,""),""),ROW()-ROW(A$57)+1))),","),"")</f>
        <v>478-6202-1-ND,</v>
      </c>
      <c r="M63" s="0" t="str">
        <f aca="false" t="array" ref="M63:M63">IFERROR(CONCATENATE((INDEX($A$7:$A$54,SMALL(IF($N$7:$N$54&lt;&gt;"",IF($K$7:$K$54&lt;&gt;"",ROW($K$7:$K$54)-MIN(ROW($K$7:$K$54))+1,""),""),ROW()-ROW(A$57)+1))),),"")</f>
        <v>C9</v>
      </c>
    </row>
    <row r="64" customFormat="false" ht="15" hidden="false" customHeight="false" outlineLevel="0" collapsed="false">
      <c r="K64" s="0" t="str">
        <f aca="false" t="array" ref="K64:K64">IFERROR(CONCATENATE(TEXT(INDEX($K$7:$K$54,SMALL(IF($N$7:$N$54&lt;&gt;"",IF($K$7:$K$54&lt;&gt;"",ROW($K$7:$K$54)-MIN(ROW($K$7:$K$54))+1,""),""),ROW()-ROW(A$57)+1)),"##0"),","),"")</f>
        <v>2,</v>
      </c>
      <c r="L64" s="0" t="str">
        <f aca="false" t="array" ref="L64:L64">IFERROR(CONCATENATE((INDEX($N$7:$N$54,SMALL(IF($N$7:$N$54&lt;&gt;"",IF($K$7:$K$54&lt;&gt;"",ROW($K$7:$K$54)-MIN(ROW($K$7:$K$54))+1,""),""),ROW()-ROW(A$57)+1))),","),"")</f>
        <v>SMA6J12ACT-ND,</v>
      </c>
      <c r="M64" s="0" t="str">
        <f aca="false" t="array" ref="M64:M64">IFERROR(CONCATENATE((INDEX($A$7:$A$54,SMALL(IF($N$7:$N$54&lt;&gt;"",IF($K$7:$K$54&lt;&gt;"",ROW($K$7:$K$54)-MIN(ROW($K$7:$K$54))+1,""),""),ROW()-ROW(A$57)+1))),),"")</f>
        <v>D1,D2</v>
      </c>
    </row>
    <row r="65" customFormat="false" ht="15" hidden="false" customHeight="false" outlineLevel="0" collapsed="false">
      <c r="K65" s="0" t="str">
        <f aca="false" t="array" ref="K65:K65">IFERROR(CONCATENATE(TEXT(INDEX($K$7:$K$54,SMALL(IF($N$7:$N$54&lt;&gt;"",IF($K$7:$K$54&lt;&gt;"",ROW($K$7:$K$54)-MIN(ROW($K$7:$K$54))+1,""),""),ROW()-ROW(A$57)+1)),"##0"),","),"")</f>
        <v>4,</v>
      </c>
      <c r="L65" s="0" t="str">
        <f aca="false" t="array" ref="L65:L65">IFERROR(CONCATENATE((INDEX($N$7:$N$54,SMALL(IF($N$7:$N$54&lt;&gt;"",IF($K$7:$K$54&lt;&gt;"",ROW($K$7:$K$54)-MIN(ROW($K$7:$K$54))+1,""),""),ROW()-ROW(A$57)+1))),","),"")</f>
        <v>160-1427-1-ND,</v>
      </c>
      <c r="M65" s="0" t="str">
        <f aca="false" t="array" ref="M65:M65">IFERROR(CONCATENATE((INDEX($A$7:$A$54,SMALL(IF($N$7:$N$54&lt;&gt;"",IF($K$7:$K$54&lt;&gt;"",ROW($K$7:$K$54)-MIN(ROW($K$7:$K$54))+1,""),""),ROW()-ROW(A$57)+1))),),"")</f>
        <v>D3,D5,D6</v>
      </c>
    </row>
    <row r="66" customFormat="false" ht="15" hidden="false" customHeight="false" outlineLevel="0" collapsed="false">
      <c r="K66" s="0" t="str">
        <f aca="false" t="array" ref="K66:K66">IFERROR(CONCATENATE(TEXT(INDEX($K$7:$K$54,SMALL(IF($N$7:$N$54&lt;&gt;"",IF($K$7:$K$54&lt;&gt;"",ROW($K$7:$K$54)-MIN(ROW($K$7:$K$54))+1,""),""),ROW()-ROW(A$57)+1)),"##0"),","),"")</f>
        <v>2,</v>
      </c>
      <c r="L66" s="0" t="str">
        <f aca="false" t="array" ref="L66:L66">IFERROR(CONCATENATE((INDEX($N$7:$N$54,SMALL(IF($N$7:$N$54&lt;&gt;"",IF($K$7:$K$54&lt;&gt;"",ROW($K$7:$K$54)-MIN(ROW($K$7:$K$54))+1,""),""),ROW()-ROW(A$57)+1))),","),"")</f>
        <v>160-1426-1-ND,</v>
      </c>
      <c r="M66" s="0" t="str">
        <f aca="false" t="array" ref="M66:M66">IFERROR(CONCATENATE((INDEX($A$7:$A$54,SMALL(IF($N$7:$N$54&lt;&gt;"",IF($K$7:$K$54&lt;&gt;"",ROW($K$7:$K$54)-MIN(ROW($K$7:$K$54))+1,""),""),ROW()-ROW(A$57)+1))),),"")</f>
        <v>D4</v>
      </c>
    </row>
    <row r="67" customFormat="false" ht="15" hidden="false" customHeight="false" outlineLevel="0" collapsed="false">
      <c r="K67" s="0" t="str">
        <f aca="false" t="array" ref="K67:K67">IFERROR(CONCATENATE(TEXT(INDEX($K$7:$K$54,SMALL(IF($N$7:$N$54&lt;&gt;"",IF($K$7:$K$54&lt;&gt;"",ROW($K$7:$K$54)-MIN(ROW($K$7:$K$54))+1,""),""),ROW()-ROW(A$57)+1)),"##0"),","),"")</f>
        <v>2,</v>
      </c>
      <c r="L67" s="0" t="str">
        <f aca="false" t="array" ref="L67:L67">IFERROR(CONCATENATE((INDEX($N$7:$N$54,SMALL(IF($N$7:$N$54&lt;&gt;"",IF($K$7:$K$54&lt;&gt;"",ROW($K$7:$K$54)-MIN(ROW($K$7:$K$54))+1,""),""),ROW()-ROW(A$57)+1))),","),"")</f>
        <v>F1551CT-ND,</v>
      </c>
      <c r="M67" s="0" t="str">
        <f aca="false" t="array" ref="M67:M67">IFERROR(CONCATENATE((INDEX($A$7:$A$54,SMALL(IF($N$7:$N$54&lt;&gt;"",IF($K$7:$K$54&lt;&gt;"",ROW($K$7:$K$54)-MIN(ROW($K$7:$K$54))+1,""),""),ROW()-ROW(A$57)+1))),),"")</f>
        <v>F1,F2</v>
      </c>
    </row>
    <row r="68" customFormat="false" ht="15" hidden="false" customHeight="false" outlineLevel="0" collapsed="false">
      <c r="K68" s="0" t="str">
        <f aca="false" t="array" ref="K68:K68">IFERROR(CONCATENATE(TEXT(INDEX($K$7:$K$54,SMALL(IF($N$7:$N$54&lt;&gt;"",IF($K$7:$K$54&lt;&gt;"",ROW($K$7:$K$54)-MIN(ROW($K$7:$K$54))+1,""),""),ROW()-ROW(A$57)+1)),"##0"),","),"")</f>
        <v>2,</v>
      </c>
      <c r="L68" s="0" t="str">
        <f aca="false" t="array" ref="L68:L68">IFERROR(CONCATENATE((INDEX($N$7:$N$54,SMALL(IF($N$7:$N$54&lt;&gt;"",IF($K$7:$K$54&lt;&gt;"",ROW($K$7:$K$54)-MIN(ROW($K$7:$K$54))+1,""),""),ROW()-ROW(A$57)+1))),","),"")</f>
        <v>F10923CT-ND,</v>
      </c>
      <c r="M68" s="0" t="str">
        <f aca="false" t="array" ref="M68:M68">IFERROR(CONCATENATE((INDEX($A$7:$A$54,SMALL(IF($N$7:$N$54&lt;&gt;"",IF($K$7:$K$54&lt;&gt;"",ROW($K$7:$K$54)-MIN(ROW($K$7:$K$54))+1,""),""),ROW()-ROW(A$57)+1))),),"")</f>
        <v>GDT1,GDT2</v>
      </c>
    </row>
    <row r="69" customFormat="false" ht="15" hidden="false" customHeight="false" outlineLevel="0" collapsed="false">
      <c r="K69" s="0" t="str">
        <f aca="false" t="array" ref="K69:K69">IFERROR(CONCATENATE(TEXT(INDEX($K$7:$K$54,SMALL(IF($N$7:$N$54&lt;&gt;"",IF($K$7:$K$54&lt;&gt;"",ROW($K$7:$K$54)-MIN(ROW($K$7:$K$54))+1,""),""),ROW()-ROW(A$57)+1)),"##0"),","),"")</f>
        <v>1,</v>
      </c>
      <c r="L69" s="0" t="str">
        <f aca="false" t="array" ref="L69:L69">IFERROR(CONCATENATE((INDEX($N$7:$N$54,SMALL(IF($N$7:$N$54&lt;&gt;"",IF($K$7:$K$54&lt;&gt;"",ROW($K$7:$K$54)-MIN(ROW($K$7:$K$54))+1,""),""),ROW()-ROW(A$57)+1))),","),"")</f>
        <v>CP-002A-ND,</v>
      </c>
      <c r="M69" s="0" t="str">
        <f aca="false" t="array" ref="M69:M69">IFERROR(CONCATENATE((INDEX($A$7:$A$54,SMALL(IF($N$7:$N$54&lt;&gt;"",IF($K$7:$K$54&lt;&gt;"",ROW($K$7:$K$54)-MIN(ROW($K$7:$K$54))+1,""),""),ROW()-ROW(A$57)+1))),),"")</f>
        <v>J1</v>
      </c>
    </row>
    <row r="70" customFormat="false" ht="15" hidden="false" customHeight="false" outlineLevel="0" collapsed="false">
      <c r="K70" s="0" t="str">
        <f aca="false" t="array" ref="K70:K70">IFERROR(CONCATENATE(TEXT(INDEX($K$7:$K$54,SMALL(IF($N$7:$N$54&lt;&gt;"",IF($K$7:$K$54&lt;&gt;"",ROW($K$7:$K$54)-MIN(ROW($K$7:$K$54))+1,""),""),ROW()-ROW(A$57)+1)),"##0"),","),"")</f>
        <v>1,</v>
      </c>
      <c r="L70" s="0" t="str">
        <f aca="false" t="array" ref="L70:L70">IFERROR(CONCATENATE((INDEX($N$7:$N$54,SMALL(IF($N$7:$N$54&lt;&gt;"",IF($K$7:$K$54&lt;&gt;"",ROW($K$7:$K$54)-MIN(ROW($K$7:$K$54))+1,""),""),ROW()-ROW(A$57)+1))),","),"")</f>
        <v>S5560-ND,</v>
      </c>
      <c r="M70" s="0" t="str">
        <f aca="false" t="array" ref="M70:M70">IFERROR(CONCATENATE((INDEX($A$7:$A$54,SMALL(IF($N$7:$N$54&lt;&gt;"",IF($K$7:$K$54&lt;&gt;"",ROW($K$7:$K$54)-MIN(ROW($K$7:$K$54))+1,""),""),ROW()-ROW(A$57)+1))),),"")</f>
        <v>J10</v>
      </c>
    </row>
    <row r="71" customFormat="false" ht="15" hidden="false" customHeight="false" outlineLevel="0" collapsed="false">
      <c r="K71" s="0" t="str">
        <f aca="false" t="array" ref="K71:K71">IFERROR(CONCATENATE(TEXT(INDEX($K$7:$K$54,SMALL(IF($N$7:$N$54&lt;&gt;"",IF($K$7:$K$54&lt;&gt;"",ROW($K$7:$K$54)-MIN(ROW($K$7:$K$54))+1,""),""),ROW()-ROW(A$57)+1)),"##0"),","),"")</f>
        <v>1,</v>
      </c>
      <c r="L71" s="0" t="str">
        <f aca="false" t="array" ref="L71:L71">IFERROR(CONCATENATE((INDEX($N$7:$N$54,SMALL(IF($N$7:$N$54&lt;&gt;"",IF($K$7:$K$54&lt;&gt;"",ROW($K$7:$K$54)-MIN(ROW($K$7:$K$54))+1,""),""),ROW()-ROW(A$57)+1))),","),"")</f>
        <v>S7115-ND,</v>
      </c>
      <c r="M71" s="0" t="str">
        <f aca="false" t="array" ref="M71:M71">IFERROR(CONCATENATE((INDEX($A$7:$A$54,SMALL(IF($N$7:$N$54&lt;&gt;"",IF($K$7:$K$54&lt;&gt;"",ROW($K$7:$K$54)-MIN(ROW($K$7:$K$54))+1,""),""),ROW()-ROW(A$57)+1))),),"")</f>
        <v>J11</v>
      </c>
    </row>
    <row r="72" customFormat="false" ht="15" hidden="false" customHeight="false" outlineLevel="0" collapsed="false">
      <c r="K72" s="0" t="str">
        <f aca="false" t="array" ref="K72:K72">IFERROR(CONCATENATE(TEXT(INDEX($K$7:$K$54,SMALL(IF($N$7:$N$54&lt;&gt;"",IF($K$7:$K$54&lt;&gt;"",ROW($K$7:$K$54)-MIN(ROW($K$7:$K$54))+1,""),""),ROW()-ROW(A$57)+1)),"##0"),","),"")</f>
        <v>1,</v>
      </c>
      <c r="L72" s="0" t="str">
        <f aca="false" t="array" ref="L72:L72">IFERROR(CONCATENATE((INDEX($N$7:$N$54,SMALL(IF($N$7:$N$54&lt;&gt;"",IF($K$7:$K$54&lt;&gt;"",ROW($K$7:$K$54)-MIN(ROW($K$7:$K$54))+1,""),""),ROW()-ROW(A$57)+1))),","),"")</f>
        <v>S9002-ND,</v>
      </c>
      <c r="M72" s="0" t="str">
        <f aca="false" t="array" ref="M72:M72">IFERROR(CONCATENATE((INDEX($A$7:$A$54,SMALL(IF($N$7:$N$54&lt;&gt;"",IF($K$7:$K$54&lt;&gt;"",ROW($K$7:$K$54)-MIN(ROW($K$7:$K$54))+1,""),""),ROW()-ROW(A$57)+1))),),"")</f>
        <v>J12</v>
      </c>
    </row>
    <row r="73" customFormat="false" ht="15" hidden="false" customHeight="false" outlineLevel="0" collapsed="false">
      <c r="K73" s="0" t="str">
        <f aca="false" t="array" ref="K73:K73">IFERROR(CONCATENATE(TEXT(INDEX($K$7:$K$54,SMALL(IF($N$7:$N$54&lt;&gt;"",IF($K$7:$K$54&lt;&gt;"",ROW($K$7:$K$54)-MIN(ROW($K$7:$K$54))+1,""),""),ROW()-ROW(A$57)+1)),"##0"),","),"")</f>
        <v>1,</v>
      </c>
      <c r="L73" s="0" t="str">
        <f aca="false" t="array" ref="L73:L73">IFERROR(CONCATENATE((INDEX($N$7:$N$54,SMALL(IF($N$7:$N$54&lt;&gt;"",IF($K$7:$K$54&lt;&gt;"",ROW($K$7:$K$54)-MIN(ROW($K$7:$K$54))+1,""),""),ROW()-ROW(A$57)+1))),","),"")</f>
        <v>S7075-ND,</v>
      </c>
      <c r="M73" s="0" t="str">
        <f aca="false" t="array" ref="M73:M73">IFERROR(CONCATENATE((INDEX($A$7:$A$54,SMALL(IF($N$7:$N$54&lt;&gt;"",IF($K$7:$K$54&lt;&gt;"",ROW($K$7:$K$54)-MIN(ROW($K$7:$K$54))+1,""),""),ROW()-ROW(A$57)+1))),),"")</f>
        <v>J13</v>
      </c>
    </row>
    <row r="74" customFormat="false" ht="15" hidden="false" customHeight="false" outlineLevel="0" collapsed="false">
      <c r="K74" s="0" t="str">
        <f aca="false" t="array" ref="K74:K74">IFERROR(CONCATENATE(TEXT(INDEX($K$7:$K$54,SMALL(IF($N$7:$N$54&lt;&gt;"",IF($K$7:$K$54&lt;&gt;"",ROW($K$7:$K$54)-MIN(ROW($K$7:$K$54))+1,""),""),ROW()-ROW(A$57)+1)),"##0"),","),"")</f>
        <v>1,</v>
      </c>
      <c r="L74" s="0" t="str">
        <f aca="false" t="array" ref="L74:L74">IFERROR(CONCATENATE((INDEX($N$7:$N$54,SMALL(IF($N$7:$N$54&lt;&gt;"",IF($K$7:$K$54&lt;&gt;"",ROW($K$7:$K$54)-MIN(ROW($K$7:$K$54))+1,""),""),ROW()-ROW(A$57)+1))),","),"")</f>
        <v>S5560-ND,</v>
      </c>
      <c r="M74" s="0" t="str">
        <f aca="false" t="array" ref="M74:M74">IFERROR(CONCATENATE((INDEX($A$7:$A$54,SMALL(IF($N$7:$N$54&lt;&gt;"",IF($K$7:$K$54&lt;&gt;"",ROW($K$7:$K$54)-MIN(ROW($K$7:$K$54))+1,""),""),ROW()-ROW(A$57)+1))),),"")</f>
        <v>J14</v>
      </c>
    </row>
    <row r="75" customFormat="false" ht="15" hidden="false" customHeight="false" outlineLevel="0" collapsed="false">
      <c r="K75" s="0" t="str">
        <f aca="false" t="array" ref="K75:K75">IFERROR(CONCATENATE(TEXT(INDEX($K$7:$K$54,SMALL(IF($N$7:$N$54&lt;&gt;"",IF($K$7:$K$54&lt;&gt;"",ROW($K$7:$K$54)-MIN(ROW($K$7:$K$54))+1,""),""),ROW()-ROW(A$57)+1)),"##0"),","),"")</f>
        <v>2,</v>
      </c>
      <c r="L75" s="0" t="str">
        <f aca="false" t="array" ref="L75:L75">IFERROR(CONCATENATE((INDEX($N$7:$N$54,SMALL(IF($N$7:$N$54&lt;&gt;"",IF($K$7:$K$54&lt;&gt;"",ROW($K$7:$K$54)-MIN(ROW($K$7:$K$54))+1,""),""),ROW()-ROW(A$57)+1))),","),"")</f>
        <v>S7006-ND,</v>
      </c>
      <c r="M75" s="0" t="str">
        <f aca="false" t="array" ref="M75:M75">IFERROR(CONCATENATE((INDEX($A$7:$A$54,SMALL(IF($N$7:$N$54&lt;&gt;"",IF($K$7:$K$54&lt;&gt;"",ROW($K$7:$K$54)-MIN(ROW($K$7:$K$54))+1,""),""),ROW()-ROW(A$57)+1))),),"")</f>
        <v>J15,J16</v>
      </c>
    </row>
    <row r="76" customFormat="false" ht="15" hidden="false" customHeight="false" outlineLevel="0" collapsed="false">
      <c r="K76" s="0" t="str">
        <f aca="false" t="array" ref="K76:K76">IFERROR(CONCATENATE(TEXT(INDEX($K$7:$K$54,SMALL(IF($N$7:$N$54&lt;&gt;"",IF($K$7:$K$54&lt;&gt;"",ROW($K$7:$K$54)-MIN(ROW($K$7:$K$54))+1,""),""),ROW()-ROW(A$57)+1)),"##0"),","),"")</f>
        <v>1,</v>
      </c>
      <c r="L76" s="0" t="str">
        <f aca="false" t="array" ref="L76:L76">IFERROR(CONCATENATE((INDEX($N$7:$N$54,SMALL(IF($N$7:$N$54&lt;&gt;"",IF($K$7:$K$54&lt;&gt;"",ROW($K$7:$K$54)-MIN(ROW($K$7:$K$54))+1,""),""),ROW()-ROW(A$57)+1))),","),"")</f>
        <v>APC1766-ND,</v>
      </c>
      <c r="M76" s="0" t="str">
        <f aca="false" t="array" ref="M76:M76">IFERROR(CONCATENATE((INDEX($A$7:$A$54,SMALL(IF($N$7:$N$54&lt;&gt;"",IF($K$7:$K$54&lt;&gt;"",ROW($K$7:$K$54)-MIN(ROW($K$7:$K$54))+1,""),""),ROW()-ROW(A$57)+1))),),"")</f>
        <v>J17</v>
      </c>
    </row>
    <row r="77" customFormat="false" ht="15" hidden="false" customHeight="false" outlineLevel="0" collapsed="false">
      <c r="K77" s="0" t="str">
        <f aca="false" t="array" ref="K77:K77">IFERROR(CONCATENATE(TEXT(INDEX($K$7:$K$54,SMALL(IF($N$7:$N$54&lt;&gt;"",IF($K$7:$K$54&lt;&gt;"",ROW($K$7:$K$54)-MIN(ROW($K$7:$K$54))+1,""),""),ROW()-ROW(A$57)+1)),"##0"),","),"")</f>
        <v>1,</v>
      </c>
      <c r="L77" s="0" t="str">
        <f aca="false" t="array" ref="L77:L77">IFERROR(CONCATENATE((INDEX($N$7:$N$54,SMALL(IF($N$7:$N$54&lt;&gt;"",IF($K$7:$K$54&lt;&gt;"",ROW($K$7:$K$54)-MIN(ROW($K$7:$K$54))+1,""),""),ROW()-ROW(A$57)+1))),","),"")</f>
        <v>994-1011-ND,</v>
      </c>
      <c r="M77" s="0" t="str">
        <f aca="false" t="array" ref="M77:M77">IFERROR(CONCATENATE((INDEX($A$7:$A$54,SMALL(IF($N$7:$N$54&lt;&gt;"",IF($K$7:$K$54&lt;&gt;"",ROW($K$7:$K$54)-MIN(ROW($K$7:$K$54))+1,""),""),ROW()-ROW(A$57)+1))),),"")</f>
        <v>J18</v>
      </c>
    </row>
    <row r="78" customFormat="false" ht="15" hidden="false" customHeight="false" outlineLevel="0" collapsed="false">
      <c r="K78" s="0" t="str">
        <f aca="false" t="array" ref="K78:K78">IFERROR(CONCATENATE(TEXT(INDEX($K$7:$K$54,SMALL(IF($N$7:$N$54&lt;&gt;"",IF($K$7:$K$54&lt;&gt;"",ROW($K$7:$K$54)-MIN(ROW($K$7:$K$54))+1,""),""),ROW()-ROW(A$57)+1)),"##0"),","),"")</f>
        <v>1,</v>
      </c>
      <c r="L78" s="0" t="str">
        <f aca="false" t="array" ref="L78:L78">IFERROR(CONCATENATE((INDEX($N$7:$N$54,SMALL(IF($N$7:$N$54&lt;&gt;"",IF($K$7:$K$54&lt;&gt;"",ROW($K$7:$K$54)-MIN(ROW($K$7:$K$54))+1,""),""),ROW()-ROW(A$57)+1))),","),"")</f>
        <v>S7002-ND,</v>
      </c>
      <c r="M78" s="0" t="str">
        <f aca="false" t="array" ref="M78:M78">IFERROR(CONCATENATE((INDEX($A$7:$A$54,SMALL(IF($N$7:$N$54&lt;&gt;"",IF($K$7:$K$54&lt;&gt;"",ROW($K$7:$K$54)-MIN(ROW($K$7:$K$54))+1,""),""),ROW()-ROW(A$57)+1))),),"")</f>
        <v>J19</v>
      </c>
    </row>
    <row r="79" customFormat="false" ht="15" hidden="false" customHeight="false" outlineLevel="0" collapsed="false">
      <c r="K79" s="0" t="str">
        <f aca="false" t="array" ref="K79:K79">IFERROR(CONCATENATE(TEXT(INDEX($K$7:$K$54,SMALL(IF($N$7:$N$54&lt;&gt;"",IF($K$7:$K$54&lt;&gt;"",ROW($K$7:$K$54)-MIN(ROW($K$7:$K$54))+1,""),""),ROW()-ROW(A$57)+1)),"##0"),","),"")</f>
        <v>1,</v>
      </c>
      <c r="L79" s="0" t="str">
        <f aca="false" t="array" ref="L79:L79">IFERROR(CONCATENATE((INDEX($N$7:$N$54,SMALL(IF($N$7:$N$54&lt;&gt;"",IF($K$7:$K$54&lt;&gt;"",ROW($K$7:$K$54)-MIN(ROW($K$7:$K$54))+1,""),""),ROW()-ROW(A$57)+1))),","),"")</f>
        <v>WM5587CT-ND,</v>
      </c>
      <c r="M79" s="0" t="str">
        <f aca="false" t="array" ref="M79:M79">IFERROR(CONCATENATE((INDEX($A$7:$A$54,SMALL(IF($N$7:$N$54&lt;&gt;"",IF($K$7:$K$54&lt;&gt;"",ROW($K$7:$K$54)-MIN(ROW($K$7:$K$54))+1,""),""),ROW()-ROW(A$57)+1))),),"")</f>
        <v>J2</v>
      </c>
    </row>
    <row r="80" customFormat="false" ht="15" hidden="false" customHeight="false" outlineLevel="0" collapsed="false">
      <c r="K80" s="0" t="str">
        <f aca="false" t="array" ref="K80:K80">IFERROR(CONCATENATE(TEXT(INDEX($K$7:$K$54,SMALL(IF($N$7:$N$54&lt;&gt;"",IF($K$7:$K$54&lt;&gt;"",ROW($K$7:$K$54)-MIN(ROW($K$7:$K$54))+1,""),""),ROW()-ROW(A$57)+1)),"##0"),","),"")</f>
        <v>1,</v>
      </c>
      <c r="L80" s="0" t="str">
        <f aca="false" t="array" ref="L80:L80">IFERROR(CONCATENATE((INDEX($N$7:$N$54,SMALL(IF($N$7:$N$54&lt;&gt;"",IF($K$7:$K$54&lt;&gt;"",ROW($K$7:$K$54)-MIN(ROW($K$7:$K$54))+1,""),""),ROW()-ROW(A$57)+1))),","),"")</f>
        <v>1528-1773-ND,</v>
      </c>
      <c r="M80" s="0" t="str">
        <f aca="false" t="array" ref="M80:M80">IFERROR(CONCATENATE((INDEX($A$7:$A$54,SMALL(IF($N$7:$N$54&lt;&gt;"",IF($K$7:$K$54&lt;&gt;"",ROW($K$7:$K$54)-MIN(ROW($K$7:$K$54))+1,""),""),ROW()-ROW(A$57)+1))),),"")</f>
        <v>J20</v>
      </c>
    </row>
    <row r="81" customFormat="false" ht="15" hidden="false" customHeight="false" outlineLevel="0" collapsed="false">
      <c r="K81" s="0" t="str">
        <f aca="false" t="array" ref="K81:K81">IFERROR(CONCATENATE(TEXT(INDEX($K$7:$K$54,SMALL(IF($N$7:$N$54&lt;&gt;"",IF($K$7:$K$54&lt;&gt;"",ROW($K$7:$K$54)-MIN(ROW($K$7:$K$54))+1,""),""),ROW()-ROW(A$57)+1)),"##0"),","),"")</f>
        <v>1,</v>
      </c>
      <c r="L81" s="0" t="str">
        <f aca="false" t="array" ref="L81:L81">IFERROR(CONCATENATE((INDEX($N$7:$N$54,SMALL(IF($N$7:$N$54&lt;&gt;"",IF($K$7:$K$54&lt;&gt;"",ROW($K$7:$K$54)-MIN(ROW($K$7:$K$54))+1,""),""),ROW()-ROW(A$57)+1))),","),"")</f>
        <v>1528-1504-ND,</v>
      </c>
      <c r="M81" s="0" t="str">
        <f aca="false" t="array" ref="M81:M81">IFERROR(CONCATENATE((INDEX($A$7:$A$54,SMALL(IF($N$7:$N$54&lt;&gt;"",IF($K$7:$K$54&lt;&gt;"",ROW($K$7:$K$54)-MIN(ROW($K$7:$K$54))+1,""),""),ROW()-ROW(A$57)+1))),),"")</f>
        <v>J3</v>
      </c>
    </row>
    <row r="82" customFormat="false" ht="15" hidden="false" customHeight="false" outlineLevel="0" collapsed="false">
      <c r="K82" s="0" t="str">
        <f aca="false" t="array" ref="K82:K82">IFERROR(CONCATENATE(TEXT(INDEX($K$7:$K$54,SMALL(IF($N$7:$N$54&lt;&gt;"",IF($K$7:$K$54&lt;&gt;"",ROW($K$7:$K$54)-MIN(ROW($K$7:$K$54))+1,""),""),ROW()-ROW(A$57)+1)),"##0"),","),"")</f>
        <v>1,</v>
      </c>
      <c r="L82" s="0" t="str">
        <f aca="false" t="array" ref="L82:L82">IFERROR(CONCATENATE((INDEX($N$7:$N$54,SMALL(IF($N$7:$N$54&lt;&gt;"",IF($K$7:$K$54&lt;&gt;"",ROW($K$7:$K$54)-MIN(ROW($K$7:$K$54))+1,""),""),ROW()-ROW(A$57)+1))),","),"")</f>
        <v>ED6350-50-ND,</v>
      </c>
      <c r="M82" s="0" t="str">
        <f aca="false" t="array" ref="M82:M82">IFERROR(CONCATENATE((INDEX($A$7:$A$54,SMALL(IF($N$7:$N$54&lt;&gt;"",IF($K$7:$K$54&lt;&gt;"",ROW($K$7:$K$54)-MIN(ROW($K$7:$K$54))+1,""),""),ROW()-ROW(A$57)+1))),),"")</f>
        <v>J4</v>
      </c>
    </row>
    <row r="83" customFormat="false" ht="15" hidden="false" customHeight="false" outlineLevel="0" collapsed="false">
      <c r="K83" s="0" t="str">
        <f aca="false" t="array" ref="K83:K83">IFERROR(CONCATENATE(TEXT(INDEX($K$7:$K$54,SMALL(IF($N$7:$N$54&lt;&gt;"",IF($K$7:$K$54&lt;&gt;"",ROW($K$7:$K$54)-MIN(ROW($K$7:$K$54))+1,""),""),ROW()-ROW(A$57)+1)),"##0"),","),"")</f>
        <v>1,</v>
      </c>
      <c r="L83" s="0" t="str">
        <f aca="false" t="array" ref="L83:L83">IFERROR(CONCATENATE((INDEX($N$7:$N$54,SMALL(IF($N$7:$N$54&lt;&gt;"",IF($K$7:$K$54&lt;&gt;"",ROW($K$7:$K$54)-MIN(ROW($K$7:$K$54))+1,""),""),ROW()-ROW(A$57)+1))),","),"")</f>
        <v>BAT-HLD-001-ND,</v>
      </c>
      <c r="M83" s="0" t="str">
        <f aca="false" t="array" ref="M83:M83">IFERROR(CONCATENATE((INDEX($A$7:$A$54,SMALL(IF($N$7:$N$54&lt;&gt;"",IF($K$7:$K$54&lt;&gt;"",ROW($K$7:$K$54)-MIN(ROW($K$7:$K$54))+1,""),""),ROW()-ROW(A$57)+1))),),"")</f>
        <v>J6</v>
      </c>
    </row>
    <row r="84" customFormat="false" ht="15" hidden="false" customHeight="false" outlineLevel="0" collapsed="false">
      <c r="K84" s="0" t="str">
        <f aca="false" t="array" ref="K84:K84">IFERROR(CONCATENATE(TEXT(INDEX($K$7:$K$54,SMALL(IF($N$7:$N$54&lt;&gt;"",IF($K$7:$K$54&lt;&gt;"",ROW($K$7:$K$54)-MIN(ROW($K$7:$K$54))+1,""),""),ROW()-ROW(A$57)+1)),"##0"),","),"")</f>
        <v>2,</v>
      </c>
      <c r="L84" s="0" t="str">
        <f aca="false" t="array" ref="L84:L84">IFERROR(CONCATENATE((INDEX($N$7:$N$54,SMALL(IF($N$7:$N$54&lt;&gt;"",IF($K$7:$K$54&lt;&gt;"",ROW($K$7:$K$54)-MIN(ROW($K$7:$K$54))+1,""),""),ROW()-ROW(A$57)+1))),","),"")</f>
        <v>S7017-ND,</v>
      </c>
      <c r="M84" s="0" t="str">
        <f aca="false" t="array" ref="M84:M84">IFERROR(CONCATENATE((INDEX($A$7:$A$54,SMALL(IF($N$7:$N$54&lt;&gt;"",IF($K$7:$K$54&lt;&gt;"",ROW($K$7:$K$54)-MIN(ROW($K$7:$K$54))+1,""),""),ROW()-ROW(A$57)+1))),),"")</f>
        <v>J8,J9</v>
      </c>
    </row>
    <row r="85" customFormat="false" ht="15" hidden="false" customHeight="false" outlineLevel="0" collapsed="false">
      <c r="K85" s="0" t="str">
        <f aca="false" t="array" ref="K85:K85">IFERROR(CONCATENATE(TEXT(INDEX($K$7:$K$54,SMALL(IF($N$7:$N$54&lt;&gt;"",IF($K$7:$K$54&lt;&gt;"",ROW($K$7:$K$54)-MIN(ROW($K$7:$K$54))+1,""),""),ROW()-ROW(A$57)+1)),"##0"),","),"")</f>
        <v>1,</v>
      </c>
      <c r="L85" s="0" t="str">
        <f aca="false" t="array" ref="L85:L85">IFERROR(CONCATENATE((INDEX($N$7:$N$54,SMALL(IF($N$7:$N$54&lt;&gt;"",IF($K$7:$K$54&lt;&gt;"",ROW($K$7:$K$54)-MIN(ROW($K$7:$K$54))+1,""),""),ROW()-ROW(A$57)+1))),","),"")</f>
        <v>732-5316-ND,</v>
      </c>
      <c r="M85" s="0" t="str">
        <f aca="false" t="array" ref="M85:M85">IFERROR(CONCATENATE((INDEX($A$7:$A$54,SMALL(IF($N$7:$N$54&lt;&gt;"",IF($K$7:$K$54&lt;&gt;"",ROW($K$7:$K$54)-MIN(ROW($K$7:$K$54))+1,""),""),ROW()-ROW(A$57)+1))),),"")</f>
        <v>JP6</v>
      </c>
    </row>
    <row r="86" customFormat="false" ht="15" hidden="false" customHeight="false" outlineLevel="0" collapsed="false">
      <c r="K86" s="0" t="str">
        <f aca="false" t="array" ref="K86:K86">IFERROR(CONCATENATE(TEXT(INDEX($K$7:$K$54,SMALL(IF($N$7:$N$54&lt;&gt;"",IF($K$7:$K$54&lt;&gt;"",ROW($K$7:$K$54)-MIN(ROW($K$7:$K$54))+1,""),""),ROW()-ROW(A$57)+1)),"##0"),","),"")</f>
        <v>3,</v>
      </c>
      <c r="L86" s="0" t="str">
        <f aca="false" t="array" ref="L86:L86">IFERROR(CONCATENATE((INDEX($N$7:$N$54,SMALL(IF($N$7:$N$54&lt;&gt;"",IF($K$7:$K$54&lt;&gt;"",ROW($K$7:$K$54)-MIN(ROW($K$7:$K$54))+1,""),""),ROW()-ROW(A$57)+1))),","),"")</f>
        <v>732-5315-ND,</v>
      </c>
      <c r="M86" s="0" t="str">
        <f aca="false" t="array" ref="M86:M86">IFERROR(CONCATENATE((INDEX($A$7:$A$54,SMALL(IF($N$7:$N$54&lt;&gt;"",IF($K$7:$K$54&lt;&gt;"",ROW($K$7:$K$54)-MIN(ROW($K$7:$K$54))+1,""),""),ROW()-ROW(A$57)+1))),),"")</f>
        <v>JP18-JP20</v>
      </c>
    </row>
    <row r="87" customFormat="false" ht="15" hidden="false" customHeight="false" outlineLevel="0" collapsed="false">
      <c r="K87" s="0" t="str">
        <f aca="false" t="array" ref="K87:K87">IFERROR(CONCATENATE(TEXT(INDEX($K$7:$K$54,SMALL(IF($N$7:$N$54&lt;&gt;"",IF($K$7:$K$54&lt;&gt;"",ROW($K$7:$K$54)-MIN(ROW($K$7:$K$54))+1,""),""),ROW()-ROW(A$57)+1)),"##0"),","),"")</f>
        <v>15,</v>
      </c>
      <c r="L87" s="0" t="str">
        <f aca="false" t="array" ref="L87:L87">IFERROR(CONCATENATE((INDEX($N$7:$N$54,SMALL(IF($N$7:$N$54&lt;&gt;"",IF($K$7:$K$54&lt;&gt;"",ROW($K$7:$K$54)-MIN(ROW($K$7:$K$54))+1,""),""),ROW()-ROW(A$57)+1))),","),"")</f>
        <v>732-5316-ND,</v>
      </c>
      <c r="M87" s="0" t="str">
        <f aca="false" t="array" ref="M87:M87">IFERROR(CONCATENATE((INDEX($A$7:$A$54,SMALL(IF($N$7:$N$54&lt;&gt;"",IF($K$7:$K$54&lt;&gt;"",ROW($K$7:$K$54)-MIN(ROW($K$7:$K$54))+1,""),""),ROW()-ROW(A$57)+1))),),"")</f>
        <v>JP2-JP5,JP7-JP17</v>
      </c>
    </row>
    <row r="88" customFormat="false" ht="15" hidden="false" customHeight="false" outlineLevel="0" collapsed="false">
      <c r="K88" s="0" t="str">
        <f aca="false" t="array" ref="K88:K88">IFERROR(CONCATENATE(TEXT(INDEX($K$7:$K$54,SMALL(IF($N$7:$N$54&lt;&gt;"",IF($K$7:$K$54&lt;&gt;"",ROW($K$7:$K$54)-MIN(ROW($K$7:$K$54))+1,""),""),ROW()-ROW(A$57)+1)),"##0"),","),"")</f>
        <v>2,</v>
      </c>
      <c r="L88" s="0" t="str">
        <f aca="false" t="array" ref="L88:L88">IFERROR(CONCATENATE((INDEX($N$7:$N$54,SMALL(IF($N$7:$N$54&lt;&gt;"",IF($K$7:$K$54&lt;&gt;"",ROW($K$7:$K$54)-MIN(ROW($K$7:$K$54))+1,""),""),ROW()-ROW(A$57)+1))),","),"")</f>
        <v>SI2323CDS-T1-GE3CT-ND,</v>
      </c>
      <c r="M88" s="0" t="str">
        <f aca="false" t="array" ref="M88:M88">IFERROR(CONCATENATE((INDEX($A$7:$A$54,SMALL(IF($N$7:$N$54&lt;&gt;"",IF($K$7:$K$54&lt;&gt;"",ROW($K$7:$K$54)-MIN(ROW($K$7:$K$54))+1,""),""),ROW()-ROW(A$57)+1))),),"")</f>
        <v>Q1</v>
      </c>
    </row>
    <row r="89" customFormat="false" ht="15" hidden="false" customHeight="false" outlineLevel="0" collapsed="false">
      <c r="K89" s="0" t="str">
        <f aca="false" t="array" ref="K89:K89">IFERROR(CONCATENATE(TEXT(INDEX($K$7:$K$54,SMALL(IF($N$7:$N$54&lt;&gt;"",IF($K$7:$K$54&lt;&gt;"",ROW($K$7:$K$54)-MIN(ROW($K$7:$K$54))+1,""),""),ROW()-ROW(A$57)+1)),"##0"),","),"")</f>
        <v>2,</v>
      </c>
      <c r="L89" s="0" t="str">
        <f aca="false" t="array" ref="L89:L89">IFERROR(CONCATENATE((INDEX($N$7:$N$54,SMALL(IF($N$7:$N$54&lt;&gt;"",IF($K$7:$K$54&lt;&gt;"",ROW($K$7:$K$54)-MIN(ROW($K$7:$K$54))+1,""),""),ROW()-ROW(A$57)+1))),","),"")</f>
        <v>DTC143ZKAT146CT-ND,</v>
      </c>
      <c r="M89" s="0" t="str">
        <f aca="false" t="array" ref="M89:M89">IFERROR(CONCATENATE((INDEX($A$7:$A$54,SMALL(IF($N$7:$N$54&lt;&gt;"",IF($K$7:$K$54&lt;&gt;"",ROW($K$7:$K$54)-MIN(ROW($K$7:$K$54))+1,""),""),ROW()-ROW(A$57)+1))),),"")</f>
        <v>Q2</v>
      </c>
    </row>
    <row r="90" customFormat="false" ht="15" hidden="false" customHeight="false" outlineLevel="0" collapsed="false">
      <c r="K90" s="0" t="str">
        <f aca="false" t="array" ref="K90:K90">IFERROR(CONCATENATE(TEXT(INDEX($K$7:$K$54,SMALL(IF($N$7:$N$54&lt;&gt;"",IF($K$7:$K$54&lt;&gt;"",ROW($K$7:$K$54)-MIN(ROW($K$7:$K$54))+1,""),""),ROW()-ROW(A$57)+1)),"##0"),","),"")</f>
        <v>2,</v>
      </c>
      <c r="L90" s="0" t="str">
        <f aca="false" t="array" ref="L90:L90">IFERROR(CONCATENATE((INDEX($N$7:$N$54,SMALL(IF($N$7:$N$54&lt;&gt;"",IF($K$7:$K$54&lt;&gt;"",ROW($K$7:$K$54)-MIN(ROW($K$7:$K$54))+1,""),""),ROW()-ROW(A$57)+1))),","),"")</f>
        <v>P20957CT-ND,</v>
      </c>
      <c r="M90" s="0" t="str">
        <f aca="false" t="array" ref="M90:M90">IFERROR(CONCATENATE((INDEX($A$7:$A$54,SMALL(IF($N$7:$N$54&lt;&gt;"",IF($K$7:$K$54&lt;&gt;"",ROW($K$7:$K$54)-MIN(ROW($K$7:$K$54))+1,""),""),ROW()-ROW(A$57)+1))),),"")</f>
        <v>R11</v>
      </c>
    </row>
    <row r="91" customFormat="false" ht="15" hidden="false" customHeight="false" outlineLevel="0" collapsed="false">
      <c r="K91" s="0" t="str">
        <f aca="false" t="array" ref="K91:K91">IFERROR(CONCATENATE(TEXT(INDEX($K$7:$K$54,SMALL(IF($N$7:$N$54&lt;&gt;"",IF($K$7:$K$54&lt;&gt;"",ROW($K$7:$K$54)-MIN(ROW($K$7:$K$54))+1,""),""),ROW()-ROW(A$57)+1)),"##0"),","),"")</f>
        <v>2,</v>
      </c>
      <c r="L91" s="0" t="str">
        <f aca="false" t="array" ref="L91:L91">IFERROR(CONCATENATE((INDEX($N$7:$N$54,SMALL(IF($N$7:$N$54&lt;&gt;"",IF($K$7:$K$54&lt;&gt;"",ROW($K$7:$K$54)-MIN(ROW($K$7:$K$54))+1,""),""),ROW()-ROW(A$57)+1))),","),"")</f>
        <v>311-33.0CRCT-ND,</v>
      </c>
      <c r="M91" s="0" t="str">
        <f aca="false" t="array" ref="M91:M91">IFERROR(CONCATENATE((INDEX($A$7:$A$54,SMALL(IF($N$7:$N$54&lt;&gt;"",IF($K$7:$K$54&lt;&gt;"",ROW($K$7:$K$54)-MIN(ROW($K$7:$K$54))+1,""),""),ROW()-ROW(A$57)+1))),),"")</f>
        <v>R6</v>
      </c>
    </row>
    <row r="92" customFormat="false" ht="15" hidden="false" customHeight="false" outlineLevel="0" collapsed="false">
      <c r="K92" s="0" t="str">
        <f aca="false" t="array" ref="K92:K92">IFERROR(CONCATENATE(TEXT(INDEX($K$7:$K$54,SMALL(IF($N$7:$N$54&lt;&gt;"",IF($K$7:$K$54&lt;&gt;"",ROW($K$7:$K$54)-MIN(ROW($K$7:$K$54))+1,""),""),ROW()-ROW(A$57)+1)),"##0"),","),"")</f>
        <v>2,</v>
      </c>
      <c r="L92" s="0" t="str">
        <f aca="false" t="array" ref="L92:L92">IFERROR(CONCATENATE((INDEX($N$7:$N$54,SMALL(IF($N$7:$N$54&lt;&gt;"",IF($K$7:$K$54&lt;&gt;"",ROW($K$7:$K$54)-MIN(ROW($K$7:$K$54))+1,""),""),ROW()-ROW(A$57)+1))),","),"")</f>
        <v>RHM1.5KKCT-ND,</v>
      </c>
      <c r="M92" s="0" t="str">
        <f aca="false" t="array" ref="M92:M92">IFERROR(CONCATENATE((INDEX($A$7:$A$54,SMALL(IF($N$7:$N$54&lt;&gt;"",IF($K$7:$K$54&lt;&gt;"",ROW($K$7:$K$54)-MIN(ROW($K$7:$K$54))+1,""),""),ROW()-ROW(A$57)+1))),),"")</f>
        <v>R7</v>
      </c>
    </row>
    <row r="93" customFormat="false" ht="15" hidden="false" customHeight="false" outlineLevel="0" collapsed="false">
      <c r="K93" s="0" t="str">
        <f aca="false" t="array" ref="K93:K93">IFERROR(CONCATENATE(TEXT(INDEX($K$7:$K$54,SMALL(IF($N$7:$N$54&lt;&gt;"",IF($K$7:$K$54&lt;&gt;"",ROW($K$7:$K$54)-MIN(ROW($K$7:$K$54))+1,""),""),ROW()-ROW(A$57)+1)),"##0"),","),"")</f>
        <v>2,</v>
      </c>
      <c r="L93" s="0" t="str">
        <f aca="false" t="array" ref="L93:L93">IFERROR(CONCATENATE((INDEX($N$7:$N$54,SMALL(IF($N$7:$N$54&lt;&gt;"",IF($K$7:$K$54&lt;&gt;"",ROW($K$7:$K$54)-MIN(ROW($K$7:$K$54))+1,""),""),ROW()-ROW(A$57)+1))),","),"")</f>
        <v>541-110CCT-ND,</v>
      </c>
      <c r="M93" s="0" t="str">
        <f aca="false" t="array" ref="M93:M93">IFERROR(CONCATENATE((INDEX($A$7:$A$54,SMALL(IF($N$7:$N$54&lt;&gt;"",IF($K$7:$K$54&lt;&gt;"",ROW($K$7:$K$54)-MIN(ROW($K$7:$K$54))+1,""),""),ROW()-ROW(A$57)+1))),),"")</f>
        <v>R8</v>
      </c>
    </row>
    <row r="94" customFormat="false" ht="15" hidden="false" customHeight="false" outlineLevel="0" collapsed="false">
      <c r="K94" s="0" t="str">
        <f aca="false" t="array" ref="K94:K94">IFERROR(CONCATENATE(TEXT(INDEX($K$7:$K$54,SMALL(IF($N$7:$N$54&lt;&gt;"",IF($K$7:$K$54&lt;&gt;"",ROW($K$7:$K$54)-MIN(ROW($K$7:$K$54))+1,""),""),ROW()-ROW(A$57)+1)),"##0"),","),"")</f>
        <v>3,</v>
      </c>
      <c r="L94" s="0" t="str">
        <f aca="false" t="array" ref="L94:L94">IFERROR(CONCATENATE((INDEX($N$7:$N$54,SMALL(IF($N$7:$N$54&lt;&gt;"",IF($K$7:$K$54&lt;&gt;"",ROW($K$7:$K$54)-MIN(ROW($K$7:$K$54))+1,""),""),ROW()-ROW(A$57)+1))),","),"")</f>
        <v>P130DACT-ND,</v>
      </c>
      <c r="M94" s="0" t="str">
        <f aca="false" t="array" ref="M94:M94">IFERROR(CONCATENATE((INDEX($A$7:$A$54,SMALL(IF($N$7:$N$54&lt;&gt;"",IF($K$7:$K$54&lt;&gt;"",ROW($K$7:$K$54)-MIN(ROW($K$7:$K$54))+1,""),""),ROW()-ROW(A$57)+1))),),"")</f>
        <v>R9,R10</v>
      </c>
    </row>
    <row r="95" customFormat="false" ht="15" hidden="false" customHeight="false" outlineLevel="0" collapsed="false">
      <c r="K95" s="0" t="str">
        <f aca="false" t="array" ref="K95:K95">IFERROR(CONCATENATE(TEXT(INDEX($K$7:$K$54,SMALL(IF($N$7:$N$54&lt;&gt;"",IF($K$7:$K$54&lt;&gt;"",ROW($K$7:$K$54)-MIN(ROW($K$7:$K$54))+1,""),""),ROW()-ROW(A$57)+1)),"##0"),","),"")</f>
        <v>5,</v>
      </c>
      <c r="L95" s="0" t="str">
        <f aca="false" t="array" ref="L95:L95">IFERROR(CONCATENATE((INDEX($N$7:$N$54,SMALL(IF($N$7:$N$54&lt;&gt;"",IF($K$7:$K$54&lt;&gt;"",ROW($K$7:$K$54)-MIN(ROW($K$7:$K$54))+1,""),""),ROW()-ROW(A$57)+1))),","),"")</f>
        <v>RR12P10.0KDCT-ND,</v>
      </c>
      <c r="M95" s="0" t="str">
        <f aca="false" t="array" ref="M95:M95">IFERROR(CONCATENATE((INDEX($A$7:$A$54,SMALL(IF($N$7:$N$54&lt;&gt;"",IF($K$7:$K$54&lt;&gt;"",ROW($K$7:$K$54)-MIN(ROW($K$7:$K$54))+1,""),""),ROW()-ROW(A$57)+1))),),"")</f>
        <v>R1-R5</v>
      </c>
    </row>
    <row r="96" customFormat="false" ht="15" hidden="false" customHeight="false" outlineLevel="0" collapsed="false">
      <c r="K96" s="0" t="str">
        <f aca="false" t="array" ref="K96:K96">IFERROR(CONCATENATE(TEXT(INDEX($K$7:$K$54,SMALL(IF($N$7:$N$54&lt;&gt;"",IF($K$7:$K$54&lt;&gt;"",ROW($K$7:$K$54)-MIN(ROW($K$7:$K$54))+1,""),""),ROW()-ROW(A$57)+1)),"##0"),","),"")</f>
        <v>2,</v>
      </c>
      <c r="L96" s="0" t="str">
        <f aca="false" t="array" ref="L96:L96">IFERROR(CONCATENATE((INDEX($N$7:$N$54,SMALL(IF($N$7:$N$54&lt;&gt;"",IF($K$7:$K$54&lt;&gt;"",ROW($K$7:$K$54)-MIN(ROW($K$7:$K$54))+1,""),""),ROW()-ROW(A$57)+1))),","),"")</f>
        <v>296-38492-1-ND,</v>
      </c>
      <c r="M96" s="0" t="str">
        <f aca="false" t="array" ref="M96:M96">IFERROR(CONCATENATE((INDEX($A$7:$A$54,SMALL(IF($N$7:$N$54&lt;&gt;"",IF($K$7:$K$54&lt;&gt;"",ROW($K$7:$K$54)-MIN(ROW($K$7:$K$54))+1,""),""),ROW()-ROW(A$57)+1))),),"")</f>
        <v>U2</v>
      </c>
    </row>
    <row r="97" customFormat="false" ht="15" hidden="false" customHeight="false" outlineLevel="0" collapsed="false">
      <c r="K97" s="0" t="str">
        <f aca="false" t="array" ref="K97:K97">IFERROR(CONCATENATE(TEXT(INDEX($K$7:$K$54,SMALL(IF($N$7:$N$54&lt;&gt;"",IF($K$7:$K$54&lt;&gt;"",ROW($K$7:$K$54)-MIN(ROW($K$7:$K$54))+1,""),""),ROW()-ROW(A$57)+1)),"##0"),","),"")</f>
        <v>1,</v>
      </c>
      <c r="L97" s="0" t="str">
        <f aca="false" t="array" ref="L97:L97">IFERROR(CONCATENATE((INDEX($N$7:$N$54,SMALL(IF($N$7:$N$54&lt;&gt;"",IF($K$7:$K$54&lt;&gt;"",ROW($K$7:$K$54)-MIN(ROW($K$7:$K$54))+1,""),""),ROW()-ROW(A$57)+1))),","),"")</f>
        <v>1904-1011-ND,</v>
      </c>
      <c r="M97" s="0" t="str">
        <f aca="false" t="array" ref="M97:M97">IFERROR(CONCATENATE((INDEX($A$7:$A$54,SMALL(IF($N$7:$N$54&lt;&gt;"",IF($K$7:$K$54&lt;&gt;"",ROW($K$7:$K$54)-MIN(ROW($K$7:$K$54))+1,""),""),ROW()-ROW(A$57)+1))),),"")</f>
        <v>U4</v>
      </c>
    </row>
    <row r="98" customFormat="false" ht="15" hidden="false" customHeight="false" outlineLevel="0" collapsed="false">
      <c r="K98" s="0" t="str">
        <f aca="false" t="array" ref="K98:K98">IFERROR(CONCATENATE(TEXT(INDEX($K$7:$K$54,SMALL(IF($N$7:$N$54&lt;&gt;"",IF($K$7:$K$54&lt;&gt;"",ROW($K$7:$K$54)-MIN(ROW($K$7:$K$54))+1,""),""),ROW()-ROW(A$57)+1)),"##0"),","),"")</f>
        <v>1,</v>
      </c>
      <c r="L98" s="0" t="str">
        <f aca="false" t="array" ref="L98:L98">IFERROR(CONCATENATE((INDEX($N$7:$N$54,SMALL(IF($N$7:$N$54&lt;&gt;"",IF($K$7:$K$54&lt;&gt;"",ROW($K$7:$K$54)-MIN(ROW($K$7:$K$54))+1,""),""),ROW()-ROW(A$57)+1))),","),"")</f>
        <v>1471-1619-ND,</v>
      </c>
      <c r="M98" s="0" t="str">
        <f aca="false" t="array" ref="M98:M98">IFERROR(CONCATENATE((INDEX($A$7:$A$54,SMALL(IF($N$7:$N$54&lt;&gt;"",IF($K$7:$K$54&lt;&gt;"",ROW($K$7:$K$54)-MIN(ROW($K$7:$K$54))+1,""),""),ROW()-ROW(A$57)+1))),),"")</f>
        <v>U5</v>
      </c>
    </row>
    <row r="99" customFormat="false" ht="15" hidden="false" customHeight="false" outlineLevel="0" collapsed="false">
      <c r="K99" s="0" t="str">
        <f aca="false" t="array" ref="K99:K99">IFERROR(CONCATENATE(TEXT(INDEX($K$7:$K$54,SMALL(IF($N$7:$N$54&lt;&gt;"",IF($K$7:$K$54&lt;&gt;"",ROW($K$7:$K$54)-MIN(ROW($K$7:$K$54))+1,""),""),ROW()-ROW(A$57)+1)),"##0"),","),"")</f>
        <v/>
      </c>
      <c r="L99" s="0" t="str">
        <f aca="false" t="array" ref="L99:L99">IFERROR(CONCATENATE((INDEX($N$7:$N$54,SMALL(IF($N$7:$N$54&lt;&gt;"",IF($K$7:$K$54&lt;&gt;"",ROW($K$7:$K$54)-MIN(ROW($K$7:$K$54))+1,""),""),ROW()-ROW(A$57)+1))),","),"")</f>
        <v/>
      </c>
      <c r="M99" s="0" t="str">
        <f aca="false" t="array" ref="M99:M99">IFERROR(CONCATENATE((INDEX($A$7:$A$54,SMALL(IF($N$7:$N$54&lt;&gt;"",IF($K$7:$K$54&lt;&gt;"",ROW($K$7:$K$54)-MIN(ROW($K$7:$K$54))+1,""),""),ROW()-ROW(A$57)+1))),),"")</f>
        <v/>
      </c>
    </row>
    <row r="100" customFormat="false" ht="15" hidden="false" customHeight="false" outlineLevel="0" collapsed="false">
      <c r="K100" s="0" t="str">
        <f aca="false" t="array" ref="K100:K100">IFERROR(CONCATENATE(TEXT(INDEX($K$7:$K$54,SMALL(IF($N$7:$N$54&lt;&gt;"",IF($K$7:$K$54&lt;&gt;"",ROW($K$7:$K$54)-MIN(ROW($K$7:$K$54))+1,""),""),ROW()-ROW(A$57)+1)),"##0"),","),"")</f>
        <v/>
      </c>
      <c r="L100" s="0" t="str">
        <f aca="false" t="array" ref="L100:L100">IFERROR(CONCATENATE((INDEX($N$7:$N$54,SMALL(IF($N$7:$N$54&lt;&gt;"",IF($K$7:$K$54&lt;&gt;"",ROW($K$7:$K$54)-MIN(ROW($K$7:$K$54))+1,""),""),ROW()-ROW(A$57)+1))),","),"")</f>
        <v/>
      </c>
      <c r="M100" s="0" t="str">
        <f aca="false" t="array" ref="M100:M100">IFERROR(CONCATENATE((INDEX($A$7:$A$54,SMALL(IF($N$7:$N$54&lt;&gt;"",IF($K$7:$K$54&lt;&gt;"",ROW($K$7:$K$54)-MIN(ROW($K$7:$K$54))+1,""),""),ROW()-ROW(A$57)+1))),),"")</f>
        <v/>
      </c>
    </row>
    <row r="101" customFormat="false" ht="15" hidden="false" customHeight="false" outlineLevel="0" collapsed="false">
      <c r="K101" s="0" t="str">
        <f aca="false" t="array" ref="K101:K101">IFERROR(CONCATENATE(TEXT(INDEX($K$7:$K$54,SMALL(IF($N$7:$N$54&lt;&gt;"",IF($K$7:$K$54&lt;&gt;"",ROW($K$7:$K$54)-MIN(ROW($K$7:$K$54))+1,""),""),ROW()-ROW(A$57)+1)),"##0"),","),"")</f>
        <v/>
      </c>
      <c r="L101" s="0" t="str">
        <f aca="false" t="array" ref="L101:L101">IFERROR(CONCATENATE((INDEX($N$7:$N$54,SMALL(IF($N$7:$N$54&lt;&gt;"",IF($K$7:$K$54&lt;&gt;"",ROW($K$7:$K$54)-MIN(ROW($K$7:$K$54))+1,""),""),ROW()-ROW(A$57)+1))),","),"")</f>
        <v/>
      </c>
      <c r="M101" s="0" t="str">
        <f aca="false" t="array" ref="M101:M101">IFERROR(CONCATENATE((INDEX($A$7:$A$54,SMALL(IF($N$7:$N$54&lt;&gt;"",IF($K$7:$K$54&lt;&gt;"",ROW($K$7:$K$54)-MIN(ROW($K$7:$K$54))+1,""),""),ROW()-ROW(A$57)+1))),),"")</f>
        <v/>
      </c>
    </row>
    <row r="102" customFormat="false" ht="15" hidden="false" customHeight="false" outlineLevel="0" collapsed="false">
      <c r="K102" s="0" t="str">
        <f aca="false" t="array" ref="K102:K102">IFERROR(CONCATENATE(TEXT(INDEX($K$7:$K$54,SMALL(IF($N$7:$N$54&lt;&gt;"",IF($K$7:$K$54&lt;&gt;"",ROW($K$7:$K$54)-MIN(ROW($K$7:$K$54))+1,""),""),ROW()-ROW(A$57)+1)),"##0"),","),"")</f>
        <v/>
      </c>
      <c r="L102" s="0" t="str">
        <f aca="false" t="array" ref="L102:L102">IFERROR(CONCATENATE((INDEX($N$7:$N$54,SMALL(IF($N$7:$N$54&lt;&gt;"",IF($K$7:$K$54&lt;&gt;"",ROW($K$7:$K$54)-MIN(ROW($K$7:$K$54))+1,""),""),ROW()-ROW(A$57)+1))),","),"")</f>
        <v/>
      </c>
      <c r="M102" s="0" t="str">
        <f aca="false" t="array" ref="M102:M102">IFERROR(CONCATENATE((INDEX($A$7:$A$54,SMALL(IF($N$7:$N$54&lt;&gt;"",IF($K$7:$K$54&lt;&gt;"",ROW($K$7:$K$54)-MIN(ROW($K$7:$K$54))+1,""),""),ROW()-ROW(A$57)+1))),),"")</f>
        <v/>
      </c>
    </row>
    <row r="103" customFormat="false" ht="15" hidden="false" customHeight="false" outlineLevel="0" collapsed="false">
      <c r="K103" s="0" t="str">
        <f aca="false" t="array" ref="K103:K103">IFERROR(CONCATENATE(TEXT(INDEX($K$7:$K$54,SMALL(IF($N$7:$N$54&lt;&gt;"",IF($K$7:$K$54&lt;&gt;"",ROW($K$7:$K$54)-MIN(ROW($K$7:$K$54))+1,""),""),ROW()-ROW(A$57)+1)),"##0"),","),"")</f>
        <v/>
      </c>
      <c r="L103" s="0" t="str">
        <f aca="false" t="array" ref="L103:L103">IFERROR(CONCATENATE((INDEX($N$7:$N$54,SMALL(IF($N$7:$N$54&lt;&gt;"",IF($K$7:$K$54&lt;&gt;"",ROW($K$7:$K$54)-MIN(ROW($K$7:$K$54))+1,""),""),ROW()-ROW(A$57)+1))),","),"")</f>
        <v/>
      </c>
      <c r="M103" s="0" t="str">
        <f aca="false" t="array" ref="M103:M103">IFERROR(CONCATENATE((INDEX($A$7:$A$54,SMALL(IF($N$7:$N$54&lt;&gt;"",IF($K$7:$K$54&lt;&gt;"",ROW($K$7:$K$54)-MIN(ROW($K$7:$K$54))+1,""),""),ROW()-ROW(A$57)+1))),),"")</f>
        <v/>
      </c>
    </row>
    <row r="104" customFormat="false" ht="15" hidden="false" customHeight="false" outlineLevel="0" collapsed="false">
      <c r="K104" s="0" t="str">
        <f aca="false" t="array" ref="K104:K104">IFERROR(CONCATENATE(TEXT(INDEX($K$7:$K$54,SMALL(IF($N$7:$N$54&lt;&gt;"",IF($K$7:$K$54&lt;&gt;"",ROW($K$7:$K$54)-MIN(ROW($K$7:$K$54))+1,""),""),ROW()-ROW(A$57)+1)),"##0"),","),"")</f>
        <v/>
      </c>
      <c r="L104" s="0" t="str">
        <f aca="false" t="array" ref="L104:L104">IFERROR(CONCATENATE((INDEX($N$7:$N$54,SMALL(IF($N$7:$N$54&lt;&gt;"",IF($K$7:$K$54&lt;&gt;"",ROW($K$7:$K$54)-MIN(ROW($K$7:$K$54))+1,""),""),ROW()-ROW(A$57)+1))),","),"")</f>
        <v/>
      </c>
      <c r="M104" s="0" t="str">
        <f aca="false" t="array" ref="M104:M104">IFERROR(CONCATENATE((INDEX($A$7:$A$54,SMALL(IF($N$7:$N$54&lt;&gt;"",IF($K$7:$K$54&lt;&gt;"",ROW($K$7:$K$54)-MIN(ROW($K$7:$K$54))+1,""),""),ROW()-ROW(A$57)+1))),),"")</f>
        <v/>
      </c>
    </row>
  </sheetData>
  <mergeCells count="2">
    <mergeCell ref="A5:I5"/>
    <mergeCell ref="J5:N5"/>
  </mergeCells>
  <conditionalFormatting sqref="G10">
    <cfRule type="expression" priority="2" aboveAverage="0" equalAverage="0" bottom="0" percent="0" rank="0" text="" dxfId="0">
      <formula>AND(ISBLANK(F10),ISBLANK(INDIRECT(ADDRESS(ROW(),COLUMN(digikey_part_data)+4))))</formula>
    </cfRule>
    <cfRule type="expression" priority="3" aboveAverage="0" equalAverage="0" bottom="0" percent="0" rank="0" text="" dxfId="1">
      <formula>IF(SUM(INDIRECT(ADDRESS(ROW(),COLUMN(digikey_part_data)+0)))=0,1,0)</formula>
    </cfRule>
    <cfRule type="cellIs" priority="4" operator="greaterThan" aboveAverage="0" equalAverage="0" bottom="0" percent="0" rank="0" text="" dxfId="2">
      <formula>SUM(INDIRECT(ADDRESS(ROW(),COLUMN(digikey_part_data)+0)))</formula>
    </cfRule>
    <cfRule type="cellIs" priority="5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G11">
    <cfRule type="expression" priority="6" aboveAverage="0" equalAverage="0" bottom="0" percent="0" rank="0" text="" dxfId="0">
      <formula>AND(ISBLANK(F11),ISBLANK(INDIRECT(ADDRESS(ROW(),COLUMN(digikey_part_data)+4))))</formula>
    </cfRule>
    <cfRule type="expression" priority="7" aboveAverage="0" equalAverage="0" bottom="0" percent="0" rank="0" text="" dxfId="1">
      <formula>IF(SUM(INDIRECT(ADDRESS(ROW(),COLUMN(digikey_part_data)+0)))=0,1,0)</formula>
    </cfRule>
    <cfRule type="cellIs" priority="8" operator="greaterThan" aboveAverage="0" equalAverage="0" bottom="0" percent="0" rank="0" text="" dxfId="2">
      <formula>SUM(INDIRECT(ADDRESS(ROW(),COLUMN(digikey_part_data)+0)))</formula>
    </cfRule>
    <cfRule type="cellIs" priority="9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G12">
    <cfRule type="expression" priority="10" aboveAverage="0" equalAverage="0" bottom="0" percent="0" rank="0" text="" dxfId="0">
      <formula>AND(ISBLANK(F12),ISBLANK(INDIRECT(ADDRESS(ROW(),COLUMN(digikey_part_data)+4))))</formula>
    </cfRule>
    <cfRule type="expression" priority="11" aboveAverage="0" equalAverage="0" bottom="0" percent="0" rank="0" text="" dxfId="1">
      <formula>IF(SUM(INDIRECT(ADDRESS(ROW(),COLUMN(digikey_part_data)+0)))=0,1,0)</formula>
    </cfRule>
    <cfRule type="cellIs" priority="12" operator="greaterThan" aboveAverage="0" equalAverage="0" bottom="0" percent="0" rank="0" text="" dxfId="2">
      <formula>SUM(INDIRECT(ADDRESS(ROW(),COLUMN(digikey_part_data)+0)))</formula>
    </cfRule>
    <cfRule type="cellIs" priority="13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G13">
    <cfRule type="expression" priority="14" aboveAverage="0" equalAverage="0" bottom="0" percent="0" rank="0" text="" dxfId="0">
      <formula>AND(ISBLANK(F13),ISBLANK(INDIRECT(ADDRESS(ROW(),COLUMN(digikey_part_data)+4))))</formula>
    </cfRule>
    <cfRule type="expression" priority="15" aboveAverage="0" equalAverage="0" bottom="0" percent="0" rank="0" text="" dxfId="1">
      <formula>IF(SUM(INDIRECT(ADDRESS(ROW(),COLUMN(digikey_part_data)+0)))=0,1,0)</formula>
    </cfRule>
    <cfRule type="cellIs" priority="16" operator="greaterThan" aboveAverage="0" equalAverage="0" bottom="0" percent="0" rank="0" text="" dxfId="2">
      <formula>SUM(INDIRECT(ADDRESS(ROW(),COLUMN(digikey_part_data)+0)))</formula>
    </cfRule>
    <cfRule type="cellIs" priority="17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G14">
    <cfRule type="expression" priority="18" aboveAverage="0" equalAverage="0" bottom="0" percent="0" rank="0" text="" dxfId="0">
      <formula>AND(ISBLANK(F14),ISBLANK(INDIRECT(ADDRESS(ROW(),COLUMN(digikey_part_data)+4))))</formula>
    </cfRule>
    <cfRule type="expression" priority="19" aboveAverage="0" equalAverage="0" bottom="0" percent="0" rank="0" text="" dxfId="1">
      <formula>IF(SUM(INDIRECT(ADDRESS(ROW(),COLUMN(digikey_part_data)+0)))=0,1,0)</formula>
    </cfRule>
    <cfRule type="cellIs" priority="20" operator="greaterThan" aboveAverage="0" equalAverage="0" bottom="0" percent="0" rank="0" text="" dxfId="2">
      <formula>SUM(INDIRECT(ADDRESS(ROW(),COLUMN(digikey_part_data)+0)))</formula>
    </cfRule>
    <cfRule type="cellIs" priority="21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G15">
    <cfRule type="expression" priority="22" aboveAverage="0" equalAverage="0" bottom="0" percent="0" rank="0" text="" dxfId="0">
      <formula>AND(ISBLANK(F15),ISBLANK(INDIRECT(ADDRESS(ROW(),COLUMN(digikey_part_data)+4))))</formula>
    </cfRule>
    <cfRule type="expression" priority="23" aboveAverage="0" equalAverage="0" bottom="0" percent="0" rank="0" text="" dxfId="1">
      <formula>IF(SUM(INDIRECT(ADDRESS(ROW(),COLUMN(digikey_part_data)+0)))=0,1,0)</formula>
    </cfRule>
    <cfRule type="cellIs" priority="24" operator="greaterThan" aboveAverage="0" equalAverage="0" bottom="0" percent="0" rank="0" text="" dxfId="2">
      <formula>SUM(INDIRECT(ADDRESS(ROW(),COLUMN(digikey_part_data)+0)))</formula>
    </cfRule>
    <cfRule type="cellIs" priority="25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G16">
    <cfRule type="expression" priority="26" aboveAverage="0" equalAverage="0" bottom="0" percent="0" rank="0" text="" dxfId="0">
      <formula>AND(ISBLANK(F16),ISBLANK(INDIRECT(ADDRESS(ROW(),COLUMN(digikey_part_data)+4))))</formula>
    </cfRule>
    <cfRule type="expression" priority="27" aboveAverage="0" equalAverage="0" bottom="0" percent="0" rank="0" text="" dxfId="1">
      <formula>IF(SUM(INDIRECT(ADDRESS(ROW(),COLUMN(digikey_part_data)+0)))=0,1,0)</formula>
    </cfRule>
    <cfRule type="cellIs" priority="28" operator="greaterThan" aboveAverage="0" equalAverage="0" bottom="0" percent="0" rank="0" text="" dxfId="2">
      <formula>SUM(INDIRECT(ADDRESS(ROW(),COLUMN(digikey_part_data)+0)))</formula>
    </cfRule>
    <cfRule type="cellIs" priority="29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G17">
    <cfRule type="expression" priority="30" aboveAverage="0" equalAverage="0" bottom="0" percent="0" rank="0" text="" dxfId="0">
      <formula>AND(ISBLANK(F17),ISBLANK(INDIRECT(ADDRESS(ROW(),COLUMN(digikey_part_data)+4))))</formula>
    </cfRule>
    <cfRule type="expression" priority="31" aboveAverage="0" equalAverage="0" bottom="0" percent="0" rank="0" text="" dxfId="1">
      <formula>IF(SUM(INDIRECT(ADDRESS(ROW(),COLUMN(digikey_part_data)+0)))=0,1,0)</formula>
    </cfRule>
    <cfRule type="cellIs" priority="32" operator="greaterThan" aboveAverage="0" equalAverage="0" bottom="0" percent="0" rank="0" text="" dxfId="2">
      <formula>SUM(INDIRECT(ADDRESS(ROW(),COLUMN(digikey_part_data)+0)))</formula>
    </cfRule>
    <cfRule type="cellIs" priority="33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G18">
    <cfRule type="expression" priority="34" aboveAverage="0" equalAverage="0" bottom="0" percent="0" rank="0" text="" dxfId="0">
      <formula>AND(ISBLANK(F18),ISBLANK(INDIRECT(ADDRESS(ROW(),COLUMN(digikey_part_data)+4))))</formula>
    </cfRule>
    <cfRule type="expression" priority="35" aboveAverage="0" equalAverage="0" bottom="0" percent="0" rank="0" text="" dxfId="1">
      <formula>IF(SUM(INDIRECT(ADDRESS(ROW(),COLUMN(digikey_part_data)+0)))=0,1,0)</formula>
    </cfRule>
    <cfRule type="cellIs" priority="36" operator="greaterThan" aboveAverage="0" equalAverage="0" bottom="0" percent="0" rank="0" text="" dxfId="2">
      <formula>SUM(INDIRECT(ADDRESS(ROW(),COLUMN(digikey_part_data)+0)))</formula>
    </cfRule>
    <cfRule type="cellIs" priority="37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G19">
    <cfRule type="expression" priority="38" aboveAverage="0" equalAverage="0" bottom="0" percent="0" rank="0" text="" dxfId="0">
      <formula>AND(ISBLANK(F19),ISBLANK(INDIRECT(ADDRESS(ROW(),COLUMN(digikey_part_data)+4))))</formula>
    </cfRule>
    <cfRule type="expression" priority="39" aboveAverage="0" equalAverage="0" bottom="0" percent="0" rank="0" text="" dxfId="1">
      <formula>IF(SUM(INDIRECT(ADDRESS(ROW(),COLUMN(digikey_part_data)+0)))=0,1,0)</formula>
    </cfRule>
    <cfRule type="cellIs" priority="40" operator="greaterThan" aboveAverage="0" equalAverage="0" bottom="0" percent="0" rank="0" text="" dxfId="2">
      <formula>SUM(INDIRECT(ADDRESS(ROW(),COLUMN(digikey_part_data)+0)))</formula>
    </cfRule>
    <cfRule type="cellIs" priority="41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G20">
    <cfRule type="expression" priority="42" aboveAverage="0" equalAverage="0" bottom="0" percent="0" rank="0" text="" dxfId="0">
      <formula>AND(ISBLANK(F20),ISBLANK(INDIRECT(ADDRESS(ROW(),COLUMN(digikey_part_data)+4))))</formula>
    </cfRule>
    <cfRule type="expression" priority="43" aboveAverage="0" equalAverage="0" bottom="0" percent="0" rank="0" text="" dxfId="1">
      <formula>IF(SUM(INDIRECT(ADDRESS(ROW(),COLUMN(digikey_part_data)+0)))=0,1,0)</formula>
    </cfRule>
    <cfRule type="cellIs" priority="44" operator="greaterThan" aboveAverage="0" equalAverage="0" bottom="0" percent="0" rank="0" text="" dxfId="2">
      <formula>SUM(INDIRECT(ADDRESS(ROW(),COLUMN(digikey_part_data)+0)))</formula>
    </cfRule>
    <cfRule type="cellIs" priority="45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G21">
    <cfRule type="expression" priority="46" aboveAverage="0" equalAverage="0" bottom="0" percent="0" rank="0" text="" dxfId="0">
      <formula>AND(ISBLANK(F21),ISBLANK(INDIRECT(ADDRESS(ROW(),COLUMN(digikey_part_data)+4))))</formula>
    </cfRule>
    <cfRule type="expression" priority="47" aboveAverage="0" equalAverage="0" bottom="0" percent="0" rank="0" text="" dxfId="1">
      <formula>IF(SUM(INDIRECT(ADDRESS(ROW(),COLUMN(digikey_part_data)+0)))=0,1,0)</formula>
    </cfRule>
    <cfRule type="cellIs" priority="48" operator="greaterThan" aboveAverage="0" equalAverage="0" bottom="0" percent="0" rank="0" text="" dxfId="2">
      <formula>SUM(INDIRECT(ADDRESS(ROW(),COLUMN(digikey_part_data)+0)))</formula>
    </cfRule>
    <cfRule type="cellIs" priority="49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G22">
    <cfRule type="expression" priority="50" aboveAverage="0" equalAverage="0" bottom="0" percent="0" rank="0" text="" dxfId="0">
      <formula>AND(ISBLANK(F22),ISBLANK(INDIRECT(ADDRESS(ROW(),COLUMN(digikey_part_data)+4))))</formula>
    </cfRule>
    <cfRule type="expression" priority="51" aboveAverage="0" equalAverage="0" bottom="0" percent="0" rank="0" text="" dxfId="1">
      <formula>IF(SUM(INDIRECT(ADDRESS(ROW(),COLUMN(digikey_part_data)+0)))=0,1,0)</formula>
    </cfRule>
    <cfRule type="cellIs" priority="52" operator="greaterThan" aboveAverage="0" equalAverage="0" bottom="0" percent="0" rank="0" text="" dxfId="2">
      <formula>SUM(INDIRECT(ADDRESS(ROW(),COLUMN(digikey_part_data)+0)))</formula>
    </cfRule>
    <cfRule type="cellIs" priority="53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G23">
    <cfRule type="expression" priority="54" aboveAverage="0" equalAverage="0" bottom="0" percent="0" rank="0" text="" dxfId="0">
      <formula>AND(ISBLANK(F23),ISBLANK(INDIRECT(ADDRESS(ROW(),COLUMN(digikey_part_data)+4))))</formula>
    </cfRule>
    <cfRule type="expression" priority="55" aboveAverage="0" equalAverage="0" bottom="0" percent="0" rank="0" text="" dxfId="1">
      <formula>IF(SUM(INDIRECT(ADDRESS(ROW(),COLUMN(digikey_part_data)+0)))=0,1,0)</formula>
    </cfRule>
    <cfRule type="cellIs" priority="56" operator="greaterThan" aboveAverage="0" equalAverage="0" bottom="0" percent="0" rank="0" text="" dxfId="2">
      <formula>SUM(INDIRECT(ADDRESS(ROW(),COLUMN(digikey_part_data)+0)))</formula>
    </cfRule>
    <cfRule type="cellIs" priority="57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G24">
    <cfRule type="expression" priority="58" aboveAverage="0" equalAverage="0" bottom="0" percent="0" rank="0" text="" dxfId="0">
      <formula>AND(ISBLANK(F24),ISBLANK(INDIRECT(ADDRESS(ROW(),COLUMN(digikey_part_data)+4))))</formula>
    </cfRule>
    <cfRule type="expression" priority="59" aboveAverage="0" equalAverage="0" bottom="0" percent="0" rank="0" text="" dxfId="1">
      <formula>IF(SUM(INDIRECT(ADDRESS(ROW(),COLUMN(digikey_part_data)+0)))=0,1,0)</formula>
    </cfRule>
    <cfRule type="cellIs" priority="60" operator="greaterThan" aboveAverage="0" equalAverage="0" bottom="0" percent="0" rank="0" text="" dxfId="2">
      <formula>SUM(INDIRECT(ADDRESS(ROW(),COLUMN(digikey_part_data)+0)))</formula>
    </cfRule>
    <cfRule type="cellIs" priority="61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G25">
    <cfRule type="expression" priority="62" aboveAverage="0" equalAverage="0" bottom="0" percent="0" rank="0" text="" dxfId="0">
      <formula>AND(ISBLANK(F25),ISBLANK(INDIRECT(ADDRESS(ROW(),COLUMN(digikey_part_data)+4))))</formula>
    </cfRule>
    <cfRule type="expression" priority="63" aboveAverage="0" equalAverage="0" bottom="0" percent="0" rank="0" text="" dxfId="1">
      <formula>IF(SUM(INDIRECT(ADDRESS(ROW(),COLUMN(digikey_part_data)+0)))=0,1,0)</formula>
    </cfRule>
    <cfRule type="cellIs" priority="64" operator="greaterThan" aboveAverage="0" equalAverage="0" bottom="0" percent="0" rank="0" text="" dxfId="2">
      <formula>SUM(INDIRECT(ADDRESS(ROW(),COLUMN(digikey_part_data)+0)))</formula>
    </cfRule>
    <cfRule type="cellIs" priority="65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G26">
    <cfRule type="expression" priority="66" aboveAverage="0" equalAverage="0" bottom="0" percent="0" rank="0" text="" dxfId="0">
      <formula>AND(ISBLANK(F26),ISBLANK(INDIRECT(ADDRESS(ROW(),COLUMN(digikey_part_data)+4))))</formula>
    </cfRule>
    <cfRule type="expression" priority="67" aboveAverage="0" equalAverage="0" bottom="0" percent="0" rank="0" text="" dxfId="1">
      <formula>IF(SUM(INDIRECT(ADDRESS(ROW(),COLUMN(digikey_part_data)+0)))=0,1,0)</formula>
    </cfRule>
    <cfRule type="cellIs" priority="68" operator="greaterThan" aboveAverage="0" equalAverage="0" bottom="0" percent="0" rank="0" text="" dxfId="2">
      <formula>SUM(INDIRECT(ADDRESS(ROW(),COLUMN(digikey_part_data)+0)))</formula>
    </cfRule>
    <cfRule type="cellIs" priority="69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G27">
    <cfRule type="expression" priority="70" aboveAverage="0" equalAverage="0" bottom="0" percent="0" rank="0" text="" dxfId="0">
      <formula>AND(ISBLANK(F27),ISBLANK(INDIRECT(ADDRESS(ROW(),COLUMN(digikey_part_data)+4))))</formula>
    </cfRule>
    <cfRule type="expression" priority="71" aboveAverage="0" equalAverage="0" bottom="0" percent="0" rank="0" text="" dxfId="1">
      <formula>IF(SUM(INDIRECT(ADDRESS(ROW(),COLUMN(digikey_part_data)+0)))=0,1,0)</formula>
    </cfRule>
    <cfRule type="cellIs" priority="72" operator="greaterThan" aboveAverage="0" equalAverage="0" bottom="0" percent="0" rank="0" text="" dxfId="2">
      <formula>SUM(INDIRECT(ADDRESS(ROW(),COLUMN(digikey_part_data)+0)))</formula>
    </cfRule>
    <cfRule type="cellIs" priority="73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G28">
    <cfRule type="expression" priority="74" aboveAverage="0" equalAverage="0" bottom="0" percent="0" rank="0" text="" dxfId="0">
      <formula>AND(ISBLANK(F28),ISBLANK(INDIRECT(ADDRESS(ROW(),COLUMN(digikey_part_data)+4))))</formula>
    </cfRule>
    <cfRule type="expression" priority="75" aboveAverage="0" equalAverage="0" bottom="0" percent="0" rank="0" text="" dxfId="1">
      <formula>IF(SUM(INDIRECT(ADDRESS(ROW(),COLUMN(digikey_part_data)+0)))=0,1,0)</formula>
    </cfRule>
    <cfRule type="cellIs" priority="76" operator="greaterThan" aboveAverage="0" equalAverage="0" bottom="0" percent="0" rank="0" text="" dxfId="2">
      <formula>SUM(INDIRECT(ADDRESS(ROW(),COLUMN(digikey_part_data)+0)))</formula>
    </cfRule>
    <cfRule type="cellIs" priority="77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G29">
    <cfRule type="expression" priority="78" aboveAverage="0" equalAverage="0" bottom="0" percent="0" rank="0" text="" dxfId="0">
      <formula>AND(ISBLANK(F29),ISBLANK(INDIRECT(ADDRESS(ROW(),COLUMN(digikey_part_data)+4))))</formula>
    </cfRule>
    <cfRule type="expression" priority="79" aboveAverage="0" equalAverage="0" bottom="0" percent="0" rank="0" text="" dxfId="1">
      <formula>IF(SUM(INDIRECT(ADDRESS(ROW(),COLUMN(digikey_part_data)+0)))=0,1,0)</formula>
    </cfRule>
    <cfRule type="cellIs" priority="80" operator="greaterThan" aboveAverage="0" equalAverage="0" bottom="0" percent="0" rank="0" text="" dxfId="2">
      <formula>SUM(INDIRECT(ADDRESS(ROW(),COLUMN(digikey_part_data)+0)))</formula>
    </cfRule>
    <cfRule type="cellIs" priority="81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G30">
    <cfRule type="expression" priority="82" aboveAverage="0" equalAverage="0" bottom="0" percent="0" rank="0" text="" dxfId="0">
      <formula>AND(ISBLANK(F30),ISBLANK(INDIRECT(ADDRESS(ROW(),COLUMN(digikey_part_data)+4))))</formula>
    </cfRule>
    <cfRule type="expression" priority="83" aboveAverage="0" equalAverage="0" bottom="0" percent="0" rank="0" text="" dxfId="1">
      <formula>IF(SUM(INDIRECT(ADDRESS(ROW(),COLUMN(digikey_part_data)+0)))=0,1,0)</formula>
    </cfRule>
    <cfRule type="cellIs" priority="84" operator="greaterThan" aboveAverage="0" equalAverage="0" bottom="0" percent="0" rank="0" text="" dxfId="2">
      <formula>SUM(INDIRECT(ADDRESS(ROW(),COLUMN(digikey_part_data)+0)))</formula>
    </cfRule>
    <cfRule type="cellIs" priority="85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G31">
    <cfRule type="expression" priority="86" aboveAverage="0" equalAverage="0" bottom="0" percent="0" rank="0" text="" dxfId="0">
      <formula>AND(ISBLANK(F31),ISBLANK(INDIRECT(ADDRESS(ROW(),COLUMN(digikey_part_data)+4))))</formula>
    </cfRule>
    <cfRule type="expression" priority="87" aboveAverage="0" equalAverage="0" bottom="0" percent="0" rank="0" text="" dxfId="1">
      <formula>IF(SUM(INDIRECT(ADDRESS(ROW(),COLUMN(digikey_part_data)+0)))=0,1,0)</formula>
    </cfRule>
    <cfRule type="cellIs" priority="88" operator="greaterThan" aboveAverage="0" equalAverage="0" bottom="0" percent="0" rank="0" text="" dxfId="2">
      <formula>SUM(INDIRECT(ADDRESS(ROW(),COLUMN(digikey_part_data)+0)))</formula>
    </cfRule>
    <cfRule type="cellIs" priority="89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G32">
    <cfRule type="expression" priority="90" aboveAverage="0" equalAverage="0" bottom="0" percent="0" rank="0" text="" dxfId="0">
      <formula>AND(ISBLANK(F32),ISBLANK(INDIRECT(ADDRESS(ROW(),COLUMN(digikey_part_data)+4))))</formula>
    </cfRule>
    <cfRule type="expression" priority="91" aboveAverage="0" equalAverage="0" bottom="0" percent="0" rank="0" text="" dxfId="1">
      <formula>IF(SUM(INDIRECT(ADDRESS(ROW(),COLUMN(digikey_part_data)+0)))=0,1,0)</formula>
    </cfRule>
    <cfRule type="cellIs" priority="92" operator="greaterThan" aboveAverage="0" equalAverage="0" bottom="0" percent="0" rank="0" text="" dxfId="2">
      <formula>SUM(INDIRECT(ADDRESS(ROW(),COLUMN(digikey_part_data)+0)))</formula>
    </cfRule>
    <cfRule type="cellIs" priority="93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G33">
    <cfRule type="expression" priority="94" aboveAverage="0" equalAverage="0" bottom="0" percent="0" rank="0" text="" dxfId="0">
      <formula>AND(ISBLANK(F33),ISBLANK(INDIRECT(ADDRESS(ROW(),COLUMN(digikey_part_data)+4))))</formula>
    </cfRule>
    <cfRule type="expression" priority="95" aboveAverage="0" equalAverage="0" bottom="0" percent="0" rank="0" text="" dxfId="1">
      <formula>IF(SUM(INDIRECT(ADDRESS(ROW(),COLUMN(digikey_part_data)+0)))=0,1,0)</formula>
    </cfRule>
    <cfRule type="cellIs" priority="96" operator="greaterThan" aboveAverage="0" equalAverage="0" bottom="0" percent="0" rank="0" text="" dxfId="2">
      <formula>SUM(INDIRECT(ADDRESS(ROW(),COLUMN(digikey_part_data)+0)))</formula>
    </cfRule>
    <cfRule type="cellIs" priority="97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G34">
    <cfRule type="expression" priority="98" aboveAverage="0" equalAverage="0" bottom="0" percent="0" rank="0" text="" dxfId="0">
      <formula>AND(ISBLANK(F34),ISBLANK(INDIRECT(ADDRESS(ROW(),COLUMN(digikey_part_data)+4))))</formula>
    </cfRule>
    <cfRule type="expression" priority="99" aboveAverage="0" equalAverage="0" bottom="0" percent="0" rank="0" text="" dxfId="1">
      <formula>IF(SUM(INDIRECT(ADDRESS(ROW(),COLUMN(digikey_part_data)+0)))=0,1,0)</formula>
    </cfRule>
    <cfRule type="cellIs" priority="100" operator="greaterThan" aboveAverage="0" equalAverage="0" bottom="0" percent="0" rank="0" text="" dxfId="2">
      <formula>SUM(INDIRECT(ADDRESS(ROW(),COLUMN(digikey_part_data)+0)))</formula>
    </cfRule>
    <cfRule type="cellIs" priority="101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G35">
    <cfRule type="expression" priority="102" aboveAverage="0" equalAverage="0" bottom="0" percent="0" rank="0" text="" dxfId="0">
      <formula>AND(ISBLANK(F35),ISBLANK(INDIRECT(ADDRESS(ROW(),COLUMN(digikey_part_data)+4))))</formula>
    </cfRule>
    <cfRule type="expression" priority="103" aboveAverage="0" equalAverage="0" bottom="0" percent="0" rank="0" text="" dxfId="1">
      <formula>IF(SUM(INDIRECT(ADDRESS(ROW(),COLUMN(digikey_part_data)+0)))=0,1,0)</formula>
    </cfRule>
    <cfRule type="cellIs" priority="104" operator="greaterThan" aboveAverage="0" equalAverage="0" bottom="0" percent="0" rank="0" text="" dxfId="2">
      <formula>SUM(INDIRECT(ADDRESS(ROW(),COLUMN(digikey_part_data)+0)))</formula>
    </cfRule>
    <cfRule type="cellIs" priority="105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G36">
    <cfRule type="expression" priority="106" aboveAverage="0" equalAverage="0" bottom="0" percent="0" rank="0" text="" dxfId="0">
      <formula>AND(ISBLANK(F36),ISBLANK(INDIRECT(ADDRESS(ROW(),COLUMN(digikey_part_data)+4))))</formula>
    </cfRule>
    <cfRule type="expression" priority="107" aboveAverage="0" equalAverage="0" bottom="0" percent="0" rank="0" text="" dxfId="1">
      <formula>IF(SUM(INDIRECT(ADDRESS(ROW(),COLUMN(digikey_part_data)+0)))=0,1,0)</formula>
    </cfRule>
    <cfRule type="cellIs" priority="108" operator="greaterThan" aboveAverage="0" equalAverage="0" bottom="0" percent="0" rank="0" text="" dxfId="2">
      <formula>SUM(INDIRECT(ADDRESS(ROW(),COLUMN(digikey_part_data)+0)))</formula>
    </cfRule>
    <cfRule type="cellIs" priority="109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G37">
    <cfRule type="expression" priority="110" aboveAverage="0" equalAverage="0" bottom="0" percent="0" rank="0" text="" dxfId="0">
      <formula>AND(ISBLANK(F37),ISBLANK(INDIRECT(ADDRESS(ROW(),COLUMN(digikey_part_data)+4))))</formula>
    </cfRule>
    <cfRule type="expression" priority="111" aboveAverage="0" equalAverage="0" bottom="0" percent="0" rank="0" text="" dxfId="1">
      <formula>IF(SUM(INDIRECT(ADDRESS(ROW(),COLUMN(digikey_part_data)+0)))=0,1,0)</formula>
    </cfRule>
    <cfRule type="cellIs" priority="112" operator="greaterThan" aboveAverage="0" equalAverage="0" bottom="0" percent="0" rank="0" text="" dxfId="2">
      <formula>SUM(INDIRECT(ADDRESS(ROW(),COLUMN(digikey_part_data)+0)))</formula>
    </cfRule>
    <cfRule type="cellIs" priority="113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G38">
    <cfRule type="expression" priority="114" aboveAverage="0" equalAverage="0" bottom="0" percent="0" rank="0" text="" dxfId="0">
      <formula>AND(ISBLANK(F38),ISBLANK(INDIRECT(ADDRESS(ROW(),COLUMN(digikey_part_data)+4))))</formula>
    </cfRule>
    <cfRule type="expression" priority="115" aboveAverage="0" equalAverage="0" bottom="0" percent="0" rank="0" text="" dxfId="1">
      <formula>IF(SUM(INDIRECT(ADDRESS(ROW(),COLUMN(digikey_part_data)+0)))=0,1,0)</formula>
    </cfRule>
    <cfRule type="cellIs" priority="116" operator="greaterThan" aboveAverage="0" equalAverage="0" bottom="0" percent="0" rank="0" text="" dxfId="2">
      <formula>SUM(INDIRECT(ADDRESS(ROW(),COLUMN(digikey_part_data)+0)))</formula>
    </cfRule>
    <cfRule type="cellIs" priority="117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G39">
    <cfRule type="expression" priority="118" aboveAverage="0" equalAverage="0" bottom="0" percent="0" rank="0" text="" dxfId="0">
      <formula>AND(ISBLANK(F39),ISBLANK(INDIRECT(ADDRESS(ROW(),COLUMN(digikey_part_data)+4))))</formula>
    </cfRule>
    <cfRule type="expression" priority="119" aboveAverage="0" equalAverage="0" bottom="0" percent="0" rank="0" text="" dxfId="1">
      <formula>IF(SUM(INDIRECT(ADDRESS(ROW(),COLUMN(digikey_part_data)+0)))=0,1,0)</formula>
    </cfRule>
    <cfRule type="cellIs" priority="120" operator="greaterThan" aboveAverage="0" equalAverage="0" bottom="0" percent="0" rank="0" text="" dxfId="2">
      <formula>SUM(INDIRECT(ADDRESS(ROW(),COLUMN(digikey_part_data)+0)))</formula>
    </cfRule>
    <cfRule type="cellIs" priority="121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G40">
    <cfRule type="expression" priority="122" aboveAverage="0" equalAverage="0" bottom="0" percent="0" rank="0" text="" dxfId="0">
      <formula>AND(ISBLANK(F40),ISBLANK(INDIRECT(ADDRESS(ROW(),COLUMN(digikey_part_data)+4))))</formula>
    </cfRule>
    <cfRule type="expression" priority="123" aboveAverage="0" equalAverage="0" bottom="0" percent="0" rank="0" text="" dxfId="1">
      <formula>IF(SUM(INDIRECT(ADDRESS(ROW(),COLUMN(digikey_part_data)+0)))=0,1,0)</formula>
    </cfRule>
    <cfRule type="cellIs" priority="124" operator="greaterThan" aboveAverage="0" equalAverage="0" bottom="0" percent="0" rank="0" text="" dxfId="2">
      <formula>SUM(INDIRECT(ADDRESS(ROW(),COLUMN(digikey_part_data)+0)))</formula>
    </cfRule>
    <cfRule type="cellIs" priority="125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G41">
    <cfRule type="expression" priority="126" aboveAverage="0" equalAverage="0" bottom="0" percent="0" rank="0" text="" dxfId="0">
      <formula>AND(ISBLANK(F41),ISBLANK(INDIRECT(ADDRESS(ROW(),COLUMN(digikey_part_data)+4))))</formula>
    </cfRule>
    <cfRule type="expression" priority="127" aboveAverage="0" equalAverage="0" bottom="0" percent="0" rank="0" text="" dxfId="1">
      <formula>IF(SUM(INDIRECT(ADDRESS(ROW(),COLUMN(digikey_part_data)+0)))=0,1,0)</formula>
    </cfRule>
    <cfRule type="cellIs" priority="128" operator="greaterThan" aboveAverage="0" equalAverage="0" bottom="0" percent="0" rank="0" text="" dxfId="2">
      <formula>SUM(INDIRECT(ADDRESS(ROW(),COLUMN(digikey_part_data)+0)))</formula>
    </cfRule>
    <cfRule type="cellIs" priority="129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G42">
    <cfRule type="expression" priority="130" aboveAverage="0" equalAverage="0" bottom="0" percent="0" rank="0" text="" dxfId="0">
      <formula>AND(ISBLANK(F42),ISBLANK(INDIRECT(ADDRESS(ROW(),COLUMN(digikey_part_data)+4))))</formula>
    </cfRule>
    <cfRule type="expression" priority="131" aboveAverage="0" equalAverage="0" bottom="0" percent="0" rank="0" text="" dxfId="1">
      <formula>IF(SUM(INDIRECT(ADDRESS(ROW(),COLUMN(digikey_part_data)+0)))=0,1,0)</formula>
    </cfRule>
    <cfRule type="cellIs" priority="132" operator="greaterThan" aboveAverage="0" equalAverage="0" bottom="0" percent="0" rank="0" text="" dxfId="2">
      <formula>SUM(INDIRECT(ADDRESS(ROW(),COLUMN(digikey_part_data)+0)))</formula>
    </cfRule>
    <cfRule type="cellIs" priority="133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G43">
    <cfRule type="expression" priority="134" aboveAverage="0" equalAverage="0" bottom="0" percent="0" rank="0" text="" dxfId="0">
      <formula>AND(ISBLANK(F43),ISBLANK(INDIRECT(ADDRESS(ROW(),COLUMN(digikey_part_data)+4))))</formula>
    </cfRule>
    <cfRule type="expression" priority="135" aboveAverage="0" equalAverage="0" bottom="0" percent="0" rank="0" text="" dxfId="1">
      <formula>IF(SUM(INDIRECT(ADDRESS(ROW(),COLUMN(digikey_part_data)+0)))=0,1,0)</formula>
    </cfRule>
    <cfRule type="cellIs" priority="136" operator="greaterThan" aboveAverage="0" equalAverage="0" bottom="0" percent="0" rank="0" text="" dxfId="2">
      <formula>SUM(INDIRECT(ADDRESS(ROW(),COLUMN(digikey_part_data)+0)))</formula>
    </cfRule>
    <cfRule type="cellIs" priority="137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G44">
    <cfRule type="expression" priority="138" aboveAverage="0" equalAverage="0" bottom="0" percent="0" rank="0" text="" dxfId="0">
      <formula>AND(ISBLANK(F44),ISBLANK(INDIRECT(ADDRESS(ROW(),COLUMN(digikey_part_data)+4))))</formula>
    </cfRule>
    <cfRule type="expression" priority="139" aboveAverage="0" equalAverage="0" bottom="0" percent="0" rank="0" text="" dxfId="1">
      <formula>IF(SUM(INDIRECT(ADDRESS(ROW(),COLUMN(digikey_part_data)+0)))=0,1,0)</formula>
    </cfRule>
    <cfRule type="cellIs" priority="140" operator="greaterThan" aboveAverage="0" equalAverage="0" bottom="0" percent="0" rank="0" text="" dxfId="2">
      <formula>SUM(INDIRECT(ADDRESS(ROW(),COLUMN(digikey_part_data)+0)))</formula>
    </cfRule>
    <cfRule type="cellIs" priority="141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G45">
    <cfRule type="expression" priority="142" aboveAverage="0" equalAverage="0" bottom="0" percent="0" rank="0" text="" dxfId="0">
      <formula>AND(ISBLANK(F45),ISBLANK(INDIRECT(ADDRESS(ROW(),COLUMN(digikey_part_data)+4))))</formula>
    </cfRule>
    <cfRule type="expression" priority="143" aboveAverage="0" equalAverage="0" bottom="0" percent="0" rank="0" text="" dxfId="1">
      <formula>IF(SUM(INDIRECT(ADDRESS(ROW(),COLUMN(digikey_part_data)+0)))=0,1,0)</formula>
    </cfRule>
    <cfRule type="cellIs" priority="144" operator="greaterThan" aboveAverage="0" equalAverage="0" bottom="0" percent="0" rank="0" text="" dxfId="2">
      <formula>SUM(INDIRECT(ADDRESS(ROW(),COLUMN(digikey_part_data)+0)))</formula>
    </cfRule>
    <cfRule type="cellIs" priority="145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G46">
    <cfRule type="expression" priority="146" aboveAverage="0" equalAverage="0" bottom="0" percent="0" rank="0" text="" dxfId="0">
      <formula>AND(ISBLANK(F46),ISBLANK(INDIRECT(ADDRESS(ROW(),COLUMN(digikey_part_data)+4))))</formula>
    </cfRule>
    <cfRule type="expression" priority="147" aboveAverage="0" equalAverage="0" bottom="0" percent="0" rank="0" text="" dxfId="1">
      <formula>IF(SUM(INDIRECT(ADDRESS(ROW(),COLUMN(digikey_part_data)+0)))=0,1,0)</formula>
    </cfRule>
    <cfRule type="cellIs" priority="148" operator="greaterThan" aboveAverage="0" equalAverage="0" bottom="0" percent="0" rank="0" text="" dxfId="2">
      <formula>SUM(INDIRECT(ADDRESS(ROW(),COLUMN(digikey_part_data)+0)))</formula>
    </cfRule>
    <cfRule type="cellIs" priority="149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G47">
    <cfRule type="expression" priority="150" aboveAverage="0" equalAverage="0" bottom="0" percent="0" rank="0" text="" dxfId="0">
      <formula>AND(ISBLANK(F47),ISBLANK(INDIRECT(ADDRESS(ROW(),COLUMN(digikey_part_data)+4))))</formula>
    </cfRule>
    <cfRule type="expression" priority="151" aboveAverage="0" equalAverage="0" bottom="0" percent="0" rank="0" text="" dxfId="1">
      <formula>IF(SUM(INDIRECT(ADDRESS(ROW(),COLUMN(digikey_part_data)+0)))=0,1,0)</formula>
    </cfRule>
    <cfRule type="cellIs" priority="152" operator="greaterThan" aboveAverage="0" equalAverage="0" bottom="0" percent="0" rank="0" text="" dxfId="2">
      <formula>SUM(INDIRECT(ADDRESS(ROW(),COLUMN(digikey_part_data)+0)))</formula>
    </cfRule>
    <cfRule type="cellIs" priority="153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G48">
    <cfRule type="expression" priority="154" aboveAverage="0" equalAverage="0" bottom="0" percent="0" rank="0" text="" dxfId="0">
      <formula>AND(ISBLANK(F48),ISBLANK(INDIRECT(ADDRESS(ROW(),COLUMN(digikey_part_data)+4))))</formula>
    </cfRule>
    <cfRule type="expression" priority="155" aboveAverage="0" equalAverage="0" bottom="0" percent="0" rank="0" text="" dxfId="1">
      <formula>IF(SUM(INDIRECT(ADDRESS(ROW(),COLUMN(digikey_part_data)+0)))=0,1,0)</formula>
    </cfRule>
    <cfRule type="cellIs" priority="156" operator="greaterThan" aboveAverage="0" equalAverage="0" bottom="0" percent="0" rank="0" text="" dxfId="2">
      <formula>SUM(INDIRECT(ADDRESS(ROW(),COLUMN(digikey_part_data)+0)))</formula>
    </cfRule>
    <cfRule type="cellIs" priority="157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G49">
    <cfRule type="expression" priority="158" aboveAverage="0" equalAverage="0" bottom="0" percent="0" rank="0" text="" dxfId="0">
      <formula>AND(ISBLANK(F49),ISBLANK(INDIRECT(ADDRESS(ROW(),COLUMN(digikey_part_data)+4))))</formula>
    </cfRule>
    <cfRule type="expression" priority="159" aboveAverage="0" equalAverage="0" bottom="0" percent="0" rank="0" text="" dxfId="1">
      <formula>IF(SUM(INDIRECT(ADDRESS(ROW(),COLUMN(digikey_part_data)+0)))=0,1,0)</formula>
    </cfRule>
    <cfRule type="cellIs" priority="160" operator="greaterThan" aboveAverage="0" equalAverage="0" bottom="0" percent="0" rank="0" text="" dxfId="2">
      <formula>SUM(INDIRECT(ADDRESS(ROW(),COLUMN(digikey_part_data)+0)))</formula>
    </cfRule>
    <cfRule type="cellIs" priority="161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G50">
    <cfRule type="expression" priority="162" aboveAverage="0" equalAverage="0" bottom="0" percent="0" rank="0" text="" dxfId="0">
      <formula>AND(ISBLANK(F50),ISBLANK(INDIRECT(ADDRESS(ROW(),COLUMN(digikey_part_data)+4))))</formula>
    </cfRule>
    <cfRule type="expression" priority="163" aboveAverage="0" equalAverage="0" bottom="0" percent="0" rank="0" text="" dxfId="1">
      <formula>IF(SUM(INDIRECT(ADDRESS(ROW(),COLUMN(digikey_part_data)+0)))=0,1,0)</formula>
    </cfRule>
    <cfRule type="cellIs" priority="164" operator="greaterThan" aboveAverage="0" equalAverage="0" bottom="0" percent="0" rank="0" text="" dxfId="2">
      <formula>SUM(INDIRECT(ADDRESS(ROW(),COLUMN(digikey_part_data)+0)))</formula>
    </cfRule>
    <cfRule type="cellIs" priority="165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G51">
    <cfRule type="expression" priority="166" aboveAverage="0" equalAverage="0" bottom="0" percent="0" rank="0" text="" dxfId="0">
      <formula>AND(ISBLANK(F51),ISBLANK(INDIRECT(ADDRESS(ROW(),COLUMN(digikey_part_data)+4))))</formula>
    </cfRule>
    <cfRule type="expression" priority="167" aboveAverage="0" equalAverage="0" bottom="0" percent="0" rank="0" text="" dxfId="1">
      <formula>IF(SUM(INDIRECT(ADDRESS(ROW(),COLUMN(digikey_part_data)+0)))=0,1,0)</formula>
    </cfRule>
    <cfRule type="cellIs" priority="168" operator="greaterThan" aboveAverage="0" equalAverage="0" bottom="0" percent="0" rank="0" text="" dxfId="2">
      <formula>SUM(INDIRECT(ADDRESS(ROW(),COLUMN(digikey_part_data)+0)))</formula>
    </cfRule>
    <cfRule type="cellIs" priority="169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G52">
    <cfRule type="expression" priority="170" aboveAverage="0" equalAverage="0" bottom="0" percent="0" rank="0" text="" dxfId="0">
      <formula>AND(ISBLANK(F52),ISBLANK(INDIRECT(ADDRESS(ROW(),COLUMN(digikey_part_data)+4))))</formula>
    </cfRule>
    <cfRule type="expression" priority="171" aboveAverage="0" equalAverage="0" bottom="0" percent="0" rank="0" text="" dxfId="1">
      <formula>IF(SUM(INDIRECT(ADDRESS(ROW(),COLUMN(digikey_part_data)+0)))=0,1,0)</formula>
    </cfRule>
    <cfRule type="cellIs" priority="172" operator="greaterThan" aboveAverage="0" equalAverage="0" bottom="0" percent="0" rank="0" text="" dxfId="2">
      <formula>SUM(INDIRECT(ADDRESS(ROW(),COLUMN(digikey_part_data)+0)))</formula>
    </cfRule>
    <cfRule type="cellIs" priority="173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G53">
    <cfRule type="expression" priority="174" aboveAverage="0" equalAverage="0" bottom="0" percent="0" rank="0" text="" dxfId="0">
      <formula>AND(ISBLANK(F53),ISBLANK(INDIRECT(ADDRESS(ROW(),COLUMN(digikey_part_data)+4))))</formula>
    </cfRule>
    <cfRule type="expression" priority="175" aboveAverage="0" equalAverage="0" bottom="0" percent="0" rank="0" text="" dxfId="1">
      <formula>IF(SUM(INDIRECT(ADDRESS(ROW(),COLUMN(digikey_part_data)+0)))=0,1,0)</formula>
    </cfRule>
    <cfRule type="cellIs" priority="176" operator="greaterThan" aboveAverage="0" equalAverage="0" bottom="0" percent="0" rank="0" text="" dxfId="2">
      <formula>SUM(INDIRECT(ADDRESS(ROW(),COLUMN(digikey_part_data)+0)))</formula>
    </cfRule>
    <cfRule type="cellIs" priority="177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G54">
    <cfRule type="expression" priority="178" aboveAverage="0" equalAverage="0" bottom="0" percent="0" rank="0" text="" dxfId="0">
      <formula>AND(ISBLANK(F54),ISBLANK(INDIRECT(ADDRESS(ROW(),COLUMN(digikey_part_data)+4))))</formula>
    </cfRule>
    <cfRule type="expression" priority="179" aboveAverage="0" equalAverage="0" bottom="0" percent="0" rank="0" text="" dxfId="1">
      <formula>IF(SUM(INDIRECT(ADDRESS(ROW(),COLUMN(digikey_part_data)+0)))=0,1,0)</formula>
    </cfRule>
    <cfRule type="cellIs" priority="180" operator="greaterThan" aboveAverage="0" equalAverage="0" bottom="0" percent="0" rank="0" text="" dxfId="2">
      <formula>SUM(INDIRECT(ADDRESS(ROW(),COLUMN(digikey_part_data)+0)))</formula>
    </cfRule>
    <cfRule type="cellIs" priority="181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G7">
    <cfRule type="expression" priority="182" aboveAverage="0" equalAverage="0" bottom="0" percent="0" rank="0" text="" dxfId="0">
      <formula>AND(ISBLANK(F7),ISBLANK(INDIRECT(ADDRESS(ROW(),COLUMN(digikey_part_data)+4))))</formula>
    </cfRule>
    <cfRule type="expression" priority="183" aboveAverage="0" equalAverage="0" bottom="0" percent="0" rank="0" text="" dxfId="1">
      <formula>IF(SUM(INDIRECT(ADDRESS(ROW(),COLUMN(digikey_part_data)+0)))=0,1,0)</formula>
    </cfRule>
    <cfRule type="cellIs" priority="184" operator="greaterThan" aboveAverage="0" equalAverage="0" bottom="0" percent="0" rank="0" text="" dxfId="2">
      <formula>SUM(INDIRECT(ADDRESS(ROW(),COLUMN(digikey_part_data)+0)))</formula>
    </cfRule>
    <cfRule type="cellIs" priority="185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G8">
    <cfRule type="expression" priority="186" aboveAverage="0" equalAverage="0" bottom="0" percent="0" rank="0" text="" dxfId="0">
      <formula>AND(ISBLANK(F8),ISBLANK(INDIRECT(ADDRESS(ROW(),COLUMN(digikey_part_data)+4))))</formula>
    </cfRule>
    <cfRule type="expression" priority="187" aboveAverage="0" equalAverage="0" bottom="0" percent="0" rank="0" text="" dxfId="1">
      <formula>IF(SUM(INDIRECT(ADDRESS(ROW(),COLUMN(digikey_part_data)+0)))=0,1,0)</formula>
    </cfRule>
    <cfRule type="cellIs" priority="188" operator="greaterThan" aboveAverage="0" equalAverage="0" bottom="0" percent="0" rank="0" text="" dxfId="2">
      <formula>SUM(INDIRECT(ADDRESS(ROW(),COLUMN(digikey_part_data)+0)))</formula>
    </cfRule>
    <cfRule type="cellIs" priority="189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G9">
    <cfRule type="expression" priority="190" aboveAverage="0" equalAverage="0" bottom="0" percent="0" rank="0" text="" dxfId="0">
      <formula>AND(ISBLANK(F9),ISBLANK(INDIRECT(ADDRESS(ROW(),COLUMN(digikey_part_data)+4))))</formula>
    </cfRule>
    <cfRule type="expression" priority="191" aboveAverage="0" equalAverage="0" bottom="0" percent="0" rank="0" text="" dxfId="1">
      <formula>IF(SUM(INDIRECT(ADDRESS(ROW(),COLUMN(digikey_part_data)+0)))=0,1,0)</formula>
    </cfRule>
    <cfRule type="cellIs" priority="192" operator="greaterThan" aboveAverage="0" equalAverage="0" bottom="0" percent="0" rank="0" text="" dxfId="2">
      <formula>SUM(INDIRECT(ADDRESS(ROW(),COLUMN(digikey_part_data)+0)))</formula>
    </cfRule>
    <cfRule type="cellIs" priority="193" operator="greaterThan" aboveAverage="0" equalAverage="0" bottom="0" percent="0" rank="0" text="" dxfId="3">
      <formula>SUM(IF(ISNUMBER(INDIRECT(ADDRESS(ROW(),COLUMN(digikey_part_data)+2))),INDIRECT(ADDRESS(ROW(),COLUMN(digikey_part_data)+1)),0))</formula>
    </cfRule>
  </conditionalFormatting>
  <conditionalFormatting sqref="J10">
    <cfRule type="cellIs" priority="194" operator="equal" aboveAverage="0" equalAverage="0" bottom="0" percent="0" rank="0" text="" dxfId="1">
      <formula>0</formula>
    </cfRule>
    <cfRule type="cellIs" priority="195" operator="lessThan" aboveAverage="0" equalAverage="0" bottom="0" percent="0" rank="0" text="" dxfId="2">
      <formula>G10</formula>
    </cfRule>
  </conditionalFormatting>
  <conditionalFormatting sqref="J11">
    <cfRule type="cellIs" priority="196" operator="equal" aboveAverage="0" equalAverage="0" bottom="0" percent="0" rank="0" text="" dxfId="1">
      <formula>0</formula>
    </cfRule>
    <cfRule type="cellIs" priority="197" operator="lessThan" aboveAverage="0" equalAverage="0" bottom="0" percent="0" rank="0" text="" dxfId="2">
      <formula>G11</formula>
    </cfRule>
  </conditionalFormatting>
  <conditionalFormatting sqref="J12">
    <cfRule type="cellIs" priority="198" operator="equal" aboveAverage="0" equalAverage="0" bottom="0" percent="0" rank="0" text="" dxfId="1">
      <formula>0</formula>
    </cfRule>
    <cfRule type="cellIs" priority="199" operator="lessThan" aboveAverage="0" equalAverage="0" bottom="0" percent="0" rank="0" text="" dxfId="2">
      <formula>G12</formula>
    </cfRule>
  </conditionalFormatting>
  <conditionalFormatting sqref="J13">
    <cfRule type="cellIs" priority="200" operator="equal" aboveAverage="0" equalAverage="0" bottom="0" percent="0" rank="0" text="" dxfId="1">
      <formula>0</formula>
    </cfRule>
    <cfRule type="cellIs" priority="201" operator="lessThan" aboveAverage="0" equalAverage="0" bottom="0" percent="0" rank="0" text="" dxfId="2">
      <formula>G13</formula>
    </cfRule>
  </conditionalFormatting>
  <conditionalFormatting sqref="J14">
    <cfRule type="cellIs" priority="202" operator="equal" aboveAverage="0" equalAverage="0" bottom="0" percent="0" rank="0" text="" dxfId="1">
      <formula>0</formula>
    </cfRule>
    <cfRule type="cellIs" priority="203" operator="lessThan" aboveAverage="0" equalAverage="0" bottom="0" percent="0" rank="0" text="" dxfId="2">
      <formula>G14</formula>
    </cfRule>
  </conditionalFormatting>
  <conditionalFormatting sqref="J15">
    <cfRule type="cellIs" priority="204" operator="equal" aboveAverage="0" equalAverage="0" bottom="0" percent="0" rank="0" text="" dxfId="1">
      <formula>0</formula>
    </cfRule>
    <cfRule type="cellIs" priority="205" operator="lessThan" aboveAverage="0" equalAverage="0" bottom="0" percent="0" rank="0" text="" dxfId="2">
      <formula>G15</formula>
    </cfRule>
  </conditionalFormatting>
  <conditionalFormatting sqref="J16">
    <cfRule type="cellIs" priority="206" operator="equal" aboveAverage="0" equalAverage="0" bottom="0" percent="0" rank="0" text="" dxfId="1">
      <formula>0</formula>
    </cfRule>
    <cfRule type="cellIs" priority="207" operator="lessThan" aboveAverage="0" equalAverage="0" bottom="0" percent="0" rank="0" text="" dxfId="2">
      <formula>G16</formula>
    </cfRule>
  </conditionalFormatting>
  <conditionalFormatting sqref="J17">
    <cfRule type="cellIs" priority="208" operator="equal" aboveAverage="0" equalAverage="0" bottom="0" percent="0" rank="0" text="" dxfId="1">
      <formula>0</formula>
    </cfRule>
    <cfRule type="cellIs" priority="209" operator="lessThan" aboveAverage="0" equalAverage="0" bottom="0" percent="0" rank="0" text="" dxfId="2">
      <formula>G17</formula>
    </cfRule>
  </conditionalFormatting>
  <conditionalFormatting sqref="J18">
    <cfRule type="cellIs" priority="210" operator="equal" aboveAverage="0" equalAverage="0" bottom="0" percent="0" rank="0" text="" dxfId="1">
      <formula>0</formula>
    </cfRule>
    <cfRule type="cellIs" priority="211" operator="lessThan" aboveAverage="0" equalAverage="0" bottom="0" percent="0" rank="0" text="" dxfId="2">
      <formula>G18</formula>
    </cfRule>
  </conditionalFormatting>
  <conditionalFormatting sqref="J19">
    <cfRule type="cellIs" priority="212" operator="equal" aboveAverage="0" equalAverage="0" bottom="0" percent="0" rank="0" text="" dxfId="1">
      <formula>0</formula>
    </cfRule>
    <cfRule type="cellIs" priority="213" operator="lessThan" aboveAverage="0" equalAverage="0" bottom="0" percent="0" rank="0" text="" dxfId="2">
      <formula>G19</formula>
    </cfRule>
  </conditionalFormatting>
  <conditionalFormatting sqref="J20">
    <cfRule type="cellIs" priority="214" operator="equal" aboveAverage="0" equalAverage="0" bottom="0" percent="0" rank="0" text="" dxfId="1">
      <formula>0</formula>
    </cfRule>
    <cfRule type="cellIs" priority="215" operator="lessThan" aboveAverage="0" equalAverage="0" bottom="0" percent="0" rank="0" text="" dxfId="2">
      <formula>G20</formula>
    </cfRule>
  </conditionalFormatting>
  <conditionalFormatting sqref="J21">
    <cfRule type="cellIs" priority="216" operator="equal" aboveAverage="0" equalAverage="0" bottom="0" percent="0" rank="0" text="" dxfId="1">
      <formula>0</formula>
    </cfRule>
    <cfRule type="cellIs" priority="217" operator="lessThan" aboveAverage="0" equalAverage="0" bottom="0" percent="0" rank="0" text="" dxfId="2">
      <formula>G21</formula>
    </cfRule>
  </conditionalFormatting>
  <conditionalFormatting sqref="J22">
    <cfRule type="cellIs" priority="218" operator="equal" aboveAverage="0" equalAverage="0" bottom="0" percent="0" rank="0" text="" dxfId="1">
      <formula>0</formula>
    </cfRule>
    <cfRule type="cellIs" priority="219" operator="lessThan" aboveAverage="0" equalAverage="0" bottom="0" percent="0" rank="0" text="" dxfId="2">
      <formula>G22</formula>
    </cfRule>
  </conditionalFormatting>
  <conditionalFormatting sqref="J23">
    <cfRule type="cellIs" priority="220" operator="equal" aboveAverage="0" equalAverage="0" bottom="0" percent="0" rank="0" text="" dxfId="1">
      <formula>0</formula>
    </cfRule>
    <cfRule type="cellIs" priority="221" operator="lessThan" aboveAverage="0" equalAverage="0" bottom="0" percent="0" rank="0" text="" dxfId="2">
      <formula>G23</formula>
    </cfRule>
  </conditionalFormatting>
  <conditionalFormatting sqref="J24">
    <cfRule type="cellIs" priority="222" operator="equal" aboveAverage="0" equalAverage="0" bottom="0" percent="0" rank="0" text="" dxfId="1">
      <formula>0</formula>
    </cfRule>
    <cfRule type="cellIs" priority="223" operator="lessThan" aboveAverage="0" equalAverage="0" bottom="0" percent="0" rank="0" text="" dxfId="2">
      <formula>G24</formula>
    </cfRule>
  </conditionalFormatting>
  <conditionalFormatting sqref="J25">
    <cfRule type="cellIs" priority="224" operator="equal" aboveAverage="0" equalAverage="0" bottom="0" percent="0" rank="0" text="" dxfId="1">
      <formula>0</formula>
    </cfRule>
    <cfRule type="cellIs" priority="225" operator="lessThan" aboveAverage="0" equalAverage="0" bottom="0" percent="0" rank="0" text="" dxfId="2">
      <formula>G25</formula>
    </cfRule>
  </conditionalFormatting>
  <conditionalFormatting sqref="J26">
    <cfRule type="cellIs" priority="226" operator="equal" aboveAverage="0" equalAverage="0" bottom="0" percent="0" rank="0" text="" dxfId="1">
      <formula>0</formula>
    </cfRule>
    <cfRule type="cellIs" priority="227" operator="lessThan" aboveAverage="0" equalAverage="0" bottom="0" percent="0" rank="0" text="" dxfId="2">
      <formula>G26</formula>
    </cfRule>
  </conditionalFormatting>
  <conditionalFormatting sqref="J27">
    <cfRule type="cellIs" priority="228" operator="equal" aboveAverage="0" equalAverage="0" bottom="0" percent="0" rank="0" text="" dxfId="1">
      <formula>0</formula>
    </cfRule>
    <cfRule type="cellIs" priority="229" operator="lessThan" aboveAverage="0" equalAverage="0" bottom="0" percent="0" rank="0" text="" dxfId="2">
      <formula>G27</formula>
    </cfRule>
  </conditionalFormatting>
  <conditionalFormatting sqref="J28">
    <cfRule type="cellIs" priority="230" operator="equal" aboveAverage="0" equalAverage="0" bottom="0" percent="0" rank="0" text="" dxfId="1">
      <formula>0</formula>
    </cfRule>
    <cfRule type="cellIs" priority="231" operator="lessThan" aboveAverage="0" equalAverage="0" bottom="0" percent="0" rank="0" text="" dxfId="2">
      <formula>G28</formula>
    </cfRule>
  </conditionalFormatting>
  <conditionalFormatting sqref="J29">
    <cfRule type="cellIs" priority="232" operator="equal" aboveAverage="0" equalAverage="0" bottom="0" percent="0" rank="0" text="" dxfId="1">
      <formula>0</formula>
    </cfRule>
    <cfRule type="cellIs" priority="233" operator="lessThan" aboveAverage="0" equalAverage="0" bottom="0" percent="0" rank="0" text="" dxfId="2">
      <formula>G29</formula>
    </cfRule>
  </conditionalFormatting>
  <conditionalFormatting sqref="J30">
    <cfRule type="cellIs" priority="234" operator="equal" aboveAverage="0" equalAverage="0" bottom="0" percent="0" rank="0" text="" dxfId="1">
      <formula>0</formula>
    </cfRule>
    <cfRule type="cellIs" priority="235" operator="lessThan" aboveAverage="0" equalAverage="0" bottom="0" percent="0" rank="0" text="" dxfId="2">
      <formula>G30</formula>
    </cfRule>
  </conditionalFormatting>
  <conditionalFormatting sqref="J31">
    <cfRule type="cellIs" priority="236" operator="equal" aboveAverage="0" equalAverage="0" bottom="0" percent="0" rank="0" text="" dxfId="1">
      <formula>0</formula>
    </cfRule>
    <cfRule type="cellIs" priority="237" operator="lessThan" aboveAverage="0" equalAverage="0" bottom="0" percent="0" rank="0" text="" dxfId="2">
      <formula>G31</formula>
    </cfRule>
  </conditionalFormatting>
  <conditionalFormatting sqref="J32">
    <cfRule type="cellIs" priority="238" operator="equal" aboveAverage="0" equalAverage="0" bottom="0" percent="0" rank="0" text="" dxfId="1">
      <formula>0</formula>
    </cfRule>
    <cfRule type="cellIs" priority="239" operator="lessThan" aboveAverage="0" equalAverage="0" bottom="0" percent="0" rank="0" text="" dxfId="2">
      <formula>G32</formula>
    </cfRule>
  </conditionalFormatting>
  <conditionalFormatting sqref="J34">
    <cfRule type="cellIs" priority="240" operator="equal" aboveAverage="0" equalAverage="0" bottom="0" percent="0" rank="0" text="" dxfId="1">
      <formula>0</formula>
    </cfRule>
    <cfRule type="cellIs" priority="241" operator="lessThan" aboveAverage="0" equalAverage="0" bottom="0" percent="0" rank="0" text="" dxfId="2">
      <formula>G34</formula>
    </cfRule>
  </conditionalFormatting>
  <conditionalFormatting sqref="J36">
    <cfRule type="cellIs" priority="242" operator="equal" aboveAverage="0" equalAverage="0" bottom="0" percent="0" rank="0" text="" dxfId="1">
      <formula>0</formula>
    </cfRule>
    <cfRule type="cellIs" priority="243" operator="lessThan" aboveAverage="0" equalAverage="0" bottom="0" percent="0" rank="0" text="" dxfId="2">
      <formula>G36</formula>
    </cfRule>
  </conditionalFormatting>
  <conditionalFormatting sqref="J38">
    <cfRule type="cellIs" priority="244" operator="equal" aboveAverage="0" equalAverage="0" bottom="0" percent="0" rank="0" text="" dxfId="1">
      <formula>0</formula>
    </cfRule>
    <cfRule type="cellIs" priority="245" operator="lessThan" aboveAverage="0" equalAverage="0" bottom="0" percent="0" rank="0" text="" dxfId="2">
      <formula>G38</formula>
    </cfRule>
  </conditionalFormatting>
  <conditionalFormatting sqref="J39">
    <cfRule type="cellIs" priority="246" operator="equal" aboveAverage="0" equalAverage="0" bottom="0" percent="0" rank="0" text="" dxfId="1">
      <formula>0</formula>
    </cfRule>
    <cfRule type="cellIs" priority="247" operator="lessThan" aboveAverage="0" equalAverage="0" bottom="0" percent="0" rank="0" text="" dxfId="2">
      <formula>G39</formula>
    </cfRule>
  </conditionalFormatting>
  <conditionalFormatting sqref="J40">
    <cfRule type="cellIs" priority="248" operator="equal" aboveAverage="0" equalAverage="0" bottom="0" percent="0" rank="0" text="" dxfId="1">
      <formula>0</formula>
    </cfRule>
    <cfRule type="cellIs" priority="249" operator="lessThan" aboveAverage="0" equalAverage="0" bottom="0" percent="0" rank="0" text="" dxfId="2">
      <formula>G40</formula>
    </cfRule>
  </conditionalFormatting>
  <conditionalFormatting sqref="J42">
    <cfRule type="cellIs" priority="250" operator="equal" aboveAverage="0" equalAverage="0" bottom="0" percent="0" rank="0" text="" dxfId="1">
      <formula>0</formula>
    </cfRule>
    <cfRule type="cellIs" priority="251" operator="lessThan" aboveAverage="0" equalAverage="0" bottom="0" percent="0" rank="0" text="" dxfId="2">
      <formula>G42</formula>
    </cfRule>
  </conditionalFormatting>
  <conditionalFormatting sqref="J43">
    <cfRule type="cellIs" priority="252" operator="equal" aboveAverage="0" equalAverage="0" bottom="0" percent="0" rank="0" text="" dxfId="1">
      <formula>0</formula>
    </cfRule>
    <cfRule type="cellIs" priority="253" operator="lessThan" aboveAverage="0" equalAverage="0" bottom="0" percent="0" rank="0" text="" dxfId="2">
      <formula>G43</formula>
    </cfRule>
  </conditionalFormatting>
  <conditionalFormatting sqref="J44">
    <cfRule type="cellIs" priority="254" operator="equal" aboveAverage="0" equalAverage="0" bottom="0" percent="0" rank="0" text="" dxfId="1">
      <formula>0</formula>
    </cfRule>
    <cfRule type="cellIs" priority="255" operator="lessThan" aboveAverage="0" equalAverage="0" bottom="0" percent="0" rank="0" text="" dxfId="2">
      <formula>G44</formula>
    </cfRule>
  </conditionalFormatting>
  <conditionalFormatting sqref="J45">
    <cfRule type="cellIs" priority="256" operator="equal" aboveAverage="0" equalAverage="0" bottom="0" percent="0" rank="0" text="" dxfId="1">
      <formula>0</formula>
    </cfRule>
    <cfRule type="cellIs" priority="257" operator="lessThan" aboveAverage="0" equalAverage="0" bottom="0" percent="0" rank="0" text="" dxfId="2">
      <formula>G45</formula>
    </cfRule>
  </conditionalFormatting>
  <conditionalFormatting sqref="J46">
    <cfRule type="cellIs" priority="258" operator="equal" aboveAverage="0" equalAverage="0" bottom="0" percent="0" rank="0" text="" dxfId="1">
      <formula>0</formula>
    </cfRule>
    <cfRule type="cellIs" priority="259" operator="lessThan" aboveAverage="0" equalAverage="0" bottom="0" percent="0" rank="0" text="" dxfId="2">
      <formula>G46</formula>
    </cfRule>
  </conditionalFormatting>
  <conditionalFormatting sqref="J47">
    <cfRule type="cellIs" priority="260" operator="equal" aboveAverage="0" equalAverage="0" bottom="0" percent="0" rank="0" text="" dxfId="1">
      <formula>0</formula>
    </cfRule>
    <cfRule type="cellIs" priority="261" operator="lessThan" aboveAverage="0" equalAverage="0" bottom="0" percent="0" rank="0" text="" dxfId="2">
      <formula>G47</formula>
    </cfRule>
  </conditionalFormatting>
  <conditionalFormatting sqref="J48">
    <cfRule type="cellIs" priority="262" operator="equal" aboveAverage="0" equalAverage="0" bottom="0" percent="0" rank="0" text="" dxfId="1">
      <formula>0</formula>
    </cfRule>
    <cfRule type="cellIs" priority="263" operator="lessThan" aboveAverage="0" equalAverage="0" bottom="0" percent="0" rank="0" text="" dxfId="2">
      <formula>G48</formula>
    </cfRule>
  </conditionalFormatting>
  <conditionalFormatting sqref="J49">
    <cfRule type="cellIs" priority="264" operator="equal" aboveAverage="0" equalAverage="0" bottom="0" percent="0" rank="0" text="" dxfId="1">
      <formula>0</formula>
    </cfRule>
    <cfRule type="cellIs" priority="265" operator="lessThan" aboveAverage="0" equalAverage="0" bottom="0" percent="0" rank="0" text="" dxfId="2">
      <formula>G49</formula>
    </cfRule>
  </conditionalFormatting>
  <conditionalFormatting sqref="J51">
    <cfRule type="cellIs" priority="266" operator="equal" aboveAverage="0" equalAverage="0" bottom="0" percent="0" rank="0" text="" dxfId="1">
      <formula>0</formula>
    </cfRule>
    <cfRule type="cellIs" priority="267" operator="lessThan" aboveAverage="0" equalAverage="0" bottom="0" percent="0" rank="0" text="" dxfId="2">
      <formula>G51</formula>
    </cfRule>
  </conditionalFormatting>
  <conditionalFormatting sqref="J53">
    <cfRule type="cellIs" priority="268" operator="equal" aboveAverage="0" equalAverage="0" bottom="0" percent="0" rank="0" text="" dxfId="1">
      <formula>0</formula>
    </cfRule>
    <cfRule type="cellIs" priority="269" operator="lessThan" aboveAverage="0" equalAverage="0" bottom="0" percent="0" rank="0" text="" dxfId="2">
      <formula>G53</formula>
    </cfRule>
  </conditionalFormatting>
  <conditionalFormatting sqref="J54">
    <cfRule type="cellIs" priority="270" operator="equal" aboveAverage="0" equalAverage="0" bottom="0" percent="0" rank="0" text="" dxfId="1">
      <formula>0</formula>
    </cfRule>
    <cfRule type="cellIs" priority="271" operator="lessThan" aboveAverage="0" equalAverage="0" bottom="0" percent="0" rank="0" text="" dxfId="2">
      <formula>G54</formula>
    </cfRule>
  </conditionalFormatting>
  <conditionalFormatting sqref="J7">
    <cfRule type="cellIs" priority="272" operator="equal" aboveAverage="0" equalAverage="0" bottom="0" percent="0" rank="0" text="" dxfId="1">
      <formula>0</formula>
    </cfRule>
    <cfRule type="cellIs" priority="273" operator="lessThan" aboveAverage="0" equalAverage="0" bottom="0" percent="0" rank="0" text="" dxfId="2">
      <formula>G7</formula>
    </cfRule>
  </conditionalFormatting>
  <conditionalFormatting sqref="J8">
    <cfRule type="cellIs" priority="274" operator="equal" aboveAverage="0" equalAverage="0" bottom="0" percent="0" rank="0" text="" dxfId="1">
      <formula>0</formula>
    </cfRule>
    <cfRule type="cellIs" priority="275" operator="lessThan" aboveAverage="0" equalAverage="0" bottom="0" percent="0" rank="0" text="" dxfId="2">
      <formula>G8</formula>
    </cfRule>
  </conditionalFormatting>
  <conditionalFormatting sqref="J9">
    <cfRule type="cellIs" priority="276" operator="equal" aboveAverage="0" equalAverage="0" bottom="0" percent="0" rank="0" text="" dxfId="1">
      <formula>0</formula>
    </cfRule>
    <cfRule type="cellIs" priority="277" operator="lessThan" aboveAverage="0" equalAverage="0" bottom="0" percent="0" rank="0" text="" dxfId="2">
      <formula>G9</formula>
    </cfRule>
  </conditionalFormatting>
  <conditionalFormatting sqref="K10">
    <cfRule type="cellIs" priority="278" operator="greaterThan" aboveAverage="0" equalAverage="0" bottom="0" percent="0" rank="0" text="" dxfId="1">
      <formula>J10</formula>
    </cfRule>
  </conditionalFormatting>
  <conditionalFormatting sqref="K11">
    <cfRule type="cellIs" priority="279" operator="greaterThan" aboveAverage="0" equalAverage="0" bottom="0" percent="0" rank="0" text="" dxfId="1">
      <formula>J11</formula>
    </cfRule>
  </conditionalFormatting>
  <conditionalFormatting sqref="K12">
    <cfRule type="cellIs" priority="280" operator="greaterThan" aboveAverage="0" equalAverage="0" bottom="0" percent="0" rank="0" text="" dxfId="1">
      <formula>J12</formula>
    </cfRule>
  </conditionalFormatting>
  <conditionalFormatting sqref="K13">
    <cfRule type="cellIs" priority="281" operator="greaterThan" aboveAverage="0" equalAverage="0" bottom="0" percent="0" rank="0" text="" dxfId="1">
      <formula>J13</formula>
    </cfRule>
  </conditionalFormatting>
  <conditionalFormatting sqref="K14">
    <cfRule type="cellIs" priority="282" operator="greaterThan" aboveAverage="0" equalAverage="0" bottom="0" percent="0" rank="0" text="" dxfId="1">
      <formula>J14</formula>
    </cfRule>
  </conditionalFormatting>
  <conditionalFormatting sqref="K15">
    <cfRule type="cellIs" priority="283" operator="greaterThan" aboveAverage="0" equalAverage="0" bottom="0" percent="0" rank="0" text="" dxfId="1">
      <formula>J15</formula>
    </cfRule>
  </conditionalFormatting>
  <conditionalFormatting sqref="K16">
    <cfRule type="cellIs" priority="284" operator="greaterThan" aboveAverage="0" equalAverage="0" bottom="0" percent="0" rank="0" text="" dxfId="1">
      <formula>J16</formula>
    </cfRule>
  </conditionalFormatting>
  <conditionalFormatting sqref="K17">
    <cfRule type="cellIs" priority="285" operator="greaterThan" aboveAverage="0" equalAverage="0" bottom="0" percent="0" rank="0" text="" dxfId="1">
      <formula>J17</formula>
    </cfRule>
  </conditionalFormatting>
  <conditionalFormatting sqref="K18">
    <cfRule type="cellIs" priority="286" operator="greaterThan" aboveAverage="0" equalAverage="0" bottom="0" percent="0" rank="0" text="" dxfId="1">
      <formula>J18</formula>
    </cfRule>
  </conditionalFormatting>
  <conditionalFormatting sqref="K19">
    <cfRule type="cellIs" priority="287" operator="greaterThan" aboveAverage="0" equalAverage="0" bottom="0" percent="0" rank="0" text="" dxfId="1">
      <formula>J19</formula>
    </cfRule>
  </conditionalFormatting>
  <conditionalFormatting sqref="K20">
    <cfRule type="cellIs" priority="288" operator="greaterThan" aboveAverage="0" equalAverage="0" bottom="0" percent="0" rank="0" text="" dxfId="1">
      <formula>J20</formula>
    </cfRule>
  </conditionalFormatting>
  <conditionalFormatting sqref="K21">
    <cfRule type="cellIs" priority="289" operator="greaterThan" aboveAverage="0" equalAverage="0" bottom="0" percent="0" rank="0" text="" dxfId="1">
      <formula>J21</formula>
    </cfRule>
  </conditionalFormatting>
  <conditionalFormatting sqref="K22">
    <cfRule type="cellIs" priority="290" operator="greaterThan" aboveAverage="0" equalAverage="0" bottom="0" percent="0" rank="0" text="" dxfId="1">
      <formula>J22</formula>
    </cfRule>
  </conditionalFormatting>
  <conditionalFormatting sqref="K23">
    <cfRule type="cellIs" priority="291" operator="greaterThan" aboveAverage="0" equalAverage="0" bottom="0" percent="0" rank="0" text="" dxfId="1">
      <formula>J23</formula>
    </cfRule>
  </conditionalFormatting>
  <conditionalFormatting sqref="K24">
    <cfRule type="cellIs" priority="292" operator="greaterThan" aboveAverage="0" equalAverage="0" bottom="0" percent="0" rank="0" text="" dxfId="1">
      <formula>J24</formula>
    </cfRule>
  </conditionalFormatting>
  <conditionalFormatting sqref="K25">
    <cfRule type="cellIs" priority="293" operator="greaterThan" aboveAverage="0" equalAverage="0" bottom="0" percent="0" rank="0" text="" dxfId="1">
      <formula>J25</formula>
    </cfRule>
  </conditionalFormatting>
  <conditionalFormatting sqref="K26">
    <cfRule type="cellIs" priority="294" operator="greaterThan" aboveAverage="0" equalAverage="0" bottom="0" percent="0" rank="0" text="" dxfId="1">
      <formula>J26</formula>
    </cfRule>
  </conditionalFormatting>
  <conditionalFormatting sqref="K27">
    <cfRule type="cellIs" priority="295" operator="greaterThan" aboveAverage="0" equalAverage="0" bottom="0" percent="0" rank="0" text="" dxfId="1">
      <formula>J27</formula>
    </cfRule>
  </conditionalFormatting>
  <conditionalFormatting sqref="K28">
    <cfRule type="cellIs" priority="296" operator="greaterThan" aboveAverage="0" equalAverage="0" bottom="0" percent="0" rank="0" text="" dxfId="1">
      <formula>J28</formula>
    </cfRule>
  </conditionalFormatting>
  <conditionalFormatting sqref="K29">
    <cfRule type="cellIs" priority="297" operator="greaterThan" aboveAverage="0" equalAverage="0" bottom="0" percent="0" rank="0" text="" dxfId="1">
      <formula>J29</formula>
    </cfRule>
  </conditionalFormatting>
  <conditionalFormatting sqref="K30">
    <cfRule type="cellIs" priority="298" operator="greaterThan" aboveAverage="0" equalAverage="0" bottom="0" percent="0" rank="0" text="" dxfId="1">
      <formula>J30</formula>
    </cfRule>
  </conditionalFormatting>
  <conditionalFormatting sqref="K31">
    <cfRule type="cellIs" priority="299" operator="greaterThan" aboveAverage="0" equalAverage="0" bottom="0" percent="0" rank="0" text="" dxfId="1">
      <formula>J31</formula>
    </cfRule>
  </conditionalFormatting>
  <conditionalFormatting sqref="K32">
    <cfRule type="cellIs" priority="300" operator="greaterThan" aboveAverage="0" equalAverage="0" bottom="0" percent="0" rank="0" text="" dxfId="1">
      <formula>J32</formula>
    </cfRule>
  </conditionalFormatting>
  <conditionalFormatting sqref="K34">
    <cfRule type="cellIs" priority="301" operator="greaterThan" aboveAverage="0" equalAverage="0" bottom="0" percent="0" rank="0" text="" dxfId="1">
      <formula>J34</formula>
    </cfRule>
  </conditionalFormatting>
  <conditionalFormatting sqref="K36">
    <cfRule type="cellIs" priority="302" operator="greaterThan" aboveAverage="0" equalAverage="0" bottom="0" percent="0" rank="0" text="" dxfId="1">
      <formula>J36</formula>
    </cfRule>
  </conditionalFormatting>
  <conditionalFormatting sqref="K38">
    <cfRule type="cellIs" priority="303" operator="greaterThan" aboveAverage="0" equalAverage="0" bottom="0" percent="0" rank="0" text="" dxfId="1">
      <formula>J38</formula>
    </cfRule>
  </conditionalFormatting>
  <conditionalFormatting sqref="K39">
    <cfRule type="cellIs" priority="304" operator="greaterThan" aboveAverage="0" equalAverage="0" bottom="0" percent="0" rank="0" text="" dxfId="1">
      <formula>J39</formula>
    </cfRule>
  </conditionalFormatting>
  <conditionalFormatting sqref="K40">
    <cfRule type="cellIs" priority="305" operator="greaterThan" aboveAverage="0" equalAverage="0" bottom="0" percent="0" rank="0" text="" dxfId="1">
      <formula>J40</formula>
    </cfRule>
  </conditionalFormatting>
  <conditionalFormatting sqref="K42">
    <cfRule type="cellIs" priority="306" operator="greaterThan" aboveAverage="0" equalAverage="0" bottom="0" percent="0" rank="0" text="" dxfId="1">
      <formula>J42</formula>
    </cfRule>
  </conditionalFormatting>
  <conditionalFormatting sqref="K43">
    <cfRule type="cellIs" priority="307" operator="greaterThan" aboveAverage="0" equalAverage="0" bottom="0" percent="0" rank="0" text="" dxfId="1">
      <formula>J43</formula>
    </cfRule>
  </conditionalFormatting>
  <conditionalFormatting sqref="K44">
    <cfRule type="cellIs" priority="308" operator="greaterThan" aboveAverage="0" equalAverage="0" bottom="0" percent="0" rank="0" text="" dxfId="1">
      <formula>J44</formula>
    </cfRule>
  </conditionalFormatting>
  <conditionalFormatting sqref="K45">
    <cfRule type="cellIs" priority="309" operator="greaterThan" aboveAverage="0" equalAverage="0" bottom="0" percent="0" rank="0" text="" dxfId="1">
      <formula>J45</formula>
    </cfRule>
  </conditionalFormatting>
  <conditionalFormatting sqref="K46">
    <cfRule type="cellIs" priority="310" operator="greaterThan" aboveAverage="0" equalAverage="0" bottom="0" percent="0" rank="0" text="" dxfId="1">
      <formula>J46</formula>
    </cfRule>
  </conditionalFormatting>
  <conditionalFormatting sqref="K47">
    <cfRule type="cellIs" priority="311" operator="greaterThan" aboveAverage="0" equalAverage="0" bottom="0" percent="0" rank="0" text="" dxfId="1">
      <formula>J47</formula>
    </cfRule>
  </conditionalFormatting>
  <conditionalFormatting sqref="K48">
    <cfRule type="cellIs" priority="312" operator="greaterThan" aboveAverage="0" equalAverage="0" bottom="0" percent="0" rank="0" text="" dxfId="1">
      <formula>J48</formula>
    </cfRule>
  </conditionalFormatting>
  <conditionalFormatting sqref="K49">
    <cfRule type="cellIs" priority="313" operator="greaterThan" aboveAverage="0" equalAverage="0" bottom="0" percent="0" rank="0" text="" dxfId="1">
      <formula>J49</formula>
    </cfRule>
  </conditionalFormatting>
  <conditionalFormatting sqref="K51">
    <cfRule type="cellIs" priority="314" operator="greaterThan" aboveAverage="0" equalAverage="0" bottom="0" percent="0" rank="0" text="" dxfId="1">
      <formula>J51</formula>
    </cfRule>
  </conditionalFormatting>
  <conditionalFormatting sqref="K53">
    <cfRule type="cellIs" priority="315" operator="greaterThan" aboveAverage="0" equalAverage="0" bottom="0" percent="0" rank="0" text="" dxfId="1">
      <formula>J53</formula>
    </cfRule>
  </conditionalFormatting>
  <conditionalFormatting sqref="K54">
    <cfRule type="cellIs" priority="316" operator="greaterThan" aboveAverage="0" equalAverage="0" bottom="0" percent="0" rank="0" text="" dxfId="1">
      <formula>J54</formula>
    </cfRule>
  </conditionalFormatting>
  <conditionalFormatting sqref="K7">
    <cfRule type="cellIs" priority="317" operator="greaterThan" aboveAverage="0" equalAverage="0" bottom="0" percent="0" rank="0" text="" dxfId="1">
      <formula>J7</formula>
    </cfRule>
  </conditionalFormatting>
  <conditionalFormatting sqref="K8">
    <cfRule type="cellIs" priority="318" operator="greaterThan" aboveAverage="0" equalAverage="0" bottom="0" percent="0" rank="0" text="" dxfId="1">
      <formula>J8</formula>
    </cfRule>
  </conditionalFormatting>
  <conditionalFormatting sqref="K9">
    <cfRule type="cellIs" priority="319" operator="greaterThan" aboveAverage="0" equalAverage="0" bottom="0" percent="0" rank="0" text="" dxfId="1">
      <formula>J9</formula>
    </cfRule>
  </conditionalFormatting>
  <conditionalFormatting sqref="L10">
    <cfRule type="cellIs" priority="320" operator="lessThanOrEqual" aboveAverage="0" equalAverage="0" bottom="0" percent="0" rank="0" text="" dxfId="4">
      <formula>H10</formula>
    </cfRule>
  </conditionalFormatting>
  <conditionalFormatting sqref="L11">
    <cfRule type="cellIs" priority="321" operator="lessThanOrEqual" aboveAverage="0" equalAverage="0" bottom="0" percent="0" rank="0" text="" dxfId="4">
      <formula>H11</formula>
    </cfRule>
  </conditionalFormatting>
  <conditionalFormatting sqref="L12">
    <cfRule type="cellIs" priority="322" operator="lessThanOrEqual" aboveAverage="0" equalAverage="0" bottom="0" percent="0" rank="0" text="" dxfId="4">
      <formula>H12</formula>
    </cfRule>
  </conditionalFormatting>
  <conditionalFormatting sqref="L13">
    <cfRule type="cellIs" priority="323" operator="lessThanOrEqual" aboveAverage="0" equalAverage="0" bottom="0" percent="0" rank="0" text="" dxfId="4">
      <formula>H13</formula>
    </cfRule>
  </conditionalFormatting>
  <conditionalFormatting sqref="L14">
    <cfRule type="cellIs" priority="324" operator="lessThanOrEqual" aboveAverage="0" equalAverage="0" bottom="0" percent="0" rank="0" text="" dxfId="4">
      <formula>H14</formula>
    </cfRule>
  </conditionalFormatting>
  <conditionalFormatting sqref="L15">
    <cfRule type="cellIs" priority="325" operator="lessThanOrEqual" aboveAverage="0" equalAverage="0" bottom="0" percent="0" rank="0" text="" dxfId="4">
      <formula>H15</formula>
    </cfRule>
  </conditionalFormatting>
  <conditionalFormatting sqref="L16">
    <cfRule type="cellIs" priority="326" operator="lessThanOrEqual" aboveAverage="0" equalAverage="0" bottom="0" percent="0" rank="0" text="" dxfId="4">
      <formula>H16</formula>
    </cfRule>
  </conditionalFormatting>
  <conditionalFormatting sqref="L17">
    <cfRule type="cellIs" priority="327" operator="lessThanOrEqual" aboveAverage="0" equalAverage="0" bottom="0" percent="0" rank="0" text="" dxfId="4">
      <formula>H17</formula>
    </cfRule>
  </conditionalFormatting>
  <conditionalFormatting sqref="L18">
    <cfRule type="cellIs" priority="328" operator="lessThanOrEqual" aboveAverage="0" equalAverage="0" bottom="0" percent="0" rank="0" text="" dxfId="4">
      <formula>H18</formula>
    </cfRule>
  </conditionalFormatting>
  <conditionalFormatting sqref="L19">
    <cfRule type="cellIs" priority="329" operator="lessThanOrEqual" aboveAverage="0" equalAverage="0" bottom="0" percent="0" rank="0" text="" dxfId="4">
      <formula>H19</formula>
    </cfRule>
  </conditionalFormatting>
  <conditionalFormatting sqref="L20">
    <cfRule type="cellIs" priority="330" operator="lessThanOrEqual" aboveAverage="0" equalAverage="0" bottom="0" percent="0" rank="0" text="" dxfId="4">
      <formula>H20</formula>
    </cfRule>
  </conditionalFormatting>
  <conditionalFormatting sqref="L21">
    <cfRule type="cellIs" priority="331" operator="lessThanOrEqual" aboveAverage="0" equalAverage="0" bottom="0" percent="0" rank="0" text="" dxfId="4">
      <formula>H21</formula>
    </cfRule>
  </conditionalFormatting>
  <conditionalFormatting sqref="L22">
    <cfRule type="cellIs" priority="332" operator="lessThanOrEqual" aboveAverage="0" equalAverage="0" bottom="0" percent="0" rank="0" text="" dxfId="4">
      <formula>H22</formula>
    </cfRule>
  </conditionalFormatting>
  <conditionalFormatting sqref="L23">
    <cfRule type="cellIs" priority="333" operator="lessThanOrEqual" aboveAverage="0" equalAverage="0" bottom="0" percent="0" rank="0" text="" dxfId="4">
      <formula>H23</formula>
    </cfRule>
  </conditionalFormatting>
  <conditionalFormatting sqref="L24">
    <cfRule type="cellIs" priority="334" operator="lessThanOrEqual" aboveAverage="0" equalAverage="0" bottom="0" percent="0" rank="0" text="" dxfId="4">
      <formula>H24</formula>
    </cfRule>
  </conditionalFormatting>
  <conditionalFormatting sqref="L25">
    <cfRule type="cellIs" priority="335" operator="lessThanOrEqual" aboveAverage="0" equalAverage="0" bottom="0" percent="0" rank="0" text="" dxfId="4">
      <formula>H25</formula>
    </cfRule>
  </conditionalFormatting>
  <conditionalFormatting sqref="L26">
    <cfRule type="cellIs" priority="336" operator="lessThanOrEqual" aboveAverage="0" equalAverage="0" bottom="0" percent="0" rank="0" text="" dxfId="4">
      <formula>H26</formula>
    </cfRule>
  </conditionalFormatting>
  <conditionalFormatting sqref="L27">
    <cfRule type="cellIs" priority="337" operator="lessThanOrEqual" aboveAverage="0" equalAverage="0" bottom="0" percent="0" rank="0" text="" dxfId="4">
      <formula>H27</formula>
    </cfRule>
  </conditionalFormatting>
  <conditionalFormatting sqref="L28">
    <cfRule type="cellIs" priority="338" operator="lessThanOrEqual" aboveAverage="0" equalAverage="0" bottom="0" percent="0" rank="0" text="" dxfId="4">
      <formula>H28</formula>
    </cfRule>
  </conditionalFormatting>
  <conditionalFormatting sqref="L29">
    <cfRule type="cellIs" priority="339" operator="lessThanOrEqual" aboveAverage="0" equalAverage="0" bottom="0" percent="0" rank="0" text="" dxfId="4">
      <formula>H29</formula>
    </cfRule>
  </conditionalFormatting>
  <conditionalFormatting sqref="L30">
    <cfRule type="cellIs" priority="340" operator="lessThanOrEqual" aboveAverage="0" equalAverage="0" bottom="0" percent="0" rank="0" text="" dxfId="4">
      <formula>H30</formula>
    </cfRule>
  </conditionalFormatting>
  <conditionalFormatting sqref="L31">
    <cfRule type="cellIs" priority="341" operator="lessThanOrEqual" aboveAverage="0" equalAverage="0" bottom="0" percent="0" rank="0" text="" dxfId="4">
      <formula>H31</formula>
    </cfRule>
  </conditionalFormatting>
  <conditionalFormatting sqref="L32">
    <cfRule type="cellIs" priority="342" operator="lessThanOrEqual" aboveAverage="0" equalAverage="0" bottom="0" percent="0" rank="0" text="" dxfId="4">
      <formula>H32</formula>
    </cfRule>
  </conditionalFormatting>
  <conditionalFormatting sqref="L34">
    <cfRule type="cellIs" priority="343" operator="lessThanOrEqual" aboveAverage="0" equalAverage="0" bottom="0" percent="0" rank="0" text="" dxfId="4">
      <formula>H34</formula>
    </cfRule>
  </conditionalFormatting>
  <conditionalFormatting sqref="L36">
    <cfRule type="cellIs" priority="344" operator="lessThanOrEqual" aboveAverage="0" equalAverage="0" bottom="0" percent="0" rank="0" text="" dxfId="4">
      <formula>H36</formula>
    </cfRule>
  </conditionalFormatting>
  <conditionalFormatting sqref="L38">
    <cfRule type="cellIs" priority="345" operator="lessThanOrEqual" aboveAverage="0" equalAverage="0" bottom="0" percent="0" rank="0" text="" dxfId="4">
      <formula>H38</formula>
    </cfRule>
  </conditionalFormatting>
  <conditionalFormatting sqref="L39">
    <cfRule type="cellIs" priority="346" operator="lessThanOrEqual" aboveAverage="0" equalAverage="0" bottom="0" percent="0" rank="0" text="" dxfId="4">
      <formula>H39</formula>
    </cfRule>
  </conditionalFormatting>
  <conditionalFormatting sqref="L40">
    <cfRule type="cellIs" priority="347" operator="lessThanOrEqual" aboveAverage="0" equalAverage="0" bottom="0" percent="0" rank="0" text="" dxfId="4">
      <formula>H40</formula>
    </cfRule>
  </conditionalFormatting>
  <conditionalFormatting sqref="L42">
    <cfRule type="cellIs" priority="348" operator="lessThanOrEqual" aboveAverage="0" equalAverage="0" bottom="0" percent="0" rank="0" text="" dxfId="4">
      <formula>H42</formula>
    </cfRule>
  </conditionalFormatting>
  <conditionalFormatting sqref="L43">
    <cfRule type="cellIs" priority="349" operator="lessThanOrEqual" aboveAverage="0" equalAverage="0" bottom="0" percent="0" rank="0" text="" dxfId="4">
      <formula>H43</formula>
    </cfRule>
  </conditionalFormatting>
  <conditionalFormatting sqref="L44">
    <cfRule type="cellIs" priority="350" operator="lessThanOrEqual" aboveAverage="0" equalAverage="0" bottom="0" percent="0" rank="0" text="" dxfId="4">
      <formula>H44</formula>
    </cfRule>
  </conditionalFormatting>
  <conditionalFormatting sqref="L45">
    <cfRule type="cellIs" priority="351" operator="lessThanOrEqual" aboveAverage="0" equalAverage="0" bottom="0" percent="0" rank="0" text="" dxfId="4">
      <formula>H45</formula>
    </cfRule>
  </conditionalFormatting>
  <conditionalFormatting sqref="L46">
    <cfRule type="cellIs" priority="352" operator="lessThanOrEqual" aboveAverage="0" equalAverage="0" bottom="0" percent="0" rank="0" text="" dxfId="4">
      <formula>H46</formula>
    </cfRule>
  </conditionalFormatting>
  <conditionalFormatting sqref="L47">
    <cfRule type="cellIs" priority="353" operator="lessThanOrEqual" aboveAverage="0" equalAverage="0" bottom="0" percent="0" rank="0" text="" dxfId="4">
      <formula>H47</formula>
    </cfRule>
  </conditionalFormatting>
  <conditionalFormatting sqref="L48">
    <cfRule type="cellIs" priority="354" operator="lessThanOrEqual" aboveAverage="0" equalAverage="0" bottom="0" percent="0" rank="0" text="" dxfId="4">
      <formula>H48</formula>
    </cfRule>
  </conditionalFormatting>
  <conditionalFormatting sqref="L49">
    <cfRule type="cellIs" priority="355" operator="lessThanOrEqual" aboveAverage="0" equalAverage="0" bottom="0" percent="0" rank="0" text="" dxfId="4">
      <formula>H49</formula>
    </cfRule>
  </conditionalFormatting>
  <conditionalFormatting sqref="L51">
    <cfRule type="cellIs" priority="356" operator="lessThanOrEqual" aboveAverage="0" equalAverage="0" bottom="0" percent="0" rank="0" text="" dxfId="4">
      <formula>H51</formula>
    </cfRule>
  </conditionalFormatting>
  <conditionalFormatting sqref="L53">
    <cfRule type="cellIs" priority="357" operator="lessThanOrEqual" aboveAverage="0" equalAverage="0" bottom="0" percent="0" rank="0" text="" dxfId="4">
      <formula>H53</formula>
    </cfRule>
  </conditionalFormatting>
  <conditionalFormatting sqref="L54">
    <cfRule type="cellIs" priority="358" operator="lessThanOrEqual" aboveAverage="0" equalAverage="0" bottom="0" percent="0" rank="0" text="" dxfId="4">
      <formula>H54</formula>
    </cfRule>
  </conditionalFormatting>
  <conditionalFormatting sqref="L7">
    <cfRule type="cellIs" priority="359" operator="lessThanOrEqual" aboveAverage="0" equalAverage="0" bottom="0" percent="0" rank="0" text="" dxfId="4">
      <formula>H7</formula>
    </cfRule>
  </conditionalFormatting>
  <conditionalFormatting sqref="L8">
    <cfRule type="cellIs" priority="360" operator="lessThanOrEqual" aboveAverage="0" equalAverage="0" bottom="0" percent="0" rank="0" text="" dxfId="4">
      <formula>H8</formula>
    </cfRule>
  </conditionalFormatting>
  <conditionalFormatting sqref="L9">
    <cfRule type="cellIs" priority="361" operator="lessThanOrEqual" aboveAverage="0" equalAverage="0" bottom="0" percent="0" rank="0" text="" dxfId="4">
      <formula>H9</formula>
    </cfRule>
  </conditionalFormatting>
  <conditionalFormatting sqref="M10">
    <cfRule type="cellIs" priority="362" operator="lessThanOrEqual" aboveAverage="0" equalAverage="0" bottom="0" percent="0" rank="0" text="" dxfId="4">
      <formula>I10</formula>
    </cfRule>
  </conditionalFormatting>
  <conditionalFormatting sqref="M11">
    <cfRule type="cellIs" priority="363" operator="lessThanOrEqual" aboveAverage="0" equalAverage="0" bottom="0" percent="0" rank="0" text="" dxfId="4">
      <formula>I11</formula>
    </cfRule>
  </conditionalFormatting>
  <conditionalFormatting sqref="M12">
    <cfRule type="cellIs" priority="364" operator="lessThanOrEqual" aboveAverage="0" equalAverage="0" bottom="0" percent="0" rank="0" text="" dxfId="4">
      <formula>I12</formula>
    </cfRule>
  </conditionalFormatting>
  <conditionalFormatting sqref="M13">
    <cfRule type="cellIs" priority="365" operator="lessThanOrEqual" aboveAverage="0" equalAverage="0" bottom="0" percent="0" rank="0" text="" dxfId="4">
      <formula>I13</formula>
    </cfRule>
  </conditionalFormatting>
  <conditionalFormatting sqref="M14">
    <cfRule type="cellIs" priority="366" operator="lessThanOrEqual" aboveAverage="0" equalAverage="0" bottom="0" percent="0" rank="0" text="" dxfId="4">
      <formula>I14</formula>
    </cfRule>
  </conditionalFormatting>
  <conditionalFormatting sqref="M15">
    <cfRule type="cellIs" priority="367" operator="lessThanOrEqual" aboveAverage="0" equalAverage="0" bottom="0" percent="0" rank="0" text="" dxfId="4">
      <formula>I15</formula>
    </cfRule>
  </conditionalFormatting>
  <conditionalFormatting sqref="M16">
    <cfRule type="cellIs" priority="368" operator="lessThanOrEqual" aboveAverage="0" equalAverage="0" bottom="0" percent="0" rank="0" text="" dxfId="4">
      <formula>I16</formula>
    </cfRule>
  </conditionalFormatting>
  <conditionalFormatting sqref="M17">
    <cfRule type="cellIs" priority="369" operator="lessThanOrEqual" aboveAverage="0" equalAverage="0" bottom="0" percent="0" rank="0" text="" dxfId="4">
      <formula>I17</formula>
    </cfRule>
  </conditionalFormatting>
  <conditionalFormatting sqref="M18">
    <cfRule type="cellIs" priority="370" operator="lessThanOrEqual" aboveAverage="0" equalAverage="0" bottom="0" percent="0" rank="0" text="" dxfId="4">
      <formula>I18</formula>
    </cfRule>
  </conditionalFormatting>
  <conditionalFormatting sqref="M19">
    <cfRule type="cellIs" priority="371" operator="lessThanOrEqual" aboveAverage="0" equalAverage="0" bottom="0" percent="0" rank="0" text="" dxfId="4">
      <formula>I19</formula>
    </cfRule>
  </conditionalFormatting>
  <conditionalFormatting sqref="M20">
    <cfRule type="cellIs" priority="372" operator="lessThanOrEqual" aboveAverage="0" equalAverage="0" bottom="0" percent="0" rank="0" text="" dxfId="4">
      <formula>I20</formula>
    </cfRule>
  </conditionalFormatting>
  <conditionalFormatting sqref="M21">
    <cfRule type="cellIs" priority="373" operator="lessThanOrEqual" aboveAverage="0" equalAverage="0" bottom="0" percent="0" rank="0" text="" dxfId="4">
      <formula>I21</formula>
    </cfRule>
  </conditionalFormatting>
  <conditionalFormatting sqref="M22">
    <cfRule type="cellIs" priority="374" operator="lessThanOrEqual" aboveAverage="0" equalAverage="0" bottom="0" percent="0" rank="0" text="" dxfId="4">
      <formula>I22</formula>
    </cfRule>
  </conditionalFormatting>
  <conditionalFormatting sqref="M23">
    <cfRule type="cellIs" priority="375" operator="lessThanOrEqual" aboveAverage="0" equalAverage="0" bottom="0" percent="0" rank="0" text="" dxfId="4">
      <formula>I23</formula>
    </cfRule>
  </conditionalFormatting>
  <conditionalFormatting sqref="M24">
    <cfRule type="cellIs" priority="376" operator="lessThanOrEqual" aboveAverage="0" equalAverage="0" bottom="0" percent="0" rank="0" text="" dxfId="4">
      <formula>I24</formula>
    </cfRule>
  </conditionalFormatting>
  <conditionalFormatting sqref="M25">
    <cfRule type="cellIs" priority="377" operator="lessThanOrEqual" aboveAverage="0" equalAverage="0" bottom="0" percent="0" rank="0" text="" dxfId="4">
      <formula>I25</formula>
    </cfRule>
  </conditionalFormatting>
  <conditionalFormatting sqref="M26">
    <cfRule type="cellIs" priority="378" operator="lessThanOrEqual" aboveAverage="0" equalAverage="0" bottom="0" percent="0" rank="0" text="" dxfId="4">
      <formula>I26</formula>
    </cfRule>
  </conditionalFormatting>
  <conditionalFormatting sqref="M27">
    <cfRule type="cellIs" priority="379" operator="lessThanOrEqual" aboveAverage="0" equalAverage="0" bottom="0" percent="0" rank="0" text="" dxfId="4">
      <formula>I27</formula>
    </cfRule>
  </conditionalFormatting>
  <conditionalFormatting sqref="M28">
    <cfRule type="cellIs" priority="380" operator="lessThanOrEqual" aboveAverage="0" equalAverage="0" bottom="0" percent="0" rank="0" text="" dxfId="4">
      <formula>I28</formula>
    </cfRule>
  </conditionalFormatting>
  <conditionalFormatting sqref="M29">
    <cfRule type="cellIs" priority="381" operator="lessThanOrEqual" aboveAverage="0" equalAverage="0" bottom="0" percent="0" rank="0" text="" dxfId="4">
      <formula>I29</formula>
    </cfRule>
  </conditionalFormatting>
  <conditionalFormatting sqref="M30">
    <cfRule type="cellIs" priority="382" operator="lessThanOrEqual" aboveAverage="0" equalAverage="0" bottom="0" percent="0" rank="0" text="" dxfId="4">
      <formula>I30</formula>
    </cfRule>
  </conditionalFormatting>
  <conditionalFormatting sqref="M31">
    <cfRule type="cellIs" priority="383" operator="lessThanOrEqual" aboveAverage="0" equalAverage="0" bottom="0" percent="0" rank="0" text="" dxfId="4">
      <formula>I31</formula>
    </cfRule>
  </conditionalFormatting>
  <conditionalFormatting sqref="M32">
    <cfRule type="cellIs" priority="384" operator="lessThanOrEqual" aboveAverage="0" equalAverage="0" bottom="0" percent="0" rank="0" text="" dxfId="4">
      <formula>I32</formula>
    </cfRule>
  </conditionalFormatting>
  <conditionalFormatting sqref="M34">
    <cfRule type="cellIs" priority="385" operator="lessThanOrEqual" aboveAverage="0" equalAverage="0" bottom="0" percent="0" rank="0" text="" dxfId="4">
      <formula>I34</formula>
    </cfRule>
  </conditionalFormatting>
  <conditionalFormatting sqref="M36">
    <cfRule type="cellIs" priority="386" operator="lessThanOrEqual" aboveAverage="0" equalAverage="0" bottom="0" percent="0" rank="0" text="" dxfId="4">
      <formula>I36</formula>
    </cfRule>
  </conditionalFormatting>
  <conditionalFormatting sqref="M38">
    <cfRule type="cellIs" priority="387" operator="lessThanOrEqual" aboveAverage="0" equalAverage="0" bottom="0" percent="0" rank="0" text="" dxfId="4">
      <formula>I38</formula>
    </cfRule>
  </conditionalFormatting>
  <conditionalFormatting sqref="M39">
    <cfRule type="cellIs" priority="388" operator="lessThanOrEqual" aboveAverage="0" equalAverage="0" bottom="0" percent="0" rank="0" text="" dxfId="4">
      <formula>I39</formula>
    </cfRule>
  </conditionalFormatting>
  <conditionalFormatting sqref="M40">
    <cfRule type="cellIs" priority="389" operator="lessThanOrEqual" aboveAverage="0" equalAverage="0" bottom="0" percent="0" rank="0" text="" dxfId="4">
      <formula>I40</formula>
    </cfRule>
  </conditionalFormatting>
  <conditionalFormatting sqref="M42">
    <cfRule type="cellIs" priority="390" operator="lessThanOrEqual" aboveAverage="0" equalAverage="0" bottom="0" percent="0" rank="0" text="" dxfId="4">
      <formula>I42</formula>
    </cfRule>
  </conditionalFormatting>
  <conditionalFormatting sqref="M43">
    <cfRule type="cellIs" priority="391" operator="lessThanOrEqual" aboveAverage="0" equalAverage="0" bottom="0" percent="0" rank="0" text="" dxfId="4">
      <formula>I43</formula>
    </cfRule>
  </conditionalFormatting>
  <conditionalFormatting sqref="M44">
    <cfRule type="cellIs" priority="392" operator="lessThanOrEqual" aboveAverage="0" equalAverage="0" bottom="0" percent="0" rank="0" text="" dxfId="4">
      <formula>I44</formula>
    </cfRule>
  </conditionalFormatting>
  <conditionalFormatting sqref="M45">
    <cfRule type="cellIs" priority="393" operator="lessThanOrEqual" aboveAverage="0" equalAverage="0" bottom="0" percent="0" rank="0" text="" dxfId="4">
      <formula>I45</formula>
    </cfRule>
  </conditionalFormatting>
  <conditionalFormatting sqref="M46">
    <cfRule type="cellIs" priority="394" operator="lessThanOrEqual" aboveAverage="0" equalAverage="0" bottom="0" percent="0" rank="0" text="" dxfId="4">
      <formula>I46</formula>
    </cfRule>
  </conditionalFormatting>
  <conditionalFormatting sqref="M47">
    <cfRule type="cellIs" priority="395" operator="lessThanOrEqual" aboveAverage="0" equalAverage="0" bottom="0" percent="0" rank="0" text="" dxfId="4">
      <formula>I47</formula>
    </cfRule>
  </conditionalFormatting>
  <conditionalFormatting sqref="M48">
    <cfRule type="cellIs" priority="396" operator="lessThanOrEqual" aboveAverage="0" equalAverage="0" bottom="0" percent="0" rank="0" text="" dxfId="4">
      <formula>I48</formula>
    </cfRule>
  </conditionalFormatting>
  <conditionalFormatting sqref="M49">
    <cfRule type="cellIs" priority="397" operator="lessThanOrEqual" aboveAverage="0" equalAverage="0" bottom="0" percent="0" rank="0" text="" dxfId="4">
      <formula>I49</formula>
    </cfRule>
  </conditionalFormatting>
  <conditionalFormatting sqref="M51">
    <cfRule type="cellIs" priority="398" operator="lessThanOrEqual" aboveAverage="0" equalAverage="0" bottom="0" percent="0" rank="0" text="" dxfId="4">
      <formula>I51</formula>
    </cfRule>
  </conditionalFormatting>
  <conditionalFormatting sqref="M53">
    <cfRule type="cellIs" priority="399" operator="lessThanOrEqual" aboveAverage="0" equalAverage="0" bottom="0" percent="0" rank="0" text="" dxfId="4">
      <formula>I53</formula>
    </cfRule>
  </conditionalFormatting>
  <conditionalFormatting sqref="M54">
    <cfRule type="cellIs" priority="400" operator="lessThanOrEqual" aboveAverage="0" equalAverage="0" bottom="0" percent="0" rank="0" text="" dxfId="4">
      <formula>I54</formula>
    </cfRule>
  </conditionalFormatting>
  <conditionalFormatting sqref="M7">
    <cfRule type="cellIs" priority="401" operator="lessThanOrEqual" aboveAverage="0" equalAverage="0" bottom="0" percent="0" rank="0" text="" dxfId="4">
      <formula>I7</formula>
    </cfRule>
  </conditionalFormatting>
  <conditionalFormatting sqref="M8">
    <cfRule type="cellIs" priority="402" operator="lessThanOrEqual" aboveAverage="0" equalAverage="0" bottom="0" percent="0" rank="0" text="" dxfId="4">
      <formula>I8</formula>
    </cfRule>
  </conditionalFormatting>
  <conditionalFormatting sqref="M9">
    <cfRule type="cellIs" priority="403" operator="lessThanOrEqual" aboveAverage="0" equalAverage="0" bottom="0" percent="0" rank="0" text="" dxfId="4">
      <formula>I9</formula>
    </cfRule>
  </conditionalFormatting>
  <hyperlinks>
    <hyperlink ref="N7" r:id="rId2" display="931-1163-ND"/>
    <hyperlink ref="N8" r:id="rId3" display="490-8051-1-ND"/>
    <hyperlink ref="N9" r:id="rId4" display="493-2236-1-ND"/>
    <hyperlink ref="F10" r:id="rId5" display="C2012X5R1E106M085AC"/>
    <hyperlink ref="N10" r:id="rId6" display="445-14388-1-ND"/>
    <hyperlink ref="F11" r:id="rId7" display="CC0805KKX7R7BB105"/>
    <hyperlink ref="N11" r:id="rId8" display="311-1365-1-ND"/>
    <hyperlink ref="N12" r:id="rId9" display="445-14388-1-ND"/>
    <hyperlink ref="F13" r:id="rId10" display="06035A101FAT2A"/>
    <hyperlink ref="N13" r:id="rId11" display="478-6202-1-ND"/>
    <hyperlink ref="N14" r:id="rId12" display="SMA6J12ACT-ND"/>
    <hyperlink ref="F15" r:id="rId13" display="LTST-C171KRKT"/>
    <hyperlink ref="N15" r:id="rId14" display="160-1427-1-ND"/>
    <hyperlink ref="F16" r:id="rId15" display="LTST-C171KGKT"/>
    <hyperlink ref="N16" r:id="rId16" display="160-1426-1-ND"/>
    <hyperlink ref="N17" r:id="rId17" display="F1551CT-ND"/>
    <hyperlink ref="N18" r:id="rId18" display="F10923CT-ND"/>
    <hyperlink ref="F19" r:id="rId19" display="PJ-002A"/>
    <hyperlink ref="N19" r:id="rId20" display="CP-002A-ND"/>
    <hyperlink ref="N20" r:id="rId21" display="S5560-ND"/>
    <hyperlink ref="N21" r:id="rId22" display="S7115-ND"/>
    <hyperlink ref="N22" r:id="rId23" display="S9002-ND"/>
    <hyperlink ref="N23" r:id="rId24" display="S7075-ND"/>
    <hyperlink ref="N24" r:id="rId25" display="S5560-ND"/>
    <hyperlink ref="N25" r:id="rId26" display="S7006-ND"/>
    <hyperlink ref="N26" r:id="rId27" display="APC1766-ND"/>
    <hyperlink ref="N27" r:id="rId28" display="994-1011-ND"/>
    <hyperlink ref="N28" r:id="rId29" display="S7002-ND"/>
    <hyperlink ref="F29" r:id="rId30" display="0734120114"/>
    <hyperlink ref="N29" r:id="rId31" display="WM5587CT-ND"/>
    <hyperlink ref="N30" r:id="rId32" display="1528-1773-ND"/>
    <hyperlink ref="N31" r:id="rId33" display="1528-1504-ND"/>
    <hyperlink ref="N32" r:id="rId34" display="ED6350-50-ND"/>
    <hyperlink ref="F34" r:id="rId35" display="BAT-HLD-001"/>
    <hyperlink ref="N34" r:id="rId36" display="BAT-HLD-001-ND"/>
    <hyperlink ref="N36" r:id="rId37" display="S7017-ND"/>
    <hyperlink ref="N38" r:id="rId38" display="732-5316-ND"/>
    <hyperlink ref="N39" r:id="rId39" display="732-5315-ND"/>
    <hyperlink ref="N40" r:id="rId40" display="732-5316-ND"/>
    <hyperlink ref="F42" r:id="rId41" display="SI2323CDS-T1-GE3"/>
    <hyperlink ref="N42" r:id="rId42" display="SI2323CDS-T1-GE3CT-ND"/>
    <hyperlink ref="F43" r:id="rId43" display="DTC143ZKAT146"/>
    <hyperlink ref="N43" r:id="rId44" display="DTC143ZKAT146CT-ND"/>
    <hyperlink ref="F44" r:id="rId45" display="ERJ-PB6D3000V"/>
    <hyperlink ref="N44" r:id="rId46" display="P20957CT-ND"/>
    <hyperlink ref="F45" r:id="rId47" display="RC0805FR-0733RL"/>
    <hyperlink ref="N45" r:id="rId48" display="311-33.0CRCT-ND"/>
    <hyperlink ref="F46" r:id="rId49" display="ESR10EZPJ152"/>
    <hyperlink ref="N46" r:id="rId50" display="RHM1.5KKCT-ND"/>
    <hyperlink ref="F47" r:id="rId51" display="CRCW0805110RFKEA"/>
    <hyperlink ref="N47" r:id="rId52" display="541-110CCT-ND"/>
    <hyperlink ref="F48" r:id="rId53" display="ERA-6AEB131V"/>
    <hyperlink ref="N48" r:id="rId54" display="P130DACT-ND"/>
    <hyperlink ref="N49" r:id="rId55" display="RR12P10.0KDCT-ND"/>
    <hyperlink ref="F51" r:id="rId56" display="TLV73333PDBVR"/>
    <hyperlink ref="N51" r:id="rId57" display="296-38492-1-ND"/>
    <hyperlink ref="F53" r:id="rId58" display="ESP32-DEVKITC"/>
    <hyperlink ref="N53" r:id="rId59" display="1904-1011-ND"/>
    <hyperlink ref="F54" r:id="rId60" display="MIKROE-2226"/>
    <hyperlink ref="N54" r:id="rId61" display="1471-1619-N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2018-05-04T07:15:51Z</dcterms:created>
  <dc:creator/>
  <dc:description/>
  <dc:language>en-US</dc:language>
  <cp:lastModifiedBy/>
  <dcterms:modified xsi:type="dcterms:W3CDTF">2018-05-04T13:20:03Z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