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414FE4C7-0CCE-445A-ADBF-2A9B8836ACD2}" xr6:coauthVersionLast="47" xr6:coauthVersionMax="47" xr10:uidLastSave="{00000000-0000-0000-0000-000000000000}"/>
  <bookViews>
    <workbookView xWindow="7800" yWindow="375" windowWidth="18075" windowHeight="15105" xr2:uid="{72E375EC-A7A1-4EB1-B990-5ECBBC0BBD02}"/>
  </bookViews>
  <sheets>
    <sheet name="Note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5" i="2" l="1"/>
  <c r="AC25" i="2"/>
  <c r="AB25" i="2"/>
  <c r="AA25" i="2"/>
  <c r="Z25" i="2"/>
  <c r="Y25" i="2"/>
  <c r="X25" i="2"/>
  <c r="W25" i="2"/>
  <c r="V25" i="2"/>
  <c r="W34" i="2"/>
  <c r="Y21" i="2"/>
  <c r="AK21" i="2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AI21" i="2"/>
  <c r="AJ21" i="2" s="1"/>
  <c r="AF21" i="2"/>
  <c r="AG21" i="2" s="1"/>
  <c r="AH21" i="2" s="1"/>
  <c r="AE21" i="2"/>
  <c r="AF5" i="2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E5" i="2"/>
  <c r="AD21" i="2"/>
  <c r="AC21" i="2"/>
  <c r="AB21" i="2"/>
  <c r="AA21" i="2"/>
  <c r="Z21" i="2"/>
  <c r="X21" i="2"/>
  <c r="W21" i="2"/>
  <c r="V21" i="2"/>
  <c r="U21" i="2"/>
  <c r="AD18" i="2"/>
  <c r="AC18" i="2"/>
  <c r="AB18" i="2"/>
  <c r="AA18" i="2"/>
  <c r="Z18" i="2"/>
  <c r="Y18" i="2"/>
  <c r="X18" i="2"/>
  <c r="W18" i="2"/>
  <c r="V18" i="2"/>
  <c r="U18" i="2"/>
  <c r="V14" i="2"/>
  <c r="W14" i="2" s="1"/>
  <c r="X14" i="2" s="1"/>
  <c r="Y14" i="2" s="1"/>
  <c r="Z14" i="2" s="1"/>
  <c r="AA14" i="2" s="1"/>
  <c r="AB14" i="2" s="1"/>
  <c r="AC14" i="2" s="1"/>
  <c r="AD14" i="2" s="1"/>
  <c r="U14" i="2"/>
  <c r="AD6" i="2"/>
  <c r="AC6" i="2"/>
  <c r="AB6" i="2"/>
  <c r="AA6" i="2"/>
  <c r="Z6" i="2"/>
  <c r="Y6" i="2"/>
  <c r="X6" i="2"/>
  <c r="W6" i="2"/>
  <c r="V6" i="2"/>
  <c r="U6" i="2"/>
  <c r="AD7" i="2"/>
  <c r="AC7" i="2"/>
  <c r="AB7" i="2"/>
  <c r="AA7" i="2"/>
  <c r="Z7" i="2"/>
  <c r="Y7" i="2"/>
  <c r="X7" i="2"/>
  <c r="W7" i="2"/>
  <c r="V7" i="2"/>
  <c r="U7" i="2"/>
  <c r="P26" i="2"/>
  <c r="U5" i="2"/>
  <c r="U3" i="2"/>
  <c r="V3" i="2"/>
  <c r="V5" i="2" s="1"/>
  <c r="W5" i="2"/>
  <c r="Z4" i="2"/>
  <c r="AA4" i="2" s="1"/>
  <c r="AB4" i="2" s="1"/>
  <c r="AC4" i="2" s="1"/>
  <c r="AD4" i="2" s="1"/>
  <c r="Y4" i="2"/>
  <c r="W4" i="2"/>
  <c r="X4" i="2" s="1"/>
  <c r="V4" i="2"/>
  <c r="X3" i="2"/>
  <c r="X5" i="2" s="1"/>
  <c r="W3" i="2"/>
  <c r="AI28" i="2"/>
  <c r="AI39" i="2" s="1"/>
  <c r="AH28" i="2"/>
  <c r="AH39" i="2" s="1"/>
  <c r="AG28" i="2"/>
  <c r="AG39" i="2" s="1"/>
  <c r="AF52" i="2"/>
  <c r="AF54" i="2" s="1"/>
  <c r="AF28" i="2"/>
  <c r="AF39" i="2" s="1"/>
  <c r="T26" i="2"/>
  <c r="R26" i="2"/>
  <c r="K26" i="2"/>
  <c r="Q21" i="2"/>
  <c r="S18" i="2"/>
  <c r="S21" i="2" s="1"/>
  <c r="S14" i="2"/>
  <c r="S5" i="2"/>
  <c r="S26" i="2" s="1"/>
  <c r="I7" i="2"/>
  <c r="I26" i="2" s="1"/>
  <c r="M18" i="2"/>
  <c r="M21" i="2" s="1"/>
  <c r="M14" i="2"/>
  <c r="M5" i="2"/>
  <c r="M7" i="2" s="1"/>
  <c r="M26" i="2" s="1"/>
  <c r="J5" i="2"/>
  <c r="J7" i="2" s="1"/>
  <c r="J26" i="2" s="1"/>
  <c r="J18" i="2"/>
  <c r="J21" i="2" s="1"/>
  <c r="J14" i="2"/>
  <c r="P18" i="2"/>
  <c r="P21" i="2" s="1"/>
  <c r="P14" i="2"/>
  <c r="P5" i="2"/>
  <c r="P7" i="2" s="1"/>
  <c r="I18" i="2"/>
  <c r="I21" i="2" s="1"/>
  <c r="I14" i="2"/>
  <c r="O18" i="2"/>
  <c r="O21" i="2" s="1"/>
  <c r="O14" i="2"/>
  <c r="O5" i="2"/>
  <c r="O7" i="2" s="1"/>
  <c r="O26" i="2" s="1"/>
  <c r="H18" i="2"/>
  <c r="H21" i="2" s="1"/>
  <c r="H14" i="2"/>
  <c r="H7" i="2"/>
  <c r="H26" i="2" s="1"/>
  <c r="L18" i="2"/>
  <c r="L21" i="2" s="1"/>
  <c r="L14" i="2"/>
  <c r="L5" i="2"/>
  <c r="L7" i="2" s="1"/>
  <c r="L26" i="2" s="1"/>
  <c r="N18" i="2"/>
  <c r="N21" i="2" s="1"/>
  <c r="N14" i="2"/>
  <c r="N5" i="2"/>
  <c r="N7" i="2" s="1"/>
  <c r="N26" i="2" s="1"/>
  <c r="I8" i="1"/>
  <c r="I7" i="1"/>
  <c r="I6" i="1"/>
  <c r="I9" i="1" s="1"/>
  <c r="Y3" i="2" l="1"/>
  <c r="O25" i="2"/>
  <c r="M25" i="2"/>
  <c r="N25" i="2"/>
  <c r="L25" i="2"/>
  <c r="T25" i="2"/>
  <c r="S25" i="2"/>
  <c r="R25" i="2"/>
  <c r="P25" i="2"/>
  <c r="Q20" i="2"/>
  <c r="S20" i="2"/>
  <c r="H20" i="2"/>
  <c r="M20" i="2"/>
  <c r="J20" i="2"/>
  <c r="P20" i="2"/>
  <c r="I20" i="2"/>
  <c r="O20" i="2"/>
  <c r="L20" i="2"/>
  <c r="N20" i="2"/>
  <c r="W35" i="2" l="1"/>
  <c r="W37" i="2" s="1"/>
  <c r="Z3" i="2"/>
  <c r="Y5" i="2"/>
  <c r="AA3" i="2" l="1"/>
  <c r="Z5" i="2"/>
  <c r="AB3" i="2" l="1"/>
  <c r="AA5" i="2"/>
  <c r="AC3" i="2" l="1"/>
  <c r="AB5" i="2"/>
  <c r="AD3" i="2" l="1"/>
  <c r="AD5" i="2" s="1"/>
  <c r="AC5" i="2"/>
  <c r="Q3" i="2"/>
  <c r="U25" i="2"/>
  <c r="Q25" i="2"/>
  <c r="Q3" i="2" a="1"/>
  <c r="Q5" i="2"/>
  <c r="Q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<sst xmlns="http://schemas.openxmlformats.org/spreadsheetml/2006/main" count="115" uniqueCount="108">
  <si>
    <t>Price</t>
  </si>
  <si>
    <t>MC</t>
  </si>
  <si>
    <t>Cash</t>
  </si>
  <si>
    <t>Debt</t>
  </si>
  <si>
    <t>EV</t>
  </si>
  <si>
    <t>Shares</t>
  </si>
  <si>
    <t>Stocklist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</si>
  <si>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</si>
  <si>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</si>
  <si>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</si>
  <si>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</si>
  <si>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</si>
  <si>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</si>
  <si>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</si>
  <si>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</si>
  <si>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</si>
  <si>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</si>
  <si>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</si>
  <si>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</si>
  <si>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TTWO</t>
  </si>
  <si>
    <t>Products:</t>
  </si>
  <si>
    <t>Game</t>
  </si>
  <si>
    <t>Advertising</t>
  </si>
  <si>
    <t>Rockstar Games</t>
  </si>
  <si>
    <t>2K</t>
  </si>
  <si>
    <t>Zynga</t>
  </si>
  <si>
    <t>GTA</t>
  </si>
  <si>
    <t>NBA</t>
  </si>
  <si>
    <t>Free Mobile and online games</t>
  </si>
  <si>
    <t>Revenue share:</t>
  </si>
  <si>
    <t>Total Revenue</t>
  </si>
  <si>
    <t>Cost of revenue</t>
  </si>
  <si>
    <t>Gross Profit</t>
  </si>
  <si>
    <t>R&amp;D</t>
  </si>
  <si>
    <t>G&amp;A</t>
  </si>
  <si>
    <t>D&amp;A</t>
  </si>
  <si>
    <t>Goodwill</t>
  </si>
  <si>
    <t>Business reorganization</t>
  </si>
  <si>
    <t>Total Operating Expenses</t>
  </si>
  <si>
    <t>Interest and other</t>
  </si>
  <si>
    <t>Loss on fair value</t>
  </si>
  <si>
    <t>Taxes</t>
  </si>
  <si>
    <t>Q124</t>
  </si>
  <si>
    <t>Q224</t>
  </si>
  <si>
    <t>Q324</t>
  </si>
  <si>
    <t>Q424</t>
  </si>
  <si>
    <t>-</t>
  </si>
  <si>
    <t>Net income</t>
  </si>
  <si>
    <t>Income before income taxes</t>
  </si>
  <si>
    <t>Taxes percentage</t>
  </si>
  <si>
    <t>S&amp;M</t>
  </si>
  <si>
    <t>Q125</t>
  </si>
  <si>
    <t>Q225</t>
  </si>
  <si>
    <t>Q325</t>
  </si>
  <si>
    <t>Q425</t>
  </si>
  <si>
    <t>Income from Operations</t>
  </si>
  <si>
    <t>Revenue Y/Y</t>
  </si>
  <si>
    <t>Gross Margin</t>
  </si>
  <si>
    <t>Accounts Receivable</t>
  </si>
  <si>
    <t>Inventory</t>
  </si>
  <si>
    <t>Prepaid expenses</t>
  </si>
  <si>
    <t>PP&amp;E</t>
  </si>
  <si>
    <t>Long-term investments</t>
  </si>
  <si>
    <t>Intangible assets</t>
  </si>
  <si>
    <t>Other long-term assets</t>
  </si>
  <si>
    <t>Accounts Payable</t>
  </si>
  <si>
    <t>Accrued Expenses</t>
  </si>
  <si>
    <t>Short-Term Debt</t>
  </si>
  <si>
    <t>Leases</t>
  </si>
  <si>
    <t>Income taxes payable</t>
  </si>
  <si>
    <t>Unearned revenue</t>
  </si>
  <si>
    <t>Long-term debt</t>
  </si>
  <si>
    <t>Long-term leases</t>
  </si>
  <si>
    <t>Long-term unearned revenue</t>
  </si>
  <si>
    <t>Shareholders equity</t>
  </si>
  <si>
    <t>Total liabilites + stockholders equity</t>
  </si>
  <si>
    <t>Other receivables</t>
  </si>
  <si>
    <t>Long term Deferred Tax Assets</t>
  </si>
  <si>
    <t>Total:</t>
  </si>
  <si>
    <t>Other current liabilities</t>
  </si>
  <si>
    <t>Total liabilities</t>
  </si>
  <si>
    <t>Other long term liabilities</t>
  </si>
  <si>
    <t>Average Revenue Growth</t>
  </si>
  <si>
    <t>Q126</t>
  </si>
  <si>
    <t>Q227</t>
  </si>
  <si>
    <t>Q326</t>
  </si>
  <si>
    <t>Q226</t>
  </si>
  <si>
    <t>Q426</t>
  </si>
  <si>
    <t>Q127</t>
  </si>
  <si>
    <t>Q327</t>
  </si>
  <si>
    <t>Q427</t>
  </si>
  <si>
    <t>Maturity</t>
  </si>
  <si>
    <t>Discount</t>
  </si>
  <si>
    <t>NPV</t>
  </si>
  <si>
    <t>S/O</t>
  </si>
  <si>
    <t>Difference</t>
  </si>
  <si>
    <t>Revenue climbing mainly during game releases</t>
  </si>
  <si>
    <t>GTA 6 release date fall 2025</t>
  </si>
  <si>
    <t>Upcoming games:</t>
  </si>
  <si>
    <t>GTA 6</t>
  </si>
  <si>
    <t>Civ 7</t>
  </si>
  <si>
    <t>CEO Strauss Zelnick</t>
  </si>
  <si>
    <t xml:space="preserve"> Founded 1993</t>
  </si>
  <si>
    <t>Take Two isa leading developer, publisher and marketer of video games.</t>
  </si>
  <si>
    <t>Before GTA releases it has volatile price movements if something goes bad.</t>
  </si>
  <si>
    <t>Future releases:</t>
  </si>
  <si>
    <t>GTA6</t>
  </si>
  <si>
    <t>CIV7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</si>
</sst>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4" fontId="0" fillId="0" borderId="0" xfId="0" applyNumberFormat="1" applyFont="1"/>
    <xf numFmtId="3" fontId="0" fillId="0" borderId="0" xfId="0" applyNumberFormat="1" applyFont="1"/>
    <xf numFmtId="9" fontId="0" fillId="0" borderId="0" xfId="0" applyNumberFormat="1" applyFont="1"/>
    <xf numFmtId="0" fontId="0" fillId="0" borderId="0" xfId="0" applyBorder="1"/>
    <xf numFmtId="0" fontId="1" fillId="0" borderId="0" xfId="0" applyFont="1" applyBorder="1"/>
    <xf numFmtId="8" fontId="0" fillId="0" borderId="0" xfId="0" applyNumberFormat="1"/>
    <xf numFmtId="3" fontId="0" fillId="0" borderId="0" xfId="0" applyNumberFormat="1" applyBorder="1"/>
    <xf numFmtId="8" fontId="1" fillId="0" borderId="0" xfId="0" applyNumberFormat="1" applyFont="1"/>
    <xf numFmtId="6" fontId="0" fillId="0" borderId="0" xfId="0" applyNumberFormat="1"/>
    <xf numFmtId="3" fontId="0" fillId="0" borderId="0" xfId="0" applyNumberFormat="1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20</xdr:col>
      <xdr:colOff>19050</xdr:colOff>
      <xdr:row>30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A2FD7F-E732-1411-6A0E-2E45927812D6}"/>
            </a:ext>
          </a:extLst>
        </xdr:cNvPr>
        <xdr:cNvCxnSpPr/>
      </xdr:nvCxnSpPr>
      <xdr:spPr>
        <a:xfrm>
          <a:off x="13935075" y="190500"/>
          <a:ext cx="19050" cy="5534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Stock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59D1-5C9C-4FC0-822C-21DD23B47162}">
  <sheetPr codeName="Sheet1"/>
  <dimension ref="A1:I24"/>
  <sheetViews>
    <sheetView tabSelected="1" workbookViewId="0">
      <selection activeCell="B9" sqref="B9"/>
    </sheetView>
  </sheetViews>
  <sheetFormatPr defaultRowHeight="15" x14ac:dyDescent="0.25"/>
  <cols>
    <col min="2" max="2" width="43.28515625" bestFit="1" customWidth="1"/>
    <col min="9" max="9" width="13.85546875" bestFit="1" customWidth="1"/>
  </cols>
  <sheetData>
    <row r="1" spans="1:9" x14ac:dyDescent="0.25">
      <c r="A1" t="s">
        <v>19</v>
      </c>
    </row>
    <row r="2" spans="1:9" x14ac:dyDescent="0.25">
      <c r="B2" s="5" t="s">
        <v>20</v>
      </c>
    </row>
    <row r="3" spans="1:9" x14ac:dyDescent="0.25">
      <c r="B3" t="s">
        <v>23</v>
      </c>
      <c r="C3" t="s">
        <v>26</v>
      </c>
      <c r="D3" s="5" t="s">
        <v>97</v>
      </c>
    </row>
    <row r="4" spans="1:9" x14ac:dyDescent="0.25">
      <c r="B4" t="s">
        <v>24</v>
      </c>
      <c r="C4" t="s">
        <v>27</v>
      </c>
      <c r="H4" t="s">
        <v>0</v>
      </c>
      <c r="I4" s="2">
        <v>182.34</v>
      </c>
    </row>
    <row r="5" spans="1:9" x14ac:dyDescent="0.25">
      <c r="B5" t="s">
        <v>25</v>
      </c>
      <c r="C5" t="s">
        <v>28</v>
      </c>
      <c r="H5" t="s">
        <v>5</v>
      </c>
      <c r="I5" s="3">
        <v>175</v>
      </c>
    </row>
    <row r="6" spans="1:9" x14ac:dyDescent="0.25">
      <c r="B6" s="5" t="s">
        <v>105</v>
      </c>
      <c r="H6" t="s">
        <v>1</v>
      </c>
      <c r="I6" s="3">
        <f>I5*I4</f>
        <v>31909.5</v>
      </c>
    </row>
    <row r="7" spans="1:9" x14ac:dyDescent="0.25">
      <c r="B7" t="s">
        <v>106</v>
      </c>
      <c r="H7" t="s">
        <v>2</v>
      </c>
      <c r="I7" s="3">
        <f>876.1+357.5+3.5</f>
        <v>1237.0999999999999</v>
      </c>
    </row>
    <row r="8" spans="1:9" x14ac:dyDescent="0.25">
      <c r="B8" t="s">
        <v>107</v>
      </c>
      <c r="H8" t="s">
        <v>3</v>
      </c>
      <c r="I8" s="3">
        <f>599.2+3055</f>
        <v>3654.2</v>
      </c>
    </row>
    <row r="9" spans="1:9" s="13" customFormat="1" x14ac:dyDescent="0.25">
      <c r="H9" s="5" t="s">
        <v>4</v>
      </c>
      <c r="I9" s="6">
        <f>I6+I8-I7</f>
        <v>34326.6</v>
      </c>
    </row>
    <row r="10" spans="1:9" x14ac:dyDescent="0.25">
      <c r="I10" s="3"/>
    </row>
    <row r="11" spans="1:9" s="13" customFormat="1" x14ac:dyDescent="0.25">
      <c r="I11" s="19"/>
    </row>
    <row r="13" spans="1:9" x14ac:dyDescent="0.25">
      <c r="B13" t="s">
        <v>96</v>
      </c>
    </row>
    <row r="14" spans="1:9" x14ac:dyDescent="0.25">
      <c r="B14" t="s">
        <v>98</v>
      </c>
      <c r="C14" t="s">
        <v>99</v>
      </c>
    </row>
    <row r="15" spans="1:9" x14ac:dyDescent="0.25">
      <c r="C15" t="s">
        <v>100</v>
      </c>
    </row>
    <row r="16" spans="1:9" x14ac:dyDescent="0.25">
      <c r="B16" s="5" t="s">
        <v>101</v>
      </c>
    </row>
    <row r="17" spans="2:3" x14ac:dyDescent="0.25">
      <c r="B17" t="s">
        <v>102</v>
      </c>
    </row>
    <row r="18" spans="2:3" x14ac:dyDescent="0.25">
      <c r="B18" s="5" t="s">
        <v>29</v>
      </c>
    </row>
    <row r="19" spans="2:3" x14ac:dyDescent="0.25">
      <c r="B19" t="s">
        <v>21</v>
      </c>
      <c r="C19" s="4">
        <v>0.9</v>
      </c>
    </row>
    <row r="20" spans="2:3" x14ac:dyDescent="0.25">
      <c r="B20" t="s">
        <v>22</v>
      </c>
      <c r="C20" s="4">
        <v>0.1</v>
      </c>
    </row>
    <row r="22" spans="2:3" x14ac:dyDescent="0.25">
      <c r="B22" t="s">
        <v>103</v>
      </c>
    </row>
    <row r="24" spans="2:3" x14ac:dyDescent="0.25">
      <c r="B24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5FD-B2CE-40F3-9CBA-5B051E2FF6AD}">
  <sheetPr codeName="Sheet2"/>
  <dimension ref="A1:BR54"/>
  <sheetViews>
    <sheetView zoomScaleNormal="10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N35" sqref="N35"/>
    </sheetView>
  </sheetViews>
  <sheetFormatPr defaultRowHeight="15" x14ac:dyDescent="0.25"/>
  <cols>
    <col min="2" max="2" width="33.285156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2" width="9.42578125" bestFit="1" customWidth="1"/>
    <col min="13" max="13" width="10.42578125" bestFit="1" customWidth="1"/>
    <col min="14" max="16" width="9.42578125" bestFit="1" customWidth="1"/>
    <col min="17" max="17" width="10.42578125" bestFit="1" customWidth="1"/>
    <col min="18" max="20" width="9.42578125" bestFit="1" customWidth="1"/>
    <col min="21" max="21" width="10.42578125" bestFit="1" customWidth="1"/>
    <col min="23" max="23" width="15.5703125" bestFit="1" customWidth="1"/>
    <col min="30" max="30" width="9.140625" style="13"/>
  </cols>
  <sheetData>
    <row r="1" spans="1:44" x14ac:dyDescent="0.25">
      <c r="A1" s="1" t="s">
        <v>6</v>
      </c>
      <c r="G1" s="20">
        <v>44377</v>
      </c>
      <c r="H1" s="20">
        <v>44469</v>
      </c>
      <c r="I1" s="20">
        <v>44561</v>
      </c>
      <c r="J1" s="20">
        <v>44651</v>
      </c>
      <c r="K1" s="20">
        <v>44742</v>
      </c>
      <c r="L1" s="20">
        <v>44834</v>
      </c>
      <c r="M1" s="20">
        <v>45291</v>
      </c>
      <c r="N1" s="20">
        <v>45016</v>
      </c>
      <c r="O1" s="20">
        <v>45107</v>
      </c>
      <c r="P1" s="20">
        <v>45199</v>
      </c>
      <c r="Q1" s="20">
        <v>45291</v>
      </c>
      <c r="R1" s="20">
        <v>45382</v>
      </c>
      <c r="S1" s="20">
        <v>45473</v>
      </c>
      <c r="T1" s="20">
        <v>45565</v>
      </c>
      <c r="U1" s="20">
        <v>45657</v>
      </c>
    </row>
    <row r="2" spans="1:44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42</v>
      </c>
      <c r="P2" t="s">
        <v>43</v>
      </c>
      <c r="Q2" t="s">
        <v>44</v>
      </c>
      <c r="R2" t="s">
        <v>45</v>
      </c>
      <c r="S2" t="s">
        <v>51</v>
      </c>
      <c r="T2" t="s">
        <v>52</v>
      </c>
      <c r="U2" t="s">
        <v>53</v>
      </c>
      <c r="V2" t="s">
        <v>54</v>
      </c>
      <c r="W2" t="s">
        <v>83</v>
      </c>
      <c r="X2" t="s">
        <v>86</v>
      </c>
      <c r="Y2" t="s">
        <v>85</v>
      </c>
      <c r="Z2" t="s">
        <v>87</v>
      </c>
      <c r="AA2" t="s">
        <v>88</v>
      </c>
      <c r="AB2" t="s">
        <v>84</v>
      </c>
      <c r="AC2" t="s">
        <v>89</v>
      </c>
      <c r="AD2" t="s">
        <v>90</v>
      </c>
      <c r="AF2">
        <v>2021</v>
      </c>
      <c r="AG2">
        <v>2022</v>
      </c>
      <c r="AH2">
        <v>2023</v>
      </c>
      <c r="AI2">
        <v>2024</v>
      </c>
    </row>
    <row r="3" spans="1:44" x14ac:dyDescent="0.25">
      <c r="B3" t="s">
        <v>21</v>
      </c>
      <c r="G3" s="8"/>
      <c r="H3" s="10"/>
      <c r="I3" s="8"/>
      <c r="J3" s="8">
        <v>1019</v>
      </c>
      <c r="K3" s="8"/>
      <c r="L3" s="8">
        <v>1218</v>
      </c>
      <c r="M3" s="8">
        <v>1231</v>
      </c>
      <c r="N3" s="8">
        <v>1233</v>
      </c>
      <c r="O3" s="8">
        <v>1096</v>
      </c>
      <c r="P3" s="8">
        <v>1128</v>
      </c>
      <c r="Q3" s="8" cm="1">
        <f t="array" aca="1" ref="Q3" ca="1">+W9+Q3+Q3:Q21</f>
        <v>0</v>
      </c>
      <c r="S3" s="8">
        <v>1216</v>
      </c>
      <c r="U3">
        <f>1216*1.6</f>
        <v>1945.6000000000001</v>
      </c>
      <c r="V3">
        <f t="shared" ref="V3" si="0">1216*1.6</f>
        <v>1945.6000000000001</v>
      </c>
      <c r="W3">
        <f>1216*1.6</f>
        <v>1945.6000000000001</v>
      </c>
      <c r="X3" s="8">
        <f>W3*1.6</f>
        <v>3112.9600000000005</v>
      </c>
      <c r="Y3" s="8">
        <f t="shared" ref="Y3:Z3" si="1">X3*1.6</f>
        <v>4980.7360000000008</v>
      </c>
      <c r="Z3" s="8">
        <f t="shared" si="1"/>
        <v>7969.1776000000018</v>
      </c>
      <c r="AA3" s="8">
        <f>Z3*0.9</f>
        <v>7172.2598400000015</v>
      </c>
      <c r="AB3" s="8">
        <f t="shared" ref="AB3:AD3" si="2">AA3*0.9</f>
        <v>6455.0338560000018</v>
      </c>
      <c r="AC3" s="8">
        <f t="shared" si="2"/>
        <v>5809.5304704000018</v>
      </c>
      <c r="AD3" s="8">
        <f t="shared" si="2"/>
        <v>5228.5774233600014</v>
      </c>
    </row>
    <row r="4" spans="1:44" x14ac:dyDescent="0.25">
      <c r="B4" t="s">
        <v>22</v>
      </c>
      <c r="H4" s="10"/>
      <c r="J4">
        <v>83</v>
      </c>
      <c r="L4">
        <v>174</v>
      </c>
      <c r="M4">
        <v>176</v>
      </c>
      <c r="N4">
        <v>119</v>
      </c>
      <c r="O4">
        <v>188</v>
      </c>
      <c r="P4">
        <v>170</v>
      </c>
      <c r="Q4">
        <v>158</v>
      </c>
      <c r="S4">
        <v>121</v>
      </c>
      <c r="U4" s="8">
        <v>120</v>
      </c>
      <c r="V4" s="8">
        <f>U4*0.8</f>
        <v>96</v>
      </c>
      <c r="W4" s="8">
        <f t="shared" ref="W4:X4" si="3">V4*0.8</f>
        <v>76.800000000000011</v>
      </c>
      <c r="X4" s="8">
        <f t="shared" si="3"/>
        <v>61.440000000000012</v>
      </c>
      <c r="Y4" s="8">
        <f>X4*1.3</f>
        <v>79.872000000000014</v>
      </c>
      <c r="Z4" s="8">
        <f t="shared" ref="Z4:AD4" si="4">Y4*1.3</f>
        <v>103.83360000000002</v>
      </c>
      <c r="AA4" s="8">
        <f t="shared" si="4"/>
        <v>134.98368000000002</v>
      </c>
      <c r="AB4" s="8">
        <f t="shared" si="4"/>
        <v>175.47878400000005</v>
      </c>
      <c r="AC4" s="8">
        <f t="shared" si="4"/>
        <v>228.12241920000008</v>
      </c>
      <c r="AD4" s="8">
        <f t="shared" si="4"/>
        <v>296.55914496000014</v>
      </c>
    </row>
    <row r="5" spans="1:44" s="5" customFormat="1" x14ac:dyDescent="0.25">
      <c r="B5" s="5" t="s">
        <v>30</v>
      </c>
      <c r="G5" s="9"/>
      <c r="H5" s="9">
        <v>858</v>
      </c>
      <c r="I5" s="9">
        <v>903</v>
      </c>
      <c r="J5" s="9">
        <f t="shared" ref="J5:Q5" si="5">J3+J4</f>
        <v>1102</v>
      </c>
      <c r="K5" s="9">
        <v>1102</v>
      </c>
      <c r="L5" s="9">
        <f t="shared" si="5"/>
        <v>1392</v>
      </c>
      <c r="M5" s="9">
        <f>M3+M4</f>
        <v>1407</v>
      </c>
      <c r="N5" s="9">
        <f t="shared" si="5"/>
        <v>1352</v>
      </c>
      <c r="O5" s="9">
        <f t="shared" si="5"/>
        <v>1284</v>
      </c>
      <c r="P5" s="9">
        <f t="shared" si="5"/>
        <v>1298</v>
      </c>
      <c r="Q5" s="9">
        <f t="shared" ca="1" si="5"/>
        <v>1366</v>
      </c>
      <c r="R5" s="9">
        <v>1299</v>
      </c>
      <c r="S5" s="9">
        <f t="shared" ref="S5" si="6">S3+S4</f>
        <v>1337</v>
      </c>
      <c r="T5" s="9">
        <v>1353</v>
      </c>
      <c r="U5" s="9">
        <f t="shared" ref="U5" si="7">U3+U4</f>
        <v>2065.6000000000004</v>
      </c>
      <c r="V5" s="9">
        <f>V3+V4</f>
        <v>2041.6000000000001</v>
      </c>
      <c r="W5" s="9">
        <f t="shared" ref="W5" si="8">W3+W4</f>
        <v>2022.4</v>
      </c>
      <c r="X5" s="9">
        <f t="shared" ref="X5" si="9">X3+X4</f>
        <v>3174.4000000000005</v>
      </c>
      <c r="Y5" s="9">
        <f t="shared" ref="Y5" si="10">Y3+Y4</f>
        <v>5060.6080000000011</v>
      </c>
      <c r="Z5" s="9">
        <f t="shared" ref="Z5" si="11">Z3+Z4</f>
        <v>8073.0112000000017</v>
      </c>
      <c r="AA5" s="9">
        <f t="shared" ref="AA5" si="12">AA3+AA4</f>
        <v>7307.2435200000018</v>
      </c>
      <c r="AB5" s="9">
        <f t="shared" ref="AB5" si="13">AB3+AB4</f>
        <v>6630.5126400000017</v>
      </c>
      <c r="AC5" s="9">
        <f t="shared" ref="AC5" si="14">AC3+AC4</f>
        <v>6037.6528896000018</v>
      </c>
      <c r="AD5" s="9">
        <f t="shared" ref="AD5" si="15">AD3+AD4</f>
        <v>5525.136568320002</v>
      </c>
      <c r="AE5" s="9">
        <f>AD5*0.9</f>
        <v>4972.6229114880016</v>
      </c>
      <c r="AF5" s="9">
        <f t="shared" ref="AF5:AR5" si="16">AE5*0.9</f>
        <v>4475.3606203392019</v>
      </c>
      <c r="AG5" s="9">
        <f t="shared" si="16"/>
        <v>4027.8245583052817</v>
      </c>
      <c r="AH5" s="9">
        <f t="shared" si="16"/>
        <v>3625.0421024747534</v>
      </c>
      <c r="AI5" s="9">
        <f t="shared" si="16"/>
        <v>3262.537892227278</v>
      </c>
      <c r="AJ5" s="9">
        <f t="shared" si="16"/>
        <v>2936.2841030045502</v>
      </c>
      <c r="AK5" s="9">
        <f t="shared" si="16"/>
        <v>2642.6556927040951</v>
      </c>
      <c r="AL5" s="9">
        <f t="shared" si="16"/>
        <v>2378.3901234336859</v>
      </c>
      <c r="AM5" s="9">
        <f t="shared" si="16"/>
        <v>2140.5511110903171</v>
      </c>
      <c r="AN5" s="9">
        <f t="shared" si="16"/>
        <v>1926.4959999812854</v>
      </c>
      <c r="AO5" s="9">
        <f t="shared" si="16"/>
        <v>1733.846399983157</v>
      </c>
      <c r="AP5" s="9">
        <f t="shared" si="16"/>
        <v>1560.4617599848414</v>
      </c>
      <c r="AQ5" s="9">
        <f t="shared" si="16"/>
        <v>1404.4155839863572</v>
      </c>
      <c r="AR5" s="9">
        <f t="shared" si="16"/>
        <v>1263.9740255877216</v>
      </c>
    </row>
    <row r="6" spans="1:44" x14ac:dyDescent="0.25">
      <c r="B6" t="s">
        <v>31</v>
      </c>
      <c r="H6" s="11">
        <v>456</v>
      </c>
      <c r="I6" s="11">
        <v>350</v>
      </c>
      <c r="J6" s="11">
        <v>435</v>
      </c>
      <c r="K6" s="11">
        <v>415</v>
      </c>
      <c r="L6">
        <v>713</v>
      </c>
      <c r="M6">
        <v>691</v>
      </c>
      <c r="N6">
        <v>625</v>
      </c>
      <c r="O6">
        <v>605</v>
      </c>
      <c r="P6">
        <v>883</v>
      </c>
      <c r="Q6">
        <v>634</v>
      </c>
      <c r="R6" s="8">
        <v>660</v>
      </c>
      <c r="S6">
        <v>567</v>
      </c>
      <c r="T6" s="8">
        <v>613</v>
      </c>
      <c r="U6" s="8">
        <f>U5-U7</f>
        <v>1032.8000000000002</v>
      </c>
      <c r="V6" s="8">
        <f t="shared" ref="V6:X6" si="17">V5-V7</f>
        <v>1020.8000000000001</v>
      </c>
      <c r="W6" s="8">
        <f t="shared" si="17"/>
        <v>1011.2</v>
      </c>
      <c r="X6" s="8">
        <f t="shared" si="17"/>
        <v>1587.2000000000003</v>
      </c>
      <c r="Y6" s="8">
        <f>Y5-Y7*0.9</f>
        <v>2783.3344000000006</v>
      </c>
      <c r="Z6" s="8">
        <f t="shared" ref="Z6:AD6" si="18">Z5-Z7*0.9</f>
        <v>4440.1561600000005</v>
      </c>
      <c r="AA6" s="8">
        <f t="shared" si="18"/>
        <v>4018.983936000001</v>
      </c>
      <c r="AB6" s="8">
        <f t="shared" si="18"/>
        <v>3646.7819520000007</v>
      </c>
      <c r="AC6" s="8">
        <f t="shared" si="18"/>
        <v>3320.7090892800011</v>
      </c>
      <c r="AD6" s="8">
        <f t="shared" si="18"/>
        <v>3038.8251125760012</v>
      </c>
    </row>
    <row r="7" spans="1:44" s="5" customFormat="1" x14ac:dyDescent="0.25">
      <c r="B7" s="5" t="s">
        <v>32</v>
      </c>
      <c r="H7" s="9">
        <f t="shared" ref="H7:M7" si="19">H5-H6</f>
        <v>402</v>
      </c>
      <c r="I7" s="9">
        <f>I5-I6</f>
        <v>553</v>
      </c>
      <c r="J7" s="9">
        <f t="shared" si="19"/>
        <v>667</v>
      </c>
      <c r="K7" s="5">
        <v>686</v>
      </c>
      <c r="L7" s="5">
        <f t="shared" si="19"/>
        <v>679</v>
      </c>
      <c r="M7" s="5">
        <f t="shared" si="19"/>
        <v>716</v>
      </c>
      <c r="N7" s="5">
        <f>N5-N6</f>
        <v>727</v>
      </c>
      <c r="O7" s="5">
        <f>O5-O6</f>
        <v>679</v>
      </c>
      <c r="P7" s="5">
        <f>P5-P6</f>
        <v>415</v>
      </c>
      <c r="Q7" s="5">
        <v>731</v>
      </c>
      <c r="R7" s="9">
        <v>638</v>
      </c>
      <c r="S7" s="5">
        <v>771</v>
      </c>
      <c r="T7" s="9">
        <v>739</v>
      </c>
      <c r="U7" s="9">
        <f>U5*0.5</f>
        <v>1032.8000000000002</v>
      </c>
      <c r="V7" s="9">
        <f t="shared" ref="V7:AD7" si="20">V5*0.5</f>
        <v>1020.8000000000001</v>
      </c>
      <c r="W7" s="9">
        <f t="shared" si="20"/>
        <v>1011.2</v>
      </c>
      <c r="X7" s="9">
        <f t="shared" si="20"/>
        <v>1587.2000000000003</v>
      </c>
      <c r="Y7" s="9">
        <f t="shared" si="20"/>
        <v>2530.3040000000005</v>
      </c>
      <c r="Z7" s="9">
        <f t="shared" si="20"/>
        <v>4036.5056000000009</v>
      </c>
      <c r="AA7" s="9">
        <f t="shared" si="20"/>
        <v>3653.6217600000009</v>
      </c>
      <c r="AB7" s="9">
        <f t="shared" si="20"/>
        <v>3315.2563200000009</v>
      </c>
      <c r="AC7" s="9">
        <f t="shared" si="20"/>
        <v>3018.8264448000009</v>
      </c>
      <c r="AD7" s="9">
        <f t="shared" si="20"/>
        <v>2762.568284160001</v>
      </c>
    </row>
    <row r="8" spans="1:44" x14ac:dyDescent="0.25">
      <c r="B8" t="s">
        <v>50</v>
      </c>
      <c r="H8" s="11">
        <v>136</v>
      </c>
      <c r="I8" s="11">
        <v>135</v>
      </c>
      <c r="J8" s="11">
        <v>272</v>
      </c>
      <c r="K8" s="11">
        <v>509</v>
      </c>
      <c r="L8">
        <v>444</v>
      </c>
      <c r="M8">
        <v>446</v>
      </c>
      <c r="N8">
        <v>461</v>
      </c>
      <c r="O8">
        <v>399</v>
      </c>
      <c r="P8">
        <v>334</v>
      </c>
      <c r="Q8">
        <v>532</v>
      </c>
      <c r="R8" s="8">
        <v>512</v>
      </c>
      <c r="S8">
        <v>431</v>
      </c>
      <c r="T8" s="8">
        <v>713</v>
      </c>
      <c r="U8" s="8"/>
      <c r="V8" s="8"/>
      <c r="W8" s="8"/>
      <c r="X8" s="8"/>
      <c r="Y8" s="8"/>
      <c r="Z8" s="8"/>
      <c r="AA8" s="8"/>
      <c r="AB8" s="8"/>
      <c r="AC8" s="8"/>
      <c r="AD8" s="16"/>
    </row>
    <row r="9" spans="1:44" x14ac:dyDescent="0.25">
      <c r="B9" s="7" t="s">
        <v>33</v>
      </c>
      <c r="H9" s="11">
        <v>101</v>
      </c>
      <c r="I9" s="11">
        <v>116</v>
      </c>
      <c r="J9" s="11">
        <v>172</v>
      </c>
      <c r="K9" s="11">
        <v>172</v>
      </c>
      <c r="L9">
        <v>243</v>
      </c>
      <c r="M9">
        <v>238</v>
      </c>
      <c r="N9">
        <v>246</v>
      </c>
      <c r="O9">
        <v>238</v>
      </c>
      <c r="P9">
        <v>232</v>
      </c>
      <c r="Q9">
        <v>232</v>
      </c>
      <c r="R9" s="11">
        <v>232</v>
      </c>
      <c r="S9">
        <v>219</v>
      </c>
      <c r="T9" s="9">
        <v>246</v>
      </c>
      <c r="U9" s="8"/>
      <c r="V9" s="8"/>
      <c r="W9" s="8"/>
      <c r="X9" s="8"/>
      <c r="Y9" s="8"/>
      <c r="Z9" s="8"/>
      <c r="AA9" s="8"/>
      <c r="AB9" s="8"/>
      <c r="AC9" s="8"/>
      <c r="AD9" s="16"/>
    </row>
    <row r="10" spans="1:44" x14ac:dyDescent="0.25">
      <c r="B10" s="7" t="s">
        <v>34</v>
      </c>
      <c r="H10" s="11">
        <v>127</v>
      </c>
      <c r="I10" s="11">
        <v>130</v>
      </c>
      <c r="J10" s="11">
        <v>237</v>
      </c>
      <c r="L10">
        <v>214</v>
      </c>
      <c r="M10">
        <v>169</v>
      </c>
      <c r="N10">
        <v>253</v>
      </c>
      <c r="O10">
        <v>197</v>
      </c>
      <c r="P10">
        <v>178</v>
      </c>
      <c r="Q10">
        <v>165</v>
      </c>
      <c r="R10" s="8"/>
      <c r="S10">
        <v>210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16"/>
    </row>
    <row r="11" spans="1:44" x14ac:dyDescent="0.25">
      <c r="B11" s="7" t="s">
        <v>35</v>
      </c>
      <c r="H11" s="11">
        <v>16</v>
      </c>
      <c r="I11" s="11">
        <v>159</v>
      </c>
      <c r="J11" s="11">
        <v>22</v>
      </c>
      <c r="L11">
        <v>30</v>
      </c>
      <c r="M11">
        <v>35</v>
      </c>
      <c r="N11">
        <v>47</v>
      </c>
      <c r="O11">
        <v>40</v>
      </c>
      <c r="P11">
        <v>45</v>
      </c>
      <c r="Q11">
        <v>42</v>
      </c>
      <c r="R11" s="8"/>
      <c r="S11">
        <v>45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16"/>
    </row>
    <row r="12" spans="1:44" x14ac:dyDescent="0.25">
      <c r="B12" s="7" t="s">
        <v>36</v>
      </c>
      <c r="H12" s="11">
        <v>0</v>
      </c>
      <c r="I12" s="11">
        <v>0</v>
      </c>
      <c r="J12" s="11">
        <v>0</v>
      </c>
      <c r="L12">
        <v>0</v>
      </c>
      <c r="M12">
        <v>0</v>
      </c>
      <c r="N12" t="s">
        <v>46</v>
      </c>
      <c r="O12">
        <v>0</v>
      </c>
      <c r="P12">
        <v>165</v>
      </c>
      <c r="Q12">
        <v>0</v>
      </c>
      <c r="R12" s="8"/>
      <c r="S12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16"/>
    </row>
    <row r="13" spans="1:44" x14ac:dyDescent="0.25">
      <c r="B13" s="7" t="s">
        <v>37</v>
      </c>
      <c r="H13" s="11">
        <v>326</v>
      </c>
      <c r="I13" s="11">
        <v>123</v>
      </c>
      <c r="J13" s="11">
        <v>0</v>
      </c>
      <c r="L13">
        <v>0</v>
      </c>
      <c r="M13">
        <v>0</v>
      </c>
      <c r="N13">
        <v>16</v>
      </c>
      <c r="O13">
        <v>7</v>
      </c>
      <c r="P13">
        <v>3</v>
      </c>
      <c r="Q13">
        <v>0</v>
      </c>
      <c r="R13" s="8"/>
      <c r="S13">
        <v>49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16"/>
    </row>
    <row r="14" spans="1:44" s="5" customFormat="1" x14ac:dyDescent="0.25">
      <c r="B14" s="5" t="s">
        <v>38</v>
      </c>
      <c r="H14" s="9">
        <f t="shared" ref="H14:M14" si="21">H8+H9+H10+H11+H12+H13</f>
        <v>706</v>
      </c>
      <c r="I14" s="9">
        <f t="shared" si="21"/>
        <v>663</v>
      </c>
      <c r="J14" s="9">
        <f t="shared" si="21"/>
        <v>703</v>
      </c>
      <c r="K14" s="5">
        <v>704</v>
      </c>
      <c r="L14" s="5">
        <f t="shared" si="21"/>
        <v>931</v>
      </c>
      <c r="M14" s="5">
        <f t="shared" si="21"/>
        <v>888</v>
      </c>
      <c r="N14" s="5">
        <f>N8+N9+N10+N11+N13</f>
        <v>1023</v>
      </c>
      <c r="O14" s="5">
        <f>O8+O9+O10+O11+O12+O13</f>
        <v>881</v>
      </c>
      <c r="P14" s="5">
        <f>P8+P9+P10+P11+P12+P13</f>
        <v>957</v>
      </c>
      <c r="Q14" s="5">
        <v>918</v>
      </c>
      <c r="R14" s="9">
        <v>790</v>
      </c>
      <c r="S14" s="5">
        <f t="shared" ref="S14" si="22">S8+S9+S10+S11+S12+S13</f>
        <v>954</v>
      </c>
      <c r="T14" s="9">
        <v>1008</v>
      </c>
      <c r="U14" s="9">
        <f>T14*1.2</f>
        <v>1209.5999999999999</v>
      </c>
      <c r="V14" s="9">
        <f t="shared" ref="V14:AD14" si="23">U14*1.2</f>
        <v>1451.5199999999998</v>
      </c>
      <c r="W14" s="9">
        <f t="shared" si="23"/>
        <v>1741.8239999999996</v>
      </c>
      <c r="X14" s="9">
        <f t="shared" si="23"/>
        <v>2090.1887999999994</v>
      </c>
      <c r="Y14" s="9">
        <f t="shared" si="23"/>
        <v>2508.2265599999992</v>
      </c>
      <c r="Z14" s="9">
        <f t="shared" si="23"/>
        <v>3009.8718719999988</v>
      </c>
      <c r="AA14" s="9">
        <f t="shared" si="23"/>
        <v>3611.8462463999986</v>
      </c>
      <c r="AB14" s="9">
        <f t="shared" si="23"/>
        <v>4334.2154956799977</v>
      </c>
      <c r="AC14" s="9">
        <f t="shared" si="23"/>
        <v>5201.0585948159969</v>
      </c>
      <c r="AD14" s="9">
        <f t="shared" si="23"/>
        <v>6241.2703137791959</v>
      </c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x14ac:dyDescent="0.25">
      <c r="B15" s="7" t="s">
        <v>55</v>
      </c>
      <c r="H15" s="11">
        <v>20</v>
      </c>
      <c r="I15" s="11">
        <v>154</v>
      </c>
      <c r="J15" s="11">
        <v>-37</v>
      </c>
      <c r="K15" s="11">
        <v>-17</v>
      </c>
      <c r="L15">
        <v>-252</v>
      </c>
      <c r="M15">
        <v>-172</v>
      </c>
      <c r="N15">
        <v>-297</v>
      </c>
      <c r="O15">
        <v>-204</v>
      </c>
      <c r="P15">
        <v>-543</v>
      </c>
      <c r="Q15">
        <v>-76</v>
      </c>
      <c r="R15" s="8">
        <v>-151</v>
      </c>
      <c r="S15">
        <v>-185</v>
      </c>
      <c r="T15" s="8">
        <v>-268</v>
      </c>
      <c r="U15">
        <v>-252</v>
      </c>
      <c r="V15">
        <v>-172</v>
      </c>
      <c r="W15">
        <v>-297</v>
      </c>
      <c r="X15">
        <v>-204</v>
      </c>
      <c r="Y15">
        <v>-543</v>
      </c>
      <c r="Z15">
        <v>-76</v>
      </c>
      <c r="AA15" s="8">
        <v>-151</v>
      </c>
      <c r="AB15">
        <v>-185</v>
      </c>
      <c r="AC15" s="8"/>
      <c r="AD15" s="16"/>
    </row>
    <row r="16" spans="1:44" x14ac:dyDescent="0.25">
      <c r="B16" s="7" t="s">
        <v>39</v>
      </c>
      <c r="H16" s="11">
        <v>-572</v>
      </c>
      <c r="I16" s="11">
        <v>-560</v>
      </c>
      <c r="J16" s="11">
        <v>-29</v>
      </c>
      <c r="K16" s="11">
        <v>-21</v>
      </c>
      <c r="L16">
        <v>-50</v>
      </c>
      <c r="M16">
        <v>-28</v>
      </c>
      <c r="N16">
        <v>-26</v>
      </c>
      <c r="O16">
        <v>-25</v>
      </c>
      <c r="P16">
        <v>-31</v>
      </c>
      <c r="Q16">
        <v>-22</v>
      </c>
      <c r="R16" s="8"/>
      <c r="S16">
        <v>-24</v>
      </c>
      <c r="T16" s="8"/>
      <c r="U16">
        <v>-50</v>
      </c>
      <c r="V16">
        <v>-28</v>
      </c>
      <c r="W16">
        <v>-26</v>
      </c>
      <c r="X16">
        <v>-25</v>
      </c>
      <c r="Y16">
        <v>-31</v>
      </c>
      <c r="Z16">
        <v>-22</v>
      </c>
      <c r="AA16" s="8"/>
      <c r="AB16">
        <v>-24</v>
      </c>
      <c r="AC16" s="8"/>
      <c r="AD16" s="16"/>
    </row>
    <row r="17" spans="2:70" x14ac:dyDescent="0.25">
      <c r="B17" s="7" t="s">
        <v>40</v>
      </c>
      <c r="H17" s="11">
        <v>3</v>
      </c>
      <c r="I17" s="11">
        <v>3</v>
      </c>
      <c r="J17" s="11">
        <v>-39</v>
      </c>
      <c r="L17">
        <v>0</v>
      </c>
      <c r="M17">
        <v>1</v>
      </c>
      <c r="N17">
        <v>-1</v>
      </c>
      <c r="O17">
        <v>1</v>
      </c>
      <c r="P17">
        <v>-2</v>
      </c>
      <c r="Q17">
        <v>0</v>
      </c>
      <c r="R17" s="8"/>
      <c r="S17">
        <v>-3</v>
      </c>
      <c r="T17" s="8"/>
      <c r="U17">
        <v>0</v>
      </c>
      <c r="V17">
        <v>1</v>
      </c>
      <c r="W17">
        <v>-1</v>
      </c>
      <c r="X17">
        <v>1</v>
      </c>
      <c r="Y17">
        <v>-2</v>
      </c>
      <c r="Z17">
        <v>0</v>
      </c>
      <c r="AA17" s="8"/>
      <c r="AB17">
        <v>-3</v>
      </c>
      <c r="AC17" s="8"/>
      <c r="AD17" s="16"/>
    </row>
    <row r="18" spans="2:70" s="7" customFormat="1" x14ac:dyDescent="0.25">
      <c r="B18" s="7" t="s">
        <v>48</v>
      </c>
      <c r="H18" s="11">
        <f t="shared" ref="H18:P18" si="24">H15+H16+H17</f>
        <v>-549</v>
      </c>
      <c r="I18" s="11">
        <f t="shared" si="24"/>
        <v>-403</v>
      </c>
      <c r="J18" s="11">
        <f t="shared" si="24"/>
        <v>-105</v>
      </c>
      <c r="K18" s="7">
        <v>-106</v>
      </c>
      <c r="L18" s="7">
        <f t="shared" si="24"/>
        <v>-302</v>
      </c>
      <c r="M18" s="7">
        <f t="shared" si="24"/>
        <v>-199</v>
      </c>
      <c r="N18" s="7">
        <f t="shared" si="24"/>
        <v>-324</v>
      </c>
      <c r="O18" s="7">
        <f t="shared" si="24"/>
        <v>-228</v>
      </c>
      <c r="P18" s="7">
        <f t="shared" si="24"/>
        <v>-576</v>
      </c>
      <c r="Q18" s="7">
        <v>-152</v>
      </c>
      <c r="R18" s="11">
        <v>-577</v>
      </c>
      <c r="S18" s="7">
        <f t="shared" ref="S18" si="25">S15+S16+S17</f>
        <v>-212</v>
      </c>
      <c r="T18" s="11">
        <v>-324</v>
      </c>
      <c r="U18" s="11">
        <f>U14-U7</f>
        <v>176.79999999999973</v>
      </c>
      <c r="V18" s="11">
        <f t="shared" ref="V18:AD18" si="26">V14-V7</f>
        <v>430.71999999999969</v>
      </c>
      <c r="W18" s="11">
        <f t="shared" si="26"/>
        <v>730.62399999999957</v>
      </c>
      <c r="X18" s="11">
        <f t="shared" si="26"/>
        <v>502.98879999999917</v>
      </c>
      <c r="Y18" s="11">
        <f t="shared" si="26"/>
        <v>-22.077440000001388</v>
      </c>
      <c r="Z18" s="11">
        <f t="shared" si="26"/>
        <v>-1026.6337280000021</v>
      </c>
      <c r="AA18" s="11">
        <f t="shared" si="26"/>
        <v>-41.775513600002341</v>
      </c>
      <c r="AB18" s="11">
        <f t="shared" si="26"/>
        <v>1018.9591756799969</v>
      </c>
      <c r="AC18" s="11">
        <f t="shared" si="26"/>
        <v>2182.232150015996</v>
      </c>
      <c r="AD18" s="11">
        <f t="shared" si="26"/>
        <v>3478.7020296191949</v>
      </c>
    </row>
    <row r="19" spans="2:70" x14ac:dyDescent="0.25">
      <c r="B19" s="7" t="s">
        <v>41</v>
      </c>
      <c r="H19" s="11">
        <v>9</v>
      </c>
      <c r="I19" s="11">
        <v>7</v>
      </c>
      <c r="J19" s="11">
        <v>-2</v>
      </c>
      <c r="K19" s="11">
        <v>-2</v>
      </c>
      <c r="L19">
        <v>-44</v>
      </c>
      <c r="M19">
        <v>-46</v>
      </c>
      <c r="N19">
        <v>41</v>
      </c>
      <c r="O19">
        <v>-23</v>
      </c>
      <c r="P19">
        <v>-33</v>
      </c>
      <c r="Q19">
        <v>-60</v>
      </c>
      <c r="R19" s="11">
        <v>-33</v>
      </c>
      <c r="S19">
        <v>50</v>
      </c>
      <c r="T19" s="11">
        <v>41</v>
      </c>
      <c r="U19">
        <v>-44</v>
      </c>
      <c r="V19">
        <v>-46</v>
      </c>
      <c r="W19">
        <v>41</v>
      </c>
      <c r="X19">
        <v>-23</v>
      </c>
      <c r="Y19">
        <v>-33</v>
      </c>
      <c r="Z19">
        <v>-60</v>
      </c>
      <c r="AA19" s="11">
        <v>-33</v>
      </c>
      <c r="AB19">
        <v>50</v>
      </c>
      <c r="AC19" s="8"/>
      <c r="AD19" s="16"/>
    </row>
    <row r="20" spans="2:70" x14ac:dyDescent="0.25">
      <c r="B20" s="7" t="s">
        <v>49</v>
      </c>
      <c r="G20" s="4"/>
      <c r="H20" s="11">
        <f t="shared" ref="H20:Q20" si="27">H19/H18</f>
        <v>-1.6393442622950821E-2</v>
      </c>
      <c r="I20" s="11">
        <f t="shared" si="27"/>
        <v>-1.7369727047146403E-2</v>
      </c>
      <c r="J20" s="12">
        <f t="shared" si="27"/>
        <v>1.9047619047619049E-2</v>
      </c>
      <c r="K20" s="4"/>
      <c r="L20" s="4">
        <f t="shared" si="27"/>
        <v>0.14569536423841059</v>
      </c>
      <c r="M20" s="4">
        <f t="shared" si="27"/>
        <v>0.23115577889447236</v>
      </c>
      <c r="N20" s="4">
        <f t="shared" si="27"/>
        <v>-0.12654320987654322</v>
      </c>
      <c r="O20" s="4">
        <f t="shared" si="27"/>
        <v>0.10087719298245613</v>
      </c>
      <c r="P20" s="4">
        <f t="shared" si="27"/>
        <v>5.7291666666666664E-2</v>
      </c>
      <c r="Q20" s="4">
        <f t="shared" si="27"/>
        <v>0.39473684210526316</v>
      </c>
      <c r="R20" s="8"/>
      <c r="S20" s="4">
        <f t="shared" ref="S20" si="28">S19/S18</f>
        <v>-0.23584905660377359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16"/>
    </row>
    <row r="21" spans="2:70" s="9" customFormat="1" x14ac:dyDescent="0.25">
      <c r="B21" s="9" t="s">
        <v>47</v>
      </c>
      <c r="H21" s="9">
        <f t="shared" ref="H21:P21" si="29">H18-H19</f>
        <v>-558</v>
      </c>
      <c r="I21" s="9">
        <f t="shared" si="29"/>
        <v>-410</v>
      </c>
      <c r="J21" s="9">
        <f t="shared" si="29"/>
        <v>-103</v>
      </c>
      <c r="K21" s="9">
        <v>-104</v>
      </c>
      <c r="L21" s="9">
        <f t="shared" si="29"/>
        <v>-258</v>
      </c>
      <c r="M21" s="9">
        <f t="shared" ref="M21" si="30">M18-M19</f>
        <v>-153</v>
      </c>
      <c r="N21" s="9">
        <f t="shared" si="29"/>
        <v>-365</v>
      </c>
      <c r="O21" s="9">
        <f t="shared" si="29"/>
        <v>-205</v>
      </c>
      <c r="P21" s="9">
        <f t="shared" si="29"/>
        <v>-543</v>
      </c>
      <c r="Q21" s="9">
        <f>Q18-Q19</f>
        <v>-92</v>
      </c>
      <c r="R21" s="9">
        <v>-543</v>
      </c>
      <c r="S21" s="9">
        <f t="shared" ref="S21" si="31">S18-S19</f>
        <v>-262</v>
      </c>
      <c r="T21" s="9">
        <v>-365</v>
      </c>
      <c r="U21" s="9">
        <f t="shared" ref="U21:AD21" si="32">U18-U19</f>
        <v>220.79999999999973</v>
      </c>
      <c r="V21" s="9">
        <f t="shared" si="32"/>
        <v>476.71999999999969</v>
      </c>
      <c r="W21" s="9">
        <f t="shared" si="32"/>
        <v>689.62399999999957</v>
      </c>
      <c r="X21" s="9">
        <f t="shared" si="32"/>
        <v>525.98879999999917</v>
      </c>
      <c r="Y21" s="9">
        <f t="shared" si="32"/>
        <v>10.922559999998612</v>
      </c>
      <c r="Z21" s="9">
        <f t="shared" si="32"/>
        <v>-966.63372800000207</v>
      </c>
      <c r="AA21" s="9">
        <f t="shared" si="32"/>
        <v>-8.7755136000023413</v>
      </c>
      <c r="AB21" s="9">
        <f t="shared" si="32"/>
        <v>968.95917567999686</v>
      </c>
      <c r="AC21" s="9">
        <f t="shared" si="32"/>
        <v>2182.232150015996</v>
      </c>
      <c r="AD21" s="9">
        <f t="shared" si="32"/>
        <v>3478.7020296191949</v>
      </c>
      <c r="AE21" s="9">
        <f>AD21*0.8</f>
        <v>2782.9616236953561</v>
      </c>
      <c r="AF21" s="9">
        <f t="shared" ref="AF21:AH21" si="33">AE21*0.8</f>
        <v>2226.3692989562851</v>
      </c>
      <c r="AG21" s="9">
        <f t="shared" si="33"/>
        <v>1781.0954391650282</v>
      </c>
      <c r="AH21" s="9">
        <f t="shared" si="33"/>
        <v>1424.8763513320228</v>
      </c>
      <c r="AI21" s="9">
        <f>AH21*(1+$W$32)</f>
        <v>1396.3788243053823</v>
      </c>
      <c r="AJ21" s="9">
        <f>AI21*(1+$W$32)</f>
        <v>1368.4512478192746</v>
      </c>
      <c r="AK21" s="9">
        <f t="shared" ref="AK21:BR21" si="34">AJ21*(1+$W$32)</f>
        <v>1341.082222862889</v>
      </c>
      <c r="AL21" s="9">
        <f t="shared" si="34"/>
        <v>1314.2605784056311</v>
      </c>
      <c r="AM21" s="9">
        <f t="shared" si="34"/>
        <v>1287.9753668375185</v>
      </c>
      <c r="AN21" s="9">
        <f t="shared" si="34"/>
        <v>1262.2158595007681</v>
      </c>
      <c r="AO21" s="9">
        <f t="shared" si="34"/>
        <v>1236.9715423107527</v>
      </c>
      <c r="AP21" s="9">
        <f t="shared" si="34"/>
        <v>1212.2321114645376</v>
      </c>
      <c r="AQ21" s="9">
        <f t="shared" si="34"/>
        <v>1187.9874692352469</v>
      </c>
      <c r="AR21" s="9">
        <f t="shared" si="34"/>
        <v>1164.2277198505419</v>
      </c>
      <c r="AS21" s="9">
        <f t="shared" si="34"/>
        <v>1140.943165453531</v>
      </c>
      <c r="AT21" s="9">
        <f t="shared" si="34"/>
        <v>1118.1243021444604</v>
      </c>
      <c r="AU21" s="9">
        <f t="shared" si="34"/>
        <v>1095.7618161015712</v>
      </c>
      <c r="AV21" s="9">
        <f t="shared" si="34"/>
        <v>1073.8465797795398</v>
      </c>
      <c r="AW21" s="9">
        <f t="shared" si="34"/>
        <v>1052.369648183949</v>
      </c>
      <c r="AX21" s="9">
        <f t="shared" si="34"/>
        <v>1031.3222552202701</v>
      </c>
      <c r="AY21" s="9">
        <f t="shared" si="34"/>
        <v>1010.6958101158647</v>
      </c>
      <c r="AZ21" s="9">
        <f t="shared" si="34"/>
        <v>990.48189391354731</v>
      </c>
      <c r="BA21" s="9">
        <f t="shared" si="34"/>
        <v>970.67225603527629</v>
      </c>
      <c r="BB21" s="9">
        <f t="shared" si="34"/>
        <v>951.25881091457074</v>
      </c>
      <c r="BC21" s="9">
        <f t="shared" si="34"/>
        <v>932.2336346962793</v>
      </c>
      <c r="BD21" s="9">
        <f t="shared" si="34"/>
        <v>913.5889620023537</v>
      </c>
      <c r="BE21" s="9">
        <f t="shared" si="34"/>
        <v>895.31718276230663</v>
      </c>
      <c r="BF21" s="9">
        <f t="shared" si="34"/>
        <v>877.4108391070605</v>
      </c>
      <c r="BG21" s="9">
        <f t="shared" si="34"/>
        <v>859.86262232491924</v>
      </c>
      <c r="BH21" s="9">
        <f t="shared" si="34"/>
        <v>842.66536987842085</v>
      </c>
      <c r="BI21" s="9">
        <f t="shared" si="34"/>
        <v>825.81206248085243</v>
      </c>
      <c r="BJ21" s="9">
        <f t="shared" si="34"/>
        <v>809.29582123123532</v>
      </c>
      <c r="BK21" s="9">
        <f t="shared" si="34"/>
        <v>793.10990480661064</v>
      </c>
      <c r="BL21" s="9">
        <f t="shared" si="34"/>
        <v>777.24770671047838</v>
      </c>
      <c r="BM21" s="9">
        <f t="shared" si="34"/>
        <v>761.70275257626884</v>
      </c>
      <c r="BN21" s="9">
        <f t="shared" si="34"/>
        <v>746.46869752474345</v>
      </c>
      <c r="BO21" s="9">
        <f t="shared" si="34"/>
        <v>731.53932357424856</v>
      </c>
      <c r="BP21" s="9">
        <f t="shared" si="34"/>
        <v>716.9085371027636</v>
      </c>
      <c r="BQ21" s="9">
        <f t="shared" si="34"/>
        <v>702.57036636070836</v>
      </c>
      <c r="BR21" s="9">
        <f t="shared" si="34"/>
        <v>688.51895903349418</v>
      </c>
    </row>
    <row r="22" spans="2:70" x14ac:dyDescent="0.25">
      <c r="B22" s="7" t="s">
        <v>5</v>
      </c>
      <c r="U22" s="8"/>
      <c r="V22" s="8"/>
      <c r="W22" s="8"/>
      <c r="X22" s="8"/>
      <c r="Y22" s="8"/>
      <c r="Z22" s="8"/>
      <c r="AA22" s="8"/>
      <c r="AB22" s="8"/>
      <c r="AC22" s="8"/>
      <c r="AD22" s="16"/>
      <c r="AY22" s="5"/>
    </row>
    <row r="23" spans="2:70" x14ac:dyDescent="0.25">
      <c r="U23" s="8"/>
      <c r="V23" s="8"/>
      <c r="W23" s="8"/>
      <c r="X23" s="8"/>
      <c r="Y23" s="8"/>
      <c r="Z23" s="8"/>
      <c r="AA23" s="8"/>
      <c r="AB23" s="8"/>
      <c r="AC23" s="8"/>
      <c r="AD23" s="16"/>
    </row>
    <row r="24" spans="2:70" x14ac:dyDescent="0.25">
      <c r="B24" t="s">
        <v>82</v>
      </c>
      <c r="G24" s="4"/>
      <c r="K24" s="8"/>
      <c r="L24" s="8"/>
      <c r="U24" s="8"/>
      <c r="V24" s="8"/>
      <c r="W24" s="8"/>
      <c r="X24" s="8"/>
      <c r="Y24" s="8"/>
      <c r="Z24" s="8"/>
      <c r="AA24" s="8"/>
      <c r="AB24" s="8"/>
      <c r="AC24" s="8"/>
      <c r="AD24" s="16"/>
    </row>
    <row r="25" spans="2:70" x14ac:dyDescent="0.25">
      <c r="B25" t="s">
        <v>56</v>
      </c>
      <c r="H25" s="4"/>
      <c r="I25" s="4"/>
      <c r="J25" s="4"/>
      <c r="K25" s="4"/>
      <c r="L25" s="4">
        <f>L5/H5-1</f>
        <v>0.62237762237762229</v>
      </c>
      <c r="M25" s="4">
        <f t="shared" ref="M25" si="35">M5/I5-1</f>
        <v>0.55813953488372103</v>
      </c>
      <c r="N25" s="4">
        <f t="shared" ref="N25:T25" si="36">N5/J5-1</f>
        <v>0.22686025408348454</v>
      </c>
      <c r="O25" s="4">
        <f t="shared" si="36"/>
        <v>0.16515426497277685</v>
      </c>
      <c r="P25" s="4">
        <f t="shared" si="36"/>
        <v>-6.7528735632183867E-2</v>
      </c>
      <c r="Q25" s="4">
        <f t="shared" ca="1" si="36"/>
        <v>0</v>
      </c>
      <c r="R25" s="4">
        <f t="shared" si="36"/>
        <v>-3.9201183431952669E-2</v>
      </c>
      <c r="S25" s="4">
        <f t="shared" si="36"/>
        <v>4.1277258566978281E-2</v>
      </c>
      <c r="T25" s="4">
        <f t="shared" si="36"/>
        <v>4.2372881355932313E-2</v>
      </c>
      <c r="U25" s="4">
        <f t="shared" ref="U25" ca="1" si="37">U5/Q5-1</f>
        <v>4.2372881355932313E-2</v>
      </c>
      <c r="V25" s="4">
        <f t="shared" ref="V25" si="38">V5/R5-1</f>
        <v>0.5716705157813704</v>
      </c>
      <c r="W25" s="4">
        <f t="shared" ref="W25" si="39">W5/S5-1</f>
        <v>0.51264023934181013</v>
      </c>
      <c r="X25" s="4">
        <f t="shared" ref="X25" si="40">X5/T5-1</f>
        <v>1.3461936437546198</v>
      </c>
      <c r="Y25" s="4">
        <f t="shared" ref="Y25" si="41">Y5/U5-1</f>
        <v>1.4499457784663052</v>
      </c>
      <c r="Z25" s="4">
        <f t="shared" ref="Z25" si="42">Z5/V5-1</f>
        <v>2.9542570532915366</v>
      </c>
      <c r="AA25" s="4">
        <f t="shared" ref="AA25" si="43">AA5/W5-1</f>
        <v>2.6131544303797476</v>
      </c>
      <c r="AB25" s="4">
        <f t="shared" ref="AB25" si="44">AB5/X5-1</f>
        <v>1.0887451612903227</v>
      </c>
      <c r="AC25" s="4">
        <f t="shared" ref="AC25" si="45">AC5/Y5-1</f>
        <v>0.19306867664913008</v>
      </c>
      <c r="AD25" s="4">
        <f t="shared" ref="AD25" si="46">AD5/Z5-1</f>
        <v>-0.3156040006088433</v>
      </c>
    </row>
    <row r="26" spans="2:70" x14ac:dyDescent="0.25">
      <c r="B26" t="s">
        <v>57</v>
      </c>
      <c r="H26" s="4">
        <f>H7/H5</f>
        <v>0.46853146853146854</v>
      </c>
      <c r="I26" s="4">
        <f t="shared" ref="I26:T26" si="47">I7/I5</f>
        <v>0.61240310077519378</v>
      </c>
      <c r="J26" s="4">
        <f t="shared" si="47"/>
        <v>0.60526315789473684</v>
      </c>
      <c r="K26" s="4">
        <f t="shared" si="47"/>
        <v>0.6225045372050817</v>
      </c>
      <c r="L26" s="4">
        <f t="shared" si="47"/>
        <v>0.48778735632183906</v>
      </c>
      <c r="M26" s="4">
        <f t="shared" si="47"/>
        <v>0.50888415067519543</v>
      </c>
      <c r="N26" s="4">
        <f t="shared" si="47"/>
        <v>0.53772189349112431</v>
      </c>
      <c r="O26" s="4">
        <f t="shared" si="47"/>
        <v>0.52881619937694702</v>
      </c>
      <c r="P26" s="4">
        <f>P7/P5</f>
        <v>0.31972265023112478</v>
      </c>
      <c r="Q26" s="4">
        <f t="shared" ca="1" si="47"/>
        <v>0.46853146853146854</v>
      </c>
      <c r="R26" s="4">
        <f t="shared" si="47"/>
        <v>0.49114703618167821</v>
      </c>
      <c r="S26" s="4">
        <f t="shared" si="47"/>
        <v>0.5766641735228123</v>
      </c>
      <c r="T26" s="4">
        <f t="shared" si="47"/>
        <v>0.54619364375461932</v>
      </c>
      <c r="U26" s="4">
        <v>0.5</v>
      </c>
      <c r="V26" s="4">
        <v>0.5</v>
      </c>
      <c r="W26" s="4">
        <v>0.5</v>
      </c>
      <c r="X26" s="4">
        <v>0.5</v>
      </c>
      <c r="Y26" s="4">
        <v>0.5</v>
      </c>
      <c r="Z26" s="4">
        <v>0.5</v>
      </c>
      <c r="AA26" s="4">
        <v>0.5</v>
      </c>
      <c r="AB26" s="4">
        <v>0.5</v>
      </c>
      <c r="AC26" s="4">
        <v>0.5</v>
      </c>
      <c r="AD26" s="4">
        <v>0.5</v>
      </c>
    </row>
    <row r="27" spans="2:70" x14ac:dyDescent="0.25">
      <c r="X27" s="15"/>
    </row>
    <row r="28" spans="2:70" x14ac:dyDescent="0.25">
      <c r="B28" t="s">
        <v>2</v>
      </c>
      <c r="K28" s="5"/>
      <c r="L28" s="5"/>
      <c r="AF28" s="9">
        <f>1423+1309+538</f>
        <v>3270</v>
      </c>
      <c r="AG28" s="9">
        <f>1732+820+359</f>
        <v>2911</v>
      </c>
      <c r="AH28" s="9">
        <f>827+187+307</f>
        <v>1321</v>
      </c>
      <c r="AI28" s="9">
        <f>754+22+252</f>
        <v>1028</v>
      </c>
    </row>
    <row r="29" spans="2:70" x14ac:dyDescent="0.25">
      <c r="B29" t="s">
        <v>58</v>
      </c>
      <c r="AF29" s="8">
        <v>658</v>
      </c>
      <c r="AG29" s="8">
        <v>684</v>
      </c>
      <c r="AH29" s="8">
        <v>843</v>
      </c>
      <c r="AI29" s="8">
        <v>968</v>
      </c>
    </row>
    <row r="30" spans="2:70" x14ac:dyDescent="0.25">
      <c r="B30" t="s">
        <v>76</v>
      </c>
      <c r="AF30" s="8">
        <v>0</v>
      </c>
      <c r="AG30" s="8">
        <v>10</v>
      </c>
      <c r="AH30" s="8">
        <v>0</v>
      </c>
      <c r="AI30" s="8">
        <v>0</v>
      </c>
    </row>
    <row r="31" spans="2:70" x14ac:dyDescent="0.25">
      <c r="B31" t="s">
        <v>59</v>
      </c>
      <c r="AF31" s="8">
        <v>17</v>
      </c>
      <c r="AG31" s="8">
        <v>0</v>
      </c>
      <c r="AH31" s="8">
        <v>0</v>
      </c>
      <c r="AI31" s="8">
        <v>0</v>
      </c>
    </row>
    <row r="32" spans="2:70" x14ac:dyDescent="0.25">
      <c r="B32" t="s">
        <v>60</v>
      </c>
      <c r="V32" t="s">
        <v>91</v>
      </c>
      <c r="W32" s="4">
        <v>-0.02</v>
      </c>
      <c r="AF32" s="8">
        <v>215</v>
      </c>
      <c r="AG32" s="8">
        <v>183</v>
      </c>
      <c r="AH32" s="8">
        <v>277</v>
      </c>
      <c r="AI32" s="8">
        <v>180</v>
      </c>
    </row>
    <row r="33" spans="2:35" x14ac:dyDescent="0.25">
      <c r="B33" t="s">
        <v>61</v>
      </c>
      <c r="V33" t="s">
        <v>92</v>
      </c>
      <c r="W33" s="4">
        <v>0.05</v>
      </c>
      <c r="AF33" s="8">
        <v>314</v>
      </c>
      <c r="AG33" s="8">
        <v>459</v>
      </c>
      <c r="AH33" s="8">
        <v>685</v>
      </c>
      <c r="AI33" s="8">
        <v>736</v>
      </c>
    </row>
    <row r="34" spans="2:35" x14ac:dyDescent="0.25">
      <c r="B34" t="s">
        <v>62</v>
      </c>
      <c r="V34" t="s">
        <v>93</v>
      </c>
      <c r="W34" s="18">
        <f>NPV($W$33,H21:DR21)</f>
        <v>7175.8041758890949</v>
      </c>
      <c r="AF34" s="8">
        <v>7</v>
      </c>
      <c r="AG34" s="8">
        <v>36</v>
      </c>
      <c r="AH34" s="8">
        <v>34</v>
      </c>
      <c r="AI34" s="8">
        <v>34</v>
      </c>
    </row>
    <row r="35" spans="2:35" x14ac:dyDescent="0.25">
      <c r="B35" t="s">
        <v>36</v>
      </c>
      <c r="K35" s="5"/>
      <c r="L35" s="5"/>
      <c r="V35" t="s">
        <v>5</v>
      </c>
      <c r="W35" s="17">
        <f>W34/W36</f>
        <v>40.771614635733492</v>
      </c>
      <c r="AF35" s="8">
        <v>535</v>
      </c>
      <c r="AG35" s="8">
        <v>674</v>
      </c>
      <c r="AH35" s="8">
        <v>6767</v>
      </c>
      <c r="AI35" s="8">
        <v>4426</v>
      </c>
    </row>
    <row r="36" spans="2:35" x14ac:dyDescent="0.25">
      <c r="B36" t="s">
        <v>63</v>
      </c>
      <c r="K36" s="5"/>
      <c r="L36" s="5"/>
      <c r="V36" t="s">
        <v>94</v>
      </c>
      <c r="W36" s="8">
        <v>176</v>
      </c>
      <c r="AF36" s="8">
        <v>612</v>
      </c>
      <c r="AG36" s="8">
        <v>1022</v>
      </c>
      <c r="AH36" s="8">
        <v>5525</v>
      </c>
      <c r="AI36" s="8">
        <v>4507</v>
      </c>
    </row>
    <row r="37" spans="2:35" x14ac:dyDescent="0.25">
      <c r="B37" t="s">
        <v>77</v>
      </c>
      <c r="V37" t="s">
        <v>95</v>
      </c>
      <c r="W37" s="4">
        <f>W35/W38-1</f>
        <v>-0.77598013936410171</v>
      </c>
      <c r="AF37" s="8">
        <v>90</v>
      </c>
      <c r="AG37" s="8">
        <v>73</v>
      </c>
      <c r="AH37" s="8">
        <v>45</v>
      </c>
      <c r="AI37" s="8">
        <v>2</v>
      </c>
    </row>
    <row r="38" spans="2:35" x14ac:dyDescent="0.25">
      <c r="B38" t="s">
        <v>64</v>
      </c>
      <c r="V38" t="s">
        <v>0</v>
      </c>
      <c r="W38">
        <v>182</v>
      </c>
      <c r="AF38" s="8">
        <v>248</v>
      </c>
      <c r="AG38" s="8">
        <v>409</v>
      </c>
      <c r="AH38" s="8">
        <v>296</v>
      </c>
      <c r="AI38" s="8">
        <v>249</v>
      </c>
    </row>
    <row r="39" spans="2:35" s="5" customFormat="1" x14ac:dyDescent="0.25">
      <c r="B39" s="5" t="s">
        <v>78</v>
      </c>
      <c r="AD39" s="14"/>
      <c r="AF39" s="9">
        <f>SUM(AF28:AF38)+59</f>
        <v>6025</v>
      </c>
      <c r="AG39" s="9">
        <f t="shared" ref="AG39:AI39" si="48">SUM(AG28:AG38)+59</f>
        <v>6520</v>
      </c>
      <c r="AH39" s="9">
        <f t="shared" si="48"/>
        <v>15852</v>
      </c>
      <c r="AI39" s="9">
        <f t="shared" si="48"/>
        <v>12189</v>
      </c>
    </row>
    <row r="41" spans="2:35" x14ac:dyDescent="0.25">
      <c r="B41" t="s">
        <v>65</v>
      </c>
      <c r="K41" s="7"/>
      <c r="L41" s="7"/>
      <c r="AF41" s="8">
        <v>71</v>
      </c>
    </row>
    <row r="42" spans="2:35" x14ac:dyDescent="0.25">
      <c r="B42" t="s">
        <v>66</v>
      </c>
      <c r="AF42" s="8">
        <v>969</v>
      </c>
    </row>
    <row r="43" spans="2:35" x14ac:dyDescent="0.25">
      <c r="B43" t="s">
        <v>67</v>
      </c>
      <c r="K43" s="4"/>
      <c r="L43" s="4"/>
      <c r="AF43" s="8">
        <v>0</v>
      </c>
    </row>
    <row r="44" spans="2:35" x14ac:dyDescent="0.25">
      <c r="B44" t="s">
        <v>68</v>
      </c>
      <c r="K44" s="5"/>
      <c r="L44" s="5"/>
      <c r="AF44" s="8">
        <v>31</v>
      </c>
    </row>
    <row r="45" spans="2:35" x14ac:dyDescent="0.25">
      <c r="B45" t="s">
        <v>69</v>
      </c>
      <c r="AF45" s="8">
        <v>0</v>
      </c>
    </row>
    <row r="46" spans="2:35" x14ac:dyDescent="0.25">
      <c r="B46" t="s">
        <v>79</v>
      </c>
      <c r="AF46" s="8">
        <v>234</v>
      </c>
    </row>
    <row r="47" spans="2:35" x14ac:dyDescent="0.25">
      <c r="B47" t="s">
        <v>70</v>
      </c>
      <c r="AF47" s="8">
        <v>928</v>
      </c>
    </row>
    <row r="48" spans="2:35" x14ac:dyDescent="0.25">
      <c r="B48" t="s">
        <v>71</v>
      </c>
      <c r="AF48" s="8">
        <v>0</v>
      </c>
    </row>
    <row r="49" spans="2:32" x14ac:dyDescent="0.25">
      <c r="B49" t="s">
        <v>72</v>
      </c>
      <c r="AF49" s="8">
        <v>159</v>
      </c>
    </row>
    <row r="50" spans="2:32" x14ac:dyDescent="0.25">
      <c r="B50" t="s">
        <v>73</v>
      </c>
      <c r="AF50" s="8">
        <v>37</v>
      </c>
    </row>
    <row r="51" spans="2:32" x14ac:dyDescent="0.25">
      <c r="B51" t="s">
        <v>81</v>
      </c>
      <c r="AF51" s="8">
        <v>261</v>
      </c>
    </row>
    <row r="52" spans="2:32" s="5" customFormat="1" x14ac:dyDescent="0.25">
      <c r="B52" s="5" t="s">
        <v>80</v>
      </c>
      <c r="AD52" s="14"/>
      <c r="AF52" s="9">
        <f>SUM(AF41:AF51)</f>
        <v>2690</v>
      </c>
    </row>
    <row r="53" spans="2:32" x14ac:dyDescent="0.25">
      <c r="B53" t="s">
        <v>74</v>
      </c>
      <c r="AF53" s="8">
        <v>3332</v>
      </c>
    </row>
    <row r="54" spans="2:32" s="5" customFormat="1" x14ac:dyDescent="0.25">
      <c r="B54" s="5" t="s">
        <v>75</v>
      </c>
      <c r="AD54" s="14"/>
      <c r="AF54" s="9">
        <f>AF53+AF52</f>
        <v>6022</v>
      </c>
    </row>
  </sheetData>
  <hyperlinks>
    <hyperlink ref="A1" r:id="rId1" xr:uid="{ABE6AB11-3843-41EB-88BB-B8CFB3CFD43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cp:lastPrinted>2024-11-22T13:10:42Z</cp:lastPrinted>
  <dcterms:created xsi:type="dcterms:W3CDTF">2024-11-16T21:19:32Z</dcterms:created>
  <dcterms:modified xsi:type="dcterms:W3CDTF">2024-11-22T13:27:46Z</dcterms:modified>
</cp:coreProperties>
</file>