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smus/Desktop/Financial Models/"/>
    </mc:Choice>
  </mc:AlternateContent>
  <xr:revisionPtr revIDLastSave="0" documentId="13_ncr:1_{675FBF08-0A11-EB4C-A453-BA608E7D647D}" xr6:coauthVersionLast="47" xr6:coauthVersionMax="47" xr10:uidLastSave="{00000000-0000-0000-0000-000000000000}"/>
  <bookViews>
    <workbookView xWindow="12500" yWindow="1000" windowWidth="16900" windowHeight="17180" activeTab="1" xr2:uid="{AD8F8C97-537A-4B2E-895E-9F02A435B44B}"/>
  </bookViews>
  <sheets>
    <sheet name="Main" sheetId="1" r:id="rId1"/>
    <sheet name="Model" sheetId="2" r:id="rId2"/>
    <sheet name="Visua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7" i="2" l="1"/>
  <c r="Z25" i="2"/>
  <c r="G13" i="1"/>
  <c r="Z23" i="2"/>
  <c r="Y16" i="2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X16" i="2"/>
  <c r="V21" i="2"/>
  <c r="W21" i="2"/>
  <c r="W5" i="2"/>
  <c r="W7" i="2"/>
  <c r="W11" i="2"/>
  <c r="W16" i="2"/>
  <c r="W18" i="2"/>
  <c r="W17" i="2"/>
  <c r="W15" i="2"/>
  <c r="W14" i="2"/>
  <c r="W13" i="2"/>
  <c r="W12" i="2"/>
  <c r="W10" i="2"/>
  <c r="W9" i="2"/>
  <c r="W8" i="2"/>
  <c r="W6" i="2"/>
  <c r="W4" i="2"/>
  <c r="W3" i="2"/>
  <c r="Z2" i="2"/>
  <c r="AA2" i="2" s="1"/>
  <c r="AB2" i="2" s="1"/>
  <c r="AC2" i="2" s="1"/>
  <c r="AD2" i="2" s="1"/>
  <c r="AE2" i="2" s="1"/>
  <c r="AF2" i="2" s="1"/>
  <c r="AG2" i="2" s="1"/>
  <c r="Y2" i="2"/>
  <c r="X2" i="2"/>
  <c r="V9" i="2"/>
  <c r="V16" i="2"/>
  <c r="V5" i="2"/>
  <c r="U5" i="2"/>
  <c r="V7" i="2"/>
  <c r="V11" i="2" s="1"/>
  <c r="U7" i="2"/>
  <c r="U11" i="2" s="1"/>
  <c r="V17" i="2"/>
  <c r="U17" i="2"/>
  <c r="U16" i="2"/>
  <c r="U15" i="2"/>
  <c r="U14" i="2"/>
  <c r="U13" i="2"/>
  <c r="U12" i="2"/>
  <c r="U10" i="2"/>
  <c r="U9" i="2"/>
  <c r="U8" i="2"/>
  <c r="U6" i="2"/>
  <c r="U4" i="2"/>
  <c r="V15" i="2"/>
  <c r="V14" i="2"/>
  <c r="V13" i="2"/>
  <c r="V12" i="2"/>
  <c r="V10" i="2"/>
  <c r="V8" i="2"/>
  <c r="V6" i="2"/>
  <c r="V4" i="2"/>
  <c r="V3" i="2"/>
  <c r="O15" i="2"/>
  <c r="P14" i="2"/>
  <c r="Q14" i="2" s="1"/>
  <c r="R14" i="2" s="1"/>
  <c r="O14" i="2"/>
  <c r="O12" i="2"/>
  <c r="P6" i="2"/>
  <c r="Q6" i="2" s="1"/>
  <c r="R6" i="2" s="1"/>
  <c r="O6" i="2"/>
  <c r="P4" i="2"/>
  <c r="Q4" i="2" s="1"/>
  <c r="R4" i="2" s="1"/>
  <c r="O4" i="2"/>
  <c r="O5" i="2" s="1"/>
  <c r="O7" i="2" s="1"/>
  <c r="P3" i="2"/>
  <c r="Q3" i="2" s="1"/>
  <c r="O3" i="2"/>
  <c r="N15" i="2"/>
  <c r="N14" i="2"/>
  <c r="N12" i="2"/>
  <c r="N10" i="2"/>
  <c r="N6" i="2"/>
  <c r="P5" i="2"/>
  <c r="P7" i="2" s="1"/>
  <c r="R10" i="2"/>
  <c r="Q10" i="2"/>
  <c r="P10" i="2"/>
  <c r="O10" i="2"/>
  <c r="U3" i="2"/>
  <c r="L21" i="2"/>
  <c r="K21" i="2"/>
  <c r="J21" i="2"/>
  <c r="I21" i="2"/>
  <c r="H21" i="2"/>
  <c r="G21" i="2"/>
  <c r="C10" i="2"/>
  <c r="C5" i="2"/>
  <c r="C7" i="2" s="1"/>
  <c r="C22" i="2" s="1"/>
  <c r="D10" i="2"/>
  <c r="D5" i="2"/>
  <c r="D7" i="2" s="1"/>
  <c r="E10" i="2"/>
  <c r="E5" i="2"/>
  <c r="E7" i="2" s="1"/>
  <c r="F10" i="2"/>
  <c r="F5" i="2"/>
  <c r="F7" i="2" s="1"/>
  <c r="F22" i="2" s="1"/>
  <c r="J10" i="2"/>
  <c r="J5" i="2"/>
  <c r="J7" i="2" s="1"/>
  <c r="J22" i="2" s="1"/>
  <c r="G10" i="2"/>
  <c r="G5" i="2"/>
  <c r="G7" i="2" s="1"/>
  <c r="K10" i="2"/>
  <c r="K5" i="2"/>
  <c r="K7" i="2" s="1"/>
  <c r="K22" i="2" s="1"/>
  <c r="L10" i="2"/>
  <c r="L5" i="2"/>
  <c r="L7" i="2" s="1"/>
  <c r="H10" i="2"/>
  <c r="H5" i="2"/>
  <c r="H7" i="2" s="1"/>
  <c r="G5" i="1"/>
  <c r="G6" i="1"/>
  <c r="R1" i="2"/>
  <c r="Q1" i="2"/>
  <c r="P1" i="2"/>
  <c r="O1" i="2"/>
  <c r="C1" i="2"/>
  <c r="F1" i="2"/>
  <c r="E1" i="2"/>
  <c r="D1" i="2"/>
  <c r="I23" i="2"/>
  <c r="I22" i="2"/>
  <c r="M22" i="2"/>
  <c r="M21" i="2"/>
  <c r="I10" i="2"/>
  <c r="I5" i="2"/>
  <c r="I7" i="2" s="1"/>
  <c r="M10" i="2"/>
  <c r="M5" i="2"/>
  <c r="M7" i="2" s="1"/>
  <c r="P15" i="2" l="1"/>
  <c r="P12" i="2"/>
  <c r="O11" i="2"/>
  <c r="O13" i="2" s="1"/>
  <c r="O16" i="2" s="1"/>
  <c r="O17" i="2" s="1"/>
  <c r="R3" i="2"/>
  <c r="R5" i="2" s="1"/>
  <c r="R7" i="2" s="1"/>
  <c r="Q5" i="2"/>
  <c r="Q7" i="2" s="1"/>
  <c r="P11" i="2"/>
  <c r="R11" i="2"/>
  <c r="Q11" i="2"/>
  <c r="C11" i="2"/>
  <c r="D22" i="2"/>
  <c r="D11" i="2"/>
  <c r="E22" i="2"/>
  <c r="E11" i="2"/>
  <c r="F11" i="2"/>
  <c r="J11" i="2"/>
  <c r="G22" i="2"/>
  <c r="G11" i="2"/>
  <c r="K11" i="2"/>
  <c r="L11" i="2"/>
  <c r="L22" i="2"/>
  <c r="L23" i="2"/>
  <c r="L13" i="2"/>
  <c r="L16" i="2" s="1"/>
  <c r="L17" i="2" s="1"/>
  <c r="H22" i="2"/>
  <c r="H11" i="2"/>
  <c r="G8" i="1"/>
  <c r="M11" i="2"/>
  <c r="I11" i="2"/>
  <c r="I13" i="2" s="1"/>
  <c r="I16" i="2" s="1"/>
  <c r="I17" i="2" s="1"/>
  <c r="Q15" i="2" l="1"/>
  <c r="R15" i="2" s="1"/>
  <c r="R12" i="2"/>
  <c r="R13" i="2" s="1"/>
  <c r="Q12" i="2"/>
  <c r="P13" i="2"/>
  <c r="P16" i="2" s="1"/>
  <c r="P17" i="2" s="1"/>
  <c r="Q13" i="2"/>
  <c r="Q16" i="2" s="1"/>
  <c r="Q17" i="2" s="1"/>
  <c r="M13" i="2"/>
  <c r="M16" i="2" s="1"/>
  <c r="M17" i="2" s="1"/>
  <c r="M23" i="2"/>
  <c r="C23" i="2"/>
  <c r="C13" i="2"/>
  <c r="C16" i="2" s="1"/>
  <c r="C17" i="2" s="1"/>
  <c r="D23" i="2"/>
  <c r="D13" i="2"/>
  <c r="D16" i="2" s="1"/>
  <c r="D17" i="2" s="1"/>
  <c r="E23" i="2"/>
  <c r="E13" i="2"/>
  <c r="E16" i="2" s="1"/>
  <c r="E17" i="2" s="1"/>
  <c r="F23" i="2"/>
  <c r="F13" i="2"/>
  <c r="F16" i="2" s="1"/>
  <c r="F17" i="2" s="1"/>
  <c r="J23" i="2"/>
  <c r="J13" i="2"/>
  <c r="J16" i="2" s="1"/>
  <c r="J17" i="2" s="1"/>
  <c r="G23" i="2"/>
  <c r="G13" i="2"/>
  <c r="G16" i="2" s="1"/>
  <c r="G17" i="2" s="1"/>
  <c r="K23" i="2"/>
  <c r="K13" i="2"/>
  <c r="K16" i="2" s="1"/>
  <c r="K17" i="2" s="1"/>
  <c r="H23" i="2"/>
  <c r="H13" i="2"/>
  <c r="H16" i="2" s="1"/>
  <c r="H17" i="2" s="1"/>
  <c r="N4" i="2"/>
  <c r="N3" i="2"/>
  <c r="N7" i="2"/>
  <c r="N11" i="2" s="1"/>
  <c r="N13" i="2" s="1"/>
  <c r="N16" i="2" s="1"/>
  <c r="N17" i="2" s="1"/>
  <c r="R16" i="2" l="1"/>
  <c r="R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tc={8C661A1A-E91F-884F-AD81-74FCE4E8B02D}</author>
  </authors>
  <commentList>
    <comment ref="N5" authorId="0" shapeId="0" xr:uid="{8C661A1A-E91F-884F-AD81-74FCE4E8B02D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</commentList>
</comments>
</file>

<file path=xl/sharedStrings.xml><?xml version="1.0" encoding="utf-8"?>
<sst xmlns="http://schemas.openxmlformats.org/spreadsheetml/2006/main" count="85" uniqueCount="81">
  <si>
    <t>Price</t>
  </si>
  <si>
    <t>Shares</t>
  </si>
  <si>
    <t>MC</t>
  </si>
  <si>
    <t>Cash</t>
  </si>
  <si>
    <t>Debt</t>
  </si>
  <si>
    <t>EV</t>
  </si>
  <si>
    <t>HQ</t>
  </si>
  <si>
    <t>Netherlands</t>
  </si>
  <si>
    <t>They use 20-F, it is the same as 10K</t>
  </si>
  <si>
    <t>6K - quarterly reports</t>
  </si>
  <si>
    <t>Q324</t>
  </si>
  <si>
    <t>Employees</t>
  </si>
  <si>
    <t>NASD</t>
  </si>
  <si>
    <t>AMS</t>
  </si>
  <si>
    <t>Main</t>
  </si>
  <si>
    <t>$</t>
  </si>
  <si>
    <t>Lithography</t>
  </si>
  <si>
    <t>Inspections</t>
  </si>
  <si>
    <t>Metrology</t>
  </si>
  <si>
    <t>Ultraviolet</t>
  </si>
  <si>
    <t>Extreme ultraviolet systems</t>
  </si>
  <si>
    <t>Services</t>
  </si>
  <si>
    <t>YieldStar systems, HMI electron beams</t>
  </si>
  <si>
    <t>Former name:</t>
  </si>
  <si>
    <t>ASM Lithography Holding</t>
  </si>
  <si>
    <t>Q122</t>
  </si>
  <si>
    <t>Q222</t>
  </si>
  <si>
    <t>Q322</t>
  </si>
  <si>
    <t>Q422</t>
  </si>
  <si>
    <t>Q123</t>
  </si>
  <si>
    <t>Q223</t>
  </si>
  <si>
    <t>Q423</t>
  </si>
  <si>
    <t>Q124</t>
  </si>
  <si>
    <t>Q224</t>
  </si>
  <si>
    <t>Q424</t>
  </si>
  <si>
    <t>Q125</t>
  </si>
  <si>
    <t>Q225</t>
  </si>
  <si>
    <t>Q325</t>
  </si>
  <si>
    <t>Q425</t>
  </si>
  <si>
    <t>Q323</t>
  </si>
  <si>
    <t>System</t>
  </si>
  <si>
    <t>Service, field</t>
  </si>
  <si>
    <t>COGS</t>
  </si>
  <si>
    <t>Gross Profit</t>
  </si>
  <si>
    <t>R&amp;D</t>
  </si>
  <si>
    <t>S,G&amp;A</t>
  </si>
  <si>
    <t>OpInc</t>
  </si>
  <si>
    <t>OpEx</t>
  </si>
  <si>
    <t>Interest</t>
  </si>
  <si>
    <t>Pretax income</t>
  </si>
  <si>
    <t>Taxes</t>
  </si>
  <si>
    <t>Equity</t>
  </si>
  <si>
    <t>Net Income</t>
  </si>
  <si>
    <t>EPS</t>
  </si>
  <si>
    <t>Revenue</t>
  </si>
  <si>
    <t>Profit y/y</t>
  </si>
  <si>
    <t>Gross Margin</t>
  </si>
  <si>
    <t>Tax %</t>
  </si>
  <si>
    <t>CFFI</t>
  </si>
  <si>
    <t>CFFF</t>
  </si>
  <si>
    <t>Dividend stock</t>
  </si>
  <si>
    <t>2023 observations:</t>
  </si>
  <si>
    <t>$4.6B shares buyback</t>
  </si>
  <si>
    <t>(in euros)</t>
  </si>
  <si>
    <t>$21.2B total net sales</t>
  </si>
  <si>
    <t>5000 suppliers</t>
  </si>
  <si>
    <t>345 lithography systems sold</t>
  </si>
  <si>
    <t>24% females inflow</t>
  </si>
  <si>
    <t>$5.80 proposed annualized dividend per share</t>
  </si>
  <si>
    <t>735.19</t>
  </si>
  <si>
    <t>good overview of the process</t>
  </si>
  <si>
    <t>the employment of CHIEF CUSTOMER OFFICER - next level customer service</t>
  </si>
  <si>
    <r>
      <t xml:space="preserve">possible </t>
    </r>
    <r>
      <rPr>
        <b/>
        <sz val="11"/>
        <color theme="1"/>
        <rFont val="Arial"/>
        <family val="2"/>
      </rPr>
      <t>risks</t>
    </r>
    <r>
      <rPr>
        <sz val="11"/>
        <color theme="1"/>
        <rFont val="Arial"/>
        <family val="2"/>
      </rPr>
      <t xml:space="preserve"> in middle-east</t>
    </r>
  </si>
  <si>
    <t>Maturity</t>
  </si>
  <si>
    <t>Discount</t>
  </si>
  <si>
    <t>NPV</t>
  </si>
  <si>
    <t>NetCash</t>
  </si>
  <si>
    <t>Per share</t>
  </si>
  <si>
    <t>Current</t>
  </si>
  <si>
    <t>Diff</t>
  </si>
  <si>
    <t>Netcash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</si>
</sst>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_ ;[Red]\-#,##0\ "/>
  </numFmts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  <charset val="186"/>
    </font>
    <font>
      <sz val="11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 applyFont="1"/>
    <xf numFmtId="0" fontId="3" fillId="0" borderId="0" xfId="0" applyFont="1"/>
    <xf numFmtId="4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3" fontId="4" fillId="0" borderId="0" xfId="0" applyNumberFormat="1" applyFont="1"/>
    <xf numFmtId="14" fontId="3" fillId="0" borderId="0" xfId="0" applyNumberFormat="1" applyFont="1"/>
    <xf numFmtId="9" fontId="3" fillId="0" borderId="0" xfId="0" applyNumberFormat="1" applyFont="1"/>
    <xf numFmtId="0" fontId="5" fillId="0" borderId="0" xfId="0" applyFo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5" fillId="0" borderId="0" xfId="0" applyNumberFormat="1" applyFont="1"/>
    <xf numFmtId="169" fontId="3" fillId="0" borderId="0" xfId="0" applyNumberFormat="1" applyFont="1"/>
    <xf numFmtId="9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8283</xdr:colOff>
      <xdr:row>0</xdr:row>
      <xdr:rowOff>57978</xdr:rowOff>
    </xdr:from>
    <xdr:to>
      <xdr:col>13</xdr:col>
      <xdr:colOff>8283</xdr:colOff>
      <xdr:row>26</xdr:row>
      <xdr:rowOff>157369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50D5107-F2A3-D3A8-3458-C30581FBE974}"/>
            </a:ext>
          </a:extLst>
        </xdr:cNvPr>
        <xdr:cNvCxnSpPr/>
      </xdr:nvCxnSpPr>
      <xdr:spPr>
        <a:xfrm>
          <a:off x="8961783" y="57978"/>
          <a:ext cx="0" cy="48701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689208</xdr:colOff>
      <xdr:row>1</xdr:row>
      <xdr:rowOff>7744</xdr:rowOff>
    </xdr:from>
    <xdr:to>
      <xdr:col>21</xdr:col>
      <xdr:colOff>15487</xdr:colOff>
      <xdr:row>25</xdr:row>
      <xdr:rowOff>131646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9D07F4A-0200-F635-F9E6-48B7695DDC22}"/>
            </a:ext>
          </a:extLst>
        </xdr:cNvPr>
        <xdr:cNvCxnSpPr/>
      </xdr:nvCxnSpPr>
      <xdr:spPr>
        <a:xfrm flipH="1">
          <a:off x="16370610" y="185854"/>
          <a:ext cx="23231" cy="439853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660400</xdr:colOff>
      <xdr:row>1</xdr:row>
      <xdr:rowOff>190499</xdr:rowOff>
    </xdr:from>
    <xdr:to>
      <xdr:col>7</xdr:col>
      <xdr:colOff>635000</xdr:colOff>
      <xdr:row>27</xdr:row>
      <xdr:rowOff>140758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ECEBBE-6F50-B61A-C18B-DEB1AC94E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380999"/>
          <a:ext cx="4686300" cy="4903259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1</xdr:row>
      <xdr:rowOff>63500</xdr:rowOff>
    </xdr:from>
    <xdr:to>
      <xdr:col>16</xdr:col>
      <xdr:colOff>69678</xdr:colOff>
      <xdr:row>23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B10121-54EE-4E87-98AA-6A57F627D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9900" y="254000"/>
          <a:ext cx="5289378" cy="4254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smus Kipp" id="{3DF2DCF7-079A-8A41-93F3-4E90E4E6FFB1}" userId="S::rasmus.kipp@hva.nl::e9d57887-7e10-4c0c-95be-d7f78cccc19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4-12-17T22:06:13.35" personId="{3DF2DCF7-079A-8A41-93F3-4E90E4E6FFB1}" id="{8C661A1A-E91F-884F-AD81-74FCE4E8B02D}">
    <text>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Semiconductors.xlsx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4565-EE7E-4A17-B4C8-B0AECC36374E}">
  <dimension ref="B2:K21"/>
  <sheetViews>
    <sheetView topLeftCell="C1" zoomScale="145" zoomScaleNormal="145" workbookViewId="0">
      <selection activeCell="G14" sqref="G14"/>
    </sheetView>
  </sheetViews>
  <sheetFormatPr baseColWidth="10" defaultColWidth="9.1640625" defaultRowHeight="14" x14ac:dyDescent="0.15"/>
  <cols>
    <col min="1" max="5" width="9.1640625" style="2"/>
    <col min="6" max="6" width="10.5" style="2" bestFit="1" customWidth="1"/>
    <col min="7" max="7" width="11.1640625" style="11" bestFit="1" customWidth="1"/>
    <col min="8" max="16384" width="9.1640625" style="2"/>
  </cols>
  <sheetData>
    <row r="2" spans="2:11" x14ac:dyDescent="0.15">
      <c r="B2" s="2" t="s">
        <v>8</v>
      </c>
      <c r="G2" s="10">
        <v>684.4</v>
      </c>
      <c r="H2" s="4" t="s">
        <v>13</v>
      </c>
      <c r="J2" s="4" t="s">
        <v>21</v>
      </c>
    </row>
    <row r="3" spans="2:11" x14ac:dyDescent="0.15">
      <c r="B3" s="2" t="s">
        <v>9</v>
      </c>
      <c r="F3" s="2" t="s">
        <v>0</v>
      </c>
      <c r="G3" s="10" t="s">
        <v>69</v>
      </c>
      <c r="H3" s="4" t="s">
        <v>12</v>
      </c>
      <c r="J3" s="2" t="s">
        <v>16</v>
      </c>
    </row>
    <row r="4" spans="2:11" x14ac:dyDescent="0.15">
      <c r="B4" s="4" t="s">
        <v>23</v>
      </c>
      <c r="F4" s="2" t="s">
        <v>1</v>
      </c>
      <c r="G4" s="11">
        <v>393</v>
      </c>
      <c r="H4" s="2" t="s">
        <v>10</v>
      </c>
      <c r="J4" s="2" t="s">
        <v>17</v>
      </c>
    </row>
    <row r="5" spans="2:11" x14ac:dyDescent="0.15">
      <c r="B5" s="2" t="s">
        <v>24</v>
      </c>
      <c r="F5" s="2" t="s">
        <v>2</v>
      </c>
      <c r="G5" s="14">
        <f>G3*G4</f>
        <v>288929.67000000004</v>
      </c>
      <c r="J5" s="2" t="s">
        <v>18</v>
      </c>
      <c r="K5" s="4" t="s">
        <v>22</v>
      </c>
    </row>
    <row r="6" spans="2:11" x14ac:dyDescent="0.15">
      <c r="F6" s="2" t="s">
        <v>3</v>
      </c>
      <c r="G6" s="12">
        <f>7004+5</f>
        <v>7009</v>
      </c>
      <c r="H6" s="2" t="s">
        <v>10</v>
      </c>
      <c r="J6" s="2" t="s">
        <v>19</v>
      </c>
    </row>
    <row r="7" spans="2:11" x14ac:dyDescent="0.15">
      <c r="F7" s="2" t="s">
        <v>4</v>
      </c>
      <c r="G7" s="12">
        <v>4631</v>
      </c>
      <c r="H7" s="2" t="s">
        <v>10</v>
      </c>
      <c r="J7" s="2" t="s">
        <v>20</v>
      </c>
    </row>
    <row r="8" spans="2:11" x14ac:dyDescent="0.15">
      <c r="F8" s="2" t="s">
        <v>5</v>
      </c>
      <c r="G8" s="13">
        <f>G5-G6+G7</f>
        <v>286551.67000000004</v>
      </c>
    </row>
    <row r="9" spans="2:11" x14ac:dyDescent="0.15">
      <c r="F9" s="2" t="s">
        <v>6</v>
      </c>
      <c r="G9" s="11" t="s">
        <v>7</v>
      </c>
    </row>
    <row r="10" spans="2:11" x14ac:dyDescent="0.15">
      <c r="F10" s="2" t="s">
        <v>11</v>
      </c>
      <c r="G10" s="12">
        <v>42372</v>
      </c>
      <c r="H10" s="2" t="s">
        <v>67</v>
      </c>
    </row>
    <row r="11" spans="2:11" x14ac:dyDescent="0.15">
      <c r="F11" s="2" t="s">
        <v>60</v>
      </c>
    </row>
    <row r="12" spans="2:11" x14ac:dyDescent="0.15">
      <c r="B12" s="2" t="s">
        <v>63</v>
      </c>
    </row>
    <row r="13" spans="2:11" x14ac:dyDescent="0.15">
      <c r="B13" s="9" t="s">
        <v>61</v>
      </c>
      <c r="F13" s="2" t="s">
        <v>80</v>
      </c>
      <c r="G13" s="12">
        <f>G6-G7</f>
        <v>2378</v>
      </c>
    </row>
    <row r="14" spans="2:11" x14ac:dyDescent="0.15">
      <c r="B14" s="2" t="s">
        <v>62</v>
      </c>
    </row>
    <row r="15" spans="2:11" x14ac:dyDescent="0.15">
      <c r="B15" s="2" t="s">
        <v>64</v>
      </c>
    </row>
    <row r="16" spans="2:11" x14ac:dyDescent="0.15">
      <c r="B16" s="2" t="s">
        <v>65</v>
      </c>
    </row>
    <row r="18" spans="2:2" x14ac:dyDescent="0.15">
      <c r="B18" s="2" t="s">
        <v>66</v>
      </c>
    </row>
    <row r="19" spans="2:2" x14ac:dyDescent="0.15">
      <c r="B19" s="2" t="s">
        <v>68</v>
      </c>
    </row>
    <row r="20" spans="2:2" x14ac:dyDescent="0.15">
      <c r="B20" s="2" t="s">
        <v>71</v>
      </c>
    </row>
    <row r="21" spans="2:2" x14ac:dyDescent="0.15">
      <c r="B21" s="2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2A34-9113-4AFD-94ED-65E1F388EF60}">
  <dimension ref="A1:BN27"/>
  <sheetViews>
    <sheetView tabSelected="1" zoomScale="164" zoomScaleNormal="115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Z23" sqref="Z23"/>
    </sheetView>
  </sheetViews>
  <sheetFormatPr baseColWidth="10" defaultColWidth="9.1640625" defaultRowHeight="14" x14ac:dyDescent="0.15"/>
  <cols>
    <col min="1" max="1" width="5.5" style="2" bestFit="1" customWidth="1"/>
    <col min="2" max="2" width="14.5" style="2" bestFit="1" customWidth="1"/>
    <col min="3" max="5" width="10.1640625" style="2" bestFit="1" customWidth="1"/>
    <col min="6" max="6" width="11.33203125" style="2" bestFit="1" customWidth="1"/>
    <col min="7" max="9" width="10.1640625" style="2" bestFit="1" customWidth="1"/>
    <col min="10" max="10" width="11.33203125" style="2" bestFit="1" customWidth="1"/>
    <col min="11" max="13" width="10.1640625" style="2" bestFit="1" customWidth="1"/>
    <col min="14" max="14" width="11.33203125" style="2" bestFit="1" customWidth="1"/>
    <col min="15" max="17" width="10.1640625" style="2" bestFit="1" customWidth="1"/>
    <col min="18" max="18" width="11.33203125" style="2" bestFit="1" customWidth="1"/>
    <col min="19" max="22" width="9.1640625" style="2"/>
    <col min="23" max="23" width="9.83203125" style="2" bestFit="1" customWidth="1"/>
    <col min="24" max="25" width="9.1640625" style="2"/>
    <col min="26" max="26" width="11.83203125" style="2" bestFit="1" customWidth="1"/>
    <col min="27" max="16384" width="9.1640625" style="2"/>
  </cols>
  <sheetData>
    <row r="1" spans="1:66" x14ac:dyDescent="0.15">
      <c r="A1" s="1" t="s">
        <v>14</v>
      </c>
      <c r="C1" s="7">
        <f>G1-365</f>
        <v>44651</v>
      </c>
      <c r="D1" s="7">
        <f>+H1-365</f>
        <v>44744</v>
      </c>
      <c r="E1" s="7">
        <f>+I1-365</f>
        <v>44833</v>
      </c>
      <c r="F1" s="7">
        <f>+J1-365</f>
        <v>44926</v>
      </c>
      <c r="G1" s="7">
        <v>45016</v>
      </c>
      <c r="H1" s="7">
        <v>45109</v>
      </c>
      <c r="I1" s="7">
        <v>45198</v>
      </c>
      <c r="J1" s="7">
        <v>45291</v>
      </c>
      <c r="K1" s="7">
        <v>45382</v>
      </c>
      <c r="L1" s="7">
        <v>45503</v>
      </c>
      <c r="M1" s="7">
        <v>45564</v>
      </c>
      <c r="N1" s="7">
        <v>45657</v>
      </c>
      <c r="O1" s="7">
        <f>K1+365</f>
        <v>45747</v>
      </c>
      <c r="P1" s="7">
        <f>L1+365</f>
        <v>45868</v>
      </c>
      <c r="Q1" s="7">
        <f>M1+365</f>
        <v>45929</v>
      </c>
      <c r="R1" s="7">
        <f>N1+365</f>
        <v>46022</v>
      </c>
    </row>
    <row r="2" spans="1:66" x14ac:dyDescent="0.15">
      <c r="B2" s="2" t="s">
        <v>15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39</v>
      </c>
      <c r="J2" s="2" t="s">
        <v>31</v>
      </c>
      <c r="K2" s="2" t="s">
        <v>32</v>
      </c>
      <c r="L2" s="2" t="s">
        <v>33</v>
      </c>
      <c r="M2" s="2" t="s">
        <v>10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38</v>
      </c>
      <c r="U2" s="2">
        <v>2023</v>
      </c>
      <c r="V2" s="2">
        <v>2024</v>
      </c>
      <c r="W2" s="2">
        <v>2025</v>
      </c>
      <c r="X2" s="2">
        <f>W2+1</f>
        <v>2026</v>
      </c>
      <c r="Y2" s="2">
        <f t="shared" ref="Y2:AG2" si="0">X2+1</f>
        <v>2027</v>
      </c>
      <c r="Z2" s="2">
        <f t="shared" si="0"/>
        <v>2028</v>
      </c>
      <c r="AA2" s="2">
        <f t="shared" si="0"/>
        <v>2029</v>
      </c>
      <c r="AB2" s="2">
        <f t="shared" si="0"/>
        <v>2030</v>
      </c>
      <c r="AC2" s="2">
        <f t="shared" si="0"/>
        <v>2031</v>
      </c>
      <c r="AD2" s="2">
        <f t="shared" si="0"/>
        <v>2032</v>
      </c>
      <c r="AE2" s="2">
        <f t="shared" si="0"/>
        <v>2033</v>
      </c>
      <c r="AF2" s="2">
        <f t="shared" si="0"/>
        <v>2034</v>
      </c>
      <c r="AG2" s="2">
        <f t="shared" si="0"/>
        <v>2035</v>
      </c>
    </row>
    <row r="3" spans="1:66" x14ac:dyDescent="0.15">
      <c r="B3" s="2" t="s">
        <v>40</v>
      </c>
      <c r="C3" s="5">
        <v>2287</v>
      </c>
      <c r="D3" s="5">
        <v>4140</v>
      </c>
      <c r="E3" s="5">
        <v>4254</v>
      </c>
      <c r="F3" s="5">
        <v>4747</v>
      </c>
      <c r="G3" s="5">
        <v>5341</v>
      </c>
      <c r="H3" s="5">
        <v>5606</v>
      </c>
      <c r="I3" s="5">
        <v>5308.2</v>
      </c>
      <c r="J3" s="5">
        <v>5682</v>
      </c>
      <c r="K3" s="5">
        <v>3965</v>
      </c>
      <c r="L3" s="5">
        <v>4761</v>
      </c>
      <c r="M3" s="5">
        <v>5926</v>
      </c>
      <c r="N3" s="5">
        <f>N5*0.77</f>
        <v>6468</v>
      </c>
      <c r="O3" s="5">
        <f>N3*0.99</f>
        <v>6403.32</v>
      </c>
      <c r="P3" s="5">
        <f t="shared" ref="P3:R3" si="1">O3*0.99</f>
        <v>6339.2867999999999</v>
      </c>
      <c r="Q3" s="5">
        <f t="shared" si="1"/>
        <v>6275.8939319999999</v>
      </c>
      <c r="R3" s="5">
        <f t="shared" si="1"/>
        <v>6213.1349926800003</v>
      </c>
      <c r="U3" s="5">
        <f>SUM(G3:J3)</f>
        <v>21937.200000000001</v>
      </c>
      <c r="V3" s="5">
        <f>SUM(K3:N3)</f>
        <v>21120</v>
      </c>
      <c r="W3" s="5">
        <f>SUM(O3:R3)</f>
        <v>25231.63572468</v>
      </c>
    </row>
    <row r="4" spans="1:66" x14ac:dyDescent="0.15">
      <c r="B4" s="2" t="s">
        <v>41</v>
      </c>
      <c r="C4" s="5">
        <v>1247</v>
      </c>
      <c r="D4" s="5">
        <v>1290</v>
      </c>
      <c r="E4" s="5">
        <v>1523</v>
      </c>
      <c r="F4" s="5">
        <v>1682</v>
      </c>
      <c r="G4" s="5">
        <v>1404</v>
      </c>
      <c r="H4" s="5">
        <v>1296</v>
      </c>
      <c r="I4" s="5">
        <v>1364.8</v>
      </c>
      <c r="J4" s="5">
        <v>1554</v>
      </c>
      <c r="K4" s="5">
        <v>1324</v>
      </c>
      <c r="L4" s="5">
        <v>1482</v>
      </c>
      <c r="M4" s="5">
        <v>1541.3</v>
      </c>
      <c r="N4" s="5">
        <f>N5*0.23</f>
        <v>1932</v>
      </c>
      <c r="O4" s="5">
        <f>N4*0.99</f>
        <v>1912.68</v>
      </c>
      <c r="P4" s="5">
        <f t="shared" ref="P4:R4" si="2">O4*0.99</f>
        <v>1893.5532000000001</v>
      </c>
      <c r="Q4" s="5">
        <f t="shared" si="2"/>
        <v>1874.6176680000001</v>
      </c>
      <c r="R4" s="5">
        <f t="shared" si="2"/>
        <v>1855.8714913200001</v>
      </c>
      <c r="U4" s="5">
        <f t="shared" ref="U4:U18" si="3">SUM(G4:J4)</f>
        <v>5618.8</v>
      </c>
      <c r="V4" s="5">
        <f>SUM(K4:N4)</f>
        <v>6279.3</v>
      </c>
      <c r="W4" s="5">
        <f t="shared" ref="W4" si="4">SUM(O4:R4)</f>
        <v>7536.7223593200006</v>
      </c>
    </row>
    <row r="5" spans="1:66" s="4" customFormat="1" x14ac:dyDescent="0.15">
      <c r="B5" s="4" t="s">
        <v>54</v>
      </c>
      <c r="C5" s="6">
        <f>C3+C4</f>
        <v>3534</v>
      </c>
      <c r="D5" s="6">
        <f>D3+D4</f>
        <v>5430</v>
      </c>
      <c r="E5" s="6">
        <f>E3+E4</f>
        <v>5777</v>
      </c>
      <c r="F5" s="6">
        <f>F3+F4</f>
        <v>6429</v>
      </c>
      <c r="G5" s="6">
        <f>G3+G4</f>
        <v>6745</v>
      </c>
      <c r="H5" s="6">
        <f>H3+H4</f>
        <v>6902</v>
      </c>
      <c r="I5" s="6">
        <f>I3+I4</f>
        <v>6673</v>
      </c>
      <c r="J5" s="6">
        <f>J3+J4</f>
        <v>7236</v>
      </c>
      <c r="K5" s="6">
        <f>K3+K4</f>
        <v>5289</v>
      </c>
      <c r="L5" s="6">
        <f>L3+L4</f>
        <v>6243</v>
      </c>
      <c r="M5" s="6">
        <f>M3+M4</f>
        <v>7467.3</v>
      </c>
      <c r="N5" s="15">
        <v>8400</v>
      </c>
      <c r="O5" s="15">
        <f t="shared" ref="O5:R5" si="5">O3+O4</f>
        <v>8316</v>
      </c>
      <c r="P5" s="15">
        <f t="shared" si="5"/>
        <v>8232.84</v>
      </c>
      <c r="Q5" s="15">
        <f t="shared" si="5"/>
        <v>8150.5115999999998</v>
      </c>
      <c r="R5" s="15">
        <f t="shared" si="5"/>
        <v>8069.0064840000005</v>
      </c>
      <c r="U5" s="15">
        <f t="shared" ref="U5:W5" si="6">U3+U4</f>
        <v>27556</v>
      </c>
      <c r="V5" s="15">
        <f t="shared" si="6"/>
        <v>27399.3</v>
      </c>
      <c r="W5" s="15">
        <f t="shared" si="6"/>
        <v>32768.358084</v>
      </c>
    </row>
    <row r="6" spans="1:66" x14ac:dyDescent="0.15">
      <c r="B6" s="2" t="s">
        <v>42</v>
      </c>
      <c r="C6" s="5">
        <v>1803</v>
      </c>
      <c r="D6" s="5">
        <v>2766</v>
      </c>
      <c r="E6" s="5">
        <v>2784</v>
      </c>
      <c r="F6" s="5">
        <v>3119</v>
      </c>
      <c r="G6" s="5">
        <v>3333</v>
      </c>
      <c r="H6" s="5">
        <v>3358</v>
      </c>
      <c r="I6" s="5">
        <v>3211.4</v>
      </c>
      <c r="J6" s="5">
        <v>3519</v>
      </c>
      <c r="K6" s="5">
        <v>2593</v>
      </c>
      <c r="L6" s="5">
        <v>3030</v>
      </c>
      <c r="M6" s="5">
        <v>3673.9</v>
      </c>
      <c r="N6" s="5">
        <f>AVERAGE(C6:M6)</f>
        <v>3017.3</v>
      </c>
      <c r="O6" s="5">
        <f>N6*1.01</f>
        <v>3047.4730000000004</v>
      </c>
      <c r="P6" s="5">
        <f t="shared" ref="P6:R6" si="7">O6*1.01</f>
        <v>3077.9477300000003</v>
      </c>
      <c r="Q6" s="5">
        <f t="shared" si="7"/>
        <v>3108.7272073000004</v>
      </c>
      <c r="R6" s="5">
        <f t="shared" si="7"/>
        <v>3139.8144793730003</v>
      </c>
      <c r="U6" s="5">
        <f t="shared" si="3"/>
        <v>13421.4</v>
      </c>
      <c r="V6" s="5">
        <f>SUM(K6:N6)</f>
        <v>12314.2</v>
      </c>
      <c r="W6" s="5">
        <f>SUM(O6:R6)</f>
        <v>12373.962416673001</v>
      </c>
    </row>
    <row r="7" spans="1:66" s="9" customFormat="1" x14ac:dyDescent="0.15">
      <c r="B7" s="9" t="s">
        <v>43</v>
      </c>
      <c r="C7" s="15">
        <f>C5-C6</f>
        <v>1731</v>
      </c>
      <c r="D7" s="15">
        <f>D5-D6</f>
        <v>2664</v>
      </c>
      <c r="E7" s="15">
        <f>E5-E6</f>
        <v>2993</v>
      </c>
      <c r="F7" s="15">
        <f>F5-F6</f>
        <v>3310</v>
      </c>
      <c r="G7" s="15">
        <f>G5-G6</f>
        <v>3412</v>
      </c>
      <c r="H7" s="15">
        <f>H5-H6</f>
        <v>3544</v>
      </c>
      <c r="I7" s="15">
        <f>I5-I6</f>
        <v>3461.6</v>
      </c>
      <c r="J7" s="15">
        <f>J5-J6</f>
        <v>3717</v>
      </c>
      <c r="K7" s="15">
        <f>K5-K6</f>
        <v>2696</v>
      </c>
      <c r="L7" s="15">
        <f>L5-L6</f>
        <v>3213</v>
      </c>
      <c r="M7" s="15">
        <f>M5-M6</f>
        <v>3793.4</v>
      </c>
      <c r="N7" s="15">
        <f>N5-N6</f>
        <v>5382.7</v>
      </c>
      <c r="O7" s="15">
        <f t="shared" ref="O7:R7" si="8">O5-O6</f>
        <v>5268.527</v>
      </c>
      <c r="P7" s="15">
        <f t="shared" si="8"/>
        <v>5154.8922700000003</v>
      </c>
      <c r="Q7" s="15">
        <f t="shared" si="8"/>
        <v>5041.7843926999994</v>
      </c>
      <c r="R7" s="15">
        <f t="shared" si="8"/>
        <v>4929.1920046270006</v>
      </c>
      <c r="U7" s="15">
        <f t="shared" ref="U7:W7" si="9">U5-U6</f>
        <v>14134.6</v>
      </c>
      <c r="V7" s="15">
        <f t="shared" si="9"/>
        <v>15085.099999999999</v>
      </c>
      <c r="W7" s="15">
        <f t="shared" si="9"/>
        <v>20394.395667327</v>
      </c>
    </row>
    <row r="8" spans="1:66" x14ac:dyDescent="0.15">
      <c r="B8" s="2" t="s">
        <v>44</v>
      </c>
      <c r="C8" s="5">
        <v>738</v>
      </c>
      <c r="D8" s="5">
        <v>789</v>
      </c>
      <c r="E8" s="5">
        <v>819</v>
      </c>
      <c r="F8" s="5">
        <v>906</v>
      </c>
      <c r="G8" s="5">
        <v>948</v>
      </c>
      <c r="H8" s="5">
        <v>1000</v>
      </c>
      <c r="I8" s="5">
        <v>991.4</v>
      </c>
      <c r="J8" s="5">
        <v>1041</v>
      </c>
      <c r="K8" s="5">
        <v>1032</v>
      </c>
      <c r="L8" s="5">
        <v>1100</v>
      </c>
      <c r="M8" s="5">
        <v>1055.2</v>
      </c>
      <c r="N8" s="5">
        <v>1100</v>
      </c>
      <c r="O8" s="5">
        <v>1100</v>
      </c>
      <c r="P8" s="5">
        <v>1100</v>
      </c>
      <c r="Q8" s="5">
        <v>1100</v>
      </c>
      <c r="R8" s="5">
        <v>1100</v>
      </c>
      <c r="U8" s="5">
        <f t="shared" si="3"/>
        <v>3980.4</v>
      </c>
      <c r="V8" s="5">
        <f>SUM(K8:N8)</f>
        <v>4287.2</v>
      </c>
      <c r="W8" s="5">
        <f>SUM(O8:R8)</f>
        <v>4400</v>
      </c>
    </row>
    <row r="9" spans="1:66" x14ac:dyDescent="0.15">
      <c r="B9" s="2" t="s">
        <v>45</v>
      </c>
      <c r="C9" s="5">
        <v>207</v>
      </c>
      <c r="D9" s="5">
        <v>222</v>
      </c>
      <c r="E9" s="5">
        <v>235</v>
      </c>
      <c r="F9" s="5">
        <v>280</v>
      </c>
      <c r="G9" s="5">
        <v>260</v>
      </c>
      <c r="H9" s="5">
        <v>281</v>
      </c>
      <c r="I9" s="5">
        <v>287.8</v>
      </c>
      <c r="J9" s="5">
        <v>284</v>
      </c>
      <c r="K9" s="5">
        <v>273</v>
      </c>
      <c r="L9" s="5">
        <v>277</v>
      </c>
      <c r="M9" s="5">
        <v>297</v>
      </c>
      <c r="N9" s="5">
        <v>300</v>
      </c>
      <c r="O9" s="5">
        <v>300</v>
      </c>
      <c r="P9" s="5">
        <v>300</v>
      </c>
      <c r="Q9" s="5">
        <v>300</v>
      </c>
      <c r="R9" s="5">
        <v>300</v>
      </c>
      <c r="U9" s="5">
        <f t="shared" si="3"/>
        <v>1112.8</v>
      </c>
      <c r="V9" s="5">
        <f>SUM(K9:N9)</f>
        <v>1147</v>
      </c>
      <c r="W9" s="5">
        <f>SUM(O9:R9)</f>
        <v>1200</v>
      </c>
    </row>
    <row r="10" spans="1:66" x14ac:dyDescent="0.15">
      <c r="B10" s="2" t="s">
        <v>47</v>
      </c>
      <c r="C10" s="5">
        <f>C8+C9</f>
        <v>945</v>
      </c>
      <c r="D10" s="5">
        <f>D8+D9</f>
        <v>1011</v>
      </c>
      <c r="E10" s="5">
        <f>E8+E9</f>
        <v>1054</v>
      </c>
      <c r="F10" s="5">
        <f>F8+F9</f>
        <v>1186</v>
      </c>
      <c r="G10" s="5">
        <f>G8+G9</f>
        <v>1208</v>
      </c>
      <c r="H10" s="5">
        <f>H8+H9</f>
        <v>1281</v>
      </c>
      <c r="I10" s="5">
        <f>I8+I9</f>
        <v>1279.2</v>
      </c>
      <c r="J10" s="5">
        <f>J8+J9</f>
        <v>1325</v>
      </c>
      <c r="K10" s="5">
        <f>K8+K9</f>
        <v>1305</v>
      </c>
      <c r="L10" s="5">
        <f>L8+L9</f>
        <v>1377</v>
      </c>
      <c r="M10" s="5">
        <f>M8+M9</f>
        <v>1352.2</v>
      </c>
      <c r="N10" s="5">
        <f t="shared" ref="N10:R10" si="10">N8+N9</f>
        <v>1400</v>
      </c>
      <c r="O10" s="5">
        <f t="shared" si="10"/>
        <v>1400</v>
      </c>
      <c r="P10" s="5">
        <f t="shared" si="10"/>
        <v>1400</v>
      </c>
      <c r="Q10" s="5">
        <f t="shared" si="10"/>
        <v>1400</v>
      </c>
      <c r="R10" s="5">
        <f t="shared" si="10"/>
        <v>1400</v>
      </c>
      <c r="U10" s="5">
        <f t="shared" si="3"/>
        <v>5093.2</v>
      </c>
      <c r="V10" s="5">
        <f>SUM(K10:N10)</f>
        <v>5434.2</v>
      </c>
      <c r="W10" s="5">
        <f>SUM(O10:R10)</f>
        <v>5600</v>
      </c>
    </row>
    <row r="11" spans="1:66" s="4" customFormat="1" x14ac:dyDescent="0.15">
      <c r="B11" s="4" t="s">
        <v>46</v>
      </c>
      <c r="C11" s="6">
        <f>C7-C10</f>
        <v>786</v>
      </c>
      <c r="D11" s="6">
        <f>D7-D10</f>
        <v>1653</v>
      </c>
      <c r="E11" s="6">
        <f>E7-E10</f>
        <v>1939</v>
      </c>
      <c r="F11" s="6">
        <f>F7-F10</f>
        <v>2124</v>
      </c>
      <c r="G11" s="6">
        <f>G7-G10</f>
        <v>2204</v>
      </c>
      <c r="H11" s="6">
        <f>H7-H10</f>
        <v>2263</v>
      </c>
      <c r="I11" s="6">
        <f>I7-I10</f>
        <v>2182.3999999999996</v>
      </c>
      <c r="J11" s="6">
        <f>J7-J10</f>
        <v>2392</v>
      </c>
      <c r="K11" s="6">
        <f>K7-K10</f>
        <v>1391</v>
      </c>
      <c r="L11" s="6">
        <f>L7-L10</f>
        <v>1836</v>
      </c>
      <c r="M11" s="6">
        <f>M7-M10</f>
        <v>2441.1999999999998</v>
      </c>
      <c r="N11" s="6">
        <f t="shared" ref="N11:R11" si="11">N7-N10</f>
        <v>3982.7</v>
      </c>
      <c r="O11" s="6">
        <f t="shared" si="11"/>
        <v>3868.527</v>
      </c>
      <c r="P11" s="6">
        <f t="shared" si="11"/>
        <v>3754.8922700000003</v>
      </c>
      <c r="Q11" s="6">
        <f t="shared" si="11"/>
        <v>3641.7843926999994</v>
      </c>
      <c r="R11" s="6">
        <f t="shared" si="11"/>
        <v>3529.1920046270006</v>
      </c>
      <c r="U11" s="6">
        <f t="shared" ref="U11:W11" si="12">U7-U10</f>
        <v>9041.4000000000015</v>
      </c>
      <c r="V11" s="6">
        <f t="shared" si="12"/>
        <v>9650.8999999999978</v>
      </c>
      <c r="W11" s="6">
        <f t="shared" si="12"/>
        <v>14794.395667327</v>
      </c>
    </row>
    <row r="12" spans="1:66" x14ac:dyDescent="0.15">
      <c r="B12" s="2" t="s">
        <v>48</v>
      </c>
      <c r="C12" s="5">
        <v>-15</v>
      </c>
      <c r="D12" s="5">
        <v>-10</v>
      </c>
      <c r="E12" s="5">
        <v>-15</v>
      </c>
      <c r="F12" s="5">
        <v>-3</v>
      </c>
      <c r="G12" s="5">
        <v>12</v>
      </c>
      <c r="H12" s="5">
        <v>16</v>
      </c>
      <c r="I12" s="5">
        <v>7.1</v>
      </c>
      <c r="J12" s="5">
        <v>5</v>
      </c>
      <c r="K12" s="5">
        <v>26</v>
      </c>
      <c r="L12" s="5">
        <v>-12</v>
      </c>
      <c r="M12" s="5">
        <v>-0.8</v>
      </c>
      <c r="N12" s="5">
        <f>AVERAGE(C12:M12)</f>
        <v>0.9363636363636364</v>
      </c>
      <c r="O12" s="5">
        <f t="shared" ref="O12:R12" si="13">AVERAGE(D12:N12)</f>
        <v>2.3851239669421491</v>
      </c>
      <c r="P12" s="5">
        <f t="shared" si="13"/>
        <v>3.5110443275732535</v>
      </c>
      <c r="Q12" s="5">
        <f t="shared" si="13"/>
        <v>5.1938665391708216</v>
      </c>
      <c r="R12" s="5">
        <f t="shared" si="13"/>
        <v>5.9387634972772592</v>
      </c>
      <c r="U12" s="5">
        <f t="shared" si="3"/>
        <v>40.1</v>
      </c>
      <c r="V12" s="5">
        <f>SUM(K12:N12)</f>
        <v>14.136363636363635</v>
      </c>
      <c r="W12" s="5">
        <f>SUM(O12:R12)</f>
        <v>17.028798330963482</v>
      </c>
    </row>
    <row r="13" spans="1:66" x14ac:dyDescent="0.15">
      <c r="B13" s="2" t="s">
        <v>49</v>
      </c>
      <c r="C13" s="5">
        <f>C11+C12</f>
        <v>771</v>
      </c>
      <c r="D13" s="5">
        <f>D11+D12</f>
        <v>1643</v>
      </c>
      <c r="E13" s="5">
        <f>E11+E12</f>
        <v>1924</v>
      </c>
      <c r="F13" s="5">
        <f>F11+F12</f>
        <v>2121</v>
      </c>
      <c r="G13" s="5">
        <f>G11+G12</f>
        <v>2216</v>
      </c>
      <c r="H13" s="5">
        <f>H11+H12</f>
        <v>2279</v>
      </c>
      <c r="I13" s="5">
        <f>I11+I12</f>
        <v>2189.4999999999995</v>
      </c>
      <c r="J13" s="5">
        <f>J11+J12</f>
        <v>2397</v>
      </c>
      <c r="K13" s="5">
        <f>K11+K12</f>
        <v>1417</v>
      </c>
      <c r="L13" s="5">
        <f>L11+L12</f>
        <v>1824</v>
      </c>
      <c r="M13" s="5">
        <f>M11+M12</f>
        <v>2440.3999999999996</v>
      </c>
      <c r="N13" s="5">
        <f t="shared" ref="N13:R13" si="14">N11+N12</f>
        <v>3983.6363636363635</v>
      </c>
      <c r="O13" s="5">
        <f t="shared" si="14"/>
        <v>3870.9121239669421</v>
      </c>
      <c r="P13" s="5">
        <f t="shared" si="14"/>
        <v>3758.4033143275738</v>
      </c>
      <c r="Q13" s="5">
        <f t="shared" si="14"/>
        <v>3646.9782592391703</v>
      </c>
      <c r="R13" s="5">
        <f t="shared" si="14"/>
        <v>3535.1307681242779</v>
      </c>
      <c r="U13" s="5">
        <f t="shared" si="3"/>
        <v>9081.5</v>
      </c>
      <c r="V13" s="5">
        <f>SUM(K13:N13)</f>
        <v>9665.0363636363636</v>
      </c>
      <c r="W13" s="5">
        <f>SUM(O13:R13)</f>
        <v>14811.424465657963</v>
      </c>
    </row>
    <row r="14" spans="1:66" x14ac:dyDescent="0.15">
      <c r="B14" s="2" t="s">
        <v>50</v>
      </c>
      <c r="C14" s="5">
        <v>114</v>
      </c>
      <c r="D14" s="5">
        <v>246</v>
      </c>
      <c r="E14" s="5">
        <v>252</v>
      </c>
      <c r="F14" s="5">
        <v>357</v>
      </c>
      <c r="G14" s="5">
        <v>302</v>
      </c>
      <c r="H14" s="5">
        <v>404</v>
      </c>
      <c r="I14" s="5">
        <v>343.7</v>
      </c>
      <c r="J14" s="5">
        <v>385</v>
      </c>
      <c r="K14" s="5">
        <v>224</v>
      </c>
      <c r="L14" s="5">
        <v>292</v>
      </c>
      <c r="M14" s="5">
        <v>441.2</v>
      </c>
      <c r="N14" s="5">
        <f>AVERAGE(C14:M14)</f>
        <v>305.5363636363636</v>
      </c>
      <c r="O14" s="5">
        <f>N14*1.05</f>
        <v>320.81318181818182</v>
      </c>
      <c r="P14" s="5">
        <f t="shared" ref="P14:R14" si="15">O14*1.05</f>
        <v>336.85384090909093</v>
      </c>
      <c r="Q14" s="5">
        <f t="shared" si="15"/>
        <v>353.69653295454549</v>
      </c>
      <c r="R14" s="5">
        <f t="shared" si="15"/>
        <v>371.38135960227277</v>
      </c>
      <c r="U14" s="5">
        <f t="shared" si="3"/>
        <v>1434.7</v>
      </c>
      <c r="V14" s="5">
        <f>SUM(K14:N14)</f>
        <v>1262.7363636363636</v>
      </c>
      <c r="W14" s="5">
        <f>SUM(O14:R14)</f>
        <v>1382.7449152840911</v>
      </c>
    </row>
    <row r="15" spans="1:66" x14ac:dyDescent="0.15">
      <c r="B15" s="2" t="s">
        <v>51</v>
      </c>
      <c r="C15" s="5">
        <v>40</v>
      </c>
      <c r="D15" s="5">
        <v>14</v>
      </c>
      <c r="E15" s="5">
        <v>30</v>
      </c>
      <c r="F15" s="5">
        <v>52</v>
      </c>
      <c r="G15" s="5">
        <v>41</v>
      </c>
      <c r="H15" s="5">
        <v>66</v>
      </c>
      <c r="I15" s="5">
        <v>47.6</v>
      </c>
      <c r="J15" s="5">
        <v>36</v>
      </c>
      <c r="K15" s="5">
        <v>30</v>
      </c>
      <c r="L15" s="5">
        <v>46</v>
      </c>
      <c r="M15" s="5">
        <v>77.3</v>
      </c>
      <c r="N15" s="5">
        <f>AVERAGE(C15:M15)</f>
        <v>43.627272727272732</v>
      </c>
      <c r="O15" s="5">
        <f t="shared" ref="O15:R15" si="16">AVERAGE(D15:N15)</f>
        <v>43.957024793388435</v>
      </c>
      <c r="P15" s="5">
        <f t="shared" si="16"/>
        <v>46.68039068369648</v>
      </c>
      <c r="Q15" s="5">
        <f t="shared" si="16"/>
        <v>48.196789836759784</v>
      </c>
      <c r="R15" s="5">
        <f t="shared" si="16"/>
        <v>47.851043458283407</v>
      </c>
      <c r="U15" s="5">
        <f t="shared" si="3"/>
        <v>190.6</v>
      </c>
      <c r="V15" s="5">
        <f>SUM(K15:N15)</f>
        <v>196.92727272727274</v>
      </c>
      <c r="W15" s="5">
        <f>SUM(O15:R15)</f>
        <v>186.68524877212812</v>
      </c>
    </row>
    <row r="16" spans="1:66" s="4" customFormat="1" x14ac:dyDescent="0.15">
      <c r="B16" s="4" t="s">
        <v>52</v>
      </c>
      <c r="C16" s="6">
        <f>C13-C14+C15</f>
        <v>697</v>
      </c>
      <c r="D16" s="6">
        <f>D13-D14+D15</f>
        <v>1411</v>
      </c>
      <c r="E16" s="6">
        <f>E13-E14+E15</f>
        <v>1702</v>
      </c>
      <c r="F16" s="6">
        <f>F13-F14+F15</f>
        <v>1816</v>
      </c>
      <c r="G16" s="6">
        <f>G13-G14+G15</f>
        <v>1955</v>
      </c>
      <c r="H16" s="6">
        <f>H13-H14+H15</f>
        <v>1941</v>
      </c>
      <c r="I16" s="6">
        <f>I13-I14+I15</f>
        <v>1893.3999999999994</v>
      </c>
      <c r="J16" s="6">
        <f>J13-J14+J15</f>
        <v>2048</v>
      </c>
      <c r="K16" s="6">
        <f>K13-K14+K15</f>
        <v>1223</v>
      </c>
      <c r="L16" s="6">
        <f>L13-L14+L15</f>
        <v>1578</v>
      </c>
      <c r="M16" s="6">
        <f>M13-M14+M15</f>
        <v>2076.4999999999995</v>
      </c>
      <c r="N16" s="6">
        <f t="shared" ref="N16:R16" si="17">N13-N14+N15</f>
        <v>3721.7272727272725</v>
      </c>
      <c r="O16" s="6">
        <f t="shared" si="17"/>
        <v>3594.0559669421486</v>
      </c>
      <c r="P16" s="6">
        <f t="shared" si="17"/>
        <v>3468.2298641021789</v>
      </c>
      <c r="Q16" s="6">
        <f t="shared" si="17"/>
        <v>3341.4785161213845</v>
      </c>
      <c r="R16" s="6">
        <f t="shared" si="17"/>
        <v>3211.6004519802887</v>
      </c>
      <c r="U16" s="6">
        <f t="shared" ref="U16:V16" si="18">U13-U14+U15</f>
        <v>7837.4000000000005</v>
      </c>
      <c r="V16" s="6">
        <f>V13-V14+V15</f>
        <v>8599.2272727272721</v>
      </c>
      <c r="W16" s="6">
        <f>W13-W14+W15</f>
        <v>13615.364799146</v>
      </c>
      <c r="X16" s="6">
        <f>W16*(1+$Z21)</f>
        <v>13479.211151154541</v>
      </c>
      <c r="Y16" s="6">
        <f t="shared" ref="Y16:BN16" si="19">X16*(1+$Z21)</f>
        <v>13344.419039642995</v>
      </c>
      <c r="Z16" s="6">
        <f t="shared" si="19"/>
        <v>13210.974849246564</v>
      </c>
      <c r="AA16" s="6">
        <f t="shared" si="19"/>
        <v>13078.865100754099</v>
      </c>
      <c r="AB16" s="6">
        <f t="shared" si="19"/>
        <v>12948.076449746559</v>
      </c>
      <c r="AC16" s="6">
        <f t="shared" si="19"/>
        <v>12818.595685249093</v>
      </c>
      <c r="AD16" s="6">
        <f t="shared" si="19"/>
        <v>12690.409728396602</v>
      </c>
      <c r="AE16" s="6">
        <f t="shared" si="19"/>
        <v>12563.505631112635</v>
      </c>
      <c r="AF16" s="6">
        <f t="shared" si="19"/>
        <v>12437.870574801509</v>
      </c>
      <c r="AG16" s="6">
        <f t="shared" si="19"/>
        <v>12313.491869053494</v>
      </c>
      <c r="AH16" s="6">
        <f t="shared" si="19"/>
        <v>12190.356950362959</v>
      </c>
      <c r="AI16" s="6">
        <f t="shared" si="19"/>
        <v>12068.45338085933</v>
      </c>
      <c r="AJ16" s="6">
        <f t="shared" si="19"/>
        <v>11947.768847050736</v>
      </c>
      <c r="AK16" s="6">
        <f t="shared" si="19"/>
        <v>11828.291158580229</v>
      </c>
      <c r="AL16" s="6">
        <f t="shared" si="19"/>
        <v>11710.008246994426</v>
      </c>
      <c r="AM16" s="6">
        <f t="shared" si="19"/>
        <v>11592.908164524482</v>
      </c>
      <c r="AN16" s="6">
        <f t="shared" si="19"/>
        <v>11476.979082879237</v>
      </c>
      <c r="AO16" s="6">
        <f t="shared" si="19"/>
        <v>11362.209292050446</v>
      </c>
      <c r="AP16" s="6">
        <f t="shared" si="19"/>
        <v>11248.587199129941</v>
      </c>
      <c r="AQ16" s="6">
        <f t="shared" si="19"/>
        <v>11136.101327138642</v>
      </c>
      <c r="AR16" s="6">
        <f t="shared" si="19"/>
        <v>11024.740313867256</v>
      </c>
      <c r="AS16" s="6">
        <f t="shared" si="19"/>
        <v>10914.492910728584</v>
      </c>
      <c r="AT16" s="6">
        <f t="shared" si="19"/>
        <v>10805.347981621298</v>
      </c>
      <c r="AU16" s="6">
        <f t="shared" si="19"/>
        <v>10697.294501805085</v>
      </c>
      <c r="AV16" s="6">
        <f t="shared" si="19"/>
        <v>10590.321556787034</v>
      </c>
      <c r="AW16" s="6">
        <f t="shared" si="19"/>
        <v>10484.418341219163</v>
      </c>
      <c r="AX16" s="6">
        <f t="shared" si="19"/>
        <v>10379.574157806972</v>
      </c>
      <c r="AY16" s="6">
        <f t="shared" si="19"/>
        <v>10275.778416228903</v>
      </c>
      <c r="AZ16" s="6">
        <f t="shared" si="19"/>
        <v>10173.020632066613</v>
      </c>
      <c r="BA16" s="6">
        <f t="shared" si="19"/>
        <v>10071.290425745947</v>
      </c>
      <c r="BB16" s="6">
        <f t="shared" si="19"/>
        <v>9970.577521488487</v>
      </c>
      <c r="BC16" s="6">
        <f t="shared" si="19"/>
        <v>9870.8717462736022</v>
      </c>
      <c r="BD16" s="6">
        <f t="shared" si="19"/>
        <v>9772.1630288108663</v>
      </c>
      <c r="BE16" s="6">
        <f t="shared" si="19"/>
        <v>9674.4413985227584</v>
      </c>
      <c r="BF16" s="6">
        <f t="shared" si="19"/>
        <v>9577.6969845375315</v>
      </c>
      <c r="BG16" s="6">
        <f t="shared" si="19"/>
        <v>9481.9200146921557</v>
      </c>
      <c r="BH16" s="6">
        <f t="shared" si="19"/>
        <v>9387.1008145452342</v>
      </c>
      <c r="BI16" s="6">
        <f t="shared" si="19"/>
        <v>9293.2298063997823</v>
      </c>
      <c r="BJ16" s="6">
        <f t="shared" si="19"/>
        <v>9200.2975083357851</v>
      </c>
      <c r="BK16" s="6">
        <f t="shared" si="19"/>
        <v>9108.2945332524268</v>
      </c>
      <c r="BL16" s="6">
        <f t="shared" si="19"/>
        <v>9017.2115879199027</v>
      </c>
      <c r="BM16" s="6">
        <f t="shared" si="19"/>
        <v>8927.0394720407039</v>
      </c>
      <c r="BN16" s="6">
        <f t="shared" si="19"/>
        <v>8837.7690773202976</v>
      </c>
    </row>
    <row r="17" spans="2:26" x14ac:dyDescent="0.15">
      <c r="B17" s="2" t="s">
        <v>53</v>
      </c>
      <c r="C17" s="3">
        <f>C16/C18</f>
        <v>1.7381546134663342</v>
      </c>
      <c r="D17" s="3">
        <f>D16/D18</f>
        <v>3.5452261306532664</v>
      </c>
      <c r="E17" s="3">
        <f>E16/E18</f>
        <v>4.2979797979797976</v>
      </c>
      <c r="F17" s="3">
        <f>F16/F18</f>
        <v>4.6091370558375635</v>
      </c>
      <c r="G17" s="3">
        <f>G16/G18</f>
        <v>4.9619289340101522</v>
      </c>
      <c r="H17" s="3">
        <f>H16/H18</f>
        <v>4.9263959390862944</v>
      </c>
      <c r="I17" s="3">
        <f>I16/I18</f>
        <v>4.8129130655821033</v>
      </c>
      <c r="J17" s="3">
        <f>J16/J18</f>
        <v>5.2058973055414342</v>
      </c>
      <c r="K17" s="3">
        <f>K16/K18</f>
        <v>3.1087951194712762</v>
      </c>
      <c r="L17" s="3">
        <f>L16/L18</f>
        <v>4.011184544992374</v>
      </c>
      <c r="M17" s="3">
        <f>M16/M18</f>
        <v>5.2783426537874929</v>
      </c>
      <c r="N17" s="3">
        <f t="shared" ref="N17:R17" si="20">N16/N18</f>
        <v>9.4604150298100471</v>
      </c>
      <c r="O17" s="5">
        <f t="shared" si="20"/>
        <v>9.1358819698580298</v>
      </c>
      <c r="P17" s="5">
        <f t="shared" si="20"/>
        <v>8.8160393088514972</v>
      </c>
      <c r="Q17" s="5">
        <f t="shared" si="20"/>
        <v>8.4938447283207541</v>
      </c>
      <c r="R17" s="5">
        <f t="shared" si="20"/>
        <v>8.1637022165233581</v>
      </c>
      <c r="U17" s="5">
        <f t="shared" ref="U17:V17" si="21">U16/U18</f>
        <v>19.922216573462126</v>
      </c>
      <c r="V17" s="5">
        <f t="shared" si="21"/>
        <v>21.85873734806119</v>
      </c>
      <c r="W17" s="5">
        <f>SUM(O17:R17)</f>
        <v>34.609468223553634</v>
      </c>
    </row>
    <row r="18" spans="2:26" x14ac:dyDescent="0.15">
      <c r="B18" s="2" t="s">
        <v>1</v>
      </c>
      <c r="C18" s="5">
        <v>401</v>
      </c>
      <c r="D18" s="5">
        <v>398</v>
      </c>
      <c r="E18" s="5">
        <v>396</v>
      </c>
      <c r="F18" s="5">
        <v>394</v>
      </c>
      <c r="G18" s="5">
        <v>394</v>
      </c>
      <c r="H18" s="5">
        <v>394</v>
      </c>
      <c r="I18" s="5">
        <v>393.4</v>
      </c>
      <c r="J18" s="5">
        <v>393.4</v>
      </c>
      <c r="K18" s="5">
        <v>393.4</v>
      </c>
      <c r="L18" s="5">
        <v>393.4</v>
      </c>
      <c r="M18" s="5">
        <v>393.4</v>
      </c>
      <c r="N18" s="5">
        <v>393.4</v>
      </c>
      <c r="O18" s="5">
        <v>393.4</v>
      </c>
      <c r="P18" s="5">
        <v>393.4</v>
      </c>
      <c r="Q18" s="5">
        <v>393.4</v>
      </c>
      <c r="R18" s="5">
        <v>393.4</v>
      </c>
      <c r="U18" s="5">
        <v>393.4</v>
      </c>
      <c r="V18" s="5">
        <v>393.4</v>
      </c>
      <c r="W18" s="5">
        <f>SUM(O18:R18)</f>
        <v>1573.6</v>
      </c>
    </row>
    <row r="21" spans="2:26" x14ac:dyDescent="0.15">
      <c r="B21" s="2" t="s">
        <v>55</v>
      </c>
      <c r="C21" s="8"/>
      <c r="D21" s="8"/>
      <c r="E21" s="8"/>
      <c r="F21" s="8"/>
      <c r="G21" s="8">
        <f t="shared" ref="E21:L21" si="22">G5/C5-1</f>
        <v>0.90860215053763449</v>
      </c>
      <c r="H21" s="8">
        <f t="shared" si="22"/>
        <v>0.27108655616942912</v>
      </c>
      <c r="I21" s="8">
        <f t="shared" si="22"/>
        <v>0.15509780162714204</v>
      </c>
      <c r="J21" s="8">
        <f t="shared" si="22"/>
        <v>0.12552496500233312</v>
      </c>
      <c r="K21" s="8">
        <f t="shared" si="22"/>
        <v>-0.21586360266864346</v>
      </c>
      <c r="L21" s="8">
        <f t="shared" si="22"/>
        <v>-9.5479571138800345E-2</v>
      </c>
      <c r="M21" s="8">
        <f>M5/I5-1</f>
        <v>0.11903191967630744</v>
      </c>
      <c r="V21" s="8">
        <f>V5/U5-1</f>
        <v>-5.6866018290028242E-3</v>
      </c>
      <c r="W21" s="8">
        <f>W5/V5-1</f>
        <v>0.19595603113948168</v>
      </c>
      <c r="Y21" s="2" t="s">
        <v>73</v>
      </c>
      <c r="Z21" s="8">
        <v>-0.01</v>
      </c>
    </row>
    <row r="22" spans="2:26" x14ac:dyDescent="0.15">
      <c r="B22" s="2" t="s">
        <v>56</v>
      </c>
      <c r="C22" s="8">
        <f>C7/C5</f>
        <v>0.48981324278438032</v>
      </c>
      <c r="D22" s="8">
        <f>D7/D5</f>
        <v>0.49060773480662984</v>
      </c>
      <c r="E22" s="8">
        <f>E7/E5</f>
        <v>0.51808897351566552</v>
      </c>
      <c r="F22" s="8">
        <f>F7/F5</f>
        <v>0.51485456525120543</v>
      </c>
      <c r="G22" s="8">
        <f>G7/G5</f>
        <v>0.50585618977020019</v>
      </c>
      <c r="H22" s="8">
        <f>H7/H5</f>
        <v>0.51347435525934515</v>
      </c>
      <c r="I22" s="8">
        <f>I7/I5</f>
        <v>0.51874719016933912</v>
      </c>
      <c r="J22" s="8">
        <f>J7/J5</f>
        <v>0.51368159203980102</v>
      </c>
      <c r="K22" s="8">
        <f>K7/K5</f>
        <v>0.50973719039515974</v>
      </c>
      <c r="L22" s="8">
        <f>L7/L5</f>
        <v>0.51465641518500715</v>
      </c>
      <c r="M22" s="8">
        <f>M7/M5</f>
        <v>0.50800155343966358</v>
      </c>
      <c r="Y22" s="2" t="s">
        <v>74</v>
      </c>
      <c r="Z22" s="8">
        <v>0.05</v>
      </c>
    </row>
    <row r="23" spans="2:26" x14ac:dyDescent="0.15">
      <c r="B23" s="2" t="s">
        <v>57</v>
      </c>
      <c r="C23" s="8">
        <f>C14/C11</f>
        <v>0.14503816793893129</v>
      </c>
      <c r="D23" s="8">
        <f>D14/D11</f>
        <v>0.14882032667876588</v>
      </c>
      <c r="E23" s="8">
        <f>E14/E11</f>
        <v>0.1299638989169675</v>
      </c>
      <c r="F23" s="8">
        <f>F14/F11</f>
        <v>0.16807909604519775</v>
      </c>
      <c r="G23" s="8">
        <f>G14/G11</f>
        <v>0.13702359346642468</v>
      </c>
      <c r="H23" s="8">
        <f>H14/H11</f>
        <v>0.17852408307556342</v>
      </c>
      <c r="I23" s="8">
        <f>I14/I11</f>
        <v>0.15748717008797655</v>
      </c>
      <c r="J23" s="8">
        <f>J14/J11</f>
        <v>0.16095317725752509</v>
      </c>
      <c r="K23" s="8">
        <f>K14/K11</f>
        <v>0.16103522645578722</v>
      </c>
      <c r="L23" s="8">
        <f>L14/L11</f>
        <v>0.15904139433551198</v>
      </c>
      <c r="M23" s="8">
        <f>M14/M11</f>
        <v>0.18073078813698182</v>
      </c>
      <c r="Y23" s="2" t="s">
        <v>75</v>
      </c>
      <c r="Z23" s="16">
        <f>NPV(Z22,U16:BN16)</f>
        <v>205632.79037373958</v>
      </c>
    </row>
    <row r="24" spans="2:26" x14ac:dyDescent="0.15">
      <c r="Y24" s="2" t="s">
        <v>76</v>
      </c>
      <c r="Z24" s="5">
        <v>2378</v>
      </c>
    </row>
    <row r="25" spans="2:26" x14ac:dyDescent="0.15">
      <c r="Y25" s="9" t="s">
        <v>77</v>
      </c>
      <c r="Z25" s="15">
        <f>(Z23+Z24)/Main!G4</f>
        <v>529.28954293572417</v>
      </c>
    </row>
    <row r="26" spans="2:26" x14ac:dyDescent="0.15">
      <c r="B26" s="2" t="s">
        <v>58</v>
      </c>
      <c r="Y26" s="2" t="s">
        <v>78</v>
      </c>
      <c r="Z26" s="2">
        <v>735</v>
      </c>
    </row>
    <row r="27" spans="2:26" x14ac:dyDescent="0.15">
      <c r="B27" s="2" t="s">
        <v>59</v>
      </c>
      <c r="Y27" s="2" t="s">
        <v>79</v>
      </c>
      <c r="Z27" s="17">
        <f>Z25/Z26-1</f>
        <v>-0.2798781728765658</v>
      </c>
    </row>
  </sheetData>
  <hyperlinks>
    <hyperlink ref="A1" r:id="rId1" xr:uid="{70852AEA-ED8F-4022-B7DD-B3E24C342756}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A0A-1620-456F-A54B-368DE190A5B9}">
  <dimension ref="B2"/>
  <sheetViews>
    <sheetView topLeftCell="D1" workbookViewId="0">
      <selection activeCell="O27" sqref="O27"/>
    </sheetView>
  </sheetViews>
  <sheetFormatPr baseColWidth="10" defaultColWidth="8.83203125" defaultRowHeight="15" x14ac:dyDescent="0.2"/>
  <sheetData>
    <row r="2" spans="2:2" x14ac:dyDescent="0.2">
      <c r="B2" t="s">
        <v>70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14687B7451F94EA64C5F4B31F85A87" ma:contentTypeVersion="6" ma:contentTypeDescription="Create a new document." ma:contentTypeScope="" ma:versionID="823ea21def8fb4e793859f9713f5f2db">
  <xsd:schema xmlns:xsd="http://www.w3.org/2001/XMLSchema" xmlns:xs="http://www.w3.org/2001/XMLSchema" xmlns:p="http://schemas.microsoft.com/office/2006/metadata/properties" xmlns:ns3="f93d7efc-1e24-428e-8f6d-76e776254fc6" targetNamespace="http://schemas.microsoft.com/office/2006/metadata/properties" ma:root="true" ma:fieldsID="1e858d3a660684fb6d5cab4c36a9507d" ns3:_="">
    <xsd:import namespace="f93d7efc-1e24-428e-8f6d-76e776254fc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d7efc-1e24-428e-8f6d-76e776254fc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93d7efc-1e24-428e-8f6d-76e776254fc6" xsi:nil="true"/>
  </documentManagement>
</p:properties>
</file>

<file path=customXml/itemProps1.xml><?xml version="1.0" encoding="utf-8"?>
<ds:datastoreItem xmlns:ds="http://schemas.openxmlformats.org/officeDocument/2006/customXml" ds:itemID="{201FAF07-5E67-42D6-B335-CC2135A15C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3d7efc-1e24-428e-8f6d-76e776254f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000DAC-5EAD-4340-9EF8-A337F3287E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5173D-1C1D-4875-8C9C-0CAA36FE7A51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http://purl.org/dc/elements/1.1/"/>
    <ds:schemaRef ds:uri="f93d7efc-1e24-428e-8f6d-76e776254fc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2024-12-13T12:55:09Z</dcterms:created>
  <dcterms:modified xsi:type="dcterms:W3CDTF">2024-12-17T22:11:32Z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0x0101002B14687B7451F94EA64C5F4B31F85A87</vt:lpwstr>
  </property>
</Properties>
</file>