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13_ncr:1_{39DB3609-D525-4A04-ACE1-F0F8E6DE5999}" xr6:coauthVersionLast="47" xr6:coauthVersionMax="47" xr10:uidLastSave="{00000000-0000-0000-0000-000000000000}"/>
  <bookViews>
    <workbookView xWindow="-120" yWindow="-120" windowWidth="29040" windowHeight="15720" xr2:uid="{72E375EC-A7A1-4EB1-B990-5ECBBC0BBD02}"/>
  </bookViews>
  <sheets>
    <sheet name="Notes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20" i="2" l="1"/>
  <c r="AQ20" i="2"/>
  <c r="AP20" i="2"/>
  <c r="AO20" i="2"/>
  <c r="AN20" i="2"/>
  <c r="AM20" i="2"/>
  <c r="AG20" i="2"/>
  <c r="AC4" i="2"/>
  <c r="AD4" i="2" s="1"/>
  <c r="AB4" i="2"/>
  <c r="AL14" i="2"/>
  <c r="AL18" i="2"/>
  <c r="AL16" i="2"/>
  <c r="AL11" i="2"/>
  <c r="AL10" i="2"/>
  <c r="AL9" i="2"/>
  <c r="AL8" i="2"/>
  <c r="AL6" i="2"/>
  <c r="AK14" i="2"/>
  <c r="AK7" i="2"/>
  <c r="AK6" i="2"/>
  <c r="AK18" i="2"/>
  <c r="AK16" i="2"/>
  <c r="AK15" i="2"/>
  <c r="AK11" i="2"/>
  <c r="AK10" i="2"/>
  <c r="AK9" i="2"/>
  <c r="AK8" i="2"/>
  <c r="AK5" i="2"/>
  <c r="W3" i="2"/>
  <c r="X3" i="2" s="1"/>
  <c r="Y3" i="2" s="1"/>
  <c r="Z3" i="2" s="1"/>
  <c r="AA3" i="2" s="1"/>
  <c r="AB3" i="2" s="1"/>
  <c r="AC3" i="2" s="1"/>
  <c r="AD3" i="2" s="1"/>
  <c r="V3" i="2"/>
  <c r="V6" i="2"/>
  <c r="W6" i="2" s="1"/>
  <c r="X6" i="2" s="1"/>
  <c r="Y6" i="2" s="1"/>
  <c r="Z6" i="2" s="1"/>
  <c r="AA6" i="2" s="1"/>
  <c r="AB6" i="2" s="1"/>
  <c r="AC6" i="2" s="1"/>
  <c r="AD6" i="2" s="1"/>
  <c r="U6" i="2"/>
  <c r="U3" i="2"/>
  <c r="U5" i="2" s="1"/>
  <c r="AA8" i="2"/>
  <c r="AB8" i="2" s="1"/>
  <c r="AC8" i="2" s="1"/>
  <c r="AD8" i="2" s="1"/>
  <c r="Z8" i="2"/>
  <c r="V8" i="2"/>
  <c r="W8" i="2" s="1"/>
  <c r="X8" i="2" s="1"/>
  <c r="Y8" i="2" s="1"/>
  <c r="U8" i="2"/>
  <c r="AJ18" i="2"/>
  <c r="AJ16" i="2"/>
  <c r="AG14" i="2"/>
  <c r="AH14" i="2"/>
  <c r="AI14" i="2"/>
  <c r="AJ11" i="2"/>
  <c r="AJ10" i="2"/>
  <c r="AJ9" i="2"/>
  <c r="AI20" i="2"/>
  <c r="AI18" i="2"/>
  <c r="AI17" i="2"/>
  <c r="AI16" i="2"/>
  <c r="AI15" i="2"/>
  <c r="AI11" i="2"/>
  <c r="AI10" i="2"/>
  <c r="AI9" i="2"/>
  <c r="AI8" i="2"/>
  <c r="AI7" i="2"/>
  <c r="AI6" i="2"/>
  <c r="AI5" i="2"/>
  <c r="AH8" i="2"/>
  <c r="AH20" i="2"/>
  <c r="AH18" i="2"/>
  <c r="AH17" i="2"/>
  <c r="AH16" i="2"/>
  <c r="AH15" i="2"/>
  <c r="AH11" i="2"/>
  <c r="AH10" i="2"/>
  <c r="AH9" i="2"/>
  <c r="AH7" i="2"/>
  <c r="AH6" i="2"/>
  <c r="AH5" i="2"/>
  <c r="AG18" i="2"/>
  <c r="AG17" i="2"/>
  <c r="AG16" i="2"/>
  <c r="AG15" i="2"/>
  <c r="AG11" i="2"/>
  <c r="AG10" i="2"/>
  <c r="AG9" i="2"/>
  <c r="AG8" i="2"/>
  <c r="T19" i="2"/>
  <c r="U14" i="2"/>
  <c r="AG7" i="2"/>
  <c r="AG6" i="2"/>
  <c r="AG5" i="2"/>
  <c r="S17" i="2"/>
  <c r="R17" i="2"/>
  <c r="Q17" i="2"/>
  <c r="P17" i="2"/>
  <c r="O17" i="2"/>
  <c r="N17" i="2"/>
  <c r="N20" i="2" s="1"/>
  <c r="M17" i="2"/>
  <c r="L17" i="2"/>
  <c r="L20" i="2" s="1"/>
  <c r="K17" i="2"/>
  <c r="J17" i="2"/>
  <c r="I17" i="2"/>
  <c r="H17" i="2"/>
  <c r="M20" i="2"/>
  <c r="G14" i="2"/>
  <c r="G7" i="2"/>
  <c r="V4" i="2"/>
  <c r="V5" i="2" s="1"/>
  <c r="V24" i="2" s="1"/>
  <c r="AI27" i="2"/>
  <c r="AI38" i="2" s="1"/>
  <c r="AH27" i="2"/>
  <c r="AH38" i="2" s="1"/>
  <c r="AG27" i="2"/>
  <c r="AG38" i="2" s="1"/>
  <c r="AF51" i="2"/>
  <c r="AF53" i="2" s="1"/>
  <c r="AF27" i="2"/>
  <c r="AF38" i="2" s="1"/>
  <c r="T25" i="2"/>
  <c r="R25" i="2"/>
  <c r="K25" i="2"/>
  <c r="Q20" i="2"/>
  <c r="S20" i="2"/>
  <c r="S14" i="2"/>
  <c r="S5" i="2"/>
  <c r="S25" i="2" s="1"/>
  <c r="I7" i="2"/>
  <c r="I25" i="2" s="1"/>
  <c r="M14" i="2"/>
  <c r="M5" i="2"/>
  <c r="M7" i="2" s="1"/>
  <c r="M25" i="2" s="1"/>
  <c r="J5" i="2"/>
  <c r="J7" i="2" s="1"/>
  <c r="J25" i="2" s="1"/>
  <c r="J20" i="2"/>
  <c r="J14" i="2"/>
  <c r="P20" i="2"/>
  <c r="P14" i="2"/>
  <c r="P5" i="2"/>
  <c r="P7" i="2" s="1"/>
  <c r="P25" i="2" s="1"/>
  <c r="I20" i="2"/>
  <c r="I14" i="2"/>
  <c r="O20" i="2"/>
  <c r="O14" i="2"/>
  <c r="O5" i="2"/>
  <c r="O7" i="2" s="1"/>
  <c r="O25" i="2" s="1"/>
  <c r="H20" i="2"/>
  <c r="H14" i="2"/>
  <c r="H7" i="2"/>
  <c r="H25" i="2" s="1"/>
  <c r="L14" i="2"/>
  <c r="L5" i="2"/>
  <c r="L7" i="2" s="1"/>
  <c r="L25" i="2" s="1"/>
  <c r="N14" i="2"/>
  <c r="N5" i="2"/>
  <c r="N7" i="2" s="1"/>
  <c r="N25" i="2" s="1"/>
  <c r="I15" i="1"/>
  <c r="I14" i="1"/>
  <c r="I13" i="1"/>
  <c r="I16" i="1" s="1"/>
  <c r="AS20" i="2" l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V7" i="2"/>
  <c r="AJ5" i="2"/>
  <c r="V14" i="2"/>
  <c r="AJ8" i="2"/>
  <c r="AJ14" i="2" s="1"/>
  <c r="X14" i="2"/>
  <c r="Z14" i="2"/>
  <c r="W14" i="2"/>
  <c r="Y14" i="2"/>
  <c r="G15" i="2"/>
  <c r="G17" i="2" s="1"/>
  <c r="G20" i="2" s="1"/>
  <c r="W4" i="2"/>
  <c r="X4" i="2" s="1"/>
  <c r="W5" i="2"/>
  <c r="W7" i="2" s="1"/>
  <c r="O24" i="2"/>
  <c r="M24" i="2"/>
  <c r="N24" i="2"/>
  <c r="L24" i="2"/>
  <c r="T24" i="2"/>
  <c r="S24" i="2"/>
  <c r="R24" i="2"/>
  <c r="P24" i="2"/>
  <c r="Q19" i="2"/>
  <c r="S19" i="2"/>
  <c r="H19" i="2"/>
  <c r="M19" i="2"/>
  <c r="J19" i="2"/>
  <c r="P19" i="2"/>
  <c r="I19" i="2"/>
  <c r="O19" i="2"/>
  <c r="L19" i="2"/>
  <c r="N19" i="2"/>
  <c r="W33" i="2" l="1"/>
  <c r="W15" i="2"/>
  <c r="W17" i="2" s="1"/>
  <c r="W19" i="2" s="1"/>
  <c r="W24" i="2"/>
  <c r="V15" i="2"/>
  <c r="AA14" i="2"/>
  <c r="G19" i="2"/>
  <c r="W20" i="2"/>
  <c r="X5" i="2"/>
  <c r="X7" i="2" s="1"/>
  <c r="Y4" i="2"/>
  <c r="Z4" i="2" s="1"/>
  <c r="AA4" i="2" s="1"/>
  <c r="V17" i="2" l="1"/>
  <c r="AB14" i="2"/>
  <c r="Y5" i="2"/>
  <c r="X15" i="2"/>
  <c r="X17" i="2" s="1"/>
  <c r="X19" i="2" s="1"/>
  <c r="X24" i="2"/>
  <c r="Z5" i="2"/>
  <c r="Z7" i="2" s="1"/>
  <c r="Y24" i="2" l="1"/>
  <c r="Y7" i="2"/>
  <c r="Y15" i="2"/>
  <c r="Y17" i="2" s="1"/>
  <c r="Y19" i="2" s="1"/>
  <c r="V20" i="2"/>
  <c r="V19" i="2"/>
  <c r="AD14" i="2"/>
  <c r="AC14" i="2"/>
  <c r="X20" i="2"/>
  <c r="Z24" i="2"/>
  <c r="AA5" i="2"/>
  <c r="AA7" i="2" s="1"/>
  <c r="Z15" i="2" l="1"/>
  <c r="Z17" i="2" s="1"/>
  <c r="Y20" i="2"/>
  <c r="AA24" i="2"/>
  <c r="AB5" i="2"/>
  <c r="AB7" i="2" s="1"/>
  <c r="Z19" i="2" l="1"/>
  <c r="AK17" i="2"/>
  <c r="AK20" i="2" s="1"/>
  <c r="AA15" i="2"/>
  <c r="AA17" i="2" s="1"/>
  <c r="Z20" i="2"/>
  <c r="AB24" i="2"/>
  <c r="AD5" i="2"/>
  <c r="AD7" i="2" s="1"/>
  <c r="AC5" i="2"/>
  <c r="AC7" i="2" l="1"/>
  <c r="AL5" i="2"/>
  <c r="AA19" i="2"/>
  <c r="AB15" i="2"/>
  <c r="AB17" i="2" s="1"/>
  <c r="AB19" i="2" s="1"/>
  <c r="AA20" i="2"/>
  <c r="AD24" i="2"/>
  <c r="AC24" i="2"/>
  <c r="AL24" i="2" l="1"/>
  <c r="AL7" i="2"/>
  <c r="AC15" i="2"/>
  <c r="AD15" i="2"/>
  <c r="AD17" i="2" s="1"/>
  <c r="AD19" i="2" s="1"/>
  <c r="AB20" i="2"/>
  <c r="AC17" i="2" l="1"/>
  <c r="AC19" i="2" s="1"/>
  <c r="AL15" i="2"/>
  <c r="AL17" i="2"/>
  <c r="AL20" i="2" s="1"/>
  <c r="AD20" i="2"/>
  <c r="AC20" i="2"/>
  <c r="AJ6" i="2"/>
  <c r="AJ7" i="2" s="1"/>
  <c r="U7" i="2"/>
  <c r="U15" i="2" s="1"/>
  <c r="AJ15" i="2" l="1"/>
  <c r="U17" i="2"/>
  <c r="AJ17" i="2" l="1"/>
  <c r="AJ20" i="2" s="1"/>
  <c r="U19" i="2"/>
  <c r="U20" i="2"/>
  <c r="W34" i="2" s="1"/>
  <c r="W36" i="2" s="1"/>
  <c r="Q3" i="2"/>
  <c r="Q24" i="2"/>
  <c r="Q25" i="2"/>
  <c r="Q3" i="2" a="1"/>
  <c r="Q5" i="2"/>
  <c r="U2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<sst xmlns="http://schemas.openxmlformats.org/spreadsheetml/2006/main" count="131" uniqueCount="124">
  <si>
    <t>Price</t>
  </si>
  <si>
    <t>MC</t>
  </si>
  <si>
    <t>Cash</t>
  </si>
  <si>
    <t>Debt</t>
  </si>
  <si>
    <t>EV</t>
  </si>
  <si>
    <t>Shares</t>
  </si>
  <si>
    <t>Stocklist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</si>
  <si>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</si>
  <si>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</si>
  <si>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</si>
  <si>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</si>
  <si>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</si>
  <si>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</si>
  <si>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</si>
  <si>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</si>
  <si>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</si>
  <si>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</si>
  <si>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</si>
  <si>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</si>
  <si>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TTWO</t>
  </si>
  <si>
    <t>Products:</t>
  </si>
  <si>
    <t>Game</t>
  </si>
  <si>
    <t>Advertising</t>
  </si>
  <si>
    <t>Rockstar Games</t>
  </si>
  <si>
    <t>2K</t>
  </si>
  <si>
    <t>Zynga</t>
  </si>
  <si>
    <t>Revenue share:</t>
  </si>
  <si>
    <t>Total Revenue</t>
  </si>
  <si>
    <t>Cost of revenue</t>
  </si>
  <si>
    <t>Gross Profit</t>
  </si>
  <si>
    <t>R&amp;D</t>
  </si>
  <si>
    <t>G&amp;A</t>
  </si>
  <si>
    <t>D&amp;A</t>
  </si>
  <si>
    <t>Goodwill</t>
  </si>
  <si>
    <t>Business reorganization</t>
  </si>
  <si>
    <t>Total Operating Expenses</t>
  </si>
  <si>
    <t>Interest and other</t>
  </si>
  <si>
    <t>Taxes</t>
  </si>
  <si>
    <t>Q124</t>
  </si>
  <si>
    <t>Q224</t>
  </si>
  <si>
    <t>Q324</t>
  </si>
  <si>
    <t>Q424</t>
  </si>
  <si>
    <t>-</t>
  </si>
  <si>
    <t>Net income</t>
  </si>
  <si>
    <t>Income before income taxes</t>
  </si>
  <si>
    <t>Taxes percentage</t>
  </si>
  <si>
    <t>S&amp;M</t>
  </si>
  <si>
    <t>Q125</t>
  </si>
  <si>
    <t>Q225</t>
  </si>
  <si>
    <t>Q325</t>
  </si>
  <si>
    <t>Q425</t>
  </si>
  <si>
    <t>Income from Operations</t>
  </si>
  <si>
    <t>Revenue Y/Y</t>
  </si>
  <si>
    <t>Gross Margin</t>
  </si>
  <si>
    <t>Accounts Receivable</t>
  </si>
  <si>
    <t>Inventory</t>
  </si>
  <si>
    <t>Prepaid expenses</t>
  </si>
  <si>
    <t>PP&amp;E</t>
  </si>
  <si>
    <t>Long-term investments</t>
  </si>
  <si>
    <t>Intangible assets</t>
  </si>
  <si>
    <t>Other long-term assets</t>
  </si>
  <si>
    <t>Accounts Payable</t>
  </si>
  <si>
    <t>Accrued Expenses</t>
  </si>
  <si>
    <t>Short-Term Debt</t>
  </si>
  <si>
    <t>Leases</t>
  </si>
  <si>
    <t>Income taxes payable</t>
  </si>
  <si>
    <t>Unearned revenue</t>
  </si>
  <si>
    <t>Long-term debt</t>
  </si>
  <si>
    <t>Long-term leases</t>
  </si>
  <si>
    <t>Long-term unearned revenue</t>
  </si>
  <si>
    <t>Shareholders equity</t>
  </si>
  <si>
    <t>Total liabilites + stockholders equity</t>
  </si>
  <si>
    <t>Other receivables</t>
  </si>
  <si>
    <t>Long term Deferred Tax Assets</t>
  </si>
  <si>
    <t>Total:</t>
  </si>
  <si>
    <t>Other current liabilities</t>
  </si>
  <si>
    <t>Total liabilities</t>
  </si>
  <si>
    <t>Other long term liabilities</t>
  </si>
  <si>
    <t>Average Revenue Growth</t>
  </si>
  <si>
    <t>Q126</t>
  </si>
  <si>
    <t>Q227</t>
  </si>
  <si>
    <t>Q326</t>
  </si>
  <si>
    <t>Q226</t>
  </si>
  <si>
    <t>Q426</t>
  </si>
  <si>
    <t>Q127</t>
  </si>
  <si>
    <t>Q327</t>
  </si>
  <si>
    <t>Q427</t>
  </si>
  <si>
    <t>Maturity</t>
  </si>
  <si>
    <t>Discount</t>
  </si>
  <si>
    <t>NPV</t>
  </si>
  <si>
    <t>S/O</t>
  </si>
  <si>
    <t>Difference</t>
  </si>
  <si>
    <t>CEO Strauss Zelnick</t>
  </si>
  <si>
    <t xml:space="preserve"> Founded 1993</t>
  </si>
  <si>
    <t>Before GTA releases it has volatile price movements if something goes bad.</t>
  </si>
  <si>
    <t>Future releases:</t>
  </si>
  <si>
    <t>GTA6</t>
  </si>
  <si>
    <t>CIV7</t>
  </si>
  <si>
    <t>Mixed opinions</t>
  </si>
  <si>
    <t>Former Chariman of CBS</t>
  </si>
  <si>
    <t>Private Division</t>
  </si>
  <si>
    <t>Fall 2025</t>
  </si>
  <si>
    <t>Employees:</t>
  </si>
  <si>
    <t>Game Developments - 9639</t>
  </si>
  <si>
    <t>Grand Theft Auto</t>
  </si>
  <si>
    <t>LA Noire</t>
  </si>
  <si>
    <t>Max Payne</t>
  </si>
  <si>
    <t>Midnight Club</t>
  </si>
  <si>
    <t>Read Dead Redemption</t>
  </si>
  <si>
    <t>Grand Theft Auto Series sold 420 million copies worldwide</t>
  </si>
  <si>
    <t>Read Dead Redemption 2 sold 60 million units worldwide</t>
  </si>
  <si>
    <t>Very many mobile games</t>
  </si>
  <si>
    <t>GTA, RDR2</t>
  </si>
  <si>
    <t>Kerbal Space Program, OlliOlli World</t>
  </si>
  <si>
    <t>NBA, WWE</t>
  </si>
  <si>
    <t>Acquired GearBox March 27, 2024</t>
  </si>
  <si>
    <t>Key Questions</t>
  </si>
  <si>
    <t>Are their huge GTA 5 investments worth it? If we use historical data then GTA should make great results and boost revenue.</t>
  </si>
  <si>
    <t>Take Two is a leading developer, publisher and marketer of video games.</t>
  </si>
  <si>
    <t>How much recurring expenses are coming with GTA launch?</t>
  </si>
  <si>
    <t>Is the GTA going to mess this release up somehow?</t>
  </si>
  <si>
    <t>GearBox</t>
  </si>
  <si>
    <t>Borderlands series</t>
  </si>
  <si>
    <t>GearBox revenue mix?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</si>
</sst>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0" fillId="0" borderId="0" xfId="0" applyFont="1"/>
    <xf numFmtId="3" fontId="0" fillId="0" borderId="0" xfId="0" applyNumberFormat="1"/>
    <xf numFmtId="3" fontId="1" fillId="0" borderId="0" xfId="0" applyNumberFormat="1" applyFont="1"/>
    <xf numFmtId="4" fontId="0" fillId="0" borderId="0" xfId="0" applyNumberFormat="1" applyFont="1"/>
    <xf numFmtId="3" fontId="0" fillId="0" borderId="0" xfId="0" applyNumberFormat="1" applyFont="1"/>
    <xf numFmtId="9" fontId="0" fillId="0" borderId="0" xfId="0" applyNumberFormat="1" applyFont="1"/>
    <xf numFmtId="0" fontId="0" fillId="0" borderId="0" xfId="0" applyBorder="1"/>
    <xf numFmtId="0" fontId="1" fillId="0" borderId="0" xfId="0" applyFont="1" applyBorder="1"/>
    <xf numFmtId="8" fontId="0" fillId="0" borderId="0" xfId="0" applyNumberFormat="1"/>
    <xf numFmtId="3" fontId="0" fillId="0" borderId="0" xfId="0" applyNumberFormat="1" applyBorder="1"/>
    <xf numFmtId="8" fontId="1" fillId="0" borderId="0" xfId="0" applyNumberFormat="1" applyFont="1"/>
    <xf numFmtId="6" fontId="0" fillId="0" borderId="0" xfId="0" applyNumberFormat="1"/>
    <xf numFmtId="3" fontId="0" fillId="0" borderId="0" xfId="0" applyNumberFormat="1" applyBorder="1" applyAlignment="1">
      <alignment horizontal="right"/>
    </xf>
    <xf numFmtId="14" fontId="0" fillId="0" borderId="0" xfId="0" applyNumberFormat="1"/>
    <xf numFmtId="17" fontId="0" fillId="0" borderId="0" xfId="0" applyNumberFormat="1"/>
    <xf numFmtId="0" fontId="0" fillId="0" borderId="0" xfId="0" applyFill="1" applyBorder="1"/>
    <xf numFmtId="0" fontId="1" fillId="0" borderId="0" xfId="0" applyFont="1" applyFill="1" applyBorder="1"/>
    <xf numFmtId="9" fontId="1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629964</xdr:colOff>
      <xdr:row>0</xdr:row>
      <xdr:rowOff>0</xdr:rowOff>
    </xdr:from>
    <xdr:to>
      <xdr:col>19</xdr:col>
      <xdr:colOff>629964</xdr:colOff>
      <xdr:row>38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6A2FD7F-E732-1411-6A0E-2E45927812D6}"/>
            </a:ext>
          </a:extLst>
        </xdr:cNvPr>
        <xdr:cNvCxnSpPr/>
      </xdr:nvCxnSpPr>
      <xdr:spPr>
        <a:xfrm>
          <a:off x="14345964" y="0"/>
          <a:ext cx="0" cy="7534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Stockl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59D1-5C9C-4FC0-822C-21DD23B47162}">
  <sheetPr codeName="Sheet1"/>
  <dimension ref="A1:K34"/>
  <sheetViews>
    <sheetView tabSelected="1" workbookViewId="0">
      <selection activeCell="K6" sqref="K6"/>
    </sheetView>
  </sheetViews>
  <sheetFormatPr defaultRowHeight="15" x14ac:dyDescent="0.25"/>
  <cols>
    <col min="1" max="1" width="6.140625" bestFit="1" customWidth="1"/>
    <col min="2" max="2" width="43.28515625" bestFit="1" customWidth="1"/>
    <col min="8" max="8" width="11" bestFit="1" customWidth="1"/>
    <col min="9" max="9" width="13.85546875" bestFit="1" customWidth="1"/>
  </cols>
  <sheetData>
    <row r="1" spans="1:11" x14ac:dyDescent="0.25">
      <c r="A1" t="s">
        <v>19</v>
      </c>
    </row>
    <row r="2" spans="1:11" x14ac:dyDescent="0.25">
      <c r="B2" s="5" t="s">
        <v>20</v>
      </c>
      <c r="K2" s="26" t="s">
        <v>116</v>
      </c>
    </row>
    <row r="3" spans="1:11" x14ac:dyDescent="0.25">
      <c r="B3" s="5" t="s">
        <v>23</v>
      </c>
      <c r="C3" t="s">
        <v>112</v>
      </c>
      <c r="D3" s="5"/>
      <c r="K3" t="s">
        <v>117</v>
      </c>
    </row>
    <row r="4" spans="1:11" x14ac:dyDescent="0.25">
      <c r="B4" s="5" t="s">
        <v>24</v>
      </c>
      <c r="C4" t="s">
        <v>114</v>
      </c>
      <c r="K4" t="s">
        <v>119</v>
      </c>
    </row>
    <row r="5" spans="1:11" x14ac:dyDescent="0.25">
      <c r="B5" s="5" t="s">
        <v>100</v>
      </c>
      <c r="C5" t="s">
        <v>113</v>
      </c>
      <c r="I5" s="2"/>
      <c r="K5" t="s">
        <v>120</v>
      </c>
    </row>
    <row r="6" spans="1:11" x14ac:dyDescent="0.25">
      <c r="B6" s="5" t="s">
        <v>121</v>
      </c>
      <c r="C6" t="s">
        <v>122</v>
      </c>
      <c r="I6" s="2"/>
      <c r="K6" t="s">
        <v>123</v>
      </c>
    </row>
    <row r="7" spans="1:11" x14ac:dyDescent="0.25">
      <c r="B7" s="5" t="s">
        <v>25</v>
      </c>
      <c r="C7" t="s">
        <v>111</v>
      </c>
      <c r="I7" s="2"/>
    </row>
    <row r="8" spans="1:11" x14ac:dyDescent="0.25">
      <c r="B8" t="s">
        <v>105</v>
      </c>
      <c r="I8" s="2"/>
    </row>
    <row r="9" spans="1:11" x14ac:dyDescent="0.25">
      <c r="B9" t="s">
        <v>106</v>
      </c>
      <c r="I9" s="2"/>
    </row>
    <row r="10" spans="1:11" x14ac:dyDescent="0.25">
      <c r="B10" t="s">
        <v>107</v>
      </c>
      <c r="I10" s="2"/>
    </row>
    <row r="11" spans="1:11" x14ac:dyDescent="0.25">
      <c r="B11" t="s">
        <v>108</v>
      </c>
      <c r="H11" t="s">
        <v>0</v>
      </c>
      <c r="I11" s="2">
        <v>182.34</v>
      </c>
    </row>
    <row r="12" spans="1:11" x14ac:dyDescent="0.25">
      <c r="B12" t="s">
        <v>104</v>
      </c>
      <c r="H12" t="s">
        <v>5</v>
      </c>
      <c r="I12" s="3">
        <v>175</v>
      </c>
    </row>
    <row r="13" spans="1:11" x14ac:dyDescent="0.25">
      <c r="B13" s="5" t="s">
        <v>95</v>
      </c>
      <c r="H13" t="s">
        <v>1</v>
      </c>
      <c r="I13" s="3">
        <f>I12*I11</f>
        <v>31909.5</v>
      </c>
    </row>
    <row r="14" spans="1:11" x14ac:dyDescent="0.25">
      <c r="B14" t="s">
        <v>96</v>
      </c>
      <c r="C14" s="25" t="s">
        <v>101</v>
      </c>
      <c r="H14" t="s">
        <v>2</v>
      </c>
      <c r="I14" s="3">
        <f>876.1+357.5+3.5</f>
        <v>1237.0999999999999</v>
      </c>
    </row>
    <row r="15" spans="1:11" x14ac:dyDescent="0.25">
      <c r="B15" t="s">
        <v>97</v>
      </c>
      <c r="C15" s="21">
        <v>45689</v>
      </c>
      <c r="H15" t="s">
        <v>3</v>
      </c>
      <c r="I15" s="3">
        <f>599.2+3055</f>
        <v>3654.2</v>
      </c>
    </row>
    <row r="16" spans="1:11" s="13" customFormat="1" x14ac:dyDescent="0.25">
      <c r="H16" s="5" t="s">
        <v>4</v>
      </c>
      <c r="I16" s="6">
        <f>I13+I15-I14</f>
        <v>34326.6</v>
      </c>
    </row>
    <row r="17" spans="2:9" x14ac:dyDescent="0.25">
      <c r="B17" s="23" t="s">
        <v>115</v>
      </c>
      <c r="I17" s="3"/>
    </row>
    <row r="18" spans="2:9" s="13" customFormat="1" x14ac:dyDescent="0.25">
      <c r="H18" s="13" t="s">
        <v>102</v>
      </c>
      <c r="I18" s="19"/>
    </row>
    <row r="19" spans="2:9" ht="17.25" customHeight="1" x14ac:dyDescent="0.25">
      <c r="H19" s="22" t="s">
        <v>103</v>
      </c>
    </row>
    <row r="23" spans="2:9" x14ac:dyDescent="0.25">
      <c r="B23" s="5" t="s">
        <v>92</v>
      </c>
      <c r="C23" t="s">
        <v>98</v>
      </c>
    </row>
    <row r="24" spans="2:9" x14ac:dyDescent="0.25">
      <c r="B24" t="s">
        <v>93</v>
      </c>
      <c r="C24" t="s">
        <v>99</v>
      </c>
    </row>
    <row r="25" spans="2:9" x14ac:dyDescent="0.25">
      <c r="B25" s="5" t="s">
        <v>26</v>
      </c>
    </row>
    <row r="26" spans="2:9" x14ac:dyDescent="0.25">
      <c r="B26" t="s">
        <v>21</v>
      </c>
      <c r="C26" s="4">
        <v>0.9</v>
      </c>
    </row>
    <row r="27" spans="2:9" x14ac:dyDescent="0.25">
      <c r="B27" t="s">
        <v>22</v>
      </c>
      <c r="C27" s="4">
        <v>0.1</v>
      </c>
    </row>
    <row r="29" spans="2:9" x14ac:dyDescent="0.25">
      <c r="B29" t="s">
        <v>118</v>
      </c>
    </row>
    <row r="31" spans="2:9" x14ac:dyDescent="0.25">
      <c r="B31" t="s">
        <v>94</v>
      </c>
    </row>
    <row r="33" spans="2:2" x14ac:dyDescent="0.25">
      <c r="B33" t="s">
        <v>109</v>
      </c>
    </row>
    <row r="34" spans="2:2" x14ac:dyDescent="0.25">
      <c r="B34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65FD-B2CE-40F3-9CBA-5B051E2FF6AD}">
  <sheetPr codeName="Sheet2"/>
  <dimension ref="A1:CW53"/>
  <sheetViews>
    <sheetView zoomScale="115" zoomScaleNormal="115" workbookViewId="0">
      <pane xSplit="2" ySplit="2" topLeftCell="V3" activePane="bottomRight" state="frozen"/>
      <selection pane="topRight" activeCell="C1" sqref="C1"/>
      <selection pane="bottomLeft" activeCell="A3" sqref="A3"/>
      <selection pane="bottomRight" activeCell="X34" sqref="X34"/>
    </sheetView>
  </sheetViews>
  <sheetFormatPr defaultRowHeight="15" x14ac:dyDescent="0.25"/>
  <cols>
    <col min="2" max="2" width="33.285156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2" width="9.42578125" bestFit="1" customWidth="1"/>
    <col min="13" max="13" width="10.42578125" bestFit="1" customWidth="1"/>
    <col min="14" max="16" width="9.42578125" bestFit="1" customWidth="1"/>
    <col min="17" max="17" width="10.42578125" bestFit="1" customWidth="1"/>
    <col min="18" max="20" width="9.42578125" bestFit="1" customWidth="1"/>
    <col min="21" max="21" width="10.42578125" bestFit="1" customWidth="1"/>
    <col min="23" max="23" width="13" customWidth="1"/>
    <col min="30" max="30" width="9.140625" style="13"/>
  </cols>
  <sheetData>
    <row r="1" spans="1:44" x14ac:dyDescent="0.25">
      <c r="A1" s="1" t="s">
        <v>6</v>
      </c>
      <c r="G1" s="20">
        <v>44377</v>
      </c>
      <c r="H1" s="20">
        <v>44469</v>
      </c>
      <c r="I1" s="20">
        <v>44561</v>
      </c>
      <c r="J1" s="20">
        <v>44651</v>
      </c>
      <c r="K1" s="20">
        <v>44742</v>
      </c>
      <c r="L1" s="20">
        <v>44834</v>
      </c>
      <c r="M1" s="20">
        <v>45291</v>
      </c>
      <c r="N1" s="20">
        <v>45016</v>
      </c>
      <c r="O1" s="20">
        <v>45107</v>
      </c>
      <c r="P1" s="20">
        <v>45199</v>
      </c>
      <c r="Q1" s="20">
        <v>45291</v>
      </c>
      <c r="R1" s="20">
        <v>45382</v>
      </c>
      <c r="S1" s="20">
        <v>45473</v>
      </c>
      <c r="T1" s="20">
        <v>45565</v>
      </c>
      <c r="U1" s="20">
        <v>45657</v>
      </c>
    </row>
    <row r="2" spans="1:44" x14ac:dyDescent="0.25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38</v>
      </c>
      <c r="P2" t="s">
        <v>39</v>
      </c>
      <c r="Q2" t="s">
        <v>40</v>
      </c>
      <c r="R2" t="s">
        <v>41</v>
      </c>
      <c r="S2" t="s">
        <v>47</v>
      </c>
      <c r="T2" t="s">
        <v>48</v>
      </c>
      <c r="U2" t="s">
        <v>49</v>
      </c>
      <c r="V2" t="s">
        <v>50</v>
      </c>
      <c r="W2" t="s">
        <v>79</v>
      </c>
      <c r="X2" t="s">
        <v>82</v>
      </c>
      <c r="Y2" t="s">
        <v>81</v>
      </c>
      <c r="Z2" t="s">
        <v>83</v>
      </c>
      <c r="AA2" t="s">
        <v>84</v>
      </c>
      <c r="AB2" t="s">
        <v>80</v>
      </c>
      <c r="AC2" t="s">
        <v>85</v>
      </c>
      <c r="AD2" t="s">
        <v>86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</row>
    <row r="3" spans="1:44" x14ac:dyDescent="0.25">
      <c r="B3" t="s">
        <v>21</v>
      </c>
      <c r="G3" s="8"/>
      <c r="H3" s="10"/>
      <c r="I3" s="8"/>
      <c r="J3" s="8">
        <v>1019</v>
      </c>
      <c r="K3" s="8"/>
      <c r="L3" s="8">
        <v>1218</v>
      </c>
      <c r="M3" s="8">
        <v>1231</v>
      </c>
      <c r="N3" s="8">
        <v>1233</v>
      </c>
      <c r="O3" s="8">
        <v>1096</v>
      </c>
      <c r="P3" s="8">
        <v>1128</v>
      </c>
      <c r="Q3" s="8" cm="1">
        <f t="array" aca="1" ref="Q3" ca="1">+W9+Q3+Q3:Q20</f>
        <v>0</v>
      </c>
      <c r="S3" s="8">
        <v>1216</v>
      </c>
      <c r="T3" s="8">
        <v>1216</v>
      </c>
      <c r="U3" s="8">
        <f>T3*1.2</f>
        <v>1459.2</v>
      </c>
      <c r="V3" s="8">
        <f>U3*1.1</f>
        <v>1605.1200000000001</v>
      </c>
      <c r="W3" s="8">
        <f t="shared" ref="W3:AD3" si="0">V3*1.1</f>
        <v>1765.6320000000003</v>
      </c>
      <c r="X3" s="8">
        <f t="shared" si="0"/>
        <v>1942.1952000000006</v>
      </c>
      <c r="Y3" s="8">
        <f t="shared" si="0"/>
        <v>2136.4147200000007</v>
      </c>
      <c r="Z3" s="8">
        <f t="shared" si="0"/>
        <v>2350.0561920000009</v>
      </c>
      <c r="AA3" s="8">
        <f t="shared" si="0"/>
        <v>2585.0618112000011</v>
      </c>
      <c r="AB3" s="8">
        <f t="shared" si="0"/>
        <v>2843.5679923200014</v>
      </c>
      <c r="AC3" s="8">
        <f t="shared" si="0"/>
        <v>3127.9247915520018</v>
      </c>
      <c r="AD3" s="8">
        <f t="shared" si="0"/>
        <v>3440.7172707072023</v>
      </c>
    </row>
    <row r="4" spans="1:44" x14ac:dyDescent="0.25">
      <c r="B4" t="s">
        <v>22</v>
      </c>
      <c r="H4" s="10"/>
      <c r="J4">
        <v>83</v>
      </c>
      <c r="L4">
        <v>174</v>
      </c>
      <c r="M4">
        <v>176</v>
      </c>
      <c r="N4">
        <v>119</v>
      </c>
      <c r="O4">
        <v>188</v>
      </c>
      <c r="P4">
        <v>170</v>
      </c>
      <c r="Q4">
        <v>158</v>
      </c>
      <c r="S4">
        <v>121</v>
      </c>
      <c r="U4" s="8">
        <v>120</v>
      </c>
      <c r="V4" s="8">
        <f>U4*0.8</f>
        <v>96</v>
      </c>
      <c r="W4" s="8">
        <f t="shared" ref="W4:X4" si="1">V4*0.8</f>
        <v>76.800000000000011</v>
      </c>
      <c r="X4" s="8">
        <f t="shared" si="1"/>
        <v>61.440000000000012</v>
      </c>
      <c r="Y4" s="8">
        <f>X4*1.3</f>
        <v>79.872000000000014</v>
      </c>
      <c r="Z4" s="8">
        <f t="shared" ref="Z4:AD4" si="2">Y4*1.3</f>
        <v>103.83360000000002</v>
      </c>
      <c r="AA4" s="8">
        <f t="shared" si="2"/>
        <v>134.98368000000002</v>
      </c>
      <c r="AB4" s="8">
        <f>AA4*1.1</f>
        <v>148.48204800000005</v>
      </c>
      <c r="AC4" s="8">
        <f t="shared" ref="AC4:AD4" si="3">AB4*1.1</f>
        <v>163.33025280000007</v>
      </c>
      <c r="AD4" s="8">
        <f t="shared" si="3"/>
        <v>179.66327808000008</v>
      </c>
    </row>
    <row r="5" spans="1:44" s="5" customFormat="1" x14ac:dyDescent="0.25">
      <c r="B5" s="5" t="s">
        <v>27</v>
      </c>
      <c r="G5" s="9">
        <v>813</v>
      </c>
      <c r="H5" s="9">
        <v>858</v>
      </c>
      <c r="I5" s="9">
        <v>903</v>
      </c>
      <c r="J5" s="9">
        <f t="shared" ref="J5:Q5" si="4">J3+J4</f>
        <v>1102</v>
      </c>
      <c r="K5" s="9">
        <v>1102</v>
      </c>
      <c r="L5" s="9">
        <f t="shared" si="4"/>
        <v>1392</v>
      </c>
      <c r="M5" s="9">
        <f>M3+M4</f>
        <v>1407</v>
      </c>
      <c r="N5" s="9">
        <f t="shared" si="4"/>
        <v>1352</v>
      </c>
      <c r="O5" s="9">
        <f t="shared" si="4"/>
        <v>1284</v>
      </c>
      <c r="P5" s="9">
        <f t="shared" si="4"/>
        <v>1298</v>
      </c>
      <c r="Q5" s="9">
        <f t="shared" ca="1" si="4"/>
        <v>1366</v>
      </c>
      <c r="R5" s="9">
        <v>1299</v>
      </c>
      <c r="S5" s="9">
        <f t="shared" ref="S5" si="5">S3+S4</f>
        <v>1337</v>
      </c>
      <c r="T5" s="9">
        <v>1353</v>
      </c>
      <c r="U5" s="9">
        <f t="shared" ref="U5" si="6">U3+U4</f>
        <v>1579.2</v>
      </c>
      <c r="V5" s="9">
        <f>V3+V4</f>
        <v>1701.1200000000001</v>
      </c>
      <c r="W5" s="9">
        <f t="shared" ref="W5" si="7">W3+W4</f>
        <v>1842.4320000000002</v>
      </c>
      <c r="X5" s="9">
        <f t="shared" ref="X5" si="8">X3+X4</f>
        <v>2003.6352000000006</v>
      </c>
      <c r="Y5" s="9">
        <f t="shared" ref="Y5" si="9">Y3+Y4</f>
        <v>2216.2867200000005</v>
      </c>
      <c r="Z5" s="9">
        <f t="shared" ref="Z5" si="10">Z3+Z4</f>
        <v>2453.8897920000009</v>
      </c>
      <c r="AA5" s="9">
        <f t="shared" ref="AA5" si="11">AA3+AA4</f>
        <v>2720.0454912000009</v>
      </c>
      <c r="AB5" s="9">
        <f t="shared" ref="AB5" si="12">AB3+AB4</f>
        <v>2992.0500403200012</v>
      </c>
      <c r="AC5" s="9">
        <f t="shared" ref="AC5" si="13">AC3+AC4</f>
        <v>3291.2550443520017</v>
      </c>
      <c r="AD5" s="9">
        <f t="shared" ref="AD5" si="14">AD3+AD4</f>
        <v>3620.3805487872023</v>
      </c>
      <c r="AE5" s="9"/>
      <c r="AF5" s="9"/>
      <c r="AG5" s="9">
        <f>SUM(G5:J5)</f>
        <v>3676</v>
      </c>
      <c r="AH5" s="9">
        <f>SUM(K5:N5)</f>
        <v>5253</v>
      </c>
      <c r="AI5" s="9">
        <f>SUM(L5:O5)</f>
        <v>5435</v>
      </c>
      <c r="AJ5" s="9">
        <f>SUM(S5:V5)</f>
        <v>5970.32</v>
      </c>
      <c r="AK5" s="9">
        <f>SUM(W5:Z5)</f>
        <v>8516.2437120000031</v>
      </c>
      <c r="AL5" s="9">
        <f>SUM(AA5:AD5)</f>
        <v>12623.731124659207</v>
      </c>
      <c r="AM5" s="9"/>
      <c r="AN5" s="9"/>
      <c r="AO5" s="9"/>
      <c r="AP5" s="9"/>
      <c r="AQ5" s="9"/>
      <c r="AR5" s="9"/>
    </row>
    <row r="6" spans="1:44" x14ac:dyDescent="0.25">
      <c r="B6" t="s">
        <v>28</v>
      </c>
      <c r="G6" s="11">
        <v>329</v>
      </c>
      <c r="H6" s="11">
        <v>456</v>
      </c>
      <c r="I6" s="11">
        <v>350</v>
      </c>
      <c r="J6" s="11">
        <v>435</v>
      </c>
      <c r="K6" s="11">
        <v>415</v>
      </c>
      <c r="L6">
        <v>713</v>
      </c>
      <c r="M6">
        <v>691</v>
      </c>
      <c r="N6">
        <v>625</v>
      </c>
      <c r="O6">
        <v>605</v>
      </c>
      <c r="P6">
        <v>883</v>
      </c>
      <c r="Q6">
        <v>634</v>
      </c>
      <c r="R6" s="8">
        <v>660</v>
      </c>
      <c r="S6">
        <v>567</v>
      </c>
      <c r="T6" s="8">
        <v>613</v>
      </c>
      <c r="U6" s="8">
        <f>T6*1.05</f>
        <v>643.65</v>
      </c>
      <c r="V6" s="8">
        <f t="shared" ref="V6:AD6" si="15">U6*1.05</f>
        <v>675.83249999999998</v>
      </c>
      <c r="W6" s="8">
        <f t="shared" si="15"/>
        <v>709.62412500000005</v>
      </c>
      <c r="X6" s="8">
        <f t="shared" si="15"/>
        <v>745.10533125000006</v>
      </c>
      <c r="Y6" s="8">
        <f t="shared" si="15"/>
        <v>782.36059781250015</v>
      </c>
      <c r="Z6" s="8">
        <f t="shared" si="15"/>
        <v>821.4786277031252</v>
      </c>
      <c r="AA6" s="8">
        <f t="shared" si="15"/>
        <v>862.55255908828144</v>
      </c>
      <c r="AB6" s="8">
        <f t="shared" si="15"/>
        <v>905.68018704269559</v>
      </c>
      <c r="AC6" s="8">
        <f t="shared" si="15"/>
        <v>950.96419639483042</v>
      </c>
      <c r="AD6" s="8">
        <f t="shared" si="15"/>
        <v>998.51240621457202</v>
      </c>
      <c r="AG6" s="11">
        <f t="shared" ref="AG6:AG11" si="16">SUM(G6:J6)</f>
        <v>1570</v>
      </c>
      <c r="AH6" s="11">
        <f t="shared" ref="AH6:AH11" si="17">SUM(K6:N6)</f>
        <v>2444</v>
      </c>
      <c r="AI6" s="11">
        <f>SUM(L6:O6)</f>
        <v>2634</v>
      </c>
      <c r="AJ6" s="11">
        <f>SUM(S6:V6)</f>
        <v>2499.4825000000001</v>
      </c>
      <c r="AK6" s="11">
        <f t="shared" ref="AK6:AK11" si="18">SUM(W6:Z6)</f>
        <v>3058.5686817656256</v>
      </c>
      <c r="AL6" s="11">
        <f>SUM(AA6:AD6)</f>
        <v>3717.7093487403795</v>
      </c>
    </row>
    <row r="7" spans="1:44" s="5" customFormat="1" x14ac:dyDescent="0.25">
      <c r="B7" s="5" t="s">
        <v>29</v>
      </c>
      <c r="G7" s="9">
        <f t="shared" ref="G7" si="19">G5-G6</f>
        <v>484</v>
      </c>
      <c r="H7" s="9">
        <f t="shared" ref="H7:M7" si="20">H5-H6</f>
        <v>402</v>
      </c>
      <c r="I7" s="9">
        <f>I5-I6</f>
        <v>553</v>
      </c>
      <c r="J7" s="9">
        <f t="shared" si="20"/>
        <v>667</v>
      </c>
      <c r="K7" s="5">
        <v>686</v>
      </c>
      <c r="L7" s="5">
        <f t="shared" si="20"/>
        <v>679</v>
      </c>
      <c r="M7" s="5">
        <f t="shared" si="20"/>
        <v>716</v>
      </c>
      <c r="N7" s="5">
        <f>N5-N6</f>
        <v>727</v>
      </c>
      <c r="O7" s="5">
        <f>O5-O6</f>
        <v>679</v>
      </c>
      <c r="P7" s="5">
        <f>P5-P6</f>
        <v>415</v>
      </c>
      <c r="Q7" s="5">
        <v>731</v>
      </c>
      <c r="R7" s="9">
        <v>638</v>
      </c>
      <c r="S7" s="5">
        <v>771</v>
      </c>
      <c r="T7" s="9">
        <v>739</v>
      </c>
      <c r="U7" s="9">
        <f>U5-U6</f>
        <v>935.55000000000007</v>
      </c>
      <c r="V7" s="9">
        <f t="shared" ref="V7:AD7" si="21">V5-V6</f>
        <v>1025.2875000000001</v>
      </c>
      <c r="W7" s="9">
        <f t="shared" si="21"/>
        <v>1132.8078750000002</v>
      </c>
      <c r="X7" s="9">
        <f t="shared" si="21"/>
        <v>1258.5298687500006</v>
      </c>
      <c r="Y7" s="9">
        <f t="shared" si="21"/>
        <v>1433.9261221875004</v>
      </c>
      <c r="Z7" s="9">
        <f t="shared" si="21"/>
        <v>1632.4111642968755</v>
      </c>
      <c r="AA7" s="9">
        <f t="shared" si="21"/>
        <v>1857.4929321117195</v>
      </c>
      <c r="AB7" s="9">
        <f t="shared" si="21"/>
        <v>2086.3698532773055</v>
      </c>
      <c r="AC7" s="9">
        <f t="shared" si="21"/>
        <v>2340.2908479571715</v>
      </c>
      <c r="AD7" s="9">
        <f t="shared" si="21"/>
        <v>2621.8681425726304</v>
      </c>
      <c r="AG7" s="9">
        <f>AG5-AG6</f>
        <v>2106</v>
      </c>
      <c r="AH7" s="9">
        <f t="shared" ref="AH7:AJ7" si="22">AH5-AH6</f>
        <v>2809</v>
      </c>
      <c r="AI7" s="9">
        <f t="shared" si="22"/>
        <v>2801</v>
      </c>
      <c r="AJ7" s="9">
        <f t="shared" si="22"/>
        <v>3470.8374999999996</v>
      </c>
      <c r="AK7" s="9">
        <f t="shared" ref="AK7" si="23">AK5-AK6</f>
        <v>5457.6750302343771</v>
      </c>
      <c r="AL7" s="9">
        <f t="shared" ref="AL7" si="24">AL5-AL6</f>
        <v>8906.0217759188272</v>
      </c>
    </row>
    <row r="8" spans="1:44" x14ac:dyDescent="0.25">
      <c r="B8" t="s">
        <v>46</v>
      </c>
      <c r="G8" s="11">
        <v>103.854</v>
      </c>
      <c r="H8" s="11">
        <v>136</v>
      </c>
      <c r="I8" s="11">
        <v>135</v>
      </c>
      <c r="J8" s="11">
        <v>272</v>
      </c>
      <c r="K8" s="11">
        <v>509</v>
      </c>
      <c r="L8">
        <v>444</v>
      </c>
      <c r="M8">
        <v>446</v>
      </c>
      <c r="N8">
        <v>461</v>
      </c>
      <c r="O8">
        <v>399</v>
      </c>
      <c r="P8">
        <v>334</v>
      </c>
      <c r="Q8">
        <v>532</v>
      </c>
      <c r="R8" s="8">
        <v>512</v>
      </c>
      <c r="S8">
        <v>431</v>
      </c>
      <c r="T8" s="8">
        <v>713</v>
      </c>
      <c r="U8" s="8">
        <f>T8*1.02</f>
        <v>727.26</v>
      </c>
      <c r="V8" s="8">
        <f t="shared" ref="V8:AD8" si="25">U8*1.02</f>
        <v>741.80520000000001</v>
      </c>
      <c r="W8" s="8">
        <f t="shared" si="25"/>
        <v>756.64130399999999</v>
      </c>
      <c r="X8" s="8">
        <f t="shared" si="25"/>
        <v>771.77413007999996</v>
      </c>
      <c r="Y8" s="8">
        <f t="shared" si="25"/>
        <v>787.20961268159999</v>
      </c>
      <c r="Z8" s="8">
        <f>Y8*0.98</f>
        <v>771.46542042796796</v>
      </c>
      <c r="AA8" s="8">
        <f t="shared" ref="AA8:AD8" si="26">Z8*0.98</f>
        <v>756.03611201940862</v>
      </c>
      <c r="AB8" s="8">
        <f t="shared" si="26"/>
        <v>740.91538977902042</v>
      </c>
      <c r="AC8" s="8">
        <f t="shared" si="26"/>
        <v>726.09708198344003</v>
      </c>
      <c r="AD8" s="8">
        <f t="shared" si="26"/>
        <v>711.57514034377118</v>
      </c>
      <c r="AG8" s="11">
        <f t="shared" si="16"/>
        <v>646.85400000000004</v>
      </c>
      <c r="AH8" s="11">
        <f>SUM(K8:N8)</f>
        <v>1860</v>
      </c>
      <c r="AI8" s="11">
        <f t="shared" ref="AI8:AJ11" si="27">SUM(L8:O8)</f>
        <v>1750</v>
      </c>
      <c r="AJ8" s="11">
        <f t="shared" ref="AJ8:AJ11" si="28">SUM(S8:V8)</f>
        <v>2613.0652</v>
      </c>
      <c r="AK8" s="11">
        <f t="shared" si="18"/>
        <v>3087.0904671895678</v>
      </c>
      <c r="AL8" s="11">
        <f t="shared" ref="AL8:AL11" si="29">SUM(AA8:AD8)</f>
        <v>2934.6237241256404</v>
      </c>
    </row>
    <row r="9" spans="1:44" x14ac:dyDescent="0.25">
      <c r="B9" s="7" t="s">
        <v>30</v>
      </c>
      <c r="G9" s="11">
        <v>92.293999999999997</v>
      </c>
      <c r="H9" s="11">
        <v>101</v>
      </c>
      <c r="I9" s="11">
        <v>116</v>
      </c>
      <c r="J9" s="11">
        <v>172</v>
      </c>
      <c r="K9" s="11">
        <v>172</v>
      </c>
      <c r="L9">
        <v>243</v>
      </c>
      <c r="M9">
        <v>238</v>
      </c>
      <c r="N9">
        <v>246</v>
      </c>
      <c r="O9">
        <v>238</v>
      </c>
      <c r="P9">
        <v>232</v>
      </c>
      <c r="Q9">
        <v>232</v>
      </c>
      <c r="R9" s="11">
        <v>232</v>
      </c>
      <c r="S9">
        <v>219</v>
      </c>
      <c r="T9" s="9">
        <v>246</v>
      </c>
      <c r="U9" s="8">
        <v>220</v>
      </c>
      <c r="V9" s="8">
        <v>220</v>
      </c>
      <c r="W9" s="8">
        <v>220</v>
      </c>
      <c r="X9" s="8">
        <v>220</v>
      </c>
      <c r="Y9" s="8">
        <v>220</v>
      </c>
      <c r="Z9" s="8">
        <v>220</v>
      </c>
      <c r="AA9" s="8">
        <v>220</v>
      </c>
      <c r="AB9" s="8">
        <v>220</v>
      </c>
      <c r="AC9" s="8">
        <v>220</v>
      </c>
      <c r="AD9" s="8">
        <v>220</v>
      </c>
      <c r="AG9" s="11">
        <f t="shared" si="16"/>
        <v>481.29399999999998</v>
      </c>
      <c r="AH9" s="11">
        <f t="shared" si="17"/>
        <v>899</v>
      </c>
      <c r="AI9" s="11">
        <f t="shared" si="27"/>
        <v>965</v>
      </c>
      <c r="AJ9" s="11">
        <f t="shared" si="28"/>
        <v>905</v>
      </c>
      <c r="AK9" s="11">
        <f t="shared" si="18"/>
        <v>880</v>
      </c>
      <c r="AL9" s="11">
        <f t="shared" si="29"/>
        <v>880</v>
      </c>
    </row>
    <row r="10" spans="1:44" x14ac:dyDescent="0.25">
      <c r="B10" s="7" t="s">
        <v>31</v>
      </c>
      <c r="G10" s="11">
        <v>104.447</v>
      </c>
      <c r="H10" s="11">
        <v>127</v>
      </c>
      <c r="I10" s="11">
        <v>130</v>
      </c>
      <c r="J10" s="11">
        <v>237</v>
      </c>
      <c r="L10">
        <v>214</v>
      </c>
      <c r="M10">
        <v>169</v>
      </c>
      <c r="N10">
        <v>253</v>
      </c>
      <c r="O10">
        <v>197</v>
      </c>
      <c r="P10">
        <v>178</v>
      </c>
      <c r="Q10">
        <v>165</v>
      </c>
      <c r="R10" s="8"/>
      <c r="S10">
        <v>210</v>
      </c>
      <c r="T10" s="8"/>
      <c r="U10" s="8">
        <v>200</v>
      </c>
      <c r="V10" s="8">
        <v>200</v>
      </c>
      <c r="W10" s="8">
        <v>200</v>
      </c>
      <c r="X10" s="8">
        <v>200</v>
      </c>
      <c r="Y10" s="8">
        <v>200</v>
      </c>
      <c r="Z10" s="8">
        <v>200</v>
      </c>
      <c r="AA10" s="8">
        <v>200</v>
      </c>
      <c r="AB10" s="8">
        <v>200</v>
      </c>
      <c r="AC10" s="8">
        <v>200</v>
      </c>
      <c r="AD10" s="8">
        <v>200</v>
      </c>
      <c r="AG10" s="11">
        <f t="shared" si="16"/>
        <v>598.447</v>
      </c>
      <c r="AH10" s="11">
        <f t="shared" si="17"/>
        <v>636</v>
      </c>
      <c r="AI10" s="11">
        <f t="shared" si="27"/>
        <v>833</v>
      </c>
      <c r="AJ10" s="11">
        <f t="shared" si="28"/>
        <v>610</v>
      </c>
      <c r="AK10" s="11">
        <f t="shared" si="18"/>
        <v>800</v>
      </c>
      <c r="AL10" s="11">
        <f t="shared" si="29"/>
        <v>800</v>
      </c>
    </row>
    <row r="11" spans="1:44" x14ac:dyDescent="0.25">
      <c r="B11" s="7" t="s">
        <v>32</v>
      </c>
      <c r="G11" s="11">
        <v>12</v>
      </c>
      <c r="H11" s="11">
        <v>16</v>
      </c>
      <c r="I11" s="11">
        <v>159</v>
      </c>
      <c r="J11" s="11">
        <v>22</v>
      </c>
      <c r="L11">
        <v>30</v>
      </c>
      <c r="M11">
        <v>35</v>
      </c>
      <c r="N11">
        <v>47</v>
      </c>
      <c r="O11">
        <v>40</v>
      </c>
      <c r="P11">
        <v>45</v>
      </c>
      <c r="Q11">
        <v>42</v>
      </c>
      <c r="R11" s="8"/>
      <c r="S11">
        <v>45</v>
      </c>
      <c r="T11" s="8"/>
      <c r="U11" s="8">
        <v>30</v>
      </c>
      <c r="V11" s="8">
        <v>30</v>
      </c>
      <c r="W11" s="8">
        <v>30</v>
      </c>
      <c r="X11" s="8">
        <v>30</v>
      </c>
      <c r="Y11" s="8">
        <v>30</v>
      </c>
      <c r="Z11" s="8">
        <v>30</v>
      </c>
      <c r="AA11" s="8">
        <v>30</v>
      </c>
      <c r="AB11" s="8">
        <v>30</v>
      </c>
      <c r="AC11" s="8">
        <v>30</v>
      </c>
      <c r="AD11" s="8">
        <v>30</v>
      </c>
      <c r="AG11" s="11">
        <f t="shared" si="16"/>
        <v>209</v>
      </c>
      <c r="AH11" s="11">
        <f t="shared" si="17"/>
        <v>112</v>
      </c>
      <c r="AI11" s="11">
        <f t="shared" si="27"/>
        <v>152</v>
      </c>
      <c r="AJ11" s="11">
        <f t="shared" si="28"/>
        <v>105</v>
      </c>
      <c r="AK11" s="11">
        <f t="shared" si="18"/>
        <v>120</v>
      </c>
      <c r="AL11" s="11">
        <f t="shared" si="29"/>
        <v>120</v>
      </c>
    </row>
    <row r="12" spans="1:44" x14ac:dyDescent="0.25">
      <c r="B12" s="7" t="s">
        <v>33</v>
      </c>
      <c r="G12" s="11">
        <v>0</v>
      </c>
      <c r="H12" s="11">
        <v>0</v>
      </c>
      <c r="I12" s="11">
        <v>0</v>
      </c>
      <c r="J12" s="11">
        <v>0</v>
      </c>
      <c r="L12">
        <v>0</v>
      </c>
      <c r="M12">
        <v>0</v>
      </c>
      <c r="N12" t="s">
        <v>42</v>
      </c>
      <c r="O12">
        <v>0</v>
      </c>
      <c r="P12">
        <v>165</v>
      </c>
      <c r="Q12">
        <v>0</v>
      </c>
      <c r="R12" s="8"/>
      <c r="S12">
        <v>0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16"/>
      <c r="AH12" s="7"/>
    </row>
    <row r="13" spans="1:44" x14ac:dyDescent="0.25">
      <c r="B13" s="7" t="s">
        <v>34</v>
      </c>
      <c r="G13" s="11">
        <v>0</v>
      </c>
      <c r="H13" s="11">
        <v>326</v>
      </c>
      <c r="I13" s="11">
        <v>123</v>
      </c>
      <c r="J13" s="11">
        <v>0</v>
      </c>
      <c r="L13">
        <v>0</v>
      </c>
      <c r="M13">
        <v>0</v>
      </c>
      <c r="N13">
        <v>16</v>
      </c>
      <c r="O13">
        <v>7</v>
      </c>
      <c r="P13">
        <v>3</v>
      </c>
      <c r="Q13">
        <v>0</v>
      </c>
      <c r="R13" s="8"/>
      <c r="S13">
        <v>49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16"/>
      <c r="AH13" s="7"/>
    </row>
    <row r="14" spans="1:44" s="5" customFormat="1" x14ac:dyDescent="0.25">
      <c r="B14" s="5" t="s">
        <v>35</v>
      </c>
      <c r="G14" s="9">
        <f t="shared" ref="G14" si="30">G8+G9+G10+G11+G12+G13</f>
        <v>312.59500000000003</v>
      </c>
      <c r="H14" s="9">
        <f t="shared" ref="H14:M14" si="31">H8+H9+H10+H11+H12+H13</f>
        <v>706</v>
      </c>
      <c r="I14" s="9">
        <f t="shared" si="31"/>
        <v>663</v>
      </c>
      <c r="J14" s="9">
        <f t="shared" si="31"/>
        <v>703</v>
      </c>
      <c r="K14" s="5">
        <v>704</v>
      </c>
      <c r="L14" s="5">
        <f t="shared" si="31"/>
        <v>931</v>
      </c>
      <c r="M14" s="5">
        <f t="shared" si="31"/>
        <v>888</v>
      </c>
      <c r="N14" s="5">
        <f>N8+N9+N10+N11+N13</f>
        <v>1023</v>
      </c>
      <c r="O14" s="5">
        <f>O8+O9+O10+O11+O12+O13</f>
        <v>881</v>
      </c>
      <c r="P14" s="5">
        <f>P8+P9+P10+P11+P12+P13</f>
        <v>957</v>
      </c>
      <c r="Q14" s="5">
        <v>918</v>
      </c>
      <c r="R14" s="9">
        <v>790</v>
      </c>
      <c r="S14" s="5">
        <f t="shared" ref="S14" si="32">S8+S9+S10+S11+S12+S13</f>
        <v>954</v>
      </c>
      <c r="T14" s="9">
        <v>1008</v>
      </c>
      <c r="U14" s="9">
        <f>U8+U9+U10+U11+U13</f>
        <v>1177.26</v>
      </c>
      <c r="V14" s="9">
        <f t="shared" ref="V14:AD14" si="33">V8+V9+V10+V11+V13</f>
        <v>1191.8052</v>
      </c>
      <c r="W14" s="9">
        <f t="shared" si="33"/>
        <v>1206.641304</v>
      </c>
      <c r="X14" s="9">
        <f t="shared" si="33"/>
        <v>1221.7741300799998</v>
      </c>
      <c r="Y14" s="9">
        <f t="shared" si="33"/>
        <v>1237.2096126816</v>
      </c>
      <c r="Z14" s="9">
        <f t="shared" si="33"/>
        <v>1221.465420427968</v>
      </c>
      <c r="AA14" s="9">
        <f t="shared" si="33"/>
        <v>1206.0361120194086</v>
      </c>
      <c r="AB14" s="9">
        <f t="shared" si="33"/>
        <v>1190.9153897790204</v>
      </c>
      <c r="AC14" s="9">
        <f t="shared" si="33"/>
        <v>1176.0970819834401</v>
      </c>
      <c r="AD14" s="9">
        <f t="shared" si="33"/>
        <v>1161.5751403437712</v>
      </c>
      <c r="AE14" s="9"/>
      <c r="AF14" s="9"/>
      <c r="AG14" s="9">
        <f t="shared" ref="AG14" si="34">AG8+AG9+AG10+AG11+AG13</f>
        <v>1935.5950000000003</v>
      </c>
      <c r="AH14" s="9">
        <f t="shared" ref="AH14" si="35">AH8+AH9+AH10+AH11+AH13</f>
        <v>3507</v>
      </c>
      <c r="AI14" s="9">
        <f t="shared" ref="AI14" si="36">AI8+AI9+AI10+AI11+AI13</f>
        <v>3700</v>
      </c>
      <c r="AJ14" s="9">
        <f t="shared" ref="AJ14" si="37">AJ8+AJ9+AJ10+AJ11+AJ13</f>
        <v>4233.0652</v>
      </c>
      <c r="AK14" s="9">
        <f t="shared" ref="AK14:AL14" si="38">AK8+AK9+AK10+AK11+AK13</f>
        <v>4887.0904671895678</v>
      </c>
      <c r="AL14" s="9">
        <f>AL8+AL9+AL10+AL11+AL13</f>
        <v>4734.6237241256404</v>
      </c>
      <c r="AM14" s="9"/>
      <c r="AN14" s="9"/>
      <c r="AO14" s="9"/>
      <c r="AP14" s="9"/>
      <c r="AQ14" s="9"/>
      <c r="AR14" s="9"/>
    </row>
    <row r="15" spans="1:44" x14ac:dyDescent="0.25">
      <c r="B15" s="7" t="s">
        <v>51</v>
      </c>
      <c r="G15" s="11">
        <f>G7-G14</f>
        <v>171.40499999999997</v>
      </c>
      <c r="H15" s="11">
        <v>20</v>
      </c>
      <c r="I15" s="11">
        <v>154</v>
      </c>
      <c r="J15" s="11">
        <v>-37</v>
      </c>
      <c r="K15" s="11">
        <v>-17</v>
      </c>
      <c r="L15">
        <v>-252</v>
      </c>
      <c r="M15">
        <v>-172</v>
      </c>
      <c r="N15">
        <v>-297</v>
      </c>
      <c r="O15">
        <v>-204</v>
      </c>
      <c r="P15">
        <v>-543</v>
      </c>
      <c r="Q15">
        <v>-76</v>
      </c>
      <c r="R15" s="8">
        <v>-151</v>
      </c>
      <c r="S15">
        <v>-185</v>
      </c>
      <c r="T15" s="8">
        <v>-268</v>
      </c>
      <c r="U15" s="8">
        <f>U7-U14</f>
        <v>-241.70999999999992</v>
      </c>
      <c r="V15" s="8">
        <f t="shared" ref="V15:AD15" si="39">V7-V14</f>
        <v>-166.51769999999988</v>
      </c>
      <c r="W15" s="8">
        <f t="shared" si="39"/>
        <v>-73.833428999999796</v>
      </c>
      <c r="X15" s="8">
        <f t="shared" si="39"/>
        <v>36.75573867000071</v>
      </c>
      <c r="Y15" s="8">
        <f t="shared" si="39"/>
        <v>196.71650950590038</v>
      </c>
      <c r="Z15" s="8">
        <f t="shared" si="39"/>
        <v>410.94574386890758</v>
      </c>
      <c r="AA15" s="8">
        <f t="shared" si="39"/>
        <v>651.45682009231086</v>
      </c>
      <c r="AB15" s="8">
        <f t="shared" si="39"/>
        <v>895.45446349828512</v>
      </c>
      <c r="AC15" s="8">
        <f t="shared" si="39"/>
        <v>1164.1937659737314</v>
      </c>
      <c r="AD15" s="8">
        <f t="shared" si="39"/>
        <v>1460.2930022288592</v>
      </c>
      <c r="AG15" s="11">
        <f t="shared" ref="AG14:AG20" si="40">SUM(G15:J15)</f>
        <v>308.40499999999997</v>
      </c>
      <c r="AH15" s="11">
        <f t="shared" ref="AH14:AH20" si="41">SUM(K15:N15)</f>
        <v>-738</v>
      </c>
      <c r="AI15" s="11">
        <f t="shared" ref="AI14:AJ20" si="42">SUM(L15:O15)</f>
        <v>-925</v>
      </c>
      <c r="AJ15" s="11">
        <f t="shared" ref="AJ15:AJ19" si="43">SUM(S15:V15)</f>
        <v>-861.2276999999998</v>
      </c>
      <c r="AK15" s="11">
        <f t="shared" ref="AK15:AK19" si="44">SUM(W15:Z15)</f>
        <v>570.58456304480887</v>
      </c>
      <c r="AL15" s="11">
        <f>SUM(AA15:AD15)</f>
        <v>4171.3980517931868</v>
      </c>
    </row>
    <row r="16" spans="1:44" x14ac:dyDescent="0.25">
      <c r="B16" s="7" t="s">
        <v>36</v>
      </c>
      <c r="G16" s="11">
        <v>-1</v>
      </c>
      <c r="H16" s="11">
        <v>-572</v>
      </c>
      <c r="I16" s="11">
        <v>-560</v>
      </c>
      <c r="J16" s="11">
        <v>-29</v>
      </c>
      <c r="K16" s="11">
        <v>-21</v>
      </c>
      <c r="L16">
        <v>-50</v>
      </c>
      <c r="M16">
        <v>-28</v>
      </c>
      <c r="N16">
        <v>-26</v>
      </c>
      <c r="O16">
        <v>-25</v>
      </c>
      <c r="P16">
        <v>-31</v>
      </c>
      <c r="Q16">
        <v>-22</v>
      </c>
      <c r="R16" s="8"/>
      <c r="S16">
        <v>-24</v>
      </c>
      <c r="T16" s="8"/>
      <c r="U16">
        <v>-50</v>
      </c>
      <c r="V16">
        <v>-28</v>
      </c>
      <c r="W16">
        <v>-26</v>
      </c>
      <c r="X16">
        <v>-25</v>
      </c>
      <c r="Y16">
        <v>-31</v>
      </c>
      <c r="Z16">
        <v>-50</v>
      </c>
      <c r="AA16">
        <v>-50</v>
      </c>
      <c r="AB16">
        <v>-50</v>
      </c>
      <c r="AC16">
        <v>-50</v>
      </c>
      <c r="AD16">
        <v>-50</v>
      </c>
      <c r="AG16" s="11">
        <f t="shared" si="40"/>
        <v>-1162</v>
      </c>
      <c r="AH16" s="11">
        <f t="shared" si="41"/>
        <v>-125</v>
      </c>
      <c r="AI16" s="11">
        <f t="shared" si="42"/>
        <v>-129</v>
      </c>
      <c r="AJ16" s="11">
        <f t="shared" si="43"/>
        <v>-102</v>
      </c>
      <c r="AK16" s="11">
        <f t="shared" si="44"/>
        <v>-132</v>
      </c>
      <c r="AL16" s="11">
        <f t="shared" ref="AL15:AL19" si="45">SUM(AA16:AD16)</f>
        <v>-200</v>
      </c>
    </row>
    <row r="17" spans="2:101" s="7" customFormat="1" x14ac:dyDescent="0.25">
      <c r="B17" s="7" t="s">
        <v>44</v>
      </c>
      <c r="G17" s="11">
        <f>G15+G16</f>
        <v>170.40499999999997</v>
      </c>
      <c r="H17" s="11">
        <f t="shared" ref="H17:U17" si="46">H15+H16</f>
        <v>-552</v>
      </c>
      <c r="I17" s="11">
        <f t="shared" si="46"/>
        <v>-406</v>
      </c>
      <c r="J17" s="11">
        <f t="shared" si="46"/>
        <v>-66</v>
      </c>
      <c r="K17" s="11">
        <f t="shared" si="46"/>
        <v>-38</v>
      </c>
      <c r="L17" s="11">
        <f t="shared" si="46"/>
        <v>-302</v>
      </c>
      <c r="M17" s="11">
        <f t="shared" si="46"/>
        <v>-200</v>
      </c>
      <c r="N17" s="11">
        <f t="shared" si="46"/>
        <v>-323</v>
      </c>
      <c r="O17" s="11">
        <f t="shared" si="46"/>
        <v>-229</v>
      </c>
      <c r="P17" s="11">
        <f t="shared" si="46"/>
        <v>-574</v>
      </c>
      <c r="Q17" s="11">
        <f t="shared" si="46"/>
        <v>-98</v>
      </c>
      <c r="R17" s="11">
        <f t="shared" si="46"/>
        <v>-151</v>
      </c>
      <c r="S17" s="11">
        <f t="shared" si="46"/>
        <v>-209</v>
      </c>
      <c r="T17" s="11">
        <v>-324</v>
      </c>
      <c r="U17" s="11">
        <f t="shared" si="46"/>
        <v>-291.70999999999992</v>
      </c>
      <c r="V17" s="11">
        <f t="shared" ref="V17" si="47">V15+V16</f>
        <v>-194.51769999999988</v>
      </c>
      <c r="W17" s="11">
        <f t="shared" ref="W17" si="48">W15+W16</f>
        <v>-99.833428999999796</v>
      </c>
      <c r="X17" s="11">
        <f t="shared" ref="X17" si="49">X15+X16</f>
        <v>11.75573867000071</v>
      </c>
      <c r="Y17" s="11">
        <f t="shared" ref="Y17" si="50">Y15+Y16</f>
        <v>165.71650950590038</v>
      </c>
      <c r="Z17" s="11">
        <f t="shared" ref="Z17" si="51">Z15+Z16</f>
        <v>360.94574386890758</v>
      </c>
      <c r="AA17" s="11">
        <f t="shared" ref="AA17" si="52">AA15+AA16</f>
        <v>601.45682009231086</v>
      </c>
      <c r="AB17" s="11">
        <f t="shared" ref="AB17" si="53">AB15+AB16</f>
        <v>845.45446349828512</v>
      </c>
      <c r="AC17" s="11">
        <f t="shared" ref="AC17" si="54">AC15+AC16</f>
        <v>1114.1937659737314</v>
      </c>
      <c r="AD17" s="11">
        <f t="shared" ref="AD17" si="55">AD15+AD16</f>
        <v>1410.2930022288592</v>
      </c>
      <c r="AG17" s="11">
        <f t="shared" si="40"/>
        <v>-853.59500000000003</v>
      </c>
      <c r="AH17" s="11">
        <f t="shared" si="41"/>
        <v>-863</v>
      </c>
      <c r="AI17" s="11">
        <f t="shared" si="42"/>
        <v>-1054</v>
      </c>
      <c r="AJ17" s="11">
        <f t="shared" si="43"/>
        <v>-1019.2276999999998</v>
      </c>
      <c r="AK17" s="11">
        <f t="shared" si="44"/>
        <v>438.58456304480887</v>
      </c>
      <c r="AL17" s="11">
        <f t="shared" si="45"/>
        <v>3971.3980517931868</v>
      </c>
    </row>
    <row r="18" spans="2:101" x14ac:dyDescent="0.25">
      <c r="B18" s="7" t="s">
        <v>37</v>
      </c>
      <c r="G18" s="11">
        <v>19</v>
      </c>
      <c r="H18" s="11">
        <v>9</v>
      </c>
      <c r="I18" s="11">
        <v>7</v>
      </c>
      <c r="J18" s="11">
        <v>-2</v>
      </c>
      <c r="K18" s="11">
        <v>-2</v>
      </c>
      <c r="L18">
        <v>-44</v>
      </c>
      <c r="M18">
        <v>-46</v>
      </c>
      <c r="N18">
        <v>41</v>
      </c>
      <c r="O18">
        <v>-23</v>
      </c>
      <c r="P18">
        <v>-33</v>
      </c>
      <c r="Q18">
        <v>-60</v>
      </c>
      <c r="R18" s="11">
        <v>-33</v>
      </c>
      <c r="S18">
        <v>50</v>
      </c>
      <c r="T18" s="11">
        <v>41</v>
      </c>
      <c r="U18">
        <v>-44</v>
      </c>
      <c r="V18">
        <v>-46</v>
      </c>
      <c r="W18">
        <v>41</v>
      </c>
      <c r="X18">
        <v>-23</v>
      </c>
      <c r="Y18">
        <v>-33</v>
      </c>
      <c r="Z18">
        <v>-60</v>
      </c>
      <c r="AA18" s="11">
        <v>-33</v>
      </c>
      <c r="AB18">
        <v>50</v>
      </c>
      <c r="AC18">
        <v>50</v>
      </c>
      <c r="AD18">
        <v>50</v>
      </c>
      <c r="AG18" s="11">
        <f t="shared" si="40"/>
        <v>33</v>
      </c>
      <c r="AH18" s="11">
        <f t="shared" si="41"/>
        <v>-51</v>
      </c>
      <c r="AI18" s="11">
        <f t="shared" si="42"/>
        <v>-72</v>
      </c>
      <c r="AJ18" s="11">
        <f t="shared" si="43"/>
        <v>1</v>
      </c>
      <c r="AK18" s="11">
        <f t="shared" si="44"/>
        <v>-75</v>
      </c>
      <c r="AL18" s="11">
        <f t="shared" si="45"/>
        <v>117</v>
      </c>
    </row>
    <row r="19" spans="2:101" x14ac:dyDescent="0.25">
      <c r="B19" s="7" t="s">
        <v>45</v>
      </c>
      <c r="G19" s="11">
        <f t="shared" ref="G19" si="56">G18/G17</f>
        <v>0.11149907573134593</v>
      </c>
      <c r="H19" s="11">
        <f t="shared" ref="H19:Q19" si="57">H18/H17</f>
        <v>-1.6304347826086956E-2</v>
      </c>
      <c r="I19" s="11">
        <f t="shared" si="57"/>
        <v>-1.7241379310344827E-2</v>
      </c>
      <c r="J19" s="12">
        <f t="shared" si="57"/>
        <v>3.0303030303030304E-2</v>
      </c>
      <c r="K19" s="4"/>
      <c r="L19" s="4">
        <f t="shared" si="57"/>
        <v>0.14569536423841059</v>
      </c>
      <c r="M19" s="4">
        <f t="shared" si="57"/>
        <v>0.23</v>
      </c>
      <c r="N19" s="4">
        <f t="shared" si="57"/>
        <v>-0.12693498452012383</v>
      </c>
      <c r="O19" s="4">
        <f t="shared" si="57"/>
        <v>0.10043668122270742</v>
      </c>
      <c r="P19" s="4">
        <f t="shared" si="57"/>
        <v>5.7491289198606271E-2</v>
      </c>
      <c r="Q19" s="4">
        <f t="shared" si="57"/>
        <v>0.61224489795918369</v>
      </c>
      <c r="R19" s="8"/>
      <c r="S19" s="4">
        <f t="shared" ref="S19:AD19" si="58">S18/S17</f>
        <v>-0.23923444976076555</v>
      </c>
      <c r="T19" s="4">
        <f t="shared" si="58"/>
        <v>-0.12654320987654322</v>
      </c>
      <c r="U19" s="4">
        <f t="shared" si="58"/>
        <v>0.15083473312536427</v>
      </c>
      <c r="V19" s="4">
        <f t="shared" si="58"/>
        <v>0.2364823355406733</v>
      </c>
      <c r="W19" s="4">
        <f t="shared" si="58"/>
        <v>-0.4106840805798635</v>
      </c>
      <c r="X19" s="4">
        <f t="shared" si="58"/>
        <v>-1.9564912631728832</v>
      </c>
      <c r="Y19" s="4">
        <f t="shared" si="58"/>
        <v>-0.19913525875238777</v>
      </c>
      <c r="Z19" s="4">
        <f t="shared" si="58"/>
        <v>-0.16622996951528396</v>
      </c>
      <c r="AA19" s="4">
        <f t="shared" si="58"/>
        <v>-5.4866781616900111E-2</v>
      </c>
      <c r="AB19" s="4">
        <f t="shared" si="58"/>
        <v>5.9139790679100739E-2</v>
      </c>
      <c r="AC19" s="4">
        <f t="shared" si="58"/>
        <v>4.487549789538027E-2</v>
      </c>
      <c r="AD19" s="4">
        <f t="shared" si="58"/>
        <v>3.5453625538082414E-2</v>
      </c>
      <c r="AG19" s="11"/>
      <c r="AH19" s="11"/>
      <c r="AI19" s="11"/>
      <c r="AJ19" s="11"/>
      <c r="AK19" s="11"/>
      <c r="AL19" s="11"/>
    </row>
    <row r="20" spans="2:101" s="9" customFormat="1" x14ac:dyDescent="0.25">
      <c r="B20" s="9" t="s">
        <v>43</v>
      </c>
      <c r="G20" s="9">
        <f t="shared" ref="G20" si="59">G17-G18</f>
        <v>151.40499999999997</v>
      </c>
      <c r="H20" s="9">
        <f t="shared" ref="H20:P20" si="60">H17-H18</f>
        <v>-561</v>
      </c>
      <c r="I20" s="9">
        <f t="shared" si="60"/>
        <v>-413</v>
      </c>
      <c r="J20" s="9">
        <f t="shared" si="60"/>
        <v>-64</v>
      </c>
      <c r="K20" s="9">
        <v>-104</v>
      </c>
      <c r="L20" s="9">
        <f t="shared" si="60"/>
        <v>-258</v>
      </c>
      <c r="M20" s="9">
        <f t="shared" ref="M20" si="61">M17-M18</f>
        <v>-154</v>
      </c>
      <c r="N20" s="9">
        <f t="shared" si="60"/>
        <v>-364</v>
      </c>
      <c r="O20" s="9">
        <f t="shared" si="60"/>
        <v>-206</v>
      </c>
      <c r="P20" s="9">
        <f t="shared" si="60"/>
        <v>-541</v>
      </c>
      <c r="Q20" s="9">
        <f>Q17-Q18</f>
        <v>-38</v>
      </c>
      <c r="R20" s="9">
        <v>-543</v>
      </c>
      <c r="S20" s="9">
        <f t="shared" ref="S20" si="62">S17-S18</f>
        <v>-259</v>
      </c>
      <c r="T20" s="9">
        <v>-365</v>
      </c>
      <c r="U20" s="9">
        <f t="shared" ref="U20:AD20" si="63">U17-U18</f>
        <v>-247.70999999999992</v>
      </c>
      <c r="V20" s="9">
        <f t="shared" si="63"/>
        <v>-148.51769999999988</v>
      </c>
      <c r="W20" s="9">
        <f t="shared" si="63"/>
        <v>-140.8334289999998</v>
      </c>
      <c r="X20" s="9">
        <f t="shared" si="63"/>
        <v>34.75573867000071</v>
      </c>
      <c r="Y20" s="9">
        <f t="shared" si="63"/>
        <v>198.71650950590038</v>
      </c>
      <c r="Z20" s="9">
        <f t="shared" si="63"/>
        <v>420.94574386890758</v>
      </c>
      <c r="AA20" s="9">
        <f t="shared" si="63"/>
        <v>634.45682009231086</v>
      </c>
      <c r="AB20" s="9">
        <f t="shared" si="63"/>
        <v>795.45446349828512</v>
      </c>
      <c r="AC20" s="9">
        <f t="shared" si="63"/>
        <v>1064.1937659737314</v>
      </c>
      <c r="AD20" s="9">
        <f t="shared" si="63"/>
        <v>1360.2930022288592</v>
      </c>
      <c r="AG20" s="9">
        <f>SUM(G20:J20)</f>
        <v>-886.59500000000003</v>
      </c>
      <c r="AH20" s="9">
        <f t="shared" si="41"/>
        <v>-880</v>
      </c>
      <c r="AI20" s="9">
        <f t="shared" si="42"/>
        <v>-982</v>
      </c>
      <c r="AJ20" s="9">
        <f>AJ17-AJ18</f>
        <v>-1020.2276999999998</v>
      </c>
      <c r="AK20" s="9">
        <f t="shared" ref="AK20:AL20" si="64">AK17-AK18</f>
        <v>513.58456304480887</v>
      </c>
      <c r="AL20" s="9">
        <f t="shared" si="64"/>
        <v>3854.3980517931868</v>
      </c>
      <c r="AM20" s="9">
        <f>AL20*1.05</f>
        <v>4047.1179543828462</v>
      </c>
      <c r="AN20" s="9">
        <f t="shared" ref="AN20:CW20" si="65">AM20*1.05</f>
        <v>4249.473852101989</v>
      </c>
      <c r="AO20" s="9">
        <f>AN20*1.1</f>
        <v>4674.4212373121882</v>
      </c>
      <c r="AP20" s="9">
        <f>AO20*1.1</f>
        <v>5141.8633610434072</v>
      </c>
      <c r="AQ20" s="9">
        <f>AP20*1.1</f>
        <v>5656.0496971477487</v>
      </c>
      <c r="AR20" s="9">
        <f>AQ20*1.1</f>
        <v>6221.6546668625242</v>
      </c>
      <c r="AS20" s="9">
        <f t="shared" ref="AS20:CW20" si="66">AR20*0.98</f>
        <v>6097.2215735252739</v>
      </c>
      <c r="AT20" s="9">
        <f t="shared" si="66"/>
        <v>5975.2771420547688</v>
      </c>
      <c r="AU20" s="9">
        <f t="shared" si="66"/>
        <v>5855.7715992136737</v>
      </c>
      <c r="AV20" s="9">
        <f t="shared" si="66"/>
        <v>5738.6561672294001</v>
      </c>
      <c r="AW20" s="9">
        <f t="shared" si="66"/>
        <v>5623.8830438848117</v>
      </c>
      <c r="AX20" s="9">
        <f t="shared" si="66"/>
        <v>5511.4053830071152</v>
      </c>
      <c r="AY20" s="9">
        <f t="shared" si="66"/>
        <v>5401.1772753469731</v>
      </c>
      <c r="AZ20" s="9">
        <f t="shared" si="66"/>
        <v>5293.1537298400335</v>
      </c>
      <c r="BA20" s="9">
        <f t="shared" si="66"/>
        <v>5187.2906552432323</v>
      </c>
      <c r="BB20" s="9">
        <f t="shared" si="66"/>
        <v>5083.5448421383671</v>
      </c>
      <c r="BC20" s="9">
        <f t="shared" si="66"/>
        <v>4981.8739452955997</v>
      </c>
      <c r="BD20" s="9">
        <f t="shared" si="66"/>
        <v>4882.2364663896878</v>
      </c>
      <c r="BE20" s="9">
        <f t="shared" si="66"/>
        <v>4784.5917370618936</v>
      </c>
      <c r="BF20" s="9">
        <f t="shared" si="66"/>
        <v>4688.8999023206552</v>
      </c>
      <c r="BG20" s="9">
        <f t="shared" si="66"/>
        <v>4595.1219042742423</v>
      </c>
      <c r="BH20" s="9">
        <f t="shared" si="66"/>
        <v>4503.219466188757</v>
      </c>
      <c r="BI20" s="9">
        <f t="shared" si="66"/>
        <v>4413.1550768649822</v>
      </c>
      <c r="BJ20" s="9">
        <f t="shared" si="66"/>
        <v>4324.8919753276823</v>
      </c>
      <c r="BK20" s="9">
        <f t="shared" si="66"/>
        <v>4238.3941358211287</v>
      </c>
      <c r="BL20" s="9">
        <f t="shared" si="66"/>
        <v>4153.6262531047059</v>
      </c>
      <c r="BM20" s="9">
        <f t="shared" si="66"/>
        <v>4070.553728042612</v>
      </c>
      <c r="BN20" s="9">
        <f t="shared" si="66"/>
        <v>3989.1426534817597</v>
      </c>
      <c r="BO20" s="9">
        <f t="shared" si="66"/>
        <v>3909.3598004121245</v>
      </c>
      <c r="BP20" s="9">
        <f t="shared" si="66"/>
        <v>3831.1726044038819</v>
      </c>
      <c r="BQ20" s="9">
        <f t="shared" si="66"/>
        <v>3754.5491523158043</v>
      </c>
      <c r="BR20" s="9">
        <f t="shared" si="66"/>
        <v>3679.4581692694883</v>
      </c>
      <c r="BS20" s="9">
        <f t="shared" si="66"/>
        <v>3605.8690058840984</v>
      </c>
      <c r="BT20" s="9">
        <f t="shared" si="66"/>
        <v>3533.7516257664165</v>
      </c>
      <c r="BU20" s="9">
        <f t="shared" si="66"/>
        <v>3463.0765932510881</v>
      </c>
      <c r="BV20" s="9">
        <f t="shared" si="66"/>
        <v>3393.8150613860662</v>
      </c>
      <c r="BW20" s="9">
        <f t="shared" si="66"/>
        <v>3325.9387601583448</v>
      </c>
      <c r="BX20" s="9">
        <f t="shared" si="66"/>
        <v>3259.4199849551778</v>
      </c>
      <c r="BY20" s="9">
        <f t="shared" si="66"/>
        <v>3194.2315852560741</v>
      </c>
      <c r="BZ20" s="9">
        <f t="shared" si="66"/>
        <v>3130.3469535509525</v>
      </c>
      <c r="CA20" s="9">
        <f t="shared" si="66"/>
        <v>3067.7400144799335</v>
      </c>
      <c r="CB20" s="9">
        <f t="shared" si="66"/>
        <v>3006.3852141903349</v>
      </c>
      <c r="CC20" s="9">
        <f t="shared" si="66"/>
        <v>2946.257509906528</v>
      </c>
      <c r="CD20" s="9">
        <f t="shared" si="66"/>
        <v>2887.3323597083972</v>
      </c>
      <c r="CE20" s="9">
        <f t="shared" si="66"/>
        <v>2829.5857125142293</v>
      </c>
      <c r="CF20" s="9">
        <f t="shared" si="66"/>
        <v>2772.9939982639448</v>
      </c>
      <c r="CG20" s="9">
        <f t="shared" si="66"/>
        <v>2717.5341182986658</v>
      </c>
      <c r="CH20" s="9">
        <f t="shared" si="66"/>
        <v>2663.1834359326926</v>
      </c>
      <c r="CI20" s="9">
        <f t="shared" si="66"/>
        <v>2609.9197672140385</v>
      </c>
      <c r="CJ20" s="9">
        <f t="shared" si="66"/>
        <v>2557.7213718697576</v>
      </c>
      <c r="CK20" s="9">
        <f t="shared" si="66"/>
        <v>2506.5669444323626</v>
      </c>
      <c r="CL20" s="9">
        <f t="shared" si="66"/>
        <v>2456.4356055437152</v>
      </c>
      <c r="CM20" s="9">
        <f t="shared" si="66"/>
        <v>2407.3068934328408</v>
      </c>
      <c r="CN20" s="9">
        <f t="shared" si="66"/>
        <v>2359.160755564184</v>
      </c>
      <c r="CO20" s="9">
        <f t="shared" si="66"/>
        <v>2311.9775404529005</v>
      </c>
      <c r="CP20" s="9">
        <f t="shared" si="66"/>
        <v>2265.7379896438424</v>
      </c>
      <c r="CQ20" s="9">
        <f t="shared" si="66"/>
        <v>2220.4232298509655</v>
      </c>
      <c r="CR20" s="9">
        <f t="shared" si="66"/>
        <v>2176.0147652539463</v>
      </c>
      <c r="CS20" s="9">
        <f t="shared" si="66"/>
        <v>2132.4944699488674</v>
      </c>
      <c r="CT20" s="9">
        <f t="shared" si="66"/>
        <v>2089.84458054989</v>
      </c>
      <c r="CU20" s="9">
        <f t="shared" si="66"/>
        <v>2048.047688938892</v>
      </c>
      <c r="CV20" s="9">
        <f t="shared" si="66"/>
        <v>2007.0867351601141</v>
      </c>
      <c r="CW20" s="9">
        <f t="shared" si="66"/>
        <v>1966.9450004569119</v>
      </c>
    </row>
    <row r="21" spans="2:101" x14ac:dyDescent="0.25">
      <c r="B21" s="7" t="s">
        <v>5</v>
      </c>
      <c r="U21" s="8"/>
      <c r="V21" s="8"/>
      <c r="W21" s="8"/>
      <c r="X21" s="8"/>
      <c r="Y21" s="8"/>
      <c r="Z21" s="8"/>
      <c r="AA21" s="8"/>
      <c r="AB21" s="8"/>
      <c r="AC21" s="8"/>
      <c r="AD21" s="16"/>
      <c r="AY21" s="5"/>
    </row>
    <row r="22" spans="2:101" x14ac:dyDescent="0.25">
      <c r="U22" s="8"/>
      <c r="V22" s="8"/>
      <c r="W22" s="8"/>
      <c r="X22" s="8"/>
      <c r="Y22" s="8"/>
      <c r="Z22" s="8"/>
      <c r="AA22" s="8"/>
      <c r="AB22" s="8"/>
      <c r="AC22" s="8"/>
      <c r="AD22" s="16"/>
    </row>
    <row r="23" spans="2:101" x14ac:dyDescent="0.25">
      <c r="B23" t="s">
        <v>78</v>
      </c>
      <c r="G23" s="4"/>
      <c r="K23" s="8"/>
      <c r="L23" s="8"/>
      <c r="U23" s="8"/>
      <c r="V23" s="8"/>
      <c r="W23" s="8"/>
      <c r="X23" s="8"/>
      <c r="Y23" s="8"/>
      <c r="Z23" s="8"/>
      <c r="AA23" s="8"/>
      <c r="AB23" s="8"/>
      <c r="AC23" s="8"/>
      <c r="AD23" s="16"/>
    </row>
    <row r="24" spans="2:101" x14ac:dyDescent="0.25">
      <c r="B24" t="s">
        <v>52</v>
      </c>
      <c r="H24" s="4"/>
      <c r="I24" s="4"/>
      <c r="J24" s="4"/>
      <c r="K24" s="4"/>
      <c r="L24" s="4">
        <f>L5/H5-1</f>
        <v>0.62237762237762229</v>
      </c>
      <c r="M24" s="4">
        <f>M5/I5-1</f>
        <v>0.55813953488372103</v>
      </c>
      <c r="N24" s="4">
        <f>N5/J5-1</f>
        <v>0.22686025408348454</v>
      </c>
      <c r="O24" s="4">
        <f>O5/K5-1</f>
        <v>0.16515426497277685</v>
      </c>
      <c r="P24" s="4">
        <f>P5/L5-1</f>
        <v>-6.7528735632183867E-2</v>
      </c>
      <c r="Q24" s="4">
        <f ca="1">Q5/M5-1</f>
        <v>0</v>
      </c>
      <c r="R24" s="4">
        <f>R5/N5-1</f>
        <v>-3.9201183431952669E-2</v>
      </c>
      <c r="S24" s="4">
        <f>S5/O5-1</f>
        <v>4.1277258566978281E-2</v>
      </c>
      <c r="T24" s="4">
        <f>T5/P5-1</f>
        <v>4.2372881355932313E-2</v>
      </c>
      <c r="U24" s="4">
        <f ca="1">U5/Q5-1</f>
        <v>4.2372881355932313E-2</v>
      </c>
      <c r="V24" s="4">
        <f>V5/R5-1</f>
        <v>0.30956120092378758</v>
      </c>
      <c r="W24" s="4">
        <f>W5/S5-1</f>
        <v>0.37803440538519095</v>
      </c>
      <c r="X24" s="4">
        <f>X5/T5-1</f>
        <v>0.4808833702882489</v>
      </c>
      <c r="Y24" s="4">
        <f>Y5/U5-1</f>
        <v>0.40342370820668716</v>
      </c>
      <c r="Z24" s="4">
        <f>Z5/V5-1</f>
        <v>0.44251422121896211</v>
      </c>
      <c r="AA24" s="4">
        <f>AA5/W5-1</f>
        <v>0.47633426427678227</v>
      </c>
      <c r="AB24" s="4">
        <f>AB5/X5-1</f>
        <v>0.4933107784890185</v>
      </c>
      <c r="AC24" s="4">
        <f>AC5/Y5-1</f>
        <v>0.48503125279386272</v>
      </c>
      <c r="AD24" s="4">
        <f>AD5/Z5-1</f>
        <v>0.47536395505214313</v>
      </c>
      <c r="AL24" s="4">
        <f>AK5/AL5</f>
        <v>0.67462176023096421</v>
      </c>
    </row>
    <row r="25" spans="2:101" x14ac:dyDescent="0.25">
      <c r="B25" t="s">
        <v>53</v>
      </c>
      <c r="H25" s="4">
        <f>H7/H5</f>
        <v>0.46853146853146854</v>
      </c>
      <c r="I25" s="4">
        <f>I7/I5</f>
        <v>0.61240310077519378</v>
      </c>
      <c r="J25" s="4">
        <f>J7/J5</f>
        <v>0.60526315789473684</v>
      </c>
      <c r="K25" s="4">
        <f>K7/K5</f>
        <v>0.6225045372050817</v>
      </c>
      <c r="L25" s="4">
        <f>L7/L5</f>
        <v>0.48778735632183906</v>
      </c>
      <c r="M25" s="4">
        <f>M7/M5</f>
        <v>0.50888415067519543</v>
      </c>
      <c r="N25" s="4">
        <f>N7/N5</f>
        <v>0.53772189349112431</v>
      </c>
      <c r="O25" s="4">
        <f>O7/O5</f>
        <v>0.52881619937694702</v>
      </c>
      <c r="P25" s="4">
        <f>P7/P5</f>
        <v>0.31972265023112478</v>
      </c>
      <c r="Q25" s="4">
        <f ca="1">Q7/Q5</f>
        <v>0.46853146853146854</v>
      </c>
      <c r="R25" s="4">
        <f>R7/R5</f>
        <v>0.49114703618167821</v>
      </c>
      <c r="S25" s="4">
        <f>S7/S5</f>
        <v>0.5766641735228123</v>
      </c>
      <c r="T25" s="4">
        <f>T7/T5</f>
        <v>0.54619364375461932</v>
      </c>
      <c r="U25" s="4">
        <v>0.5</v>
      </c>
      <c r="V25" s="4">
        <v>0.5</v>
      </c>
      <c r="W25" s="4">
        <v>0.5</v>
      </c>
      <c r="X25" s="4">
        <v>0.5</v>
      </c>
      <c r="Y25" s="4">
        <v>0.5</v>
      </c>
      <c r="Z25" s="4">
        <v>0.5</v>
      </c>
      <c r="AA25" s="4">
        <v>0.5</v>
      </c>
      <c r="AB25" s="4">
        <v>0.5</v>
      </c>
      <c r="AC25" s="4">
        <v>0.5</v>
      </c>
      <c r="AD25" s="4">
        <v>0.5</v>
      </c>
    </row>
    <row r="26" spans="2:101" x14ac:dyDescent="0.25">
      <c r="X26" s="15"/>
    </row>
    <row r="27" spans="2:101" x14ac:dyDescent="0.25">
      <c r="B27" t="s">
        <v>2</v>
      </c>
      <c r="K27" s="5"/>
      <c r="L27" s="5"/>
      <c r="AF27" s="9">
        <f>1423+1309+538</f>
        <v>3270</v>
      </c>
      <c r="AG27" s="9">
        <f>1732+820+359</f>
        <v>2911</v>
      </c>
      <c r="AH27" s="9">
        <f>827+187+307</f>
        <v>1321</v>
      </c>
      <c r="AI27" s="9">
        <f>754+22+252</f>
        <v>1028</v>
      </c>
    </row>
    <row r="28" spans="2:101" x14ac:dyDescent="0.25">
      <c r="B28" t="s">
        <v>54</v>
      </c>
      <c r="AF28" s="8">
        <v>658</v>
      </c>
      <c r="AG28" s="8">
        <v>684</v>
      </c>
      <c r="AH28" s="8">
        <v>843</v>
      </c>
      <c r="AI28" s="8">
        <v>968</v>
      </c>
    </row>
    <row r="29" spans="2:101" x14ac:dyDescent="0.25">
      <c r="B29" t="s">
        <v>72</v>
      </c>
      <c r="AF29" s="8">
        <v>0</v>
      </c>
      <c r="AG29" s="8">
        <v>10</v>
      </c>
      <c r="AH29" s="8">
        <v>0</v>
      </c>
      <c r="AI29" s="8">
        <v>0</v>
      </c>
    </row>
    <row r="30" spans="2:101" x14ac:dyDescent="0.25">
      <c r="B30" t="s">
        <v>55</v>
      </c>
      <c r="AF30" s="8">
        <v>17</v>
      </c>
      <c r="AG30" s="8">
        <v>0</v>
      </c>
      <c r="AH30" s="8">
        <v>0</v>
      </c>
      <c r="AI30" s="8">
        <v>0</v>
      </c>
    </row>
    <row r="31" spans="2:101" x14ac:dyDescent="0.25">
      <c r="B31" t="s">
        <v>56</v>
      </c>
      <c r="V31" t="s">
        <v>87</v>
      </c>
      <c r="W31" s="4">
        <v>-0.01</v>
      </c>
      <c r="AF31" s="8">
        <v>215</v>
      </c>
      <c r="AG31" s="8">
        <v>183</v>
      </c>
      <c r="AH31" s="8">
        <v>277</v>
      </c>
      <c r="AI31" s="8">
        <v>180</v>
      </c>
    </row>
    <row r="32" spans="2:101" x14ac:dyDescent="0.25">
      <c r="B32" t="s">
        <v>57</v>
      </c>
      <c r="V32" t="s">
        <v>88</v>
      </c>
      <c r="W32" s="4">
        <v>0.05</v>
      </c>
      <c r="AF32" s="8">
        <v>314</v>
      </c>
      <c r="AG32" s="8">
        <v>459</v>
      </c>
      <c r="AH32" s="8">
        <v>685</v>
      </c>
      <c r="AI32" s="8">
        <v>736</v>
      </c>
    </row>
    <row r="33" spans="2:35" x14ac:dyDescent="0.25">
      <c r="B33" t="s">
        <v>58</v>
      </c>
      <c r="V33" t="s">
        <v>89</v>
      </c>
      <c r="W33" s="18">
        <f>NPV($W$32,AG20:DR20)</f>
        <v>66194.109184822999</v>
      </c>
      <c r="AF33" s="8">
        <v>7</v>
      </c>
      <c r="AG33" s="8">
        <v>36</v>
      </c>
      <c r="AH33" s="8">
        <v>34</v>
      </c>
      <c r="AI33" s="8">
        <v>34</v>
      </c>
    </row>
    <row r="34" spans="2:35" x14ac:dyDescent="0.25">
      <c r="B34" t="s">
        <v>33</v>
      </c>
      <c r="K34" s="5"/>
      <c r="L34" s="5"/>
      <c r="V34" t="s">
        <v>5</v>
      </c>
      <c r="W34" s="17">
        <f>W33/W35</f>
        <v>378.25205248470286</v>
      </c>
      <c r="AF34" s="8">
        <v>535</v>
      </c>
      <c r="AG34" s="8">
        <v>674</v>
      </c>
      <c r="AH34" s="8">
        <v>6767</v>
      </c>
      <c r="AI34" s="8">
        <v>4426</v>
      </c>
    </row>
    <row r="35" spans="2:35" x14ac:dyDescent="0.25">
      <c r="B35" t="s">
        <v>59</v>
      </c>
      <c r="K35" s="5"/>
      <c r="L35" s="5"/>
      <c r="V35" t="s">
        <v>90</v>
      </c>
      <c r="W35" s="8">
        <v>175</v>
      </c>
      <c r="AF35" s="8">
        <v>612</v>
      </c>
      <c r="AG35" s="8">
        <v>1022</v>
      </c>
      <c r="AH35" s="8">
        <v>5525</v>
      </c>
      <c r="AI35" s="8">
        <v>4507</v>
      </c>
    </row>
    <row r="36" spans="2:35" x14ac:dyDescent="0.25">
      <c r="B36" t="s">
        <v>73</v>
      </c>
      <c r="V36" t="s">
        <v>91</v>
      </c>
      <c r="W36" s="24">
        <f>W34/W37-1</f>
        <v>1.0783079806851807</v>
      </c>
      <c r="AF36" s="8">
        <v>90</v>
      </c>
      <c r="AG36" s="8">
        <v>73</v>
      </c>
      <c r="AH36" s="8">
        <v>45</v>
      </c>
      <c r="AI36" s="8">
        <v>2</v>
      </c>
    </row>
    <row r="37" spans="2:35" x14ac:dyDescent="0.25">
      <c r="B37" t="s">
        <v>60</v>
      </c>
      <c r="V37" t="s">
        <v>0</v>
      </c>
      <c r="W37">
        <v>182</v>
      </c>
      <c r="AF37" s="8">
        <v>248</v>
      </c>
      <c r="AG37" s="8">
        <v>409</v>
      </c>
      <c r="AH37" s="8">
        <v>296</v>
      </c>
      <c r="AI37" s="8">
        <v>249</v>
      </c>
    </row>
    <row r="38" spans="2:35" s="5" customFormat="1" x14ac:dyDescent="0.25">
      <c r="B38" s="5" t="s">
        <v>74</v>
      </c>
      <c r="AD38" s="14"/>
      <c r="AF38" s="9">
        <f>SUM(AF27:AF37)+59</f>
        <v>6025</v>
      </c>
      <c r="AG38" s="9">
        <f t="shared" ref="AG38:AI38" si="67">SUM(AG27:AG37)+59</f>
        <v>6520</v>
      </c>
      <c r="AH38" s="9">
        <f t="shared" si="67"/>
        <v>15852</v>
      </c>
      <c r="AI38" s="9">
        <f t="shared" si="67"/>
        <v>12189</v>
      </c>
    </row>
    <row r="40" spans="2:35" x14ac:dyDescent="0.25">
      <c r="B40" t="s">
        <v>61</v>
      </c>
      <c r="K40" s="7"/>
      <c r="L40" s="7"/>
      <c r="AF40" s="8">
        <v>71</v>
      </c>
    </row>
    <row r="41" spans="2:35" x14ac:dyDescent="0.25">
      <c r="B41" t="s">
        <v>62</v>
      </c>
      <c r="AF41" s="8">
        <v>969</v>
      </c>
    </row>
    <row r="42" spans="2:35" x14ac:dyDescent="0.25">
      <c r="B42" t="s">
        <v>63</v>
      </c>
      <c r="K42" s="4"/>
      <c r="L42" s="4"/>
      <c r="AF42" s="8">
        <v>0</v>
      </c>
    </row>
    <row r="43" spans="2:35" x14ac:dyDescent="0.25">
      <c r="B43" t="s">
        <v>64</v>
      </c>
      <c r="K43" s="5"/>
      <c r="L43" s="5"/>
      <c r="AF43" s="8">
        <v>31</v>
      </c>
    </row>
    <row r="44" spans="2:35" x14ac:dyDescent="0.25">
      <c r="B44" t="s">
        <v>65</v>
      </c>
      <c r="AF44" s="8">
        <v>0</v>
      </c>
    </row>
    <row r="45" spans="2:35" x14ac:dyDescent="0.25">
      <c r="B45" t="s">
        <v>75</v>
      </c>
      <c r="AF45" s="8">
        <v>234</v>
      </c>
    </row>
    <row r="46" spans="2:35" x14ac:dyDescent="0.25">
      <c r="B46" t="s">
        <v>66</v>
      </c>
      <c r="AF46" s="8">
        <v>928</v>
      </c>
    </row>
    <row r="47" spans="2:35" x14ac:dyDescent="0.25">
      <c r="B47" t="s">
        <v>67</v>
      </c>
      <c r="AF47" s="8">
        <v>0</v>
      </c>
    </row>
    <row r="48" spans="2:35" x14ac:dyDescent="0.25">
      <c r="B48" t="s">
        <v>68</v>
      </c>
      <c r="AF48" s="8">
        <v>159</v>
      </c>
    </row>
    <row r="49" spans="2:32" x14ac:dyDescent="0.25">
      <c r="B49" t="s">
        <v>69</v>
      </c>
      <c r="AF49" s="8">
        <v>37</v>
      </c>
    </row>
    <row r="50" spans="2:32" x14ac:dyDescent="0.25">
      <c r="B50" t="s">
        <v>77</v>
      </c>
      <c r="AF50" s="8">
        <v>261</v>
      </c>
    </row>
    <row r="51" spans="2:32" s="5" customFormat="1" x14ac:dyDescent="0.25">
      <c r="B51" s="5" t="s">
        <v>76</v>
      </c>
      <c r="AD51" s="14"/>
      <c r="AF51" s="9">
        <f>SUM(AF40:AF50)</f>
        <v>2690</v>
      </c>
    </row>
    <row r="52" spans="2:32" x14ac:dyDescent="0.25">
      <c r="B52" t="s">
        <v>70</v>
      </c>
      <c r="AF52" s="8">
        <v>3332</v>
      </c>
    </row>
    <row r="53" spans="2:32" s="5" customFormat="1" x14ac:dyDescent="0.25">
      <c r="B53" s="5" t="s">
        <v>71</v>
      </c>
      <c r="AD53" s="14"/>
      <c r="AF53" s="9">
        <f>AF52+AF51</f>
        <v>6022</v>
      </c>
    </row>
  </sheetData>
  <hyperlinks>
    <hyperlink ref="A1" r:id="rId1" xr:uid="{ABE6AB11-3843-41EB-88BB-B8CFB3CFD43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cp:lastPrinted>2024-11-22T13:10:42Z</cp:lastPrinted>
  <dcterms:created xsi:type="dcterms:W3CDTF">2024-11-16T21:19:32Z</dcterms:created>
  <dcterms:modified xsi:type="dcterms:W3CDTF">2024-12-10T22:25:12Z</dcterms:modified>
</cp:coreProperties>
</file>