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ocuments\GitHub\Financial-Models\"/>
    </mc:Choice>
  </mc:AlternateContent>
  <xr:revisionPtr revIDLastSave="0" documentId="13_ncr:1_{F8898407-E423-42E6-A842-A20956D90703}" xr6:coauthVersionLast="47" xr6:coauthVersionMax="47" xr10:uidLastSave="{00000000-0000-0000-0000-000000000000}"/>
  <bookViews>
    <workbookView xWindow="-360" yWindow="690" windowWidth="13995" windowHeight="14340" xr2:uid="{348114CD-6E6B-4EB7-9394-27CF0733CA80}"/>
  </bookViews>
  <sheets>
    <sheet name="Main" sheetId="1" r:id="rId1"/>
    <sheet name="Model" sheetId="2" r:id="rId2"/>
    <sheet name="Pr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" l="1"/>
  <c r="R2" i="2"/>
  <c r="S2" i="2" s="1"/>
  <c r="T2" i="2" s="1"/>
  <c r="U2" i="2" s="1"/>
  <c r="V2" i="2" s="1"/>
  <c r="W2" i="2" s="1"/>
  <c r="X2" i="2" s="1"/>
  <c r="Y2" i="2" s="1"/>
  <c r="Z2" i="2" s="1"/>
  <c r="J40" i="2"/>
  <c r="J39" i="2"/>
  <c r="J38" i="2"/>
  <c r="J37" i="2"/>
  <c r="J36" i="2"/>
  <c r="J41" i="2" s="1"/>
  <c r="J43" i="2" s="1"/>
  <c r="Q16" i="2"/>
  <c r="Q8" i="2"/>
  <c r="Q13" i="2"/>
  <c r="Q11" i="2"/>
  <c r="Q10" i="2"/>
  <c r="Q7" i="2"/>
  <c r="Q6" i="2"/>
  <c r="Q4" i="2"/>
  <c r="Q3" i="2"/>
  <c r="Q5" i="2" s="1"/>
  <c r="J25" i="2"/>
  <c r="J34" i="2" s="1"/>
  <c r="I19" i="2"/>
  <c r="H19" i="2"/>
  <c r="G19" i="2"/>
  <c r="J19" i="2"/>
  <c r="J8" i="2"/>
  <c r="J5" i="2"/>
  <c r="J9" i="2" s="1"/>
  <c r="J12" i="2" s="1"/>
  <c r="J14" i="2" s="1"/>
  <c r="J15" i="2" s="1"/>
  <c r="F8" i="2"/>
  <c r="F5" i="2"/>
  <c r="F18" i="2" s="1"/>
  <c r="C8" i="2"/>
  <c r="C5" i="2"/>
  <c r="C18" i="2" s="1"/>
  <c r="G8" i="2"/>
  <c r="G5" i="2"/>
  <c r="G18" i="2" s="1"/>
  <c r="D8" i="2"/>
  <c r="D5" i="2"/>
  <c r="D18" i="2" s="1"/>
  <c r="H8" i="2"/>
  <c r="H5" i="2"/>
  <c r="H18" i="2" s="1"/>
  <c r="E8" i="2"/>
  <c r="E5" i="2"/>
  <c r="E18" i="2" s="1"/>
  <c r="I8" i="2"/>
  <c r="I5" i="2"/>
  <c r="I9" i="2" s="1"/>
  <c r="I12" i="2" s="1"/>
  <c r="I14" i="2" s="1"/>
  <c r="I15" i="2" s="1"/>
  <c r="M9" i="1"/>
  <c r="M7" i="1"/>
  <c r="M6" i="1"/>
  <c r="Q9" i="2" l="1"/>
  <c r="Q12" i="2" s="1"/>
  <c r="Q14" i="2" s="1"/>
  <c r="Q15" i="2" s="1"/>
  <c r="I18" i="2"/>
  <c r="J18" i="2"/>
  <c r="F9" i="2"/>
  <c r="F12" i="2" s="1"/>
  <c r="C9" i="2"/>
  <c r="C12" i="2" s="1"/>
  <c r="C14" i="2" s="1"/>
  <c r="C15" i="2" s="1"/>
  <c r="G9" i="2"/>
  <c r="G12" i="2" s="1"/>
  <c r="G14" i="2" s="1"/>
  <c r="G15" i="2" s="1"/>
  <c r="D9" i="2"/>
  <c r="D12" i="2" s="1"/>
  <c r="D14" i="2" s="1"/>
  <c r="D15" i="2" s="1"/>
  <c r="H9" i="2"/>
  <c r="H12" i="2" s="1"/>
  <c r="H14" i="2" s="1"/>
  <c r="H15" i="2" s="1"/>
  <c r="E9" i="2"/>
  <c r="E12" i="2" s="1"/>
  <c r="E14" i="2" s="1"/>
  <c r="E15" i="2" s="1"/>
  <c r="F14" i="2" l="1"/>
  <c r="F15" i="2" s="1"/>
</calcChain>
</file>

<file path=xl/sharedStrings.xml><?xml version="1.0" encoding="utf-8"?>
<sst xmlns="http://schemas.openxmlformats.org/spreadsheetml/2006/main" count="81" uniqueCount="71">
  <si>
    <t>Price</t>
  </si>
  <si>
    <t>Shares</t>
  </si>
  <si>
    <t>MC</t>
  </si>
  <si>
    <t>Cash</t>
  </si>
  <si>
    <t>Debt</t>
  </si>
  <si>
    <t>EV</t>
  </si>
  <si>
    <t>Q324</t>
  </si>
  <si>
    <t>Revenue</t>
  </si>
  <si>
    <t>COGS</t>
  </si>
  <si>
    <t>Gross Profit</t>
  </si>
  <si>
    <t>Q423</t>
  </si>
  <si>
    <t>Q124</t>
  </si>
  <si>
    <t>Q224</t>
  </si>
  <si>
    <t>Q424</t>
  </si>
  <si>
    <t>Q125</t>
  </si>
  <si>
    <t>Q225</t>
  </si>
  <si>
    <t>Q325</t>
  </si>
  <si>
    <t>Q425</t>
  </si>
  <si>
    <t>R&amp;D</t>
  </si>
  <si>
    <t>SG&amp;A</t>
  </si>
  <si>
    <t>OpEx</t>
  </si>
  <si>
    <t>OpInc</t>
  </si>
  <si>
    <t>Interest</t>
  </si>
  <si>
    <t>Pretax</t>
  </si>
  <si>
    <t>Tax</t>
  </si>
  <si>
    <t>Net Income</t>
  </si>
  <si>
    <t>Equity</t>
  </si>
  <si>
    <t>EPS</t>
  </si>
  <si>
    <t>Gross Margin</t>
  </si>
  <si>
    <t>Revenue y/y</t>
  </si>
  <si>
    <t>Q126</t>
  </si>
  <si>
    <t>Q226</t>
  </si>
  <si>
    <t>Q326</t>
  </si>
  <si>
    <t>STI</t>
  </si>
  <si>
    <t>A/R</t>
  </si>
  <si>
    <t>Contracts</t>
  </si>
  <si>
    <t>Prepaids</t>
  </si>
  <si>
    <t>Total</t>
  </si>
  <si>
    <t>PP&amp;E</t>
  </si>
  <si>
    <t>OL</t>
  </si>
  <si>
    <t>Goodwill</t>
  </si>
  <si>
    <t>Intangibles</t>
  </si>
  <si>
    <t>D/T</t>
  </si>
  <si>
    <t>Other</t>
  </si>
  <si>
    <t>`</t>
  </si>
  <si>
    <t>A/C</t>
  </si>
  <si>
    <t>OLL</t>
  </si>
  <si>
    <t>S/E</t>
  </si>
  <si>
    <t>Main</t>
  </si>
  <si>
    <t>L + S/E</t>
  </si>
  <si>
    <t>Cortex-X</t>
  </si>
  <si>
    <t>Cortex-A</t>
  </si>
  <si>
    <t>Cortex-R</t>
  </si>
  <si>
    <t>Cortex-M</t>
  </si>
  <si>
    <t>Ethos</t>
  </si>
  <si>
    <t>Arm Immortalis &amp; Mali</t>
  </si>
  <si>
    <t>CSS for Client</t>
  </si>
  <si>
    <t>Neoverse</t>
  </si>
  <si>
    <t>Neoverse CSS</t>
  </si>
  <si>
    <t>System IP</t>
  </si>
  <si>
    <t>Physical IP</t>
  </si>
  <si>
    <t>Security IP</t>
  </si>
  <si>
    <t>Subsystems Ip</t>
  </si>
  <si>
    <t>Apple uses ARM instruction set, company probably earns money from each chip made</t>
  </si>
  <si>
    <t>https://investors.arm.com/static-files/78833268-a105-4ed5-86d3-fcfc474afeac</t>
  </si>
  <si>
    <t>Project Digits</t>
  </si>
  <si>
    <t>Arm-based Grace CPU, Blackwell CPU = GP10 Superchip that powers world's smallest AI supercomputer</t>
  </si>
  <si>
    <t>Grace CPU</t>
  </si>
  <si>
    <t>based on ARM Css for client</t>
  </si>
  <si>
    <t>includes 20 power-efficient Arm Cortex-X925 and Cortex-A725 CPU cores</t>
  </si>
  <si>
    <t>NetCash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</si>
</sst>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  <charset val="186"/>
    </font>
    <font>
      <sz val="10"/>
      <color theme="1"/>
      <name val="Arial"/>
      <family val="2"/>
      <charset val="186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4" fontId="0" fillId="0" borderId="0" xfId="0" applyNumberFormat="1"/>
    <xf numFmtId="9" fontId="0" fillId="0" borderId="0" xfId="0" applyNumberFormat="1"/>
    <xf numFmtId="14" fontId="0" fillId="0" borderId="0" xfId="0" applyNumberFormat="1"/>
    <xf numFmtId="3" fontId="1" fillId="0" borderId="0" xfId="0" applyNumberFormat="1" applyFont="1"/>
    <xf numFmtId="0" fontId="3" fillId="0" borderId="0" xfId="1"/>
    <xf numFmtId="3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11905</xdr:colOff>
      <xdr:row>37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5DDB02C-4B9A-5DAF-72D3-E692857911A1}"/>
            </a:ext>
          </a:extLst>
        </xdr:cNvPr>
        <xdr:cNvCxnSpPr/>
      </xdr:nvCxnSpPr>
      <xdr:spPr>
        <a:xfrm flipH="1">
          <a:off x="6286500" y="0"/>
          <a:ext cx="11905" cy="58769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emiconducto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D226-25AC-43E8-85FB-5DB882F63BB2}">
  <dimension ref="F2:N22"/>
  <sheetViews>
    <sheetView tabSelected="1" topLeftCell="H1" zoomScale="175" zoomScaleNormal="175" workbookViewId="0">
      <selection activeCell="M12" sqref="M12"/>
    </sheetView>
  </sheetViews>
  <sheetFormatPr defaultRowHeight="12.75" x14ac:dyDescent="0.2"/>
  <sheetData>
    <row r="2" spans="6:14" x14ac:dyDescent="0.2">
      <c r="H2" t="s">
        <v>63</v>
      </c>
    </row>
    <row r="3" spans="6:14" x14ac:dyDescent="0.2">
      <c r="F3" t="s">
        <v>50</v>
      </c>
    </row>
    <row r="4" spans="6:14" x14ac:dyDescent="0.2">
      <c r="F4" t="s">
        <v>51</v>
      </c>
      <c r="L4" t="s">
        <v>0</v>
      </c>
      <c r="M4">
        <v>163.47</v>
      </c>
    </row>
    <row r="5" spans="6:14" x14ac:dyDescent="0.2">
      <c r="F5" t="s">
        <v>52</v>
      </c>
      <c r="L5" t="s">
        <v>1</v>
      </c>
      <c r="M5" s="1">
        <v>1064</v>
      </c>
      <c r="N5" t="s">
        <v>16</v>
      </c>
    </row>
    <row r="6" spans="6:14" x14ac:dyDescent="0.2">
      <c r="F6" t="s">
        <v>53</v>
      </c>
      <c r="L6" t="s">
        <v>2</v>
      </c>
      <c r="M6" s="1">
        <f>+M4*M5</f>
        <v>173932.08</v>
      </c>
    </row>
    <row r="7" spans="6:14" x14ac:dyDescent="0.2">
      <c r="F7" t="s">
        <v>54</v>
      </c>
      <c r="L7" t="s">
        <v>3</v>
      </c>
      <c r="M7" s="1">
        <f>2036+635</f>
        <v>2671</v>
      </c>
      <c r="N7" t="s">
        <v>16</v>
      </c>
    </row>
    <row r="8" spans="6:14" x14ac:dyDescent="0.2">
      <c r="F8" t="s">
        <v>55</v>
      </c>
      <c r="L8" t="s">
        <v>4</v>
      </c>
      <c r="M8" s="1">
        <v>0</v>
      </c>
      <c r="N8" t="s">
        <v>16</v>
      </c>
    </row>
    <row r="9" spans="6:14" x14ac:dyDescent="0.2">
      <c r="F9" t="s">
        <v>56</v>
      </c>
      <c r="L9" t="s">
        <v>5</v>
      </c>
      <c r="M9" s="1">
        <f>+M6-M7+M8</f>
        <v>171261.08</v>
      </c>
    </row>
    <row r="10" spans="6:14" x14ac:dyDescent="0.2">
      <c r="F10" t="s">
        <v>57</v>
      </c>
    </row>
    <row r="11" spans="6:14" x14ac:dyDescent="0.2">
      <c r="F11" t="s">
        <v>58</v>
      </c>
      <c r="L11">
        <v>0.2</v>
      </c>
      <c r="M11">
        <f>+M4/L11</f>
        <v>817.34999999999991</v>
      </c>
    </row>
    <row r="12" spans="6:14" x14ac:dyDescent="0.2">
      <c r="F12" t="s">
        <v>59</v>
      </c>
    </row>
    <row r="13" spans="6:14" x14ac:dyDescent="0.2">
      <c r="F13" t="s">
        <v>60</v>
      </c>
    </row>
    <row r="14" spans="6:14" x14ac:dyDescent="0.2">
      <c r="F14" t="s">
        <v>61</v>
      </c>
    </row>
    <row r="15" spans="6:14" x14ac:dyDescent="0.2">
      <c r="F15" t="s">
        <v>62</v>
      </c>
    </row>
    <row r="17" spans="6:6" x14ac:dyDescent="0.2">
      <c r="F17" s="11" t="s">
        <v>65</v>
      </c>
    </row>
    <row r="18" spans="6:6" x14ac:dyDescent="0.2">
      <c r="F18" t="s">
        <v>66</v>
      </c>
    </row>
    <row r="20" spans="6:6" x14ac:dyDescent="0.2">
      <c r="F20" s="11" t="s">
        <v>67</v>
      </c>
    </row>
    <row r="21" spans="6:6" x14ac:dyDescent="0.2">
      <c r="F21" t="s">
        <v>68</v>
      </c>
    </row>
    <row r="22" spans="6:6" x14ac:dyDescent="0.2">
      <c r="F2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DD4A-6823-4555-A002-53F885F7DEE2}">
  <dimension ref="A1:Z43"/>
  <sheetViews>
    <sheetView zoomScaleNormal="100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J20" sqref="J20"/>
    </sheetView>
  </sheetViews>
  <sheetFormatPr defaultRowHeight="12.75" x14ac:dyDescent="0.2"/>
  <cols>
    <col min="1" max="1" width="5" bestFit="1" customWidth="1"/>
    <col min="2" max="2" width="11.7109375" bestFit="1" customWidth="1"/>
    <col min="10" max="10" width="9.42578125" bestFit="1" customWidth="1"/>
  </cols>
  <sheetData>
    <row r="1" spans="1:26" x14ac:dyDescent="0.2">
      <c r="A1" s="9" t="s">
        <v>48</v>
      </c>
      <c r="J1" s="7"/>
    </row>
    <row r="2" spans="1:26" x14ac:dyDescent="0.2">
      <c r="C2" t="s">
        <v>10</v>
      </c>
      <c r="D2" t="s">
        <v>11</v>
      </c>
      <c r="E2" t="s">
        <v>12</v>
      </c>
      <c r="F2" t="s">
        <v>6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30</v>
      </c>
      <c r="M2" t="s">
        <v>31</v>
      </c>
      <c r="N2" t="s">
        <v>32</v>
      </c>
      <c r="Q2">
        <v>2024</v>
      </c>
      <c r="R2">
        <f>+Q2+1</f>
        <v>2025</v>
      </c>
      <c r="S2">
        <f t="shared" ref="S2:Z2" si="0">+R2+1</f>
        <v>2026</v>
      </c>
      <c r="T2">
        <f t="shared" si="0"/>
        <v>2027</v>
      </c>
      <c r="U2">
        <f t="shared" si="0"/>
        <v>2028</v>
      </c>
      <c r="V2">
        <f t="shared" si="0"/>
        <v>2029</v>
      </c>
      <c r="W2">
        <f t="shared" si="0"/>
        <v>2030</v>
      </c>
      <c r="X2">
        <f t="shared" si="0"/>
        <v>2031</v>
      </c>
      <c r="Y2">
        <f t="shared" si="0"/>
        <v>2032</v>
      </c>
      <c r="Z2">
        <f t="shared" si="0"/>
        <v>2033</v>
      </c>
    </row>
    <row r="3" spans="1:26" s="2" customFormat="1" x14ac:dyDescent="0.2">
      <c r="B3" s="2" t="s">
        <v>7</v>
      </c>
      <c r="C3" s="2">
        <v>675</v>
      </c>
      <c r="D3" s="2">
        <v>806</v>
      </c>
      <c r="E3" s="2">
        <v>824</v>
      </c>
      <c r="F3" s="2">
        <v>633</v>
      </c>
      <c r="G3" s="2">
        <v>939</v>
      </c>
      <c r="H3" s="2">
        <v>844</v>
      </c>
      <c r="I3" s="2">
        <v>983</v>
      </c>
      <c r="J3" s="2">
        <v>928</v>
      </c>
      <c r="Q3" s="8">
        <f>+SUM(D3:G3)</f>
        <v>3202</v>
      </c>
    </row>
    <row r="4" spans="1:26" x14ac:dyDescent="0.2">
      <c r="B4" t="s">
        <v>8</v>
      </c>
      <c r="C4">
        <v>31</v>
      </c>
      <c r="D4">
        <v>46</v>
      </c>
      <c r="E4">
        <v>36</v>
      </c>
      <c r="F4">
        <v>27</v>
      </c>
      <c r="G4">
        <v>33</v>
      </c>
      <c r="H4">
        <v>32</v>
      </c>
      <c r="I4">
        <v>28</v>
      </c>
      <c r="J4">
        <v>41</v>
      </c>
      <c r="Q4" s="10">
        <f>+SUM(D4:G4)</f>
        <v>142</v>
      </c>
    </row>
    <row r="5" spans="1:26" s="2" customFormat="1" x14ac:dyDescent="0.2">
      <c r="B5" s="2" t="s">
        <v>9</v>
      </c>
      <c r="C5" s="2">
        <f t="shared" ref="C5:J5" si="1">+C3-C4</f>
        <v>644</v>
      </c>
      <c r="D5" s="2">
        <f t="shared" si="1"/>
        <v>760</v>
      </c>
      <c r="E5" s="2">
        <f t="shared" si="1"/>
        <v>788</v>
      </c>
      <c r="F5" s="2">
        <f t="shared" si="1"/>
        <v>606</v>
      </c>
      <c r="G5" s="2">
        <f t="shared" si="1"/>
        <v>906</v>
      </c>
      <c r="H5" s="2">
        <f t="shared" si="1"/>
        <v>812</v>
      </c>
      <c r="I5" s="2">
        <f t="shared" si="1"/>
        <v>955</v>
      </c>
      <c r="J5" s="2">
        <f t="shared" si="1"/>
        <v>887</v>
      </c>
      <c r="Q5" s="8">
        <f>+Q3-Q4</f>
        <v>3060</v>
      </c>
    </row>
    <row r="6" spans="1:26" x14ac:dyDescent="0.2">
      <c r="B6" t="s">
        <v>18</v>
      </c>
      <c r="C6">
        <v>337</v>
      </c>
      <c r="D6">
        <v>626</v>
      </c>
      <c r="E6">
        <v>432</v>
      </c>
      <c r="F6">
        <v>381</v>
      </c>
      <c r="G6">
        <v>485</v>
      </c>
      <c r="H6">
        <v>507</v>
      </c>
      <c r="I6">
        <v>533</v>
      </c>
      <c r="J6">
        <v>584</v>
      </c>
      <c r="Q6" s="10">
        <f>+SUM(D6:G6)</f>
        <v>1924</v>
      </c>
    </row>
    <row r="7" spans="1:26" x14ac:dyDescent="0.2">
      <c r="B7" t="s">
        <v>19</v>
      </c>
      <c r="C7">
        <v>196</v>
      </c>
      <c r="D7">
        <v>290</v>
      </c>
      <c r="E7">
        <v>216</v>
      </c>
      <c r="F7">
        <v>274</v>
      </c>
      <c r="G7">
        <v>239</v>
      </c>
      <c r="H7">
        <v>241</v>
      </c>
      <c r="I7">
        <v>247</v>
      </c>
      <c r="J7">
        <v>281</v>
      </c>
      <c r="Q7" s="10">
        <f>+SUM(D7:G7)</f>
        <v>1019</v>
      </c>
    </row>
    <row r="8" spans="1:26" x14ac:dyDescent="0.2">
      <c r="B8" t="s">
        <v>20</v>
      </c>
      <c r="C8">
        <f t="shared" ref="C8:J8" si="2">+C7+C6</f>
        <v>533</v>
      </c>
      <c r="D8">
        <f t="shared" si="2"/>
        <v>916</v>
      </c>
      <c r="E8">
        <f t="shared" si="2"/>
        <v>648</v>
      </c>
      <c r="F8">
        <f t="shared" si="2"/>
        <v>655</v>
      </c>
      <c r="G8">
        <f t="shared" si="2"/>
        <v>724</v>
      </c>
      <c r="H8">
        <f t="shared" si="2"/>
        <v>748</v>
      </c>
      <c r="I8">
        <f t="shared" si="2"/>
        <v>780</v>
      </c>
      <c r="J8">
        <f t="shared" si="2"/>
        <v>865</v>
      </c>
      <c r="Q8" s="1">
        <f>+Q7+Q6</f>
        <v>2943</v>
      </c>
    </row>
    <row r="9" spans="1:26" s="2" customFormat="1" x14ac:dyDescent="0.2">
      <c r="B9" s="2" t="s">
        <v>21</v>
      </c>
      <c r="C9" s="2">
        <f t="shared" ref="C9:J9" si="3">+C5-C8</f>
        <v>111</v>
      </c>
      <c r="D9" s="2">
        <f t="shared" si="3"/>
        <v>-156</v>
      </c>
      <c r="E9" s="2">
        <f t="shared" si="3"/>
        <v>140</v>
      </c>
      <c r="F9" s="2">
        <f t="shared" si="3"/>
        <v>-49</v>
      </c>
      <c r="G9" s="2">
        <f t="shared" si="3"/>
        <v>182</v>
      </c>
      <c r="H9" s="2">
        <f t="shared" si="3"/>
        <v>64</v>
      </c>
      <c r="I9" s="2">
        <f t="shared" si="3"/>
        <v>175</v>
      </c>
      <c r="J9" s="2">
        <f t="shared" si="3"/>
        <v>22</v>
      </c>
      <c r="P9" s="2" t="s">
        <v>44</v>
      </c>
      <c r="Q9" s="8">
        <f>+Q5-Q8</f>
        <v>117</v>
      </c>
    </row>
    <row r="10" spans="1:26" s="2" customFormat="1" x14ac:dyDescent="0.2">
      <c r="B10" s="4" t="s">
        <v>26</v>
      </c>
      <c r="C10" s="4">
        <v>-7</v>
      </c>
      <c r="D10" s="4">
        <v>-5</v>
      </c>
      <c r="E10" s="4">
        <v>-1</v>
      </c>
      <c r="F10" s="4">
        <v>35</v>
      </c>
      <c r="G10" s="4">
        <v>24</v>
      </c>
      <c r="H10" s="4">
        <v>-10</v>
      </c>
      <c r="I10" s="4">
        <v>39</v>
      </c>
      <c r="J10" s="4">
        <v>-7</v>
      </c>
      <c r="Q10" s="10">
        <f>+SUM(D10:G10)</f>
        <v>53</v>
      </c>
    </row>
    <row r="11" spans="1:26" x14ac:dyDescent="0.2">
      <c r="B11" t="s">
        <v>22</v>
      </c>
      <c r="C11">
        <v>24</v>
      </c>
      <c r="D11">
        <v>28</v>
      </c>
      <c r="E11">
        <v>28</v>
      </c>
      <c r="F11">
        <v>21</v>
      </c>
      <c r="G11">
        <v>32</v>
      </c>
      <c r="H11">
        <v>29</v>
      </c>
      <c r="I11">
        <v>28</v>
      </c>
      <c r="J11">
        <v>30</v>
      </c>
      <c r="Q11" s="10">
        <f>+SUM(D11:G11)</f>
        <v>109</v>
      </c>
    </row>
    <row r="12" spans="1:26" x14ac:dyDescent="0.2">
      <c r="B12" t="s">
        <v>23</v>
      </c>
      <c r="C12">
        <f t="shared" ref="C12:J12" si="4">+C9+C10+C11</f>
        <v>128</v>
      </c>
      <c r="D12">
        <f t="shared" si="4"/>
        <v>-133</v>
      </c>
      <c r="E12">
        <f t="shared" si="4"/>
        <v>167</v>
      </c>
      <c r="F12">
        <f t="shared" si="4"/>
        <v>7</v>
      </c>
      <c r="G12">
        <f t="shared" si="4"/>
        <v>238</v>
      </c>
      <c r="H12">
        <f t="shared" si="4"/>
        <v>83</v>
      </c>
      <c r="I12">
        <f t="shared" si="4"/>
        <v>242</v>
      </c>
      <c r="J12">
        <f t="shared" si="4"/>
        <v>45</v>
      </c>
      <c r="Q12" s="1">
        <f>+Q9+Q10+Q11</f>
        <v>279</v>
      </c>
    </row>
    <row r="13" spans="1:26" x14ac:dyDescent="0.2">
      <c r="B13" t="s">
        <v>24</v>
      </c>
      <c r="C13">
        <v>22</v>
      </c>
      <c r="D13">
        <v>-9</v>
      </c>
      <c r="E13">
        <v>59</v>
      </c>
      <c r="F13">
        <v>2</v>
      </c>
      <c r="G13">
        <v>21</v>
      </c>
      <c r="H13">
        <v>-43</v>
      </c>
      <c r="I13">
        <v>16</v>
      </c>
      <c r="J13">
        <v>-166</v>
      </c>
      <c r="Q13" s="10">
        <f>+SUM(D13:G13)</f>
        <v>73</v>
      </c>
    </row>
    <row r="14" spans="1:26" s="2" customFormat="1" x14ac:dyDescent="0.2">
      <c r="B14" s="2" t="s">
        <v>25</v>
      </c>
      <c r="C14" s="2">
        <f t="shared" ref="C14:J14" si="5">+C12-C13</f>
        <v>106</v>
      </c>
      <c r="D14" s="2">
        <f t="shared" si="5"/>
        <v>-124</v>
      </c>
      <c r="E14" s="2">
        <f t="shared" si="5"/>
        <v>108</v>
      </c>
      <c r="F14" s="2">
        <f t="shared" si="5"/>
        <v>5</v>
      </c>
      <c r="G14" s="2">
        <f t="shared" si="5"/>
        <v>217</v>
      </c>
      <c r="H14" s="2">
        <f t="shared" si="5"/>
        <v>126</v>
      </c>
      <c r="I14" s="2">
        <f t="shared" si="5"/>
        <v>226</v>
      </c>
      <c r="J14" s="2">
        <f t="shared" si="5"/>
        <v>211</v>
      </c>
      <c r="Q14" s="8">
        <f>+Q12-Q13</f>
        <v>206</v>
      </c>
    </row>
    <row r="15" spans="1:26" x14ac:dyDescent="0.2">
      <c r="B15" s="3" t="s">
        <v>27</v>
      </c>
      <c r="C15" s="5">
        <f>+C14/C16</f>
        <v>0.1</v>
      </c>
      <c r="D15" s="5">
        <f t="shared" ref="D15:E15" si="6">+D14/D16</f>
        <v>-0.1169811320754717</v>
      </c>
      <c r="E15" s="5">
        <f t="shared" si="6"/>
        <v>0.10188679245283019</v>
      </c>
      <c r="F15" s="5">
        <f t="shared" ref="F15:J15" si="7">+F14/F16</f>
        <v>4.859086491739553E-3</v>
      </c>
      <c r="G15" s="5">
        <f t="shared" si="7"/>
        <v>0.20471698113207548</v>
      </c>
      <c r="H15" s="5">
        <f t="shared" si="7"/>
        <v>0.11886792452830189</v>
      </c>
      <c r="I15" s="5">
        <f t="shared" si="7"/>
        <v>0.21320754716981133</v>
      </c>
      <c r="J15" s="5">
        <f t="shared" si="7"/>
        <v>0.19962157048249762</v>
      </c>
      <c r="Q15" s="1">
        <f>+Q14/Q16</f>
        <v>0.19577096697552862</v>
      </c>
    </row>
    <row r="16" spans="1:26" x14ac:dyDescent="0.2">
      <c r="B16" t="s">
        <v>1</v>
      </c>
      <c r="C16" s="1">
        <v>1060</v>
      </c>
      <c r="D16" s="1">
        <v>1060</v>
      </c>
      <c r="E16" s="1">
        <v>1060</v>
      </c>
      <c r="F16" s="1">
        <v>1029</v>
      </c>
      <c r="G16" s="1">
        <v>1060</v>
      </c>
      <c r="H16" s="1">
        <v>1060</v>
      </c>
      <c r="I16" s="1">
        <v>1060</v>
      </c>
      <c r="J16" s="1">
        <v>1057</v>
      </c>
      <c r="Q16" s="1">
        <f>+AVERAGE(D16:G16)</f>
        <v>1052.25</v>
      </c>
    </row>
    <row r="18" spans="2:10" x14ac:dyDescent="0.2">
      <c r="B18" t="s">
        <v>28</v>
      </c>
      <c r="C18" s="6">
        <f>+C5/C3</f>
        <v>0.95407407407407407</v>
      </c>
      <c r="D18" s="6">
        <f t="shared" ref="D18:J18" si="8">+D5/D3</f>
        <v>0.94292803970223327</v>
      </c>
      <c r="E18" s="6">
        <f t="shared" si="8"/>
        <v>0.9563106796116505</v>
      </c>
      <c r="F18" s="6">
        <f t="shared" si="8"/>
        <v>0.95734597156398105</v>
      </c>
      <c r="G18" s="6">
        <f t="shared" si="8"/>
        <v>0.96485623003194887</v>
      </c>
      <c r="H18" s="6">
        <f t="shared" si="8"/>
        <v>0.96208530805687209</v>
      </c>
      <c r="I18" s="6">
        <f t="shared" si="8"/>
        <v>0.97151576805696849</v>
      </c>
      <c r="J18" s="6">
        <f t="shared" si="8"/>
        <v>0.95581896551724133</v>
      </c>
    </row>
    <row r="19" spans="2:10" x14ac:dyDescent="0.2">
      <c r="B19" t="s">
        <v>29</v>
      </c>
      <c r="G19" s="6">
        <f t="shared" ref="G19:I19" si="9">+G3/C3-1</f>
        <v>0.39111111111111119</v>
      </c>
      <c r="H19" s="6">
        <f t="shared" si="9"/>
        <v>4.7146401985111552E-2</v>
      </c>
      <c r="I19" s="6">
        <f t="shared" si="9"/>
        <v>0.19296116504854366</v>
      </c>
      <c r="J19" s="6">
        <f>+J3/F3-1</f>
        <v>0.46603475513428116</v>
      </c>
    </row>
    <row r="20" spans="2:10" x14ac:dyDescent="0.2">
      <c r="B20" t="s">
        <v>70</v>
      </c>
      <c r="G20" s="6"/>
      <c r="H20" s="6"/>
      <c r="I20" s="6"/>
      <c r="J20" s="1">
        <v>2036</v>
      </c>
    </row>
    <row r="22" spans="2:10" x14ac:dyDescent="0.2">
      <c r="B22" t="s">
        <v>3</v>
      </c>
      <c r="J22" s="1">
        <v>2036</v>
      </c>
    </row>
    <row r="23" spans="2:10" x14ac:dyDescent="0.2">
      <c r="B23" t="s">
        <v>33</v>
      </c>
      <c r="J23" s="1">
        <v>635</v>
      </c>
    </row>
    <row r="24" spans="2:10" x14ac:dyDescent="0.2">
      <c r="B24" t="s">
        <v>34</v>
      </c>
      <c r="J24" s="1">
        <v>940</v>
      </c>
    </row>
    <row r="25" spans="2:10" x14ac:dyDescent="0.2">
      <c r="B25" t="s">
        <v>35</v>
      </c>
      <c r="J25" s="1">
        <f>511+272</f>
        <v>783</v>
      </c>
    </row>
    <row r="26" spans="2:10" x14ac:dyDescent="0.2">
      <c r="B26" t="s">
        <v>36</v>
      </c>
      <c r="J26" s="1">
        <v>212</v>
      </c>
    </row>
    <row r="27" spans="2:10" x14ac:dyDescent="0.2">
      <c r="B27" t="s">
        <v>38</v>
      </c>
      <c r="J27" s="1">
        <v>354</v>
      </c>
    </row>
    <row r="28" spans="2:10" x14ac:dyDescent="0.2">
      <c r="B28" t="s">
        <v>39</v>
      </c>
      <c r="J28" s="1">
        <v>245</v>
      </c>
    </row>
    <row r="29" spans="2:10" x14ac:dyDescent="0.2">
      <c r="B29" t="s">
        <v>26</v>
      </c>
      <c r="J29" s="1">
        <v>845</v>
      </c>
    </row>
    <row r="30" spans="2:10" x14ac:dyDescent="0.2">
      <c r="B30" t="s">
        <v>40</v>
      </c>
      <c r="J30" s="1">
        <v>1616</v>
      </c>
    </row>
    <row r="31" spans="2:10" x14ac:dyDescent="0.2">
      <c r="B31" t="s">
        <v>41</v>
      </c>
      <c r="J31" s="1">
        <v>165</v>
      </c>
    </row>
    <row r="32" spans="2:10" x14ac:dyDescent="0.2">
      <c r="B32" t="s">
        <v>42</v>
      </c>
      <c r="J32" s="1">
        <v>374</v>
      </c>
    </row>
    <row r="33" spans="2:10" x14ac:dyDescent="0.2">
      <c r="B33" t="s">
        <v>43</v>
      </c>
      <c r="J33" s="1">
        <v>291</v>
      </c>
    </row>
    <row r="34" spans="2:10" s="2" customFormat="1" x14ac:dyDescent="0.2">
      <c r="B34" s="2" t="s">
        <v>37</v>
      </c>
      <c r="J34" s="8">
        <f>+SUM(J22:J33)</f>
        <v>8496</v>
      </c>
    </row>
    <row r="36" spans="2:10" x14ac:dyDescent="0.2">
      <c r="B36" t="s">
        <v>45</v>
      </c>
      <c r="J36" s="1">
        <f>114+22</f>
        <v>136</v>
      </c>
    </row>
    <row r="37" spans="2:10" x14ac:dyDescent="0.2">
      <c r="B37" t="s">
        <v>24</v>
      </c>
      <c r="J37" s="1">
        <f>142+123</f>
        <v>265</v>
      </c>
    </row>
    <row r="38" spans="2:10" x14ac:dyDescent="0.2">
      <c r="B38" t="s">
        <v>35</v>
      </c>
      <c r="J38" s="1">
        <f>176+750</f>
        <v>926</v>
      </c>
    </row>
    <row r="39" spans="2:10" x14ac:dyDescent="0.2">
      <c r="B39" t="s">
        <v>46</v>
      </c>
      <c r="J39" s="1">
        <f>30+231</f>
        <v>261</v>
      </c>
    </row>
    <row r="40" spans="2:10" x14ac:dyDescent="0.2">
      <c r="B40" t="s">
        <v>43</v>
      </c>
      <c r="J40" s="1">
        <f>412+77</f>
        <v>489</v>
      </c>
    </row>
    <row r="41" spans="2:10" s="2" customFormat="1" x14ac:dyDescent="0.2">
      <c r="B41" s="2" t="s">
        <v>37</v>
      </c>
      <c r="J41" s="8">
        <f>+SUM(J36:J40)</f>
        <v>2077</v>
      </c>
    </row>
    <row r="42" spans="2:10" x14ac:dyDescent="0.2">
      <c r="B42" t="s">
        <v>47</v>
      </c>
      <c r="J42" s="1">
        <v>6419</v>
      </c>
    </row>
    <row r="43" spans="2:10" x14ac:dyDescent="0.2">
      <c r="B43" t="s">
        <v>49</v>
      </c>
      <c r="J43" s="8">
        <f>+J41+J42</f>
        <v>8496</v>
      </c>
    </row>
  </sheetData>
  <hyperlinks>
    <hyperlink ref="A1" r:id="rId1" xr:uid="{69B6EFE7-06AA-4CBC-A591-C0163F1887E1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0206-5645-4AE6-94CE-864432370907}">
  <dimension ref="B3"/>
  <sheetViews>
    <sheetView workbookViewId="0">
      <selection activeCell="C8" sqref="C8"/>
    </sheetView>
  </sheetViews>
  <sheetFormatPr defaultRowHeight="12.75" x14ac:dyDescent="0.2"/>
  <sheetData>
    <row r="3" spans="2:2" x14ac:dyDescent="0.2">
      <c r="B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2025-02-07T15:13:55Z</dcterms:created>
  <dcterms:modified xsi:type="dcterms:W3CDTF">2025-02-14T11:06:54Z</dcterms:modified>
</cp:coreProperties>
</file>