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123383F8-DC75-4CD4-996D-C6434EC10675}" xr6:coauthVersionLast="47" xr6:coauthVersionMax="47" xr10:uidLastSave="{00000000-0000-0000-0000-000000000000}"/>
  <bookViews>
    <workbookView xWindow="6000" yWindow="1440" windowWidth="19515" windowHeight="14340" activeTab="1" xr2:uid="{17A6BAE6-540A-486D-9BFB-68CA2A267526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I5" i="2"/>
  <c r="N20" i="1"/>
  <c r="W20" i="1"/>
  <c r="V20" i="1"/>
  <c r="U20" i="1"/>
  <c r="T20" i="1"/>
  <c r="S20" i="1"/>
  <c r="R20" i="1"/>
  <c r="Q20" i="1"/>
  <c r="P20" i="1"/>
  <c r="M20" i="1"/>
  <c r="O20" i="1"/>
  <c r="N18" i="1"/>
  <c r="M18" i="1"/>
  <c r="L18" i="1"/>
  <c r="K18" i="1"/>
  <c r="J18" i="1"/>
  <c r="I18" i="1"/>
  <c r="H18" i="1"/>
  <c r="G18" i="1"/>
  <c r="F8" i="2"/>
  <c r="F7" i="2"/>
  <c r="W91" i="1"/>
  <c r="V61" i="1"/>
  <c r="U61" i="1"/>
  <c r="W61" i="1"/>
  <c r="U85" i="1"/>
  <c r="V85" i="1"/>
  <c r="M17" i="1"/>
  <c r="I17" i="1"/>
  <c r="W63" i="1"/>
  <c r="V63" i="1"/>
  <c r="W53" i="1"/>
  <c r="W54" i="1" s="1"/>
  <c r="W59" i="1"/>
  <c r="W45" i="1"/>
  <c r="V59" i="1"/>
  <c r="V54" i="1"/>
  <c r="V45" i="1"/>
  <c r="U59" i="1"/>
  <c r="U54" i="1"/>
  <c r="U45" i="1"/>
  <c r="T59" i="1"/>
  <c r="T54" i="1"/>
  <c r="T37" i="1"/>
  <c r="T45" i="1" s="1"/>
  <c r="F6" i="2"/>
  <c r="F10" i="2" s="1"/>
  <c r="R14" i="1"/>
  <c r="Q14" i="1"/>
  <c r="P14" i="1"/>
  <c r="O14" i="1"/>
  <c r="R13" i="1"/>
  <c r="Q13" i="1"/>
  <c r="P13" i="1"/>
  <c r="O13" i="1"/>
  <c r="R12" i="1"/>
  <c r="R11" i="1"/>
  <c r="Q11" i="1"/>
  <c r="P11" i="1"/>
  <c r="O11" i="1"/>
  <c r="R10" i="1"/>
  <c r="Q10" i="1"/>
  <c r="P10" i="1"/>
  <c r="O10" i="1"/>
  <c r="O8" i="1"/>
  <c r="P8" i="1" s="1"/>
  <c r="Q8" i="1" s="1"/>
  <c r="R8" i="1" s="1"/>
  <c r="O7" i="1"/>
  <c r="P7" i="1" s="1"/>
  <c r="Q7" i="1" s="1"/>
  <c r="R7" i="1" s="1"/>
  <c r="O6" i="1"/>
  <c r="P6" i="1" s="1"/>
  <c r="Q6" i="1" s="1"/>
  <c r="R6" i="1" s="1"/>
  <c r="R4" i="1"/>
  <c r="Q4" i="1"/>
  <c r="P4" i="1"/>
  <c r="O4" i="1"/>
  <c r="R3" i="1"/>
  <c r="R18" i="1" s="1"/>
  <c r="Q3" i="1"/>
  <c r="Q18" i="1" s="1"/>
  <c r="P3" i="1"/>
  <c r="P18" i="1" s="1"/>
  <c r="O3" i="1"/>
  <c r="O18" i="1" s="1"/>
  <c r="S15" i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W14" i="1"/>
  <c r="W13" i="1"/>
  <c r="W11" i="1"/>
  <c r="W10" i="1"/>
  <c r="W8" i="1"/>
  <c r="W7" i="1"/>
  <c r="W6" i="1"/>
  <c r="W4" i="1"/>
  <c r="W3" i="1"/>
  <c r="V14" i="1"/>
  <c r="V13" i="1"/>
  <c r="V11" i="1"/>
  <c r="V10" i="1"/>
  <c r="V8" i="1"/>
  <c r="V7" i="1"/>
  <c r="V6" i="1"/>
  <c r="V4" i="1"/>
  <c r="V3" i="1"/>
  <c r="U14" i="1"/>
  <c r="U13" i="1"/>
  <c r="U11" i="1"/>
  <c r="U10" i="1"/>
  <c r="U8" i="1"/>
  <c r="U7" i="1"/>
  <c r="U6" i="1"/>
  <c r="U4" i="1"/>
  <c r="U3" i="1"/>
  <c r="C59" i="1"/>
  <c r="C54" i="1"/>
  <c r="C45" i="1"/>
  <c r="N5" i="1"/>
  <c r="N9" i="1" s="1"/>
  <c r="N12" i="1" s="1"/>
  <c r="N15" i="1" s="1"/>
  <c r="N21" i="1" s="1"/>
  <c r="C5" i="1"/>
  <c r="D12" i="1"/>
  <c r="D15" i="1" s="1"/>
  <c r="D21" i="1" s="1"/>
  <c r="D5" i="1"/>
  <c r="D19" i="1" s="1"/>
  <c r="E12" i="1"/>
  <c r="E15" i="1" s="1"/>
  <c r="E21" i="1" s="1"/>
  <c r="E5" i="1"/>
  <c r="E19" i="1" s="1"/>
  <c r="F12" i="1"/>
  <c r="F15" i="1" s="1"/>
  <c r="F21" i="1" s="1"/>
  <c r="F5" i="1"/>
  <c r="F19" i="1" s="1"/>
  <c r="J5" i="1"/>
  <c r="G12" i="1"/>
  <c r="G15" i="1" s="1"/>
  <c r="G21" i="1" s="1"/>
  <c r="G5" i="1"/>
  <c r="G19" i="1" s="1"/>
  <c r="K12" i="1"/>
  <c r="K15" i="1" s="1"/>
  <c r="K21" i="1" s="1"/>
  <c r="K5" i="1"/>
  <c r="K19" i="1" s="1"/>
  <c r="H12" i="1"/>
  <c r="H15" i="1" s="1"/>
  <c r="H21" i="1" s="1"/>
  <c r="H5" i="1"/>
  <c r="L12" i="1"/>
  <c r="L15" i="1" s="1"/>
  <c r="L21" i="1" s="1"/>
  <c r="L5" i="1"/>
  <c r="L19" i="1" s="1"/>
  <c r="I15" i="1"/>
  <c r="I21" i="1" s="1"/>
  <c r="I5" i="1"/>
  <c r="I19" i="1" s="1"/>
  <c r="M15" i="1"/>
  <c r="M21" i="1" s="1"/>
  <c r="M5" i="1"/>
  <c r="M9" i="1" s="1"/>
  <c r="W64" i="1" l="1"/>
  <c r="T60" i="1"/>
  <c r="W65" i="1"/>
  <c r="F17" i="1"/>
  <c r="G17" i="1"/>
  <c r="W66" i="1"/>
  <c r="N17" i="1"/>
  <c r="U65" i="1"/>
  <c r="T61" i="1"/>
  <c r="U66" i="1"/>
  <c r="V64" i="1"/>
  <c r="H17" i="1"/>
  <c r="F16" i="1"/>
  <c r="G16" i="1"/>
  <c r="N16" i="1"/>
  <c r="K17" i="1"/>
  <c r="D17" i="1"/>
  <c r="L17" i="1"/>
  <c r="U64" i="1"/>
  <c r="U63" i="1"/>
  <c r="E17" i="1"/>
  <c r="I16" i="1"/>
  <c r="V65" i="1"/>
  <c r="V66" i="1"/>
  <c r="H16" i="1"/>
  <c r="K16" i="1"/>
  <c r="D16" i="1"/>
  <c r="L16" i="1"/>
  <c r="E16" i="1"/>
  <c r="M16" i="1"/>
  <c r="W60" i="1"/>
  <c r="V60" i="1"/>
  <c r="U60" i="1"/>
  <c r="W5" i="1"/>
  <c r="R15" i="1"/>
  <c r="O5" i="1"/>
  <c r="O19" i="1" s="1"/>
  <c r="C60" i="1"/>
  <c r="Q5" i="1"/>
  <c r="Q19" i="1" s="1"/>
  <c r="U5" i="1"/>
  <c r="P5" i="1"/>
  <c r="P19" i="1" s="1"/>
  <c r="W9" i="1"/>
  <c r="R5" i="1"/>
  <c r="R19" i="1" s="1"/>
  <c r="V5" i="1"/>
  <c r="W15" i="1"/>
  <c r="N19" i="1"/>
  <c r="W12" i="1"/>
  <c r="P12" i="1"/>
  <c r="P15" i="1" s="1"/>
  <c r="Q12" i="1"/>
  <c r="Q15" i="1" s="1"/>
  <c r="M19" i="1"/>
  <c r="H19" i="1"/>
  <c r="J9" i="1"/>
  <c r="J19" i="1"/>
  <c r="C19" i="1"/>
  <c r="C9" i="1"/>
  <c r="F9" i="2"/>
  <c r="R16" i="1" l="1"/>
  <c r="S16" i="1" s="1"/>
  <c r="T16" i="1" s="1"/>
  <c r="U16" i="1" s="1"/>
  <c r="V16" i="1" s="1"/>
  <c r="W16" i="1" s="1"/>
  <c r="X15" i="1"/>
  <c r="Y15" i="1" s="1"/>
  <c r="P21" i="1"/>
  <c r="O9" i="1"/>
  <c r="Q21" i="1"/>
  <c r="R21" i="1"/>
  <c r="Q17" i="1"/>
  <c r="P17" i="1"/>
  <c r="P16" i="1"/>
  <c r="Q16" i="1"/>
  <c r="P9" i="1"/>
  <c r="R9" i="1"/>
  <c r="Q9" i="1"/>
  <c r="J12" i="1"/>
  <c r="J17" i="1" s="1"/>
  <c r="V9" i="1"/>
  <c r="C12" i="1"/>
  <c r="C17" i="1" s="1"/>
  <c r="U9" i="1"/>
  <c r="X16" i="1" l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Z15" i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C15" i="1"/>
  <c r="U12" i="1"/>
  <c r="J15" i="1"/>
  <c r="O12" i="1"/>
  <c r="V12" i="1"/>
  <c r="J16" i="1" l="1"/>
  <c r="O15" i="1"/>
  <c r="O17" i="1"/>
  <c r="O16" i="1"/>
  <c r="C16" i="1"/>
  <c r="U15" i="1"/>
  <c r="J21" i="1"/>
  <c r="V15" i="1"/>
  <c r="C21" i="1"/>
  <c r="O21" i="1" l="1"/>
  <c r="Q32" i="1"/>
  <c r="Q34" i="1" s="1"/>
  <c r="Q36" i="1" s="1"/>
</calcChain>
</file>

<file path=xl/sharedStrings.xml><?xml version="1.0" encoding="utf-8"?>
<sst xmlns="http://schemas.openxmlformats.org/spreadsheetml/2006/main" count="156" uniqueCount="140">
  <si>
    <t>SMCI</t>
  </si>
  <si>
    <t>Q222</t>
  </si>
  <si>
    <t>Q322</t>
  </si>
  <si>
    <t>Q422</t>
  </si>
  <si>
    <t>Q123</t>
  </si>
  <si>
    <t>Q223</t>
  </si>
  <si>
    <t>Q324</t>
  </si>
  <si>
    <t>Q424</t>
  </si>
  <si>
    <t>Q125</t>
  </si>
  <si>
    <t>Q225</t>
  </si>
  <si>
    <t>Q325</t>
  </si>
  <si>
    <t>Q425</t>
  </si>
  <si>
    <t>Q323</t>
  </si>
  <si>
    <t>Q423</t>
  </si>
  <si>
    <t>Q124</t>
  </si>
  <si>
    <t>Q224</t>
  </si>
  <si>
    <t>31.03.24</t>
  </si>
  <si>
    <t>31.12.23</t>
  </si>
  <si>
    <t>30.09.23</t>
  </si>
  <si>
    <t>30.06.23</t>
  </si>
  <si>
    <t>30.03.23</t>
  </si>
  <si>
    <t>31.12.22</t>
  </si>
  <si>
    <t>30.09.22</t>
  </si>
  <si>
    <t>30.06.22</t>
  </si>
  <si>
    <t>31.03.22</t>
  </si>
  <si>
    <t>31.12.21</t>
  </si>
  <si>
    <t>Stocklist</t>
  </si>
  <si>
    <t>Price</t>
  </si>
  <si>
    <t>Shares</t>
  </si>
  <si>
    <t>MC</t>
  </si>
  <si>
    <t>Cash</t>
  </si>
  <si>
    <t>Debt</t>
  </si>
  <si>
    <t>Net cash</t>
  </si>
  <si>
    <t>EV</t>
  </si>
  <si>
    <t>application-optimized IT solutions for Enterprise, cloud, AI and 5G Teclo/Edge Infrastructure</t>
  </si>
  <si>
    <t>Building Block Solutions</t>
  </si>
  <si>
    <t>Green Computing servers</t>
  </si>
  <si>
    <t>Powering GROK AI</t>
  </si>
  <si>
    <t>Largest supercomputer</t>
  </si>
  <si>
    <t>$</t>
  </si>
  <si>
    <t>Cost of Sales</t>
  </si>
  <si>
    <t>Gross Profit</t>
  </si>
  <si>
    <t>R&amp;D</t>
  </si>
  <si>
    <t>G&amp;A</t>
  </si>
  <si>
    <t>Income from operations</t>
  </si>
  <si>
    <t>Other income</t>
  </si>
  <si>
    <t>Interest expense</t>
  </si>
  <si>
    <t>Pretax income</t>
  </si>
  <si>
    <t>Income tax provision</t>
  </si>
  <si>
    <t>Equity investment income</t>
  </si>
  <si>
    <t>Net income</t>
  </si>
  <si>
    <t>S&amp;M</t>
  </si>
  <si>
    <t>30.06.24</t>
  </si>
  <si>
    <t>30.09.24</t>
  </si>
  <si>
    <t>31.12.24</t>
  </si>
  <si>
    <t>31.03.25</t>
  </si>
  <si>
    <t>Revenue Y/Y</t>
  </si>
  <si>
    <t>Gross Margin</t>
  </si>
  <si>
    <t>Revenue</t>
  </si>
  <si>
    <t>Q122</t>
  </si>
  <si>
    <t>30.09.21</t>
  </si>
  <si>
    <t>Inventories</t>
  </si>
  <si>
    <t>Investments in Equity</t>
  </si>
  <si>
    <t>PP&amp;E</t>
  </si>
  <si>
    <t>Deferred income taxes</t>
  </si>
  <si>
    <t>Other assets</t>
  </si>
  <si>
    <t>Total Assets</t>
  </si>
  <si>
    <t>Accounts Payable</t>
  </si>
  <si>
    <t>Accrued liabilities</t>
  </si>
  <si>
    <t>Income taxes payable</t>
  </si>
  <si>
    <t>Short-term debts</t>
  </si>
  <si>
    <t>Deferred revenue</t>
  </si>
  <si>
    <t>Long term debt</t>
  </si>
  <si>
    <t>Other long term liabilities</t>
  </si>
  <si>
    <t>Total liabilities</t>
  </si>
  <si>
    <t>Total Stockholders equity</t>
  </si>
  <si>
    <t>Total liabilities and stockholders</t>
  </si>
  <si>
    <t>Accounts Receivable</t>
  </si>
  <si>
    <t>Prepaid expenses</t>
  </si>
  <si>
    <t>Deferred revenue - non current</t>
  </si>
  <si>
    <t>Common Stocks</t>
  </si>
  <si>
    <t>Accumulated income</t>
  </si>
  <si>
    <t>Retained earnings</t>
  </si>
  <si>
    <t>Maturity</t>
  </si>
  <si>
    <t>Discount</t>
  </si>
  <si>
    <t>NPV</t>
  </si>
  <si>
    <t>Shares O/s</t>
  </si>
  <si>
    <t>Value</t>
  </si>
  <si>
    <t>Current price</t>
  </si>
  <si>
    <t>Difference</t>
  </si>
  <si>
    <t>EV/E</t>
  </si>
  <si>
    <t>Charles liang</t>
  </si>
  <si>
    <t>David Weigand</t>
  </si>
  <si>
    <t>Don Clegg</t>
  </si>
  <si>
    <t>George Kao</t>
  </si>
  <si>
    <t>CFO</t>
  </si>
  <si>
    <t>OP</t>
  </si>
  <si>
    <t>Sales</t>
  </si>
  <si>
    <t>VP</t>
  </si>
  <si>
    <t>President</t>
  </si>
  <si>
    <t>CEO, chairman</t>
  </si>
  <si>
    <t>Executive officers:</t>
  </si>
  <si>
    <t>Noncontrolling interest</t>
  </si>
  <si>
    <t>Cash Y/y</t>
  </si>
  <si>
    <t>S/e Y/y</t>
  </si>
  <si>
    <t>Liabilities Y/y</t>
  </si>
  <si>
    <t>Assets Y/y</t>
  </si>
  <si>
    <t>10K NI</t>
  </si>
  <si>
    <t>Taxes %</t>
  </si>
  <si>
    <t>Model NI</t>
  </si>
  <si>
    <t>Real NI</t>
  </si>
  <si>
    <t>D&amp;A</t>
  </si>
  <si>
    <t>Stock based compensation</t>
  </si>
  <si>
    <t>Share of income from equity investee</t>
  </si>
  <si>
    <t>FX gain</t>
  </si>
  <si>
    <t>Other</t>
  </si>
  <si>
    <t>A/R</t>
  </si>
  <si>
    <t>Inventory</t>
  </si>
  <si>
    <t>Prepaid</t>
  </si>
  <si>
    <t>A/P</t>
  </si>
  <si>
    <t>A/L</t>
  </si>
  <si>
    <t>Other liabilities</t>
  </si>
  <si>
    <t>CF Financing</t>
  </si>
  <si>
    <t>CF Operations</t>
  </si>
  <si>
    <t>CEO Plans Q424</t>
  </si>
  <si>
    <t>Liquid cooling situations: target 25% of the global new D/C deployments to use DLC solutions in next 12 months</t>
  </si>
  <si>
    <t>Data Center Building Block Systems implementation</t>
  </si>
  <si>
    <t>Expanding manufacturing</t>
  </si>
  <si>
    <t>Scaling in San Jose, Taiwan, Malaysia and beyond</t>
  </si>
  <si>
    <t>Mix</t>
  </si>
  <si>
    <t>Server and Storage Systems</t>
  </si>
  <si>
    <t>Subsystems &amp; Accessories</t>
  </si>
  <si>
    <t>Free CF</t>
  </si>
  <si>
    <t>CapEX</t>
  </si>
  <si>
    <t>Operating cashflow</t>
  </si>
  <si>
    <t>Observations:</t>
  </si>
  <si>
    <t xml:space="preserve"> Company expects net sales of $26.0 billion to $30.0 billion.</t>
  </si>
  <si>
    <t>EPS</t>
  </si>
  <si>
    <t>17times earnings</t>
  </si>
  <si>
    <t>Competitors - none, but most likely will be competitors in the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</si>
</sst>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yyyy\-mm\-dd;@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b/>
      <u/>
      <sz val="11"/>
      <color theme="1"/>
      <name val="Arial"/>
      <family val="2"/>
      <charset val="186"/>
    </font>
    <font>
      <u/>
      <sz val="11"/>
      <color theme="1"/>
      <name val="Arial"/>
      <family val="2"/>
      <charset val="186"/>
    </font>
    <font>
      <sz val="11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1" fillId="0" borderId="0" xfId="0" applyNumberFormat="1" applyFont="1"/>
    <xf numFmtId="10" fontId="2" fillId="0" borderId="0" xfId="0" applyNumberFormat="1" applyFont="1"/>
    <xf numFmtId="9" fontId="1" fillId="0" borderId="0" xfId="0" applyNumberFormat="1" applyFont="1"/>
    <xf numFmtId="4" fontId="1" fillId="0" borderId="0" xfId="0" applyNumberFormat="1" applyFont="1"/>
    <xf numFmtId="3" fontId="3" fillId="0" borderId="0" xfId="0" applyNumberFormat="1" applyFont="1"/>
    <xf numFmtId="0" fontId="2" fillId="0" borderId="8" xfId="0" applyFont="1" applyBorder="1"/>
    <xf numFmtId="0" fontId="1" fillId="0" borderId="10" xfId="0" applyFont="1" applyBorder="1"/>
    <xf numFmtId="0" fontId="1" fillId="0" borderId="1" xfId="0" applyFont="1" applyBorder="1"/>
    <xf numFmtId="9" fontId="1" fillId="0" borderId="2" xfId="0" applyNumberFormat="1" applyFont="1" applyBorder="1"/>
    <xf numFmtId="0" fontId="1" fillId="0" borderId="3" xfId="0" applyFont="1" applyBorder="1"/>
    <xf numFmtId="9" fontId="1" fillId="0" borderId="4" xfId="0" applyNumberFormat="1" applyFont="1" applyBorder="1"/>
    <xf numFmtId="0" fontId="1" fillId="0" borderId="4" xfId="0" applyFont="1" applyBorder="1"/>
    <xf numFmtId="3" fontId="3" fillId="0" borderId="0" xfId="0" applyNumberFormat="1" applyFont="1" applyBorder="1"/>
    <xf numFmtId="6" fontId="2" fillId="0" borderId="4" xfId="0" applyNumberFormat="1" applyFont="1" applyBorder="1"/>
    <xf numFmtId="3" fontId="1" fillId="0" borderId="4" xfId="0" applyNumberFormat="1" applyFont="1" applyBorder="1"/>
    <xf numFmtId="8" fontId="2" fillId="0" borderId="4" xfId="0" applyNumberFormat="1" applyFont="1" applyBorder="1"/>
    <xf numFmtId="4" fontId="1" fillId="0" borderId="4" xfId="0" applyNumberFormat="1" applyFont="1" applyBorder="1"/>
    <xf numFmtId="0" fontId="1" fillId="0" borderId="5" xfId="0" applyFont="1" applyBorder="1"/>
    <xf numFmtId="9" fontId="2" fillId="0" borderId="7" xfId="0" applyNumberFormat="1" applyFont="1" applyBorder="1"/>
    <xf numFmtId="0" fontId="2" fillId="0" borderId="0" xfId="0" applyFont="1" applyBorder="1"/>
    <xf numFmtId="3" fontId="2" fillId="0" borderId="0" xfId="0" applyNumberFormat="1" applyFont="1" applyBorder="1"/>
    <xf numFmtId="3" fontId="1" fillId="0" borderId="0" xfId="0" applyNumberFormat="1" applyFont="1" applyBorder="1"/>
    <xf numFmtId="0" fontId="4" fillId="0" borderId="0" xfId="0" applyFont="1"/>
    <xf numFmtId="0" fontId="3" fillId="0" borderId="0" xfId="0" applyFont="1"/>
    <xf numFmtId="0" fontId="4" fillId="0" borderId="0" xfId="0" applyFont="1" applyBorder="1"/>
    <xf numFmtId="9" fontId="2" fillId="0" borderId="0" xfId="0" applyNumberFormat="1" applyFont="1"/>
    <xf numFmtId="0" fontId="5" fillId="0" borderId="0" xfId="0" applyFont="1"/>
    <xf numFmtId="0" fontId="1" fillId="0" borderId="11" xfId="0" applyFont="1" applyBorder="1"/>
    <xf numFmtId="0" fontId="1" fillId="0" borderId="2" xfId="0" applyFont="1" applyBorder="1"/>
    <xf numFmtId="4" fontId="1" fillId="0" borderId="0" xfId="0" applyNumberFormat="1" applyFont="1" applyBorder="1"/>
    <xf numFmtId="3" fontId="2" fillId="0" borderId="6" xfId="0" applyNumberFormat="1" applyFont="1" applyBorder="1"/>
    <xf numFmtId="0" fontId="4" fillId="0" borderId="7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5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47625</xdr:rowOff>
    </xdr:from>
    <xdr:to>
      <xdr:col>23</xdr:col>
      <xdr:colOff>16565</xdr:colOff>
      <xdr:row>98</xdr:row>
      <xdr:rowOff>8283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F6D452-D0D8-BE0A-E1C3-AF8E2C6C3F90}"/>
            </a:ext>
          </a:extLst>
        </xdr:cNvPr>
        <xdr:cNvCxnSpPr/>
      </xdr:nvCxnSpPr>
      <xdr:spPr>
        <a:xfrm>
          <a:off x="20151587" y="47625"/>
          <a:ext cx="16565" cy="165341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836544</xdr:colOff>
      <xdr:row>0</xdr:row>
      <xdr:rowOff>0</xdr:rowOff>
    </xdr:from>
    <xdr:to>
      <xdr:col>15</xdr:col>
      <xdr:colOff>16565</xdr:colOff>
      <xdr:row>75</xdr:row>
      <xdr:rowOff>140804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09C4A28-64C2-694E-2F47-1093FC1C92E8}"/>
            </a:ext>
          </a:extLst>
        </xdr:cNvPr>
        <xdr:cNvCxnSpPr/>
      </xdr:nvCxnSpPr>
      <xdr:spPr>
        <a:xfrm>
          <a:off x="13608327" y="0"/>
          <a:ext cx="24847" cy="131362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EAC7-9117-4E2A-B771-8666F18C05E6}">
  <dimension ref="A1:M26"/>
  <sheetViews>
    <sheetView zoomScaleNormal="100" workbookViewId="0">
      <selection activeCell="M8" sqref="M8"/>
    </sheetView>
  </sheetViews>
  <sheetFormatPr defaultRowHeight="14.25" x14ac:dyDescent="0.2"/>
  <cols>
    <col min="1" max="1" width="8.28515625" style="1" customWidth="1"/>
    <col min="2" max="2" width="17" style="1" customWidth="1"/>
    <col min="3" max="5" width="9.140625" style="1"/>
    <col min="6" max="6" width="13.28515625" style="1" bestFit="1" customWidth="1"/>
    <col min="7" max="16384" width="9.140625" style="1"/>
  </cols>
  <sheetData>
    <row r="1" spans="1:13" x14ac:dyDescent="0.2">
      <c r="A1" s="1" t="s">
        <v>26</v>
      </c>
    </row>
    <row r="2" spans="1:13" ht="15" x14ac:dyDescent="0.25">
      <c r="B2" s="1" t="s">
        <v>34</v>
      </c>
      <c r="J2" s="7" t="s">
        <v>135</v>
      </c>
    </row>
    <row r="3" spans="1:13" x14ac:dyDescent="0.2">
      <c r="E3" s="16"/>
      <c r="F3" s="36"/>
      <c r="G3" s="37"/>
      <c r="J3" s="35" t="s">
        <v>136</v>
      </c>
    </row>
    <row r="4" spans="1:13" x14ac:dyDescent="0.2">
      <c r="B4" s="1" t="s">
        <v>35</v>
      </c>
      <c r="E4" s="18" t="s">
        <v>27</v>
      </c>
      <c r="F4" s="38">
        <v>42</v>
      </c>
      <c r="G4" s="20"/>
    </row>
    <row r="5" spans="1:13" x14ac:dyDescent="0.2">
      <c r="B5" s="1" t="s">
        <v>36</v>
      </c>
      <c r="E5" s="18" t="s">
        <v>28</v>
      </c>
      <c r="F5" s="30">
        <v>586</v>
      </c>
      <c r="G5" s="20" t="s">
        <v>6</v>
      </c>
      <c r="I5" s="1">
        <f>0.6*4</f>
        <v>2.4</v>
      </c>
      <c r="J5" s="1">
        <f>F4/I5</f>
        <v>17.5</v>
      </c>
      <c r="K5" s="1" t="s">
        <v>138</v>
      </c>
    </row>
    <row r="6" spans="1:13" x14ac:dyDescent="0.2">
      <c r="E6" s="18" t="s">
        <v>29</v>
      </c>
      <c r="F6" s="30">
        <f>F5*F4</f>
        <v>24612</v>
      </c>
      <c r="G6" s="20"/>
    </row>
    <row r="7" spans="1:13" x14ac:dyDescent="0.2">
      <c r="B7" s="1" t="s">
        <v>37</v>
      </c>
      <c r="E7" s="18" t="s">
        <v>30</v>
      </c>
      <c r="F7" s="30">
        <f>2115</f>
        <v>2115</v>
      </c>
      <c r="G7" s="20" t="s">
        <v>6</v>
      </c>
      <c r="M7" s="1" t="s">
        <v>139</v>
      </c>
    </row>
    <row r="8" spans="1:13" x14ac:dyDescent="0.2">
      <c r="B8" s="1" t="s">
        <v>38</v>
      </c>
      <c r="E8" s="18" t="s">
        <v>31</v>
      </c>
      <c r="F8" s="30">
        <f>85+1696</f>
        <v>1781</v>
      </c>
      <c r="G8" s="20" t="s">
        <v>6</v>
      </c>
    </row>
    <row r="9" spans="1:13" x14ac:dyDescent="0.2">
      <c r="E9" s="18" t="s">
        <v>32</v>
      </c>
      <c r="F9" s="30">
        <f>F7-F8</f>
        <v>334</v>
      </c>
      <c r="G9" s="20"/>
    </row>
    <row r="10" spans="1:13" ht="15" x14ac:dyDescent="0.25">
      <c r="E10" s="26" t="s">
        <v>33</v>
      </c>
      <c r="F10" s="39">
        <f>F6+F8-F7</f>
        <v>24278</v>
      </c>
      <c r="G10" s="40"/>
    </row>
    <row r="12" spans="1:13" ht="15" x14ac:dyDescent="0.25">
      <c r="B12" s="14" t="s">
        <v>101</v>
      </c>
      <c r="C12" s="41"/>
      <c r="D12" s="41"/>
      <c r="E12" s="15"/>
    </row>
    <row r="13" spans="1:13" x14ac:dyDescent="0.2">
      <c r="B13" s="18" t="s">
        <v>91</v>
      </c>
      <c r="C13" s="4" t="s">
        <v>99</v>
      </c>
      <c r="D13" s="4" t="s">
        <v>100</v>
      </c>
      <c r="E13" s="20"/>
    </row>
    <row r="14" spans="1:13" x14ac:dyDescent="0.2">
      <c r="B14" s="18" t="s">
        <v>92</v>
      </c>
      <c r="C14" s="4" t="s">
        <v>98</v>
      </c>
      <c r="D14" s="4" t="s">
        <v>95</v>
      </c>
      <c r="E14" s="20"/>
    </row>
    <row r="15" spans="1:13" x14ac:dyDescent="0.2">
      <c r="B15" s="18" t="s">
        <v>93</v>
      </c>
      <c r="C15" s="4" t="s">
        <v>98</v>
      </c>
      <c r="D15" s="4" t="s">
        <v>97</v>
      </c>
      <c r="E15" s="20"/>
    </row>
    <row r="16" spans="1:13" x14ac:dyDescent="0.2">
      <c r="B16" s="26" t="s">
        <v>94</v>
      </c>
      <c r="C16" s="42" t="s">
        <v>98</v>
      </c>
      <c r="D16" s="42" t="s">
        <v>96</v>
      </c>
      <c r="E16" s="43"/>
    </row>
    <row r="18" spans="2:10" x14ac:dyDescent="0.2">
      <c r="B18" s="44" t="s">
        <v>124</v>
      </c>
      <c r="C18" s="41"/>
      <c r="D18" s="41"/>
      <c r="E18" s="41"/>
      <c r="F18" s="41"/>
      <c r="G18" s="41"/>
      <c r="H18" s="41"/>
      <c r="I18" s="41"/>
      <c r="J18" s="15"/>
    </row>
    <row r="19" spans="2:10" x14ac:dyDescent="0.2">
      <c r="B19" s="18" t="s">
        <v>125</v>
      </c>
      <c r="C19" s="4"/>
      <c r="D19" s="4"/>
      <c r="E19" s="4"/>
      <c r="F19" s="4"/>
      <c r="G19" s="4"/>
      <c r="H19" s="4"/>
      <c r="I19" s="4"/>
      <c r="J19" s="20"/>
    </row>
    <row r="20" spans="2:10" x14ac:dyDescent="0.2">
      <c r="B20" s="18" t="s">
        <v>126</v>
      </c>
      <c r="C20" s="4"/>
      <c r="D20" s="4"/>
      <c r="E20" s="4"/>
      <c r="F20" s="4"/>
      <c r="G20" s="4"/>
      <c r="H20" s="4"/>
      <c r="I20" s="4"/>
      <c r="J20" s="20"/>
    </row>
    <row r="21" spans="2:10" x14ac:dyDescent="0.2">
      <c r="B21" s="18" t="s">
        <v>127</v>
      </c>
      <c r="C21" s="4"/>
      <c r="D21" s="4" t="s">
        <v>128</v>
      </c>
      <c r="E21" s="4"/>
      <c r="F21" s="4"/>
      <c r="G21" s="4"/>
      <c r="H21" s="4"/>
      <c r="I21" s="4"/>
      <c r="J21" s="20"/>
    </row>
    <row r="22" spans="2:10" x14ac:dyDescent="0.2">
      <c r="B22" s="26"/>
      <c r="C22" s="42"/>
      <c r="D22" s="42"/>
      <c r="E22" s="42"/>
      <c r="F22" s="42"/>
      <c r="G22" s="42"/>
      <c r="H22" s="42"/>
      <c r="I22" s="42"/>
      <c r="J22" s="43"/>
    </row>
    <row r="24" spans="2:10" x14ac:dyDescent="0.2">
      <c r="B24" s="1" t="s">
        <v>129</v>
      </c>
    </row>
    <row r="25" spans="2:10" x14ac:dyDescent="0.2">
      <c r="B25" s="1" t="s">
        <v>130</v>
      </c>
      <c r="D25" s="11">
        <v>0.95</v>
      </c>
    </row>
    <row r="26" spans="2:10" x14ac:dyDescent="0.2">
      <c r="B26" s="1" t="s">
        <v>131</v>
      </c>
      <c r="D26" s="11">
        <v>0.05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35F5-17AD-4508-80FC-2AB3B5BCCD05}">
  <dimension ref="A1:BD94"/>
  <sheetViews>
    <sheetView tabSelected="1" zoomScale="115" zoomScaleNormal="115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A15" sqref="AA15"/>
    </sheetView>
  </sheetViews>
  <sheetFormatPr defaultRowHeight="14.25" x14ac:dyDescent="0.2"/>
  <cols>
    <col min="1" max="1" width="5.5703125" style="1" customWidth="1"/>
    <col min="2" max="2" width="33.85546875" style="1" bestFit="1" customWidth="1"/>
    <col min="3" max="8" width="12.7109375" style="1" bestFit="1" customWidth="1"/>
    <col min="9" max="9" width="12.7109375" style="4" bestFit="1" customWidth="1"/>
    <col min="10" max="16" width="12.7109375" style="1" bestFit="1" customWidth="1"/>
    <col min="17" max="17" width="15" style="1" bestFit="1" customWidth="1"/>
    <col min="18" max="18" width="12.7109375" style="1" bestFit="1" customWidth="1"/>
    <col min="19" max="19" width="9.140625" style="1"/>
    <col min="20" max="20" width="14.85546875" style="1" bestFit="1" customWidth="1"/>
    <col min="21" max="22" width="12.7109375" style="1" bestFit="1" customWidth="1"/>
    <col min="23" max="23" width="13.85546875" style="1" bestFit="1" customWidth="1"/>
    <col min="24" max="24" width="11.28515625" style="1" bestFit="1" customWidth="1"/>
    <col min="25" max="25" width="13.5703125" style="1" bestFit="1" customWidth="1"/>
    <col min="26" max="32" width="12.5703125" style="1" bestFit="1" customWidth="1"/>
    <col min="33" max="48" width="11.28515625" style="1" bestFit="1" customWidth="1"/>
    <col min="49" max="56" width="10.140625" style="1" bestFit="1" customWidth="1"/>
    <col min="57" max="16384" width="9.140625" style="1"/>
  </cols>
  <sheetData>
    <row r="1" spans="1:56" x14ac:dyDescent="0.2">
      <c r="A1" s="1" t="s">
        <v>0</v>
      </c>
      <c r="C1" s="2" t="s">
        <v>60</v>
      </c>
      <c r="D1" s="2" t="s">
        <v>25</v>
      </c>
      <c r="E1" s="2" t="s">
        <v>24</v>
      </c>
      <c r="F1" s="2" t="s">
        <v>23</v>
      </c>
      <c r="G1" s="2" t="s">
        <v>22</v>
      </c>
      <c r="H1" s="2" t="s">
        <v>21</v>
      </c>
      <c r="I1" s="3" t="s">
        <v>20</v>
      </c>
      <c r="J1" s="2" t="s">
        <v>19</v>
      </c>
      <c r="K1" s="2" t="s">
        <v>18</v>
      </c>
      <c r="L1" s="3" t="s">
        <v>17</v>
      </c>
      <c r="M1" s="3" t="s">
        <v>16</v>
      </c>
      <c r="N1" s="2" t="s">
        <v>52</v>
      </c>
      <c r="O1" s="2" t="s">
        <v>53</v>
      </c>
      <c r="P1" s="3" t="s">
        <v>54</v>
      </c>
      <c r="Q1" s="3" t="s">
        <v>55</v>
      </c>
    </row>
    <row r="2" spans="1:56" x14ac:dyDescent="0.2">
      <c r="B2" s="1" t="s">
        <v>39</v>
      </c>
      <c r="C2" s="1" t="s">
        <v>59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4" t="s">
        <v>12</v>
      </c>
      <c r="J2" s="5" t="s">
        <v>13</v>
      </c>
      <c r="K2" s="5" t="s">
        <v>14</v>
      </c>
      <c r="L2" s="5" t="s">
        <v>15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T2" s="1">
        <v>2021</v>
      </c>
      <c r="U2" s="1">
        <v>2022</v>
      </c>
      <c r="V2" s="1">
        <v>2023</v>
      </c>
      <c r="W2" s="1">
        <v>2024</v>
      </c>
      <c r="X2" s="1">
        <v>2025</v>
      </c>
      <c r="Y2" s="1">
        <f>X2+1</f>
        <v>2026</v>
      </c>
      <c r="Z2" s="1">
        <f t="shared" ref="Z2:AN2" si="0">Y2+1</f>
        <v>2027</v>
      </c>
      <c r="AA2" s="1">
        <f t="shared" si="0"/>
        <v>2028</v>
      </c>
      <c r="AB2" s="1">
        <f t="shared" si="0"/>
        <v>2029</v>
      </c>
      <c r="AC2" s="1">
        <f t="shared" si="0"/>
        <v>2030</v>
      </c>
      <c r="AD2" s="1">
        <f t="shared" si="0"/>
        <v>2031</v>
      </c>
      <c r="AE2" s="1">
        <f t="shared" si="0"/>
        <v>2032</v>
      </c>
      <c r="AF2" s="1">
        <f t="shared" si="0"/>
        <v>2033</v>
      </c>
      <c r="AG2" s="1">
        <f t="shared" si="0"/>
        <v>2034</v>
      </c>
      <c r="AH2" s="1">
        <f t="shared" si="0"/>
        <v>2035</v>
      </c>
      <c r="AI2" s="1">
        <f t="shared" si="0"/>
        <v>2036</v>
      </c>
      <c r="AJ2" s="1">
        <f t="shared" si="0"/>
        <v>2037</v>
      </c>
      <c r="AK2" s="1">
        <f t="shared" si="0"/>
        <v>2038</v>
      </c>
      <c r="AL2" s="1">
        <f t="shared" si="0"/>
        <v>2039</v>
      </c>
      <c r="AM2" s="1">
        <f t="shared" si="0"/>
        <v>2040</v>
      </c>
      <c r="AN2" s="1">
        <f t="shared" si="0"/>
        <v>2041</v>
      </c>
    </row>
    <row r="3" spans="1:56" s="8" customFormat="1" ht="15" x14ac:dyDescent="0.25">
      <c r="B3" s="8" t="s">
        <v>58</v>
      </c>
      <c r="C3" s="8">
        <v>1032730</v>
      </c>
      <c r="D3" s="8">
        <v>1172419</v>
      </c>
      <c r="E3" s="8">
        <v>1355490</v>
      </c>
      <c r="F3" s="8">
        <v>5196099</v>
      </c>
      <c r="G3" s="8">
        <v>1852130</v>
      </c>
      <c r="H3" s="8">
        <v>1803195</v>
      </c>
      <c r="I3" s="8">
        <v>1283296</v>
      </c>
      <c r="J3" s="8">
        <v>2184861</v>
      </c>
      <c r="K3" s="8">
        <v>2119672</v>
      </c>
      <c r="L3" s="8">
        <v>3664924</v>
      </c>
      <c r="M3" s="8">
        <v>3850066</v>
      </c>
      <c r="N3" s="8">
        <v>5308192</v>
      </c>
      <c r="O3" s="8">
        <f>K3*0.98</f>
        <v>2077278.56</v>
      </c>
      <c r="P3" s="8">
        <f t="shared" ref="P3:P4" si="1">L3*0.98</f>
        <v>3591625.52</v>
      </c>
      <c r="Q3" s="8">
        <f t="shared" ref="Q3:Q4" si="2">M3*0.98</f>
        <v>3773064.6799999997</v>
      </c>
      <c r="R3" s="8">
        <f t="shared" ref="R3:R4" si="3">N3*0.98</f>
        <v>5202028.16</v>
      </c>
      <c r="U3" s="8">
        <f>SUM(C3:F3)</f>
        <v>8756738</v>
      </c>
      <c r="V3" s="8">
        <f>SUM(G3:J3)</f>
        <v>7123482</v>
      </c>
      <c r="W3" s="8">
        <f>SUM(K3:N3)</f>
        <v>14942854</v>
      </c>
    </row>
    <row r="4" spans="1:56" s="6" customFormat="1" x14ac:dyDescent="0.2">
      <c r="B4" s="6" t="s">
        <v>40</v>
      </c>
      <c r="C4" s="6">
        <v>894591</v>
      </c>
      <c r="D4" s="6">
        <v>1008676</v>
      </c>
      <c r="E4" s="6">
        <v>1144715</v>
      </c>
      <c r="F4" s="6">
        <v>4396098</v>
      </c>
      <c r="G4" s="6">
        <v>1504595</v>
      </c>
      <c r="H4" s="6">
        <v>1465773</v>
      </c>
      <c r="I4" s="6">
        <v>1056937</v>
      </c>
      <c r="J4" s="6">
        <v>1813165</v>
      </c>
      <c r="K4" s="6">
        <v>1765981</v>
      </c>
      <c r="L4" s="6">
        <v>3100602</v>
      </c>
      <c r="M4" s="6">
        <v>3252698</v>
      </c>
      <c r="N4" s="6">
        <v>4711844</v>
      </c>
      <c r="O4" s="6">
        <f t="shared" ref="O4" si="4">K4*0.98</f>
        <v>1730661.38</v>
      </c>
      <c r="P4" s="6">
        <f t="shared" si="1"/>
        <v>3038589.96</v>
      </c>
      <c r="Q4" s="6">
        <f t="shared" si="2"/>
        <v>3187644.04</v>
      </c>
      <c r="R4" s="6">
        <f t="shared" si="3"/>
        <v>4617607.12</v>
      </c>
      <c r="U4" s="6">
        <f>SUM(C4:F4)</f>
        <v>7444080</v>
      </c>
      <c r="V4" s="6">
        <f t="shared" ref="V4:V15" si="5">SUM(G4:J4)</f>
        <v>5840470</v>
      </c>
      <c r="W4" s="6">
        <f t="shared" ref="W4:W14" si="6">SUM(K4:N4)</f>
        <v>12831125</v>
      </c>
    </row>
    <row r="5" spans="1:56" x14ac:dyDescent="0.2">
      <c r="B5" s="1" t="s">
        <v>41</v>
      </c>
      <c r="C5" s="6">
        <f t="shared" ref="C5:N5" si="7">C3-C4</f>
        <v>138139</v>
      </c>
      <c r="D5" s="6">
        <f t="shared" si="7"/>
        <v>163743</v>
      </c>
      <c r="E5" s="6">
        <f t="shared" si="7"/>
        <v>210775</v>
      </c>
      <c r="F5" s="6">
        <f t="shared" si="7"/>
        <v>800001</v>
      </c>
      <c r="G5" s="6">
        <f t="shared" si="7"/>
        <v>347535</v>
      </c>
      <c r="H5" s="6">
        <f t="shared" si="7"/>
        <v>337422</v>
      </c>
      <c r="I5" s="6">
        <f t="shared" si="7"/>
        <v>226359</v>
      </c>
      <c r="J5" s="6">
        <f t="shared" si="7"/>
        <v>371696</v>
      </c>
      <c r="K5" s="6">
        <f t="shared" si="7"/>
        <v>353691</v>
      </c>
      <c r="L5" s="6">
        <f t="shared" si="7"/>
        <v>564322</v>
      </c>
      <c r="M5" s="6">
        <f t="shared" si="7"/>
        <v>597368</v>
      </c>
      <c r="N5" s="6">
        <f t="shared" si="7"/>
        <v>596348</v>
      </c>
      <c r="O5" s="6">
        <f t="shared" ref="O5" si="8">O3-O4</f>
        <v>346617.18000000017</v>
      </c>
      <c r="P5" s="6">
        <f t="shared" ref="P5" si="9">P3-P4</f>
        <v>553035.56000000006</v>
      </c>
      <c r="Q5" s="6">
        <f t="shared" ref="Q5" si="10">Q3-Q4</f>
        <v>585420.63999999966</v>
      </c>
      <c r="R5" s="6">
        <f t="shared" ref="R5" si="11">R3-R4</f>
        <v>584421.04</v>
      </c>
      <c r="S5" s="6"/>
      <c r="T5" s="6"/>
      <c r="U5" s="6">
        <f>U3-U4</f>
        <v>1312658</v>
      </c>
      <c r="V5" s="6">
        <f t="shared" ref="V5" si="12">V3-V4</f>
        <v>1283012</v>
      </c>
      <c r="W5" s="6">
        <f>W3-W4</f>
        <v>2111729</v>
      </c>
      <c r="X5" s="6"/>
    </row>
    <row r="6" spans="1:56" x14ac:dyDescent="0.2">
      <c r="B6" s="1" t="s">
        <v>42</v>
      </c>
      <c r="C6" s="6">
        <v>65143</v>
      </c>
      <c r="D6" s="6">
        <v>65471</v>
      </c>
      <c r="E6" s="6">
        <v>70869</v>
      </c>
      <c r="F6" s="6">
        <v>272273</v>
      </c>
      <c r="G6" s="6">
        <v>74243</v>
      </c>
      <c r="H6" s="6">
        <v>70700</v>
      </c>
      <c r="I6" s="6">
        <v>77515</v>
      </c>
      <c r="J6" s="6">
        <v>84802</v>
      </c>
      <c r="K6" s="6">
        <v>111027</v>
      </c>
      <c r="L6" s="6">
        <v>108824</v>
      </c>
      <c r="M6" s="6">
        <v>116226</v>
      </c>
      <c r="N6" s="6">
        <v>126849</v>
      </c>
      <c r="O6" s="6">
        <f>N6*0.95</f>
        <v>120506.54999999999</v>
      </c>
      <c r="P6" s="6">
        <f t="shared" ref="P6:R6" si="13">O6*0.95</f>
        <v>114481.22249999999</v>
      </c>
      <c r="Q6" s="6">
        <f t="shared" si="13"/>
        <v>108757.16137499998</v>
      </c>
      <c r="R6" s="6">
        <f t="shared" si="13"/>
        <v>103319.30330624997</v>
      </c>
      <c r="S6" s="6"/>
      <c r="T6" s="6"/>
      <c r="U6" s="6">
        <f>SUM(C6:F6)</f>
        <v>473756</v>
      </c>
      <c r="V6" s="6">
        <f t="shared" si="5"/>
        <v>307260</v>
      </c>
      <c r="W6" s="6">
        <f t="shared" si="6"/>
        <v>462926</v>
      </c>
      <c r="X6" s="6"/>
    </row>
    <row r="7" spans="1:56" x14ac:dyDescent="0.2">
      <c r="B7" s="1" t="s">
        <v>51</v>
      </c>
      <c r="C7" s="6">
        <v>21624</v>
      </c>
      <c r="D7" s="6">
        <v>21960</v>
      </c>
      <c r="E7" s="6">
        <v>22356</v>
      </c>
      <c r="F7" s="6">
        <v>90126</v>
      </c>
      <c r="G7" s="6">
        <v>29363</v>
      </c>
      <c r="H7" s="6">
        <v>28445</v>
      </c>
      <c r="I7" s="6">
        <v>25312</v>
      </c>
      <c r="J7" s="6">
        <v>31905</v>
      </c>
      <c r="K7" s="6">
        <v>37230</v>
      </c>
      <c r="L7" s="6">
        <v>46854</v>
      </c>
      <c r="M7" s="6">
        <v>49691</v>
      </c>
      <c r="N7" s="6">
        <v>55740</v>
      </c>
      <c r="O7" s="6">
        <f t="shared" ref="O7:R7" si="14">N7*0.95</f>
        <v>52953</v>
      </c>
      <c r="P7" s="6">
        <f t="shared" si="14"/>
        <v>50305.35</v>
      </c>
      <c r="Q7" s="6">
        <f t="shared" si="14"/>
        <v>47790.082499999997</v>
      </c>
      <c r="R7" s="6">
        <f t="shared" si="14"/>
        <v>45400.578374999997</v>
      </c>
      <c r="S7" s="6"/>
      <c r="T7" s="6"/>
      <c r="U7" s="6">
        <f t="shared" ref="U7:U14" si="15">SUM(C7:F7)</f>
        <v>156066</v>
      </c>
      <c r="V7" s="6">
        <f t="shared" si="5"/>
        <v>115025</v>
      </c>
      <c r="W7" s="6">
        <f t="shared" si="6"/>
        <v>189515</v>
      </c>
      <c r="X7" s="6"/>
    </row>
    <row r="8" spans="1:56" x14ac:dyDescent="0.2">
      <c r="B8" s="1" t="s">
        <v>43</v>
      </c>
      <c r="C8" s="6">
        <v>22244</v>
      </c>
      <c r="D8" s="6">
        <v>25263</v>
      </c>
      <c r="E8" s="6">
        <v>27773</v>
      </c>
      <c r="F8" s="6">
        <v>102435</v>
      </c>
      <c r="G8" s="6">
        <v>23806</v>
      </c>
      <c r="H8" s="6">
        <v>23095</v>
      </c>
      <c r="I8" s="6">
        <v>24450</v>
      </c>
      <c r="J8" s="6">
        <v>28234</v>
      </c>
      <c r="K8" s="6">
        <v>32924</v>
      </c>
      <c r="L8" s="6">
        <v>37180</v>
      </c>
      <c r="M8" s="6">
        <v>53137</v>
      </c>
      <c r="N8" s="6">
        <v>70355</v>
      </c>
      <c r="O8" s="6">
        <f t="shared" ref="O8:R8" si="16">N8*0.95</f>
        <v>66837.25</v>
      </c>
      <c r="P8" s="6">
        <f t="shared" si="16"/>
        <v>63495.387499999997</v>
      </c>
      <c r="Q8" s="6">
        <f t="shared" si="16"/>
        <v>60320.618124999994</v>
      </c>
      <c r="R8" s="6">
        <f t="shared" si="16"/>
        <v>57304.587218749992</v>
      </c>
      <c r="S8" s="6"/>
      <c r="T8" s="6"/>
      <c r="U8" s="6">
        <f t="shared" si="15"/>
        <v>177715</v>
      </c>
      <c r="V8" s="6">
        <f t="shared" si="5"/>
        <v>99585</v>
      </c>
      <c r="W8" s="6">
        <f t="shared" si="6"/>
        <v>193596</v>
      </c>
      <c r="X8" s="6"/>
    </row>
    <row r="9" spans="1:56" x14ac:dyDescent="0.2">
      <c r="B9" s="1" t="s">
        <v>44</v>
      </c>
      <c r="C9" s="6">
        <f>C5-C6-C7-C8</f>
        <v>29128</v>
      </c>
      <c r="D9" s="6">
        <v>51049</v>
      </c>
      <c r="E9" s="6">
        <v>89777</v>
      </c>
      <c r="F9" s="6">
        <v>335167</v>
      </c>
      <c r="G9" s="6">
        <v>220123</v>
      </c>
      <c r="H9" s="6">
        <v>215182</v>
      </c>
      <c r="I9" s="6">
        <v>99082</v>
      </c>
      <c r="J9" s="6">
        <f>J5-J6-J7-J8</f>
        <v>226755</v>
      </c>
      <c r="K9" s="6">
        <v>172510</v>
      </c>
      <c r="L9" s="6">
        <v>371464</v>
      </c>
      <c r="M9" s="6">
        <f>M5-(M6+M7+M8)</f>
        <v>378314</v>
      </c>
      <c r="N9" s="6">
        <f>N5-(N6+N7+N8)</f>
        <v>343404</v>
      </c>
      <c r="O9" s="6">
        <f t="shared" ref="O9:R9" si="17">O5-(O6+O7+O8)</f>
        <v>106320.38000000018</v>
      </c>
      <c r="P9" s="6">
        <f t="shared" si="17"/>
        <v>324753.60000000009</v>
      </c>
      <c r="Q9" s="6">
        <f t="shared" si="17"/>
        <v>368552.7779999997</v>
      </c>
      <c r="R9" s="6">
        <f t="shared" si="17"/>
        <v>378396.57110000006</v>
      </c>
      <c r="S9" s="6"/>
      <c r="T9" s="6"/>
      <c r="U9" s="6">
        <f t="shared" si="15"/>
        <v>505121</v>
      </c>
      <c r="V9" s="6">
        <f t="shared" si="5"/>
        <v>761142</v>
      </c>
      <c r="W9" s="6">
        <f t="shared" si="6"/>
        <v>1265692</v>
      </c>
      <c r="X9" s="6"/>
    </row>
    <row r="10" spans="1:56" x14ac:dyDescent="0.2">
      <c r="B10" s="1" t="s">
        <v>45</v>
      </c>
      <c r="C10" s="6">
        <v>50</v>
      </c>
      <c r="D10" s="6">
        <v>-607</v>
      </c>
      <c r="E10" s="6">
        <v>4663</v>
      </c>
      <c r="F10" s="6">
        <v>8079</v>
      </c>
      <c r="G10" s="6">
        <v>8054</v>
      </c>
      <c r="H10" s="6">
        <v>-6335</v>
      </c>
      <c r="I10" s="6">
        <v>-78</v>
      </c>
      <c r="J10" s="6">
        <v>2005</v>
      </c>
      <c r="K10" s="6">
        <v>6613</v>
      </c>
      <c r="L10" s="6">
        <v>-7886</v>
      </c>
      <c r="M10" s="6">
        <v>10035</v>
      </c>
      <c r="N10" s="6">
        <v>13955</v>
      </c>
      <c r="O10" s="6">
        <f>J10*0.98</f>
        <v>1964.8999999999999</v>
      </c>
      <c r="P10" s="6">
        <f t="shared" ref="P10:P14" si="18">K10*0.98</f>
        <v>6480.74</v>
      </c>
      <c r="Q10" s="6">
        <f t="shared" ref="Q10:Q14" si="19">L10*0.98</f>
        <v>-7728.28</v>
      </c>
      <c r="R10" s="6">
        <f t="shared" ref="R10:R14" si="20">M10*0.98</f>
        <v>9834.2999999999993</v>
      </c>
      <c r="S10" s="6"/>
      <c r="T10" s="6"/>
      <c r="U10" s="6">
        <f t="shared" si="15"/>
        <v>12185</v>
      </c>
      <c r="V10" s="6">
        <f t="shared" si="5"/>
        <v>3646</v>
      </c>
      <c r="W10" s="6">
        <f t="shared" si="6"/>
        <v>22717</v>
      </c>
      <c r="X10" s="6"/>
    </row>
    <row r="11" spans="1:56" x14ac:dyDescent="0.2">
      <c r="B11" s="1" t="s">
        <v>46</v>
      </c>
      <c r="C11" s="6">
        <v>-804</v>
      </c>
      <c r="D11" s="6">
        <v>-1150</v>
      </c>
      <c r="E11" s="6">
        <v>-1531</v>
      </c>
      <c r="F11" s="6">
        <v>-6413</v>
      </c>
      <c r="G11" s="6">
        <v>-3938</v>
      </c>
      <c r="H11" s="6">
        <v>-1756</v>
      </c>
      <c r="I11" s="6">
        <v>-1288</v>
      </c>
      <c r="J11" s="6">
        <v>-3509</v>
      </c>
      <c r="K11" s="6">
        <v>-1863</v>
      </c>
      <c r="L11" s="6">
        <v>-8131</v>
      </c>
      <c r="M11" s="6">
        <v>-6246</v>
      </c>
      <c r="N11" s="6">
        <v>-3112</v>
      </c>
      <c r="O11" s="6">
        <f t="shared" ref="O11:O14" si="21">J11*0.98</f>
        <v>-3438.82</v>
      </c>
      <c r="P11" s="6">
        <f t="shared" si="18"/>
        <v>-1825.74</v>
      </c>
      <c r="Q11" s="6">
        <f t="shared" si="19"/>
        <v>-7968.38</v>
      </c>
      <c r="R11" s="6">
        <f t="shared" si="20"/>
        <v>-6121.08</v>
      </c>
      <c r="S11" s="6"/>
      <c r="T11" s="6"/>
      <c r="U11" s="6">
        <f t="shared" si="15"/>
        <v>-9898</v>
      </c>
      <c r="V11" s="6">
        <f t="shared" si="5"/>
        <v>-10491</v>
      </c>
      <c r="W11" s="6">
        <f t="shared" si="6"/>
        <v>-19352</v>
      </c>
      <c r="X11" s="6"/>
    </row>
    <row r="12" spans="1:56" x14ac:dyDescent="0.2">
      <c r="B12" s="1" t="s">
        <v>47</v>
      </c>
      <c r="C12" s="6">
        <f t="shared" ref="C12:H12" si="22">C9+C10+C11</f>
        <v>28374</v>
      </c>
      <c r="D12" s="6">
        <f t="shared" si="22"/>
        <v>49292</v>
      </c>
      <c r="E12" s="6">
        <f t="shared" si="22"/>
        <v>92909</v>
      </c>
      <c r="F12" s="6">
        <f t="shared" si="22"/>
        <v>336833</v>
      </c>
      <c r="G12" s="6">
        <f t="shared" si="22"/>
        <v>224239</v>
      </c>
      <c r="H12" s="6">
        <f t="shared" si="22"/>
        <v>207091</v>
      </c>
      <c r="I12" s="6">
        <v>97716</v>
      </c>
      <c r="J12" s="6">
        <f>J9+J10+J11</f>
        <v>225251</v>
      </c>
      <c r="K12" s="6">
        <f>K9+K10+K11</f>
        <v>177260</v>
      </c>
      <c r="L12" s="6">
        <f>L9+L10+L11</f>
        <v>355447</v>
      </c>
      <c r="M12" s="6">
        <v>382103</v>
      </c>
      <c r="N12" s="6">
        <f>N9+N10+N11</f>
        <v>354247</v>
      </c>
      <c r="O12" s="6">
        <f t="shared" si="21"/>
        <v>220745.98</v>
      </c>
      <c r="P12" s="6">
        <f t="shared" si="18"/>
        <v>173714.8</v>
      </c>
      <c r="Q12" s="6">
        <f t="shared" si="19"/>
        <v>348338.06</v>
      </c>
      <c r="R12" s="6">
        <f t="shared" si="20"/>
        <v>374460.94</v>
      </c>
      <c r="S12" s="6"/>
      <c r="T12" s="6"/>
      <c r="U12" s="6">
        <f t="shared" si="15"/>
        <v>507408</v>
      </c>
      <c r="V12" s="6">
        <f t="shared" si="5"/>
        <v>754297</v>
      </c>
      <c r="W12" s="6">
        <f t="shared" si="6"/>
        <v>1269057</v>
      </c>
      <c r="X12" s="6"/>
    </row>
    <row r="13" spans="1:56" x14ac:dyDescent="0.2">
      <c r="B13" s="1" t="s">
        <v>48</v>
      </c>
      <c r="C13" s="6">
        <v>-3325</v>
      </c>
      <c r="D13" s="6">
        <v>-7599</v>
      </c>
      <c r="E13" s="6">
        <v>-16192</v>
      </c>
      <c r="F13" s="6">
        <v>-52876</v>
      </c>
      <c r="G13" s="6">
        <v>-38934</v>
      </c>
      <c r="H13" s="6">
        <v>-29573</v>
      </c>
      <c r="I13" s="6">
        <v>-10857</v>
      </c>
      <c r="J13" s="6">
        <v>-31302</v>
      </c>
      <c r="K13" s="6">
        <v>-20215</v>
      </c>
      <c r="L13" s="6">
        <v>-61503</v>
      </c>
      <c r="M13" s="6">
        <v>19983</v>
      </c>
      <c r="N13" s="6">
        <v>-994</v>
      </c>
      <c r="O13" s="6">
        <f t="shared" si="21"/>
        <v>-30675.96</v>
      </c>
      <c r="P13" s="6">
        <f t="shared" si="18"/>
        <v>-19810.7</v>
      </c>
      <c r="Q13" s="6">
        <f t="shared" si="19"/>
        <v>-60272.94</v>
      </c>
      <c r="R13" s="6">
        <f t="shared" si="20"/>
        <v>19583.34</v>
      </c>
      <c r="S13" s="6"/>
      <c r="T13" s="6"/>
      <c r="U13" s="6">
        <f t="shared" si="15"/>
        <v>-79992</v>
      </c>
      <c r="V13" s="6">
        <f t="shared" si="5"/>
        <v>-110666</v>
      </c>
      <c r="W13" s="6">
        <f t="shared" si="6"/>
        <v>-62729</v>
      </c>
      <c r="X13" s="6"/>
    </row>
    <row r="14" spans="1:56" x14ac:dyDescent="0.2">
      <c r="B14" s="1" t="s">
        <v>49</v>
      </c>
      <c r="C14" s="6">
        <v>388</v>
      </c>
      <c r="D14" s="6">
        <v>239</v>
      </c>
      <c r="E14" s="6">
        <v>255</v>
      </c>
      <c r="F14" s="6">
        <v>1206</v>
      </c>
      <c r="G14" s="6">
        <v>-889</v>
      </c>
      <c r="H14" s="6">
        <v>-1351</v>
      </c>
      <c r="I14" s="6">
        <v>-1013</v>
      </c>
      <c r="J14" s="6">
        <v>-380</v>
      </c>
      <c r="K14" s="6">
        <v>-50</v>
      </c>
      <c r="L14" s="6">
        <v>2024</v>
      </c>
      <c r="M14" s="6">
        <v>373</v>
      </c>
      <c r="N14" s="6">
        <v>-526</v>
      </c>
      <c r="O14" s="6">
        <f t="shared" si="21"/>
        <v>-372.4</v>
      </c>
      <c r="P14" s="6">
        <f t="shared" si="18"/>
        <v>-49</v>
      </c>
      <c r="Q14" s="6">
        <f t="shared" si="19"/>
        <v>1983.52</v>
      </c>
      <c r="R14" s="6">
        <f t="shared" si="20"/>
        <v>365.54</v>
      </c>
      <c r="S14" s="6"/>
      <c r="T14" s="6"/>
      <c r="U14" s="6">
        <f t="shared" si="15"/>
        <v>2088</v>
      </c>
      <c r="V14" s="6">
        <f t="shared" si="5"/>
        <v>-3633</v>
      </c>
      <c r="W14" s="6">
        <f t="shared" si="6"/>
        <v>1821</v>
      </c>
      <c r="X14" s="6"/>
    </row>
    <row r="15" spans="1:56" ht="15" x14ac:dyDescent="0.25">
      <c r="B15" s="1" t="s">
        <v>50</v>
      </c>
      <c r="C15" s="8">
        <f t="shared" ref="C15:N15" si="23">C12+C13+C14</f>
        <v>25437</v>
      </c>
      <c r="D15" s="8">
        <f t="shared" si="23"/>
        <v>41932</v>
      </c>
      <c r="E15" s="8">
        <f t="shared" si="23"/>
        <v>76972</v>
      </c>
      <c r="F15" s="8">
        <f t="shared" si="23"/>
        <v>285163</v>
      </c>
      <c r="G15" s="8">
        <f t="shared" si="23"/>
        <v>184416</v>
      </c>
      <c r="H15" s="8">
        <f t="shared" si="23"/>
        <v>176167</v>
      </c>
      <c r="I15" s="8">
        <f t="shared" si="23"/>
        <v>85846</v>
      </c>
      <c r="J15" s="8">
        <f t="shared" si="23"/>
        <v>193569</v>
      </c>
      <c r="K15" s="8">
        <f t="shared" si="23"/>
        <v>156995</v>
      </c>
      <c r="L15" s="8">
        <f t="shared" si="23"/>
        <v>295968</v>
      </c>
      <c r="M15" s="8">
        <f t="shared" si="23"/>
        <v>402459</v>
      </c>
      <c r="N15" s="8">
        <f t="shared" si="23"/>
        <v>352727</v>
      </c>
      <c r="O15" s="8">
        <f t="shared" ref="O15" si="24">O12+O13+O14</f>
        <v>189697.62000000002</v>
      </c>
      <c r="P15" s="8">
        <f t="shared" ref="P15" si="25">P12+P13+P14</f>
        <v>153855.09999999998</v>
      </c>
      <c r="Q15" s="8">
        <f t="shared" ref="Q15" si="26">Q12+Q13+Q14</f>
        <v>290048.64000000001</v>
      </c>
      <c r="R15" s="8">
        <f t="shared" ref="R15" si="27">R12+R13+R14</f>
        <v>394409.82</v>
      </c>
      <c r="S15" s="8">
        <f t="shared" ref="S15" si="28">S12+S13+S14</f>
        <v>0</v>
      </c>
      <c r="U15" s="8">
        <f>SUM(C15:F15)</f>
        <v>429504</v>
      </c>
      <c r="V15" s="8">
        <f t="shared" si="5"/>
        <v>639998</v>
      </c>
      <c r="W15" s="8">
        <f>SUM(K15:N15)</f>
        <v>1208149</v>
      </c>
      <c r="X15" s="8">
        <f>W15*(1+Q28)</f>
        <v>1183986.02</v>
      </c>
      <c r="Y15" s="6">
        <f t="shared" ref="Y15:AF15" si="29">X15*(1+$Q28)</f>
        <v>1160306.2996</v>
      </c>
      <c r="Z15" s="6">
        <f t="shared" si="29"/>
        <v>1137100.1736079999</v>
      </c>
      <c r="AA15" s="6">
        <f t="shared" si="29"/>
        <v>1114358.1701358398</v>
      </c>
      <c r="AB15" s="6">
        <f t="shared" si="29"/>
        <v>1092071.006733123</v>
      </c>
      <c r="AC15" s="6">
        <f t="shared" si="29"/>
        <v>1070229.5865984606</v>
      </c>
      <c r="AD15" s="6">
        <f t="shared" si="29"/>
        <v>1048824.9948664913</v>
      </c>
      <c r="AE15" s="6">
        <f t="shared" si="29"/>
        <v>1027848.4949691615</v>
      </c>
      <c r="AF15" s="6">
        <f t="shared" si="29"/>
        <v>1007291.5250697782</v>
      </c>
      <c r="AG15" s="6">
        <f t="shared" ref="AG15:BD15" si="30">AF15*(1+$Q28)</f>
        <v>987145.69456838258</v>
      </c>
      <c r="AH15" s="6">
        <f t="shared" si="30"/>
        <v>967402.78067701496</v>
      </c>
      <c r="AI15" s="6">
        <f t="shared" si="30"/>
        <v>948054.72506347462</v>
      </c>
      <c r="AJ15" s="6">
        <f t="shared" si="30"/>
        <v>929093.6305622051</v>
      </c>
      <c r="AK15" s="6">
        <f t="shared" si="30"/>
        <v>910511.75795096101</v>
      </c>
      <c r="AL15" s="6">
        <f t="shared" si="30"/>
        <v>892301.52279194177</v>
      </c>
      <c r="AM15" s="6">
        <f t="shared" si="30"/>
        <v>874455.49233610288</v>
      </c>
      <c r="AN15" s="6">
        <f t="shared" si="30"/>
        <v>856966.38248938078</v>
      </c>
      <c r="AO15" s="6">
        <f t="shared" si="30"/>
        <v>839827.05483959313</v>
      </c>
      <c r="AP15" s="6">
        <f t="shared" si="30"/>
        <v>823030.51374280127</v>
      </c>
      <c r="AQ15" s="6">
        <f t="shared" si="30"/>
        <v>806569.90346794517</v>
      </c>
      <c r="AR15" s="6">
        <f t="shared" si="30"/>
        <v>790438.50539858628</v>
      </c>
      <c r="AS15" s="6">
        <f t="shared" si="30"/>
        <v>774629.73529061454</v>
      </c>
      <c r="AT15" s="6">
        <f t="shared" si="30"/>
        <v>759137.14058480226</v>
      </c>
      <c r="AU15" s="6">
        <f t="shared" si="30"/>
        <v>743954.39777310623</v>
      </c>
      <c r="AV15" s="6">
        <f t="shared" si="30"/>
        <v>729075.30981764407</v>
      </c>
      <c r="AW15" s="6">
        <f t="shared" si="30"/>
        <v>714493.80362129118</v>
      </c>
      <c r="AX15" s="6">
        <f t="shared" si="30"/>
        <v>700203.92754886532</v>
      </c>
      <c r="AY15" s="6">
        <f t="shared" si="30"/>
        <v>686199.84899788804</v>
      </c>
      <c r="AZ15" s="6">
        <f t="shared" si="30"/>
        <v>672475.85201793024</v>
      </c>
      <c r="BA15" s="6">
        <f t="shared" si="30"/>
        <v>659026.33497757162</v>
      </c>
      <c r="BB15" s="6">
        <f t="shared" si="30"/>
        <v>645845.80827802012</v>
      </c>
      <c r="BC15" s="6">
        <f t="shared" si="30"/>
        <v>632928.89211245975</v>
      </c>
      <c r="BD15" s="6">
        <f t="shared" si="30"/>
        <v>620270.31427021057</v>
      </c>
    </row>
    <row r="16" spans="1:56" ht="15" x14ac:dyDescent="0.25">
      <c r="C16" s="8">
        <f t="shared" ref="C16" si="31">C13+C14+C15</f>
        <v>22500</v>
      </c>
      <c r="D16" s="8">
        <f t="shared" ref="D16" si="32">D13+D14+D15</f>
        <v>34572</v>
      </c>
      <c r="E16" s="8">
        <f t="shared" ref="E16" si="33">E13+E14+E15</f>
        <v>61035</v>
      </c>
      <c r="F16" s="8">
        <f t="shared" ref="F16" si="34">F13+F14+F15</f>
        <v>233493</v>
      </c>
      <c r="G16" s="8">
        <f t="shared" ref="G16" si="35">G13+G14+G15</f>
        <v>144593</v>
      </c>
      <c r="H16" s="8">
        <f t="shared" ref="H16" si="36">H13+H14+H15</f>
        <v>145243</v>
      </c>
      <c r="I16" s="8">
        <f t="shared" ref="I16" si="37">I13+I14+I15</f>
        <v>73976</v>
      </c>
      <c r="J16" s="8">
        <f t="shared" ref="J16" si="38">J13+J14+J15</f>
        <v>161887</v>
      </c>
      <c r="K16" s="8">
        <f t="shared" ref="K16" si="39">K13+K14+K15</f>
        <v>136730</v>
      </c>
      <c r="L16" s="8">
        <f t="shared" ref="L16" si="40">L13+L14+L15</f>
        <v>236489</v>
      </c>
      <c r="M16" s="8">
        <f t="shared" ref="M16" si="41">M13+M14+M15</f>
        <v>422815</v>
      </c>
      <c r="N16" s="8">
        <f t="shared" ref="N16" si="42">N13+N14+N15</f>
        <v>351207</v>
      </c>
      <c r="O16" s="8">
        <f t="shared" ref="O16" si="43">O13+O14+O15</f>
        <v>158649.26</v>
      </c>
      <c r="P16" s="8">
        <f t="shared" ref="P16" si="44">P13+P14+P15</f>
        <v>133995.39999999997</v>
      </c>
      <c r="Q16" s="8">
        <f t="shared" ref="Q16" si="45">Q13+Q14+Q15</f>
        <v>231759.22</v>
      </c>
      <c r="R16" s="8">
        <f t="shared" ref="R16" si="46">R13+R14+R15</f>
        <v>414358.7</v>
      </c>
      <c r="S16" s="8">
        <f>R16*(1+$T28)</f>
        <v>414358.7</v>
      </c>
      <c r="T16" s="8">
        <f t="shared" ref="T16:BD16" si="47">S16*(1+$T28)</f>
        <v>414358.7</v>
      </c>
      <c r="U16" s="8">
        <f t="shared" si="47"/>
        <v>414358.7</v>
      </c>
      <c r="V16" s="8">
        <f t="shared" si="47"/>
        <v>414358.7</v>
      </c>
      <c r="W16" s="8">
        <f t="shared" si="47"/>
        <v>414358.7</v>
      </c>
      <c r="X16" s="8">
        <f t="shared" si="47"/>
        <v>414358.7</v>
      </c>
      <c r="Y16" s="8">
        <f t="shared" si="47"/>
        <v>414358.7</v>
      </c>
      <c r="Z16" s="8">
        <f t="shared" si="47"/>
        <v>414358.7</v>
      </c>
      <c r="AA16" s="8">
        <f t="shared" si="47"/>
        <v>414358.7</v>
      </c>
      <c r="AB16" s="8">
        <f t="shared" si="47"/>
        <v>414358.7</v>
      </c>
      <c r="AC16" s="8">
        <f t="shared" si="47"/>
        <v>414358.7</v>
      </c>
      <c r="AD16" s="8">
        <f t="shared" si="47"/>
        <v>414358.7</v>
      </c>
      <c r="AE16" s="8">
        <f t="shared" si="47"/>
        <v>414358.7</v>
      </c>
      <c r="AF16" s="8">
        <f t="shared" si="47"/>
        <v>414358.7</v>
      </c>
      <c r="AG16" s="8">
        <f t="shared" si="47"/>
        <v>414358.7</v>
      </c>
      <c r="AH16" s="8">
        <f t="shared" si="47"/>
        <v>414358.7</v>
      </c>
      <c r="AI16" s="8">
        <f t="shared" si="47"/>
        <v>414358.7</v>
      </c>
      <c r="AJ16" s="8">
        <f t="shared" si="47"/>
        <v>414358.7</v>
      </c>
      <c r="AK16" s="8">
        <f t="shared" si="47"/>
        <v>414358.7</v>
      </c>
      <c r="AL16" s="8">
        <f t="shared" si="47"/>
        <v>414358.7</v>
      </c>
      <c r="AM16" s="8">
        <f t="shared" si="47"/>
        <v>414358.7</v>
      </c>
      <c r="AN16" s="8">
        <f t="shared" si="47"/>
        <v>414358.7</v>
      </c>
      <c r="AO16" s="8">
        <f t="shared" si="47"/>
        <v>414358.7</v>
      </c>
      <c r="AP16" s="8">
        <f t="shared" si="47"/>
        <v>414358.7</v>
      </c>
      <c r="AQ16" s="8">
        <f t="shared" si="47"/>
        <v>414358.7</v>
      </c>
      <c r="AR16" s="8">
        <f t="shared" si="47"/>
        <v>414358.7</v>
      </c>
      <c r="AS16" s="8">
        <f t="shared" si="47"/>
        <v>414358.7</v>
      </c>
      <c r="AT16" s="8">
        <f t="shared" si="47"/>
        <v>414358.7</v>
      </c>
      <c r="AU16" s="8">
        <f t="shared" si="47"/>
        <v>414358.7</v>
      </c>
      <c r="AV16" s="8">
        <f t="shared" si="47"/>
        <v>414358.7</v>
      </c>
      <c r="AW16" s="8">
        <f t="shared" si="47"/>
        <v>414358.7</v>
      </c>
      <c r="AX16" s="8">
        <f t="shared" si="47"/>
        <v>414358.7</v>
      </c>
      <c r="AY16" s="8">
        <f t="shared" si="47"/>
        <v>414358.7</v>
      </c>
      <c r="AZ16" s="8">
        <f t="shared" si="47"/>
        <v>414358.7</v>
      </c>
      <c r="BA16" s="8">
        <f t="shared" si="47"/>
        <v>414358.7</v>
      </c>
      <c r="BB16" s="8">
        <f t="shared" si="47"/>
        <v>414358.7</v>
      </c>
      <c r="BC16" s="8">
        <f t="shared" si="47"/>
        <v>414358.7</v>
      </c>
      <c r="BD16" s="8">
        <f t="shared" si="47"/>
        <v>414358.7</v>
      </c>
    </row>
    <row r="17" spans="2:56" s="9" customFormat="1" ht="15" x14ac:dyDescent="0.25">
      <c r="B17" s="9" t="s">
        <v>108</v>
      </c>
      <c r="C17" s="10">
        <f>C13/C12</f>
        <v>-0.11718474659899908</v>
      </c>
      <c r="D17" s="10">
        <f t="shared" ref="D17:Q17" si="48">D13/D12</f>
        <v>-0.15416294733425304</v>
      </c>
      <c r="E17" s="10">
        <f t="shared" si="48"/>
        <v>-0.17427805702353916</v>
      </c>
      <c r="F17" s="10">
        <f t="shared" si="48"/>
        <v>-0.15697986836206665</v>
      </c>
      <c r="G17" s="10">
        <f t="shared" si="48"/>
        <v>-0.17362724592956622</v>
      </c>
      <c r="H17" s="10">
        <f t="shared" si="48"/>
        <v>-0.14280195662776268</v>
      </c>
      <c r="I17" s="10">
        <f t="shared" si="48"/>
        <v>-0.11110769986491464</v>
      </c>
      <c r="J17" s="10">
        <f t="shared" si="48"/>
        <v>-0.13896497684804951</v>
      </c>
      <c r="K17" s="10">
        <f t="shared" si="48"/>
        <v>-0.11404152092970778</v>
      </c>
      <c r="L17" s="10">
        <f t="shared" si="48"/>
        <v>-0.17303001572667656</v>
      </c>
      <c r="M17" s="10">
        <f t="shared" si="48"/>
        <v>5.2297417188559105E-2</v>
      </c>
      <c r="N17" s="10">
        <f t="shared" si="48"/>
        <v>-2.8059517794081531E-3</v>
      </c>
      <c r="O17" s="10">
        <f t="shared" si="48"/>
        <v>-0.13896497684804951</v>
      </c>
      <c r="P17" s="10">
        <f t="shared" si="48"/>
        <v>-0.11404152092970779</v>
      </c>
      <c r="Q17" s="10">
        <f t="shared" si="48"/>
        <v>-0.17303001572667656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</row>
    <row r="18" spans="2:56" x14ac:dyDescent="0.2">
      <c r="B18" s="1" t="s">
        <v>56</v>
      </c>
      <c r="C18" s="11"/>
      <c r="D18" s="11"/>
      <c r="E18" s="11"/>
      <c r="F18" s="11"/>
      <c r="G18" s="11">
        <f>G3/C3-1</f>
        <v>0.79343100326319571</v>
      </c>
      <c r="H18" s="11">
        <f t="shared" ref="H18:R18" si="49">H3/D3-1</f>
        <v>0.53801243412124844</v>
      </c>
      <c r="I18" s="11">
        <f t="shared" si="49"/>
        <v>-5.3260444562482911E-2</v>
      </c>
      <c r="J18" s="11">
        <f t="shared" si="49"/>
        <v>-0.57951898145127712</v>
      </c>
      <c r="K18" s="11">
        <f t="shared" si="49"/>
        <v>0.14445098346228402</v>
      </c>
      <c r="L18" s="11">
        <f t="shared" si="49"/>
        <v>1.0324612701344003</v>
      </c>
      <c r="M18" s="11">
        <f t="shared" si="49"/>
        <v>2.0001387053337654</v>
      </c>
      <c r="N18" s="11">
        <f t="shared" si="49"/>
        <v>1.4295330458093214</v>
      </c>
      <c r="O18" s="11">
        <f t="shared" si="49"/>
        <v>-2.0000000000000018E-2</v>
      </c>
      <c r="P18" s="11">
        <f t="shared" si="49"/>
        <v>-2.0000000000000018E-2</v>
      </c>
      <c r="Q18" s="11">
        <f t="shared" si="49"/>
        <v>-2.0000000000000129E-2</v>
      </c>
      <c r="R18" s="11">
        <f t="shared" si="49"/>
        <v>-2.0000000000000018E-2</v>
      </c>
      <c r="S18" s="11"/>
      <c r="T18" s="11"/>
      <c r="U18" s="11"/>
      <c r="V18" s="11"/>
      <c r="W18" s="11"/>
    </row>
    <row r="19" spans="2:56" x14ac:dyDescent="0.2">
      <c r="B19" s="1" t="s">
        <v>57</v>
      </c>
      <c r="C19" s="11">
        <f>C5/C3</f>
        <v>0.13376100239171904</v>
      </c>
      <c r="D19" s="11">
        <f>D5/D3</f>
        <v>0.1396625267928957</v>
      </c>
      <c r="E19" s="11">
        <f>E5/E3</f>
        <v>0.15549727404849906</v>
      </c>
      <c r="F19" s="11">
        <f t="shared" ref="F19:M19" si="50">F5/F3</f>
        <v>0.15396184714725411</v>
      </c>
      <c r="G19" s="11">
        <f t="shared" si="50"/>
        <v>0.18764071636440208</v>
      </c>
      <c r="H19" s="11">
        <f t="shared" si="50"/>
        <v>0.18712452064252619</v>
      </c>
      <c r="I19" s="11">
        <f t="shared" si="50"/>
        <v>0.17638876767324141</v>
      </c>
      <c r="J19" s="11">
        <f t="shared" si="50"/>
        <v>0.17012340830835462</v>
      </c>
      <c r="K19" s="11">
        <f t="shared" si="50"/>
        <v>0.16686119361863533</v>
      </c>
      <c r="L19" s="11">
        <f t="shared" si="50"/>
        <v>0.15397918210582265</v>
      </c>
      <c r="M19" s="11">
        <f t="shared" si="50"/>
        <v>0.15515785963149722</v>
      </c>
      <c r="N19" s="11">
        <f t="shared" ref="N19:R19" si="51">N5/N3</f>
        <v>0.11234484359269598</v>
      </c>
      <c r="O19" s="11">
        <f t="shared" si="51"/>
        <v>0.16686119361863541</v>
      </c>
      <c r="P19" s="11">
        <f t="shared" si="51"/>
        <v>0.15397918210582268</v>
      </c>
      <c r="Q19" s="11">
        <f t="shared" si="51"/>
        <v>0.15515785963149714</v>
      </c>
      <c r="R19" s="11">
        <f t="shared" si="51"/>
        <v>0.11234484359269598</v>
      </c>
    </row>
    <row r="20" spans="2:56" x14ac:dyDescent="0.2">
      <c r="B20" s="1" t="s">
        <v>137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>
        <f>M15/M22</f>
        <v>0.68576029171210473</v>
      </c>
      <c r="N20" s="12">
        <f>N15/N22</f>
        <v>0.60102065158124318</v>
      </c>
      <c r="O20" s="12">
        <f>O15/O22</f>
        <v>0.32323067748091605</v>
      </c>
      <c r="P20" s="12">
        <f t="shared" ref="P20:W20" si="52">P15/P22</f>
        <v>0.26215768129770989</v>
      </c>
      <c r="Q20" s="12">
        <f t="shared" si="52"/>
        <v>0.49422137404580158</v>
      </c>
      <c r="R20" s="12">
        <f t="shared" si="52"/>
        <v>0.6720450858778626</v>
      </c>
      <c r="S20" s="12">
        <f t="shared" si="52"/>
        <v>0</v>
      </c>
      <c r="T20" s="12">
        <f t="shared" si="52"/>
        <v>0</v>
      </c>
      <c r="U20" s="12">
        <f t="shared" si="52"/>
        <v>0.73184296619411127</v>
      </c>
      <c r="V20" s="12">
        <f t="shared" si="52"/>
        <v>1.0905091330425301</v>
      </c>
      <c r="W20" s="12">
        <f t="shared" si="52"/>
        <v>2.0585963058887677</v>
      </c>
      <c r="Y20" s="11"/>
    </row>
    <row r="21" spans="2:56" x14ac:dyDescent="0.2">
      <c r="B21" s="1" t="s">
        <v>90</v>
      </c>
      <c r="C21" s="12">
        <f>$C22/C15-1</f>
        <v>-1</v>
      </c>
      <c r="D21" s="12">
        <f t="shared" ref="D21:R21" si="53">$C22/D15-1</f>
        <v>-1</v>
      </c>
      <c r="E21" s="12">
        <f t="shared" si="53"/>
        <v>-1</v>
      </c>
      <c r="F21" s="12">
        <f t="shared" si="53"/>
        <v>-1</v>
      </c>
      <c r="G21" s="12">
        <f t="shared" si="53"/>
        <v>-1</v>
      </c>
      <c r="H21" s="12">
        <f t="shared" si="53"/>
        <v>-1</v>
      </c>
      <c r="I21" s="12">
        <f t="shared" si="53"/>
        <v>-1</v>
      </c>
      <c r="J21" s="12">
        <f t="shared" si="53"/>
        <v>-1</v>
      </c>
      <c r="K21" s="12">
        <f t="shared" si="53"/>
        <v>-1</v>
      </c>
      <c r="L21" s="12">
        <f t="shared" si="53"/>
        <v>-1</v>
      </c>
      <c r="M21" s="12">
        <f t="shared" si="53"/>
        <v>-1</v>
      </c>
      <c r="N21" s="12">
        <f t="shared" si="53"/>
        <v>-1</v>
      </c>
      <c r="O21" s="12">
        <f t="shared" si="53"/>
        <v>-1</v>
      </c>
      <c r="P21" s="12">
        <f t="shared" si="53"/>
        <v>-1</v>
      </c>
      <c r="Q21" s="12">
        <f t="shared" si="53"/>
        <v>-1</v>
      </c>
      <c r="R21" s="12">
        <f t="shared" si="53"/>
        <v>-1</v>
      </c>
      <c r="Y21" s="11"/>
    </row>
    <row r="22" spans="2:56" ht="15" x14ac:dyDescent="0.25">
      <c r="B22" s="1" t="s">
        <v>28</v>
      </c>
      <c r="C22" s="13"/>
      <c r="M22" s="6">
        <v>586880</v>
      </c>
      <c r="N22" s="6">
        <v>586880</v>
      </c>
      <c r="O22" s="6">
        <v>586880</v>
      </c>
      <c r="P22" s="6">
        <v>586880</v>
      </c>
      <c r="Q22" s="6">
        <v>586880</v>
      </c>
      <c r="R22" s="6">
        <v>586880</v>
      </c>
      <c r="S22" s="6">
        <v>586880</v>
      </c>
      <c r="T22" s="6">
        <v>586880</v>
      </c>
      <c r="U22" s="6">
        <v>586880</v>
      </c>
      <c r="V22" s="6">
        <v>586880</v>
      </c>
      <c r="W22" s="6">
        <v>586880</v>
      </c>
      <c r="X22" s="6">
        <v>586880</v>
      </c>
    </row>
    <row r="23" spans="2:56" ht="15" x14ac:dyDescent="0.25">
      <c r="C23" s="13"/>
      <c r="P23" s="28"/>
      <c r="Q23" s="4"/>
      <c r="R23" s="4"/>
      <c r="S23" s="28"/>
      <c r="T23" s="4"/>
      <c r="W23" s="11"/>
    </row>
    <row r="24" spans="2:56" ht="15" x14ac:dyDescent="0.25">
      <c r="C24" s="13"/>
      <c r="P24" s="28"/>
      <c r="Q24" s="4"/>
      <c r="R24" s="4"/>
      <c r="S24" s="28"/>
      <c r="T24" s="4"/>
      <c r="W24" s="11"/>
    </row>
    <row r="25" spans="2:56" ht="15" x14ac:dyDescent="0.25">
      <c r="C25" s="13"/>
      <c r="P25" s="28"/>
      <c r="Q25" s="4"/>
      <c r="R25" s="4"/>
      <c r="S25" s="28"/>
      <c r="T25" s="4"/>
      <c r="W25" s="11"/>
    </row>
    <row r="26" spans="2:56" ht="15" x14ac:dyDescent="0.25">
      <c r="C26" s="13"/>
      <c r="P26" s="28"/>
      <c r="Q26" s="4"/>
      <c r="R26" s="4"/>
      <c r="S26" s="28"/>
      <c r="T26" s="4"/>
      <c r="W26" s="11"/>
    </row>
    <row r="27" spans="2:56" ht="15" x14ac:dyDescent="0.25">
      <c r="C27" s="13"/>
      <c r="P27" s="45" t="s">
        <v>107</v>
      </c>
      <c r="Q27" s="20"/>
      <c r="S27" s="46"/>
      <c r="T27" s="20"/>
      <c r="W27" s="11"/>
    </row>
    <row r="28" spans="2:56" ht="15" x14ac:dyDescent="0.25">
      <c r="C28" s="13"/>
      <c r="P28" s="16" t="s">
        <v>83</v>
      </c>
      <c r="Q28" s="17">
        <v>-0.02</v>
      </c>
      <c r="S28" s="16"/>
      <c r="T28" s="17"/>
      <c r="Y28" s="11"/>
    </row>
    <row r="29" spans="2:56" ht="15" x14ac:dyDescent="0.25">
      <c r="C29" s="13"/>
      <c r="P29" s="18" t="s">
        <v>84</v>
      </c>
      <c r="Q29" s="19">
        <v>0.1</v>
      </c>
      <c r="S29" s="18"/>
      <c r="T29" s="19"/>
      <c r="Y29" s="11"/>
    </row>
    <row r="30" spans="2:56" ht="15" x14ac:dyDescent="0.25">
      <c r="C30" s="13"/>
      <c r="P30" s="18" t="s">
        <v>30</v>
      </c>
      <c r="Q30" s="23">
        <v>2115</v>
      </c>
      <c r="S30" s="18"/>
      <c r="T30" s="20"/>
    </row>
    <row r="31" spans="2:56" ht="15" x14ac:dyDescent="0.25">
      <c r="C31" s="13"/>
      <c r="P31" s="18" t="s">
        <v>31</v>
      </c>
      <c r="Q31" s="23">
        <v>167</v>
      </c>
      <c r="S31" s="18"/>
      <c r="T31" s="20"/>
    </row>
    <row r="32" spans="2:56" s="4" customFormat="1" ht="15" x14ac:dyDescent="0.25">
      <c r="C32" s="21"/>
      <c r="P32" s="18" t="s">
        <v>85</v>
      </c>
      <c r="Q32" s="22">
        <f>NPV(Q29,U15:BD15)</f>
        <v>9076101.4320216347</v>
      </c>
      <c r="S32" s="18"/>
      <c r="T32" s="22"/>
    </row>
    <row r="33" spans="2:28" ht="15" x14ac:dyDescent="0.25">
      <c r="C33" s="13"/>
      <c r="P33" s="18" t="s">
        <v>86</v>
      </c>
      <c r="Q33" s="23">
        <v>55933</v>
      </c>
      <c r="S33" s="18"/>
      <c r="T33" s="23"/>
    </row>
    <row r="34" spans="2:28" ht="15" x14ac:dyDescent="0.25">
      <c r="C34" s="13"/>
      <c r="P34" s="18" t="s">
        <v>87</v>
      </c>
      <c r="Q34" s="24">
        <f>Q32/Q33</f>
        <v>162.26738118859413</v>
      </c>
      <c r="S34" s="18"/>
      <c r="T34" s="24"/>
    </row>
    <row r="35" spans="2:28" ht="15" x14ac:dyDescent="0.25">
      <c r="C35" s="13"/>
      <c r="P35" s="18" t="s">
        <v>88</v>
      </c>
      <c r="Q35" s="25">
        <v>32</v>
      </c>
      <c r="S35" s="18"/>
      <c r="T35" s="25"/>
    </row>
    <row r="36" spans="2:28" ht="15" x14ac:dyDescent="0.25">
      <c r="C36" s="13"/>
      <c r="P36" s="26" t="s">
        <v>89</v>
      </c>
      <c r="Q36" s="27">
        <f>Q34/Q35</f>
        <v>5.0708556621435665</v>
      </c>
      <c r="S36" s="26"/>
      <c r="T36" s="27"/>
    </row>
    <row r="37" spans="2:28" s="28" customFormat="1" ht="15" x14ac:dyDescent="0.25">
      <c r="B37" s="28" t="s">
        <v>30</v>
      </c>
      <c r="C37" s="29">
        <v>270047</v>
      </c>
      <c r="T37" s="29">
        <f>232266</f>
        <v>232266</v>
      </c>
      <c r="U37" s="29">
        <v>267397</v>
      </c>
      <c r="V37" s="29">
        <v>440459</v>
      </c>
      <c r="W37" s="29">
        <v>1669766</v>
      </c>
      <c r="X37" s="30"/>
      <c r="Y37" s="29"/>
      <c r="Z37" s="29"/>
      <c r="AA37" s="29"/>
      <c r="AB37" s="29"/>
    </row>
    <row r="38" spans="2:28" x14ac:dyDescent="0.2">
      <c r="B38" s="1" t="s">
        <v>77</v>
      </c>
      <c r="C38" s="6">
        <v>458076</v>
      </c>
      <c r="T38" s="6">
        <v>463834</v>
      </c>
      <c r="U38" s="6">
        <v>834513</v>
      </c>
      <c r="V38" s="6">
        <v>1148259</v>
      </c>
      <c r="W38" s="6">
        <v>2668415</v>
      </c>
      <c r="X38" s="6"/>
      <c r="Y38" s="6"/>
      <c r="Z38" s="6"/>
      <c r="AA38" s="6"/>
      <c r="AB38" s="6"/>
    </row>
    <row r="39" spans="2:28" ht="15" x14ac:dyDescent="0.25">
      <c r="B39" s="1" t="s">
        <v>61</v>
      </c>
      <c r="C39" s="6">
        <v>1184573</v>
      </c>
      <c r="T39" s="6">
        <v>1040964</v>
      </c>
      <c r="U39" s="6">
        <v>1545606</v>
      </c>
      <c r="V39" s="6">
        <v>1445564</v>
      </c>
      <c r="W39" s="6">
        <v>4407972</v>
      </c>
      <c r="X39" s="6"/>
      <c r="Y39" s="8"/>
      <c r="Z39" s="6"/>
      <c r="AA39" s="6"/>
      <c r="AB39" s="6"/>
    </row>
    <row r="40" spans="2:28" x14ac:dyDescent="0.2">
      <c r="B40" s="1" t="s">
        <v>78</v>
      </c>
      <c r="C40" s="6">
        <v>124259</v>
      </c>
      <c r="T40" s="6">
        <v>130195</v>
      </c>
      <c r="U40" s="6">
        <v>158799</v>
      </c>
      <c r="V40" s="6">
        <v>145144</v>
      </c>
      <c r="W40" s="6">
        <v>308471</v>
      </c>
      <c r="X40" s="6"/>
      <c r="Y40" s="6"/>
      <c r="Z40" s="6"/>
      <c r="AA40" s="6"/>
      <c r="AB40" s="6"/>
    </row>
    <row r="41" spans="2:28" ht="15" x14ac:dyDescent="0.25">
      <c r="B41" s="1" t="s">
        <v>62</v>
      </c>
      <c r="C41" s="6">
        <v>5161</v>
      </c>
      <c r="T41" s="6">
        <v>4578</v>
      </c>
      <c r="U41" s="6">
        <v>5329</v>
      </c>
      <c r="V41" s="6">
        <v>0</v>
      </c>
      <c r="W41" s="6">
        <v>0</v>
      </c>
      <c r="X41" s="6"/>
      <c r="Y41" s="13"/>
      <c r="Z41" s="6"/>
      <c r="AA41" s="6"/>
      <c r="AB41" s="6"/>
    </row>
    <row r="42" spans="2:28" x14ac:dyDescent="0.2">
      <c r="B42" s="1" t="s">
        <v>63</v>
      </c>
      <c r="C42" s="6">
        <v>284148</v>
      </c>
      <c r="T42" s="6">
        <v>274713</v>
      </c>
      <c r="U42" s="6">
        <v>285972</v>
      </c>
      <c r="V42" s="6">
        <v>290240</v>
      </c>
      <c r="W42" s="6">
        <v>414008</v>
      </c>
      <c r="X42" s="6"/>
      <c r="Y42" s="6"/>
      <c r="Z42" s="6"/>
      <c r="AA42" s="6"/>
      <c r="AB42" s="6"/>
    </row>
    <row r="43" spans="2:28" x14ac:dyDescent="0.2">
      <c r="B43" s="1" t="s">
        <v>64</v>
      </c>
      <c r="C43" s="6">
        <v>63269</v>
      </c>
      <c r="T43" s="6">
        <v>63288</v>
      </c>
      <c r="U43" s="6">
        <v>69929</v>
      </c>
      <c r="V43" s="6">
        <v>162654</v>
      </c>
      <c r="W43" s="6">
        <v>359656</v>
      </c>
      <c r="X43" s="6"/>
      <c r="Y43" s="6"/>
      <c r="Z43" s="6"/>
      <c r="AA43" s="6"/>
      <c r="AB43" s="6"/>
    </row>
    <row r="44" spans="2:28" x14ac:dyDescent="0.2">
      <c r="B44" s="1" t="s">
        <v>65</v>
      </c>
      <c r="C44" s="6">
        <v>37160</v>
      </c>
      <c r="T44" s="6">
        <v>32126</v>
      </c>
      <c r="U44" s="6">
        <v>37532</v>
      </c>
      <c r="V44" s="6">
        <v>42409</v>
      </c>
      <c r="W44" s="6">
        <v>114952</v>
      </c>
      <c r="X44" s="6"/>
      <c r="Y44" s="6"/>
      <c r="Z44" s="6"/>
      <c r="AA44" s="6"/>
      <c r="AB44" s="6"/>
    </row>
    <row r="45" spans="2:28" s="7" customFormat="1" ht="15" x14ac:dyDescent="0.25">
      <c r="B45" s="7" t="s">
        <v>66</v>
      </c>
      <c r="C45" s="8">
        <f>SUM(C37:C44)</f>
        <v>2426693</v>
      </c>
      <c r="I45" s="28"/>
      <c r="T45" s="8">
        <f>SUM(T37:T44)</f>
        <v>2241964</v>
      </c>
      <c r="U45" s="8">
        <f>SUM(U37:U44)</f>
        <v>3205077</v>
      </c>
      <c r="V45" s="8">
        <f>SUM(V37:V44)</f>
        <v>3674729</v>
      </c>
      <c r="W45" s="8">
        <f>SUM(W37:W44)</f>
        <v>9943240</v>
      </c>
      <c r="X45" s="8"/>
      <c r="Y45" s="8"/>
      <c r="Z45" s="8"/>
      <c r="AA45" s="8"/>
      <c r="AB45" s="8"/>
    </row>
    <row r="46" spans="2:28" x14ac:dyDescent="0.2">
      <c r="B46" s="1" t="s">
        <v>67</v>
      </c>
      <c r="C46" s="6">
        <v>564628</v>
      </c>
      <c r="T46" s="6">
        <v>612336</v>
      </c>
      <c r="U46" s="6">
        <v>655403</v>
      </c>
      <c r="V46" s="6">
        <v>776831</v>
      </c>
      <c r="W46" s="6">
        <v>1545050</v>
      </c>
      <c r="X46" s="6"/>
      <c r="Y46" s="6"/>
      <c r="Z46" s="6"/>
      <c r="AA46" s="6"/>
      <c r="AB46" s="6"/>
    </row>
    <row r="47" spans="2:28" x14ac:dyDescent="0.2">
      <c r="B47" s="1" t="s">
        <v>68</v>
      </c>
      <c r="C47" s="6">
        <v>175221</v>
      </c>
      <c r="T47" s="6">
        <v>178850</v>
      </c>
      <c r="U47" s="6">
        <v>212419</v>
      </c>
      <c r="V47" s="6">
        <v>163865</v>
      </c>
      <c r="W47" s="6">
        <v>237921</v>
      </c>
      <c r="X47" s="6"/>
      <c r="Y47" s="6"/>
      <c r="Z47" s="6"/>
      <c r="AA47" s="6"/>
      <c r="AB47" s="6"/>
    </row>
    <row r="48" spans="2:28" x14ac:dyDescent="0.2">
      <c r="B48" s="1" t="s">
        <v>69</v>
      </c>
      <c r="C48" s="6">
        <v>14273</v>
      </c>
      <c r="T48" s="6">
        <v>12741</v>
      </c>
      <c r="U48" s="6">
        <v>41743</v>
      </c>
      <c r="V48" s="6">
        <v>129166</v>
      </c>
      <c r="W48" s="6">
        <v>18268</v>
      </c>
      <c r="X48" s="6"/>
      <c r="Y48" s="6"/>
      <c r="Z48" s="6"/>
      <c r="AA48" s="6"/>
      <c r="AB48" s="6"/>
    </row>
    <row r="49" spans="1:28" x14ac:dyDescent="0.2">
      <c r="B49" s="1" t="s">
        <v>70</v>
      </c>
      <c r="C49" s="6">
        <v>233674</v>
      </c>
      <c r="T49" s="6">
        <v>63490</v>
      </c>
      <c r="U49" s="6">
        <v>449146</v>
      </c>
      <c r="V49" s="6">
        <v>170123</v>
      </c>
      <c r="W49" s="6">
        <v>402346</v>
      </c>
      <c r="X49" s="6"/>
      <c r="Y49" s="6"/>
      <c r="Z49" s="6"/>
      <c r="AA49" s="6"/>
      <c r="AB49" s="6"/>
    </row>
    <row r="50" spans="1:28" x14ac:dyDescent="0.2">
      <c r="B50" s="1" t="s">
        <v>71</v>
      </c>
      <c r="C50" s="6">
        <v>113683</v>
      </c>
      <c r="T50" s="6">
        <v>101479</v>
      </c>
      <c r="U50" s="6">
        <v>111313</v>
      </c>
      <c r="V50" s="6">
        <v>134667</v>
      </c>
      <c r="W50" s="6">
        <v>200360</v>
      </c>
      <c r="X50" s="6"/>
      <c r="Y50" s="6"/>
      <c r="Z50" s="6"/>
      <c r="AA50" s="6"/>
      <c r="AB50" s="6"/>
    </row>
    <row r="51" spans="1:28" x14ac:dyDescent="0.2">
      <c r="B51" s="1" t="s">
        <v>79</v>
      </c>
      <c r="C51" s="6">
        <v>101749</v>
      </c>
      <c r="T51" s="6">
        <v>100838</v>
      </c>
      <c r="U51" s="6">
        <v>122548</v>
      </c>
      <c r="V51" s="6">
        <v>169781</v>
      </c>
      <c r="W51" s="6">
        <v>226493</v>
      </c>
      <c r="X51" s="6"/>
      <c r="Y51" s="6"/>
      <c r="Z51" s="6"/>
      <c r="AA51" s="6"/>
      <c r="AB51" s="6"/>
    </row>
    <row r="52" spans="1:28" x14ac:dyDescent="0.2">
      <c r="B52" s="1" t="s">
        <v>72</v>
      </c>
      <c r="C52" s="6">
        <v>45134</v>
      </c>
      <c r="T52" s="6">
        <v>34700</v>
      </c>
      <c r="U52" s="6">
        <v>147618</v>
      </c>
      <c r="V52" s="6">
        <v>120179</v>
      </c>
      <c r="W52" s="6">
        <v>74083</v>
      </c>
      <c r="X52" s="6"/>
      <c r="Y52" s="6"/>
      <c r="Z52" s="6"/>
      <c r="AA52" s="6"/>
      <c r="AB52" s="6"/>
    </row>
    <row r="53" spans="1:28" x14ac:dyDescent="0.2">
      <c r="B53" s="1" t="s">
        <v>73</v>
      </c>
      <c r="C53" s="6">
        <v>45533</v>
      </c>
      <c r="T53" s="6">
        <v>41132</v>
      </c>
      <c r="U53" s="6">
        <v>39140</v>
      </c>
      <c r="V53" s="6">
        <v>37947</v>
      </c>
      <c r="W53" s="6">
        <f>71343+1697716</f>
        <v>1769059</v>
      </c>
      <c r="X53" s="6"/>
      <c r="Y53" s="6"/>
      <c r="Z53" s="6"/>
      <c r="AA53" s="6"/>
      <c r="AB53" s="6"/>
    </row>
    <row r="54" spans="1:28" s="7" customFormat="1" ht="15" x14ac:dyDescent="0.25">
      <c r="B54" s="7" t="s">
        <v>74</v>
      </c>
      <c r="C54" s="6">
        <f>SUM(C46:C53)</f>
        <v>1293895</v>
      </c>
      <c r="I54" s="28"/>
      <c r="T54" s="8">
        <f>SUM(T46:T53)</f>
        <v>1145566</v>
      </c>
      <c r="U54" s="8">
        <f>SUM(U46:U53)</f>
        <v>1779330</v>
      </c>
      <c r="V54" s="8">
        <f>SUM(V46:V53)</f>
        <v>1702559</v>
      </c>
      <c r="W54" s="8">
        <f>SUM(W46:W53)</f>
        <v>4473580</v>
      </c>
      <c r="X54" s="8"/>
      <c r="Y54" s="8"/>
      <c r="Z54" s="8"/>
      <c r="AA54" s="8"/>
      <c r="AB54" s="8"/>
    </row>
    <row r="55" spans="1:28" s="7" customFormat="1" ht="15" x14ac:dyDescent="0.25">
      <c r="B55" s="1" t="s">
        <v>80</v>
      </c>
      <c r="C55" s="6">
        <v>448976</v>
      </c>
      <c r="I55" s="28"/>
      <c r="T55" s="6">
        <v>438012</v>
      </c>
      <c r="U55" s="6">
        <v>481741</v>
      </c>
      <c r="V55" s="6">
        <v>538352</v>
      </c>
      <c r="W55" s="6">
        <v>2827627</v>
      </c>
      <c r="X55" s="8"/>
      <c r="Y55" s="8"/>
      <c r="Z55" s="8"/>
      <c r="AA55" s="8"/>
      <c r="AB55" s="8"/>
    </row>
    <row r="56" spans="1:28" s="7" customFormat="1" ht="15" x14ac:dyDescent="0.25">
      <c r="B56" s="1" t="s">
        <v>81</v>
      </c>
      <c r="C56" s="6">
        <v>449</v>
      </c>
      <c r="I56" s="28"/>
      <c r="T56" s="6">
        <v>453</v>
      </c>
      <c r="U56" s="6">
        <v>911</v>
      </c>
      <c r="V56" s="6">
        <v>639</v>
      </c>
      <c r="W56" s="6">
        <v>706</v>
      </c>
      <c r="X56" s="8"/>
      <c r="Y56" s="8"/>
      <c r="Z56" s="8"/>
      <c r="AA56" s="8"/>
      <c r="AB56" s="8"/>
    </row>
    <row r="57" spans="1:28" s="7" customFormat="1" ht="15" x14ac:dyDescent="0.25">
      <c r="B57" s="1" t="s">
        <v>82</v>
      </c>
      <c r="C57" s="6">
        <v>683197</v>
      </c>
      <c r="I57" s="28"/>
      <c r="T57" s="6">
        <v>657760</v>
      </c>
      <c r="U57" s="6">
        <v>942923</v>
      </c>
      <c r="V57" s="6">
        <v>1433014</v>
      </c>
      <c r="W57" s="6">
        <v>2641163</v>
      </c>
      <c r="X57" s="8"/>
      <c r="Y57" s="8"/>
      <c r="Z57" s="8"/>
      <c r="AA57" s="8"/>
      <c r="AB57" s="8"/>
    </row>
    <row r="58" spans="1:28" s="7" customFormat="1" ht="15" x14ac:dyDescent="0.25">
      <c r="B58" s="1" t="s">
        <v>102</v>
      </c>
      <c r="C58" s="6"/>
      <c r="I58" s="28"/>
      <c r="T58" s="6">
        <v>173</v>
      </c>
      <c r="U58" s="6">
        <v>172</v>
      </c>
      <c r="V58" s="6">
        <v>165</v>
      </c>
      <c r="W58" s="6">
        <v>164</v>
      </c>
      <c r="X58" s="8"/>
      <c r="Y58" s="8"/>
      <c r="Z58" s="8"/>
      <c r="AA58" s="8"/>
      <c r="AB58" s="8"/>
    </row>
    <row r="59" spans="1:28" s="7" customFormat="1" ht="15" x14ac:dyDescent="0.25">
      <c r="A59" s="31"/>
      <c r="B59" s="32" t="s">
        <v>75</v>
      </c>
      <c r="C59" s="6">
        <f>C55+C56+C57+176</f>
        <v>1132798</v>
      </c>
      <c r="I59" s="28"/>
      <c r="T59" s="8">
        <f>SUM(T55:T58)</f>
        <v>1096398</v>
      </c>
      <c r="U59" s="8">
        <f>SUM(U55:U58)</f>
        <v>1425747</v>
      </c>
      <c r="V59" s="8">
        <f>SUM(V55:V58)</f>
        <v>1972170</v>
      </c>
      <c r="W59" s="8">
        <f>SUM(W55:W58)</f>
        <v>5469660</v>
      </c>
      <c r="X59" s="8"/>
      <c r="Y59" s="8"/>
      <c r="Z59" s="8"/>
      <c r="AA59" s="8"/>
      <c r="AB59" s="8"/>
    </row>
    <row r="60" spans="1:28" s="7" customFormat="1" ht="15" x14ac:dyDescent="0.25">
      <c r="A60" s="31"/>
      <c r="B60" s="32" t="s">
        <v>76</v>
      </c>
      <c r="C60" s="6">
        <f>C59+C54</f>
        <v>2426693</v>
      </c>
      <c r="I60" s="28"/>
      <c r="T60" s="8">
        <f>T59+T54</f>
        <v>2241964</v>
      </c>
      <c r="U60" s="8">
        <f>U59+U54</f>
        <v>3205077</v>
      </c>
      <c r="V60" s="8">
        <f>V59+V54</f>
        <v>3674729</v>
      </c>
      <c r="W60" s="8">
        <f>W59+W54</f>
        <v>9943240</v>
      </c>
    </row>
    <row r="61" spans="1:28" s="31" customFormat="1" x14ac:dyDescent="0.2">
      <c r="A61" s="1"/>
      <c r="B61" s="1" t="s">
        <v>32</v>
      </c>
      <c r="I61" s="33"/>
      <c r="T61" s="6">
        <f t="shared" ref="T61:V61" si="54">T37-T52-T49</f>
        <v>134076</v>
      </c>
      <c r="U61" s="6">
        <f t="shared" si="54"/>
        <v>-329367</v>
      </c>
      <c r="V61" s="6">
        <f t="shared" si="54"/>
        <v>150157</v>
      </c>
      <c r="W61" s="6">
        <f>W37-W52-W49</f>
        <v>1193337</v>
      </c>
    </row>
    <row r="62" spans="1:28" s="31" customFormat="1" x14ac:dyDescent="0.2">
      <c r="A62" s="1"/>
      <c r="B62" s="1"/>
      <c r="I62" s="33"/>
    </row>
    <row r="63" spans="1:28" s="31" customFormat="1" ht="15" x14ac:dyDescent="0.25">
      <c r="B63" s="1" t="s">
        <v>103</v>
      </c>
      <c r="I63" s="33"/>
      <c r="U63" s="11">
        <f>U37/T37-1</f>
        <v>0.1512533044009885</v>
      </c>
      <c r="V63" s="11">
        <f t="shared" ref="V63:W63" si="55">V37/U37-1</f>
        <v>0.64720995373919687</v>
      </c>
      <c r="W63" s="34">
        <f t="shared" si="55"/>
        <v>2.7909680583209786</v>
      </c>
    </row>
    <row r="64" spans="1:28" ht="15" x14ac:dyDescent="0.25">
      <c r="B64" s="1" t="s">
        <v>105</v>
      </c>
      <c r="U64" s="11">
        <f>U54/T54-1</f>
        <v>0.55323220137469153</v>
      </c>
      <c r="V64" s="11">
        <f t="shared" ref="V64:W64" si="56">V54/U54-1</f>
        <v>-4.3146015635098567E-2</v>
      </c>
      <c r="W64" s="34">
        <f t="shared" si="56"/>
        <v>1.6275623928451233</v>
      </c>
    </row>
    <row r="65" spans="2:23" ht="15" x14ac:dyDescent="0.25">
      <c r="B65" s="1" t="s">
        <v>106</v>
      </c>
      <c r="U65" s="11">
        <f>U45/T45-1</f>
        <v>0.42958450715533347</v>
      </c>
      <c r="V65" s="11">
        <f>V45/U45-1</f>
        <v>0.14653376502342996</v>
      </c>
      <c r="W65" s="34">
        <f t="shared" ref="W65" si="57">W45/V45-1</f>
        <v>1.7058430703325334</v>
      </c>
    </row>
    <row r="66" spans="2:23" ht="15" x14ac:dyDescent="0.25">
      <c r="B66" s="1" t="s">
        <v>104</v>
      </c>
      <c r="U66" s="11">
        <f>U59/T59-1</f>
        <v>0.30039182851482771</v>
      </c>
      <c r="V66" s="11">
        <f t="shared" ref="V66:W66" si="58">V59/U59-1</f>
        <v>0.3832538311495659</v>
      </c>
      <c r="W66" s="34">
        <f t="shared" si="58"/>
        <v>1.7734221694884313</v>
      </c>
    </row>
    <row r="69" spans="2:23" x14ac:dyDescent="0.2">
      <c r="B69" s="1" t="s">
        <v>109</v>
      </c>
    </row>
    <row r="70" spans="2:23" x14ac:dyDescent="0.2">
      <c r="B70" s="1" t="s">
        <v>110</v>
      </c>
      <c r="U70" s="6">
        <v>285163</v>
      </c>
      <c r="V70" s="6">
        <v>639988</v>
      </c>
    </row>
    <row r="71" spans="2:23" x14ac:dyDescent="0.2">
      <c r="B71" s="1" t="s">
        <v>111</v>
      </c>
      <c r="U71" s="6">
        <v>32471</v>
      </c>
      <c r="V71" s="6">
        <v>32904</v>
      </c>
    </row>
    <row r="72" spans="2:23" x14ac:dyDescent="0.2">
      <c r="B72" s="1" t="s">
        <v>112</v>
      </c>
      <c r="U72" s="6">
        <v>32816</v>
      </c>
      <c r="V72" s="6">
        <v>54433</v>
      </c>
    </row>
    <row r="73" spans="2:23" x14ac:dyDescent="0.2">
      <c r="B73" s="1" t="s">
        <v>113</v>
      </c>
      <c r="U73" s="6">
        <v>-1206</v>
      </c>
      <c r="V73" s="6">
        <v>3633</v>
      </c>
    </row>
    <row r="74" spans="2:23" x14ac:dyDescent="0.2">
      <c r="B74" s="1" t="s">
        <v>114</v>
      </c>
      <c r="U74" s="6">
        <v>-13747</v>
      </c>
      <c r="V74" s="6">
        <v>-2619</v>
      </c>
    </row>
    <row r="75" spans="2:23" x14ac:dyDescent="0.2">
      <c r="B75" s="1" t="s">
        <v>64</v>
      </c>
      <c r="U75" s="6">
        <v>-6817</v>
      </c>
      <c r="V75" s="6">
        <v>-92969</v>
      </c>
    </row>
    <row r="76" spans="2:23" x14ac:dyDescent="0.2">
      <c r="B76" s="1" t="s">
        <v>115</v>
      </c>
      <c r="U76" s="6">
        <v>368</v>
      </c>
      <c r="V76" s="6">
        <v>-668</v>
      </c>
    </row>
    <row r="77" spans="2:23" x14ac:dyDescent="0.2">
      <c r="B77" s="1" t="s">
        <v>116</v>
      </c>
      <c r="U77" s="6">
        <v>-372438</v>
      </c>
      <c r="V77" s="6">
        <v>-311897</v>
      </c>
    </row>
    <row r="78" spans="2:23" x14ac:dyDescent="0.2">
      <c r="B78" s="1" t="s">
        <v>117</v>
      </c>
      <c r="U78" s="6">
        <v>-504642</v>
      </c>
      <c r="V78" s="6">
        <v>100042</v>
      </c>
    </row>
    <row r="79" spans="2:23" x14ac:dyDescent="0.2">
      <c r="B79" s="1" t="s">
        <v>118</v>
      </c>
      <c r="U79" s="6">
        <v>-28794</v>
      </c>
      <c r="V79" s="6">
        <v>8313</v>
      </c>
    </row>
    <row r="80" spans="2:23" x14ac:dyDescent="0.2">
      <c r="B80" s="1" t="s">
        <v>119</v>
      </c>
      <c r="U80" s="6">
        <v>50145</v>
      </c>
      <c r="V80" s="6">
        <v>127135</v>
      </c>
    </row>
    <row r="81" spans="2:23" x14ac:dyDescent="0.2">
      <c r="B81" s="1" t="s">
        <v>69</v>
      </c>
      <c r="U81" s="6">
        <v>29002</v>
      </c>
      <c r="V81" s="6">
        <v>87423</v>
      </c>
    </row>
    <row r="82" spans="2:23" x14ac:dyDescent="0.2">
      <c r="B82" s="1" t="s">
        <v>120</v>
      </c>
      <c r="U82" s="6">
        <v>35891</v>
      </c>
      <c r="V82" s="6">
        <v>-50311</v>
      </c>
    </row>
    <row r="83" spans="2:23" x14ac:dyDescent="0.2">
      <c r="B83" s="1" t="s">
        <v>71</v>
      </c>
      <c r="U83" s="6">
        <v>31544</v>
      </c>
      <c r="V83" s="6">
        <v>70587</v>
      </c>
    </row>
    <row r="84" spans="2:23" x14ac:dyDescent="0.2">
      <c r="B84" s="1" t="s">
        <v>121</v>
      </c>
      <c r="U84" s="6">
        <v>-10557</v>
      </c>
      <c r="V84" s="6">
        <v>-4424</v>
      </c>
    </row>
    <row r="85" spans="2:23" ht="15" x14ac:dyDescent="0.25">
      <c r="B85" s="7" t="s">
        <v>123</v>
      </c>
      <c r="U85" s="8">
        <f t="shared" ref="U85" si="59">U70+SUM(U71:U84)</f>
        <v>-440801</v>
      </c>
      <c r="V85" s="8">
        <f>V70+SUM(V71:V84)</f>
        <v>661570</v>
      </c>
      <c r="W85" s="6">
        <v>-635000</v>
      </c>
    </row>
    <row r="86" spans="2:23" x14ac:dyDescent="0.2">
      <c r="B86" s="1" t="s">
        <v>122</v>
      </c>
      <c r="U86" s="6">
        <v>522871</v>
      </c>
      <c r="V86" s="6">
        <v>-448293</v>
      </c>
    </row>
    <row r="89" spans="2:23" x14ac:dyDescent="0.2">
      <c r="B89" s="1" t="s">
        <v>30</v>
      </c>
      <c r="S89" s="6"/>
      <c r="T89" s="6"/>
      <c r="U89" s="6"/>
      <c r="V89" s="6"/>
      <c r="W89" s="6">
        <v>1670</v>
      </c>
    </row>
    <row r="90" spans="2:23" x14ac:dyDescent="0.2">
      <c r="B90" s="1" t="s">
        <v>31</v>
      </c>
      <c r="S90" s="6"/>
      <c r="T90" s="6"/>
      <c r="U90" s="6"/>
      <c r="V90" s="6"/>
      <c r="W90" s="6">
        <v>2174</v>
      </c>
    </row>
    <row r="91" spans="2:23" x14ac:dyDescent="0.2">
      <c r="B91" s="1" t="s">
        <v>32</v>
      </c>
      <c r="S91" s="6"/>
      <c r="T91" s="6"/>
      <c r="U91" s="6"/>
      <c r="V91" s="6"/>
      <c r="W91" s="6">
        <f>W89-W90</f>
        <v>-504</v>
      </c>
    </row>
    <row r="92" spans="2:23" x14ac:dyDescent="0.2">
      <c r="B92" s="1" t="s">
        <v>132</v>
      </c>
      <c r="S92" s="6"/>
      <c r="T92" s="6"/>
      <c r="U92" s="6"/>
      <c r="V92" s="6"/>
      <c r="W92" s="6">
        <v>-662000</v>
      </c>
    </row>
    <row r="93" spans="2:23" x14ac:dyDescent="0.2">
      <c r="B93" s="1" t="s">
        <v>133</v>
      </c>
      <c r="S93" s="6"/>
      <c r="T93" s="6"/>
      <c r="U93" s="6"/>
      <c r="V93" s="6"/>
      <c r="W93" s="6">
        <v>27</v>
      </c>
    </row>
    <row r="94" spans="2:23" s="7" customFormat="1" ht="15" x14ac:dyDescent="0.25">
      <c r="B94" s="7" t="s">
        <v>134</v>
      </c>
      <c r="I94" s="28"/>
      <c r="S94" s="8"/>
      <c r="T94" s="8"/>
      <c r="U94" s="8"/>
      <c r="V94" s="8"/>
      <c r="W94" s="8">
        <v>-635000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2024-11-22T16:25:22Z</dcterms:created>
  <dcterms:modified xsi:type="dcterms:W3CDTF">2025-02-11T10:32:03Z</dcterms:modified>
</cp:coreProperties>
</file>