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F47AA920-E9FE-45B7-8D21-1126AB566AD2}" xr6:coauthVersionLast="47" xr6:coauthVersionMax="47" xr10:uidLastSave="{00000000-0000-0000-0000-000000000000}"/>
  <bookViews>
    <workbookView xWindow="9915" yWindow="2145" windowWidth="18630" windowHeight="11940" activeTab="2" xr2:uid="{43FCD743-58A8-48E0-B806-0075CD1B8A7B}"/>
  </bookViews>
  <sheets>
    <sheet name="Main" sheetId="1" r:id="rId1"/>
    <sheet name="Model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R10" i="2"/>
  <c r="R14" i="2"/>
  <c r="R19" i="2"/>
  <c r="R17" i="2"/>
  <c r="R16" i="2"/>
  <c r="R13" i="2"/>
  <c r="R12" i="2"/>
  <c r="R11" i="2"/>
  <c r="R9" i="2"/>
  <c r="R8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R2" i="2"/>
  <c r="Q12" i="2"/>
  <c r="Q11" i="2"/>
  <c r="L21" i="1"/>
  <c r="I27" i="2"/>
  <c r="H27" i="2"/>
  <c r="G27" i="2"/>
  <c r="E27" i="2"/>
  <c r="D27" i="2"/>
  <c r="C27" i="2"/>
  <c r="J19" i="2"/>
  <c r="K19" i="2" s="1"/>
  <c r="L19" i="2" s="1"/>
  <c r="M19" i="2" s="1"/>
  <c r="N19" i="2" s="1"/>
  <c r="J17" i="2"/>
  <c r="K17" i="2" s="1"/>
  <c r="L17" i="2" s="1"/>
  <c r="M17" i="2" s="1"/>
  <c r="N17" i="2" s="1"/>
  <c r="J16" i="2"/>
  <c r="K16" i="2" s="1"/>
  <c r="L16" i="2" s="1"/>
  <c r="M16" i="2" s="1"/>
  <c r="N16" i="2" s="1"/>
  <c r="J13" i="2"/>
  <c r="K13" i="2" s="1"/>
  <c r="L13" i="2" s="1"/>
  <c r="M13" i="2" s="1"/>
  <c r="N13" i="2" s="1"/>
  <c r="K12" i="2"/>
  <c r="L12" i="2" s="1"/>
  <c r="M12" i="2" s="1"/>
  <c r="N12" i="2" s="1"/>
  <c r="L11" i="2"/>
  <c r="M8" i="2"/>
  <c r="M6" i="2" s="1"/>
  <c r="L8" i="2"/>
  <c r="L6" i="2" s="1"/>
  <c r="K8" i="2"/>
  <c r="K6" i="2" s="1"/>
  <c r="J22" i="1"/>
  <c r="J21" i="1"/>
  <c r="J20" i="1"/>
  <c r="J23" i="1" s="1"/>
  <c r="C24" i="1"/>
  <c r="C23" i="1"/>
  <c r="C26" i="1"/>
  <c r="C22" i="1"/>
  <c r="I24" i="2"/>
  <c r="H24" i="2"/>
  <c r="G24" i="2"/>
  <c r="F19" i="2"/>
  <c r="F17" i="2"/>
  <c r="F16" i="2"/>
  <c r="F13" i="2"/>
  <c r="F12" i="2"/>
  <c r="F11" i="2"/>
  <c r="K11" i="2" s="1"/>
  <c r="M11" i="2" s="1"/>
  <c r="F8" i="2"/>
  <c r="C9" i="2"/>
  <c r="C10" i="2" s="1"/>
  <c r="C14" i="2"/>
  <c r="G9" i="2"/>
  <c r="G10" i="2" s="1"/>
  <c r="G25" i="2" s="1"/>
  <c r="G14" i="2"/>
  <c r="D9" i="2"/>
  <c r="D10" i="2" s="1"/>
  <c r="D25" i="2" s="1"/>
  <c r="D14" i="2"/>
  <c r="H9" i="2"/>
  <c r="H10" i="2" s="1"/>
  <c r="H25" i="2" s="1"/>
  <c r="H14" i="2"/>
  <c r="E9" i="2"/>
  <c r="E10" i="2" s="1"/>
  <c r="E25" i="2" s="1"/>
  <c r="E14" i="2"/>
  <c r="I14" i="2"/>
  <c r="J14" i="2" s="1"/>
  <c r="K14" i="2" s="1"/>
  <c r="L14" i="2" s="1"/>
  <c r="M14" i="2" s="1"/>
  <c r="N14" i="2" s="1"/>
  <c r="I9" i="2"/>
  <c r="I10" i="2" s="1"/>
  <c r="R15" i="2" l="1"/>
  <c r="R18" i="2" s="1"/>
  <c r="R20" i="2" s="1"/>
  <c r="R21" i="2" s="1"/>
  <c r="K3" i="2"/>
  <c r="K5" i="2"/>
  <c r="K10" i="2"/>
  <c r="K9" i="2" s="1"/>
  <c r="F27" i="2"/>
  <c r="K24" i="2"/>
  <c r="Q13" i="2"/>
  <c r="Q14" i="2" s="1"/>
  <c r="J6" i="2"/>
  <c r="J10" i="2"/>
  <c r="J9" i="2" s="1"/>
  <c r="Q9" i="2" s="1"/>
  <c r="J24" i="2"/>
  <c r="Q8" i="2"/>
  <c r="J3" i="2"/>
  <c r="J4" i="2"/>
  <c r="N8" i="2"/>
  <c r="Q16" i="2"/>
  <c r="L24" i="2"/>
  <c r="L3" i="2"/>
  <c r="L5" i="2"/>
  <c r="L10" i="2"/>
  <c r="L9" i="2" s="1"/>
  <c r="M24" i="2"/>
  <c r="M3" i="2"/>
  <c r="M5" i="2"/>
  <c r="M10" i="2"/>
  <c r="M9" i="2" s="1"/>
  <c r="Q19" i="2"/>
  <c r="M4" i="2"/>
  <c r="N11" i="2"/>
  <c r="K4" i="2"/>
  <c r="I15" i="2"/>
  <c r="L4" i="2"/>
  <c r="Q17" i="2"/>
  <c r="J5" i="2"/>
  <c r="F14" i="2"/>
  <c r="F10" i="2"/>
  <c r="F25" i="2" s="1"/>
  <c r="F9" i="2"/>
  <c r="I25" i="2"/>
  <c r="C25" i="2"/>
  <c r="C15" i="2"/>
  <c r="C18" i="2" s="1"/>
  <c r="C20" i="2" s="1"/>
  <c r="C26" i="2" s="1"/>
  <c r="G15" i="2"/>
  <c r="G18" i="2" s="1"/>
  <c r="G20" i="2" s="1"/>
  <c r="G26" i="2" s="1"/>
  <c r="D15" i="2"/>
  <c r="D18" i="2" s="1"/>
  <c r="D20" i="2" s="1"/>
  <c r="D26" i="2" s="1"/>
  <c r="H15" i="2"/>
  <c r="H18" i="2" s="1"/>
  <c r="H20" i="2" s="1"/>
  <c r="H26" i="2" s="1"/>
  <c r="E15" i="2"/>
  <c r="E18" i="2" s="1"/>
  <c r="E20" i="2" s="1"/>
  <c r="E26" i="2" s="1"/>
  <c r="F15" i="2" l="1"/>
  <c r="F18" i="2" s="1"/>
  <c r="F20" i="2" s="1"/>
  <c r="F26" i="2" s="1"/>
  <c r="Q15" i="2"/>
  <c r="N10" i="2"/>
  <c r="N9" i="2" s="1"/>
  <c r="N5" i="2"/>
  <c r="N3" i="2"/>
  <c r="N6" i="2"/>
  <c r="N4" i="2"/>
  <c r="N24" i="2"/>
  <c r="I18" i="2"/>
  <c r="J15" i="2"/>
  <c r="K15" i="2" s="1"/>
  <c r="L15" i="2" s="1"/>
  <c r="M15" i="2" s="1"/>
  <c r="N15" i="2" s="1"/>
  <c r="Q18" i="2"/>
  <c r="Q20" i="2" s="1"/>
  <c r="Q21" i="2" l="1"/>
  <c r="P29" i="2"/>
  <c r="I20" i="2"/>
  <c r="I26" i="2" s="1"/>
  <c r="J18" i="2"/>
  <c r="K18" i="2" l="1"/>
  <c r="J20" i="2"/>
  <c r="L18" i="2" l="1"/>
  <c r="K20" i="2"/>
  <c r="M18" i="2" l="1"/>
  <c r="L20" i="2"/>
  <c r="N18" i="2" l="1"/>
  <c r="N20" i="2" s="1"/>
  <c r="M20" i="2"/>
</calcChain>
</file>

<file path=xl/sharedStrings.xml><?xml version="1.0" encoding="utf-8"?>
<sst xmlns="http://schemas.openxmlformats.org/spreadsheetml/2006/main" count="96" uniqueCount="86">
  <si>
    <t>Price</t>
  </si>
  <si>
    <t>Shares</t>
  </si>
  <si>
    <t>MC</t>
  </si>
  <si>
    <t>Cash</t>
  </si>
  <si>
    <t>Debt</t>
  </si>
  <si>
    <t>EV</t>
  </si>
  <si>
    <t>Q324</t>
  </si>
  <si>
    <t>Products</t>
  </si>
  <si>
    <t>x86 microprocessors</t>
  </si>
  <si>
    <t>GPUs</t>
  </si>
  <si>
    <t>standalone or in APUs</t>
  </si>
  <si>
    <t>chipsets</t>
  </si>
  <si>
    <t>data center and professional GPUs</t>
  </si>
  <si>
    <t>embedded processors</t>
  </si>
  <si>
    <t>SoC products</t>
  </si>
  <si>
    <t>microprocessor and SoC development services</t>
  </si>
  <si>
    <t>DPUs</t>
  </si>
  <si>
    <t>FPGAs</t>
  </si>
  <si>
    <t>SOMs</t>
  </si>
  <si>
    <t>SmartNICs</t>
  </si>
  <si>
    <t>AI accelerators and Adaptive SoC products</t>
  </si>
  <si>
    <t>Intellectual property porfolio</t>
  </si>
  <si>
    <t>Only Intel, AMD, VIA tech, DM&amp;P hold x86 architectural licenses</t>
  </si>
  <si>
    <t>Main</t>
  </si>
  <si>
    <t>Revenue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</si>
  <si>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</si>
  <si>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</si>
  <si>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</si>
  <si>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</si>
  <si>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</si>
  <si>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</si>
  <si>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</si>
  <si>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</si>
  <si>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</si>
  <si>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</si>
  <si>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</si>
  <si>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Profit</t>
  </si>
  <si>
    <t>R&amp;D</t>
  </si>
  <si>
    <t>Competitors</t>
  </si>
  <si>
    <t>S</t>
  </si>
  <si>
    <t>W</t>
  </si>
  <si>
    <t>O</t>
  </si>
  <si>
    <t>T</t>
  </si>
  <si>
    <t>Growing market</t>
  </si>
  <si>
    <t>programmable accelerator that makes networking, security and storage efficient</t>
  </si>
  <si>
    <t>Intel</t>
  </si>
  <si>
    <t>Nvidia</t>
  </si>
  <si>
    <t>M,G&amp;A</t>
  </si>
  <si>
    <t>Amortization</t>
  </si>
  <si>
    <t>Operating Income</t>
  </si>
  <si>
    <t>Operating expenses</t>
  </si>
  <si>
    <t>Interest expense</t>
  </si>
  <si>
    <t>Other</t>
  </si>
  <si>
    <t>Pretax Income</t>
  </si>
  <si>
    <t>Taxes</t>
  </si>
  <si>
    <t>Net income</t>
  </si>
  <si>
    <t>Q123</t>
  </si>
  <si>
    <t>30/12/2023</t>
  </si>
  <si>
    <t>Revenue y/y</t>
  </si>
  <si>
    <t>Gross Margin</t>
  </si>
  <si>
    <t>EPS</t>
  </si>
  <si>
    <t>Data Center</t>
  </si>
  <si>
    <t>Client</t>
  </si>
  <si>
    <t>Gaming</t>
  </si>
  <si>
    <t>Embedded</t>
  </si>
  <si>
    <t>"We are on-track to deliver record annual revenue for 2024 based on significant growth in our Data Center and Client segments."</t>
  </si>
  <si>
    <t>Q4 2024, AMD expects Revenue 7,5B +- 300m</t>
  </si>
  <si>
    <t>high-performance computing, graphics, and visualization technologies.</t>
  </si>
  <si>
    <t>to-do:</t>
  </si>
  <si>
    <t>watch previous press releases, go a year back</t>
  </si>
  <si>
    <t>research management</t>
  </si>
  <si>
    <t>figure out a discount rate</t>
  </si>
  <si>
    <t>P/e</t>
  </si>
  <si>
    <t xml:space="preserve">PEG </t>
  </si>
  <si>
    <t>P/E divided by EPS growth rate</t>
  </si>
  <si>
    <t>Terminal</t>
  </si>
  <si>
    <t>Discount</t>
  </si>
  <si>
    <t>NPV</t>
  </si>
  <si>
    <t>Share</t>
  </si>
  <si>
    <t>Current</t>
  </si>
  <si>
    <t>Difference</t>
  </si>
  <si>
    <t>R/D of Revenue</t>
  </si>
  <si>
    <t>Radeon RX 9070 XT</t>
  </si>
  <si>
    <t>GDDR6</t>
  </si>
  <si>
    <t>GHz</t>
  </si>
  <si>
    <t>Radeon RX 9070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</si>
</sst>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  <charset val="186"/>
    </font>
    <font>
      <u/>
      <sz val="11"/>
      <color theme="1"/>
      <name val="Arial"/>
      <family val="2"/>
      <charset val="186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1" applyFont="1"/>
    <xf numFmtId="14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5" fillId="0" borderId="0" xfId="0" applyFont="1"/>
    <xf numFmtId="2" fontId="1" fillId="0" borderId="0" xfId="0" applyNumberFormat="1" applyFont="1"/>
    <xf numFmtId="40" fontId="2" fillId="0" borderId="0" xfId="0" applyNumberFormat="1" applyFont="1"/>
    <xf numFmtId="0" fontId="6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0</xdr:row>
      <xdr:rowOff>47625</xdr:rowOff>
    </xdr:from>
    <xdr:to>
      <xdr:col>9</xdr:col>
      <xdr:colOff>9525</xdr:colOff>
      <xdr:row>39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FB0BC2-200C-A090-1A70-6DE3B2429FA5}"/>
            </a:ext>
          </a:extLst>
        </xdr:cNvPr>
        <xdr:cNvCxnSpPr/>
      </xdr:nvCxnSpPr>
      <xdr:spPr>
        <a:xfrm>
          <a:off x="6429375" y="47625"/>
          <a:ext cx="19050" cy="606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md.com/news-events/press-releases/detail/1238/amd-unveils-next-generation-amd-rdna-4-architecture-wi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408D-00DF-49A4-8539-35C15A6A169F}">
  <dimension ref="B2:R35"/>
  <sheetViews>
    <sheetView topLeftCell="A30" workbookViewId="0">
      <selection activeCell="J19" sqref="J19"/>
    </sheetView>
  </sheetViews>
  <sheetFormatPr defaultRowHeight="14.25" x14ac:dyDescent="0.2"/>
  <cols>
    <col min="1" max="1" width="9.140625" style="2"/>
    <col min="2" max="2" width="17.85546875" style="2" customWidth="1"/>
    <col min="3" max="8" width="9.140625" style="2"/>
    <col min="9" max="9" width="12.42578125" style="2" bestFit="1" customWidth="1"/>
    <col min="10" max="10" width="15.85546875" style="2" bestFit="1" customWidth="1"/>
    <col min="11" max="16384" width="9.140625" style="2"/>
  </cols>
  <sheetData>
    <row r="2" spans="2:18" x14ac:dyDescent="0.2">
      <c r="B2" s="2" t="s">
        <v>67</v>
      </c>
    </row>
    <row r="4" spans="2:18" ht="15" x14ac:dyDescent="0.25">
      <c r="B4" s="1" t="s">
        <v>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R4" s="3"/>
    </row>
    <row r="5" spans="2:18" x14ac:dyDescent="0.2">
      <c r="B5" s="2" t="s">
        <v>8</v>
      </c>
      <c r="I5" s="2" t="s">
        <v>45</v>
      </c>
      <c r="J5" s="2" t="s">
        <v>43</v>
      </c>
      <c r="R5" s="3"/>
    </row>
    <row r="6" spans="2:18" x14ac:dyDescent="0.2">
      <c r="B6" s="2" t="s">
        <v>9</v>
      </c>
      <c r="C6" s="2" t="s">
        <v>10</v>
      </c>
      <c r="I6" s="2" t="s">
        <v>46</v>
      </c>
      <c r="R6" s="3"/>
    </row>
    <row r="7" spans="2:18" x14ac:dyDescent="0.2">
      <c r="B7" s="2" t="s">
        <v>11</v>
      </c>
      <c r="I7" s="2" t="s">
        <v>73</v>
      </c>
      <c r="J7" s="2" t="s">
        <v>74</v>
      </c>
      <c r="R7" s="3"/>
    </row>
    <row r="8" spans="2:18" x14ac:dyDescent="0.2">
      <c r="B8" s="2" t="s">
        <v>12</v>
      </c>
      <c r="R8" s="3"/>
    </row>
    <row r="9" spans="2:18" x14ac:dyDescent="0.2">
      <c r="B9" s="2" t="s">
        <v>13</v>
      </c>
      <c r="R9" s="3"/>
    </row>
    <row r="10" spans="2:18" x14ac:dyDescent="0.2">
      <c r="B10" s="2" t="s">
        <v>14</v>
      </c>
      <c r="R10" s="3"/>
    </row>
    <row r="11" spans="2:18" x14ac:dyDescent="0.2">
      <c r="B11" s="2" t="s">
        <v>15</v>
      </c>
    </row>
    <row r="12" spans="2:18" x14ac:dyDescent="0.2">
      <c r="B12" s="2" t="s">
        <v>16</v>
      </c>
    </row>
    <row r="13" spans="2:18" x14ac:dyDescent="0.2">
      <c r="B13" s="2" t="s">
        <v>17</v>
      </c>
    </row>
    <row r="14" spans="2:18" x14ac:dyDescent="0.2">
      <c r="B14" s="2" t="s">
        <v>18</v>
      </c>
    </row>
    <row r="15" spans="2:18" x14ac:dyDescent="0.2">
      <c r="B15" s="2" t="s">
        <v>19</v>
      </c>
      <c r="C15" s="2" t="s">
        <v>44</v>
      </c>
    </row>
    <row r="16" spans="2:18" x14ac:dyDescent="0.2">
      <c r="B16" s="2" t="s">
        <v>20</v>
      </c>
    </row>
    <row r="17" spans="2:12" x14ac:dyDescent="0.2">
      <c r="B17" s="2" t="s">
        <v>21</v>
      </c>
    </row>
    <row r="18" spans="2:12" x14ac:dyDescent="0.2">
      <c r="I18" s="2" t="s">
        <v>0</v>
      </c>
      <c r="J18" s="3">
        <v>118</v>
      </c>
    </row>
    <row r="19" spans="2:12" x14ac:dyDescent="0.2">
      <c r="I19" s="2" t="s">
        <v>1</v>
      </c>
      <c r="J19" s="3">
        <v>1622</v>
      </c>
      <c r="K19" s="2" t="s">
        <v>6</v>
      </c>
    </row>
    <row r="20" spans="2:12" x14ac:dyDescent="0.2">
      <c r="B20" s="2" t="s">
        <v>22</v>
      </c>
      <c r="I20" s="2" t="s">
        <v>2</v>
      </c>
      <c r="J20" s="3">
        <f>J19*J18</f>
        <v>191396</v>
      </c>
    </row>
    <row r="21" spans="2:12" x14ac:dyDescent="0.2">
      <c r="I21" s="2" t="s">
        <v>3</v>
      </c>
      <c r="J21" s="3">
        <f>3897+647</f>
        <v>4544</v>
      </c>
      <c r="K21" s="2" t="s">
        <v>6</v>
      </c>
      <c r="L21" s="3">
        <f>+J21-J22</f>
        <v>2824</v>
      </c>
    </row>
    <row r="22" spans="2:12" x14ac:dyDescent="0.2">
      <c r="B22" s="2" t="s">
        <v>61</v>
      </c>
      <c r="C22" s="7">
        <f>Model!I3/Model!I8</f>
        <v>0.52045754509458864</v>
      </c>
      <c r="I22" s="2" t="s">
        <v>4</v>
      </c>
      <c r="J22" s="3">
        <f>1720</f>
        <v>1720</v>
      </c>
      <c r="K22" s="2" t="s">
        <v>6</v>
      </c>
    </row>
    <row r="23" spans="2:12" x14ac:dyDescent="0.2">
      <c r="B23" s="2" t="s">
        <v>62</v>
      </c>
      <c r="C23" s="7">
        <f>Model!I4/Model!I8</f>
        <v>0.27584689837219534</v>
      </c>
      <c r="I23" s="2" t="s">
        <v>5</v>
      </c>
      <c r="J23" s="3">
        <f>J20-J21+J22</f>
        <v>188572</v>
      </c>
    </row>
    <row r="24" spans="2:12" x14ac:dyDescent="0.2">
      <c r="B24" s="2" t="s">
        <v>63</v>
      </c>
      <c r="C24" s="7">
        <f>Model!I5/Model!I8</f>
        <v>6.775186977562693E-2</v>
      </c>
      <c r="I24" s="2" t="s">
        <v>72</v>
      </c>
      <c r="J24" s="3"/>
    </row>
    <row r="25" spans="2:12" x14ac:dyDescent="0.2">
      <c r="B25" s="2" t="s">
        <v>64</v>
      </c>
      <c r="C25" s="7">
        <v>0.14000000000000001</v>
      </c>
      <c r="I25" s="2">
        <v>1.1499999999999999</v>
      </c>
    </row>
    <row r="26" spans="2:12" x14ac:dyDescent="0.2">
      <c r="B26" s="2" t="s">
        <v>52</v>
      </c>
      <c r="C26" s="7">
        <f>Model!I7/Model!I12</f>
        <v>0</v>
      </c>
    </row>
    <row r="28" spans="2:12" x14ac:dyDescent="0.2">
      <c r="B28" s="2" t="s">
        <v>65</v>
      </c>
    </row>
    <row r="30" spans="2:12" x14ac:dyDescent="0.2">
      <c r="B30" s="2" t="s">
        <v>66</v>
      </c>
    </row>
    <row r="32" spans="2:12" x14ac:dyDescent="0.2">
      <c r="B32" s="9" t="s">
        <v>68</v>
      </c>
    </row>
    <row r="33" spans="2:2" x14ac:dyDescent="0.2">
      <c r="B33" s="2" t="s">
        <v>69</v>
      </c>
    </row>
    <row r="34" spans="2:2" x14ac:dyDescent="0.2">
      <c r="B34" s="2" t="s">
        <v>70</v>
      </c>
    </row>
    <row r="35" spans="2:2" x14ac:dyDescent="0.2">
      <c r="B35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EDB9-4F77-4717-B90B-F4BF71763D31}">
  <dimension ref="A1:AF33"/>
  <sheetViews>
    <sheetView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CO27" sqref="CO27"/>
    </sheetView>
  </sheetViews>
  <sheetFormatPr defaultRowHeight="14.25" x14ac:dyDescent="0.2"/>
  <cols>
    <col min="1" max="1" width="5.42578125" style="2" bestFit="1" customWidth="1"/>
    <col min="2" max="2" width="20" style="2" bestFit="1" customWidth="1"/>
    <col min="3" max="3" width="9.140625" style="2"/>
    <col min="4" max="5" width="10.140625" style="2" bestFit="1" customWidth="1"/>
    <col min="6" max="6" width="11.28515625" style="2" bestFit="1" customWidth="1"/>
    <col min="7" max="9" width="10.140625" style="2" bestFit="1" customWidth="1"/>
    <col min="10" max="10" width="9.7109375" style="2" bestFit="1" customWidth="1"/>
    <col min="11" max="15" width="9.140625" style="2"/>
    <col min="16" max="16" width="12" style="2" bestFit="1" customWidth="1"/>
    <col min="17" max="16384" width="9.140625" style="2"/>
  </cols>
  <sheetData>
    <row r="1" spans="1:32" x14ac:dyDescent="0.2">
      <c r="A1" s="4" t="s">
        <v>23</v>
      </c>
      <c r="C1" s="5">
        <v>45017</v>
      </c>
      <c r="D1" s="5">
        <v>45107</v>
      </c>
      <c r="E1" s="5">
        <v>45199</v>
      </c>
      <c r="F1" s="2" t="s">
        <v>57</v>
      </c>
      <c r="G1" s="5">
        <v>45381</v>
      </c>
      <c r="H1" s="5">
        <v>45472</v>
      </c>
      <c r="I1" s="5">
        <v>45563</v>
      </c>
    </row>
    <row r="2" spans="1:32" x14ac:dyDescent="0.2">
      <c r="C2" s="2" t="s">
        <v>56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6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Q2" s="2">
        <v>2024</v>
      </c>
      <c r="R2" s="2">
        <f>+Q2+1</f>
        <v>2025</v>
      </c>
      <c r="S2" s="2">
        <f t="shared" ref="S2:AF2" si="0">+R2+1</f>
        <v>2026</v>
      </c>
      <c r="T2" s="2">
        <f t="shared" si="0"/>
        <v>2027</v>
      </c>
      <c r="U2" s="2">
        <f t="shared" si="0"/>
        <v>2028</v>
      </c>
      <c r="V2" s="2">
        <f t="shared" si="0"/>
        <v>2029</v>
      </c>
      <c r="W2" s="2">
        <f t="shared" si="0"/>
        <v>2030</v>
      </c>
      <c r="X2" s="2">
        <f t="shared" si="0"/>
        <v>2031</v>
      </c>
      <c r="Y2" s="2">
        <f t="shared" si="0"/>
        <v>2032</v>
      </c>
      <c r="Z2" s="2">
        <f t="shared" si="0"/>
        <v>2033</v>
      </c>
      <c r="AA2" s="2">
        <f t="shared" si="0"/>
        <v>2034</v>
      </c>
      <c r="AB2" s="2">
        <f t="shared" si="0"/>
        <v>2035</v>
      </c>
      <c r="AC2" s="2">
        <f t="shared" si="0"/>
        <v>2036</v>
      </c>
      <c r="AD2" s="2">
        <f t="shared" si="0"/>
        <v>2037</v>
      </c>
      <c r="AE2" s="2">
        <f t="shared" si="0"/>
        <v>2038</v>
      </c>
      <c r="AF2" s="2">
        <f t="shared" si="0"/>
        <v>2039</v>
      </c>
    </row>
    <row r="3" spans="1:32" x14ac:dyDescent="0.2">
      <c r="B3" s="2" t="s">
        <v>61</v>
      </c>
      <c r="I3" s="3">
        <v>3549</v>
      </c>
      <c r="J3" s="3">
        <f>J8*0.52</f>
        <v>3900</v>
      </c>
      <c r="K3" s="3">
        <f t="shared" ref="K3:N3" si="1">K8*0.52</f>
        <v>2789.0408000000002</v>
      </c>
      <c r="L3" s="3">
        <f t="shared" si="1"/>
        <v>2973.5160000000001</v>
      </c>
      <c r="M3" s="3">
        <f t="shared" si="1"/>
        <v>3474.9623999999999</v>
      </c>
      <c r="N3" s="3">
        <f t="shared" si="1"/>
        <v>3822</v>
      </c>
    </row>
    <row r="4" spans="1:32" x14ac:dyDescent="0.2">
      <c r="B4" s="2" t="s">
        <v>62</v>
      </c>
      <c r="I4" s="3">
        <v>1881</v>
      </c>
      <c r="J4" s="3">
        <f>J8*0.28</f>
        <v>2100</v>
      </c>
      <c r="K4" s="3">
        <f t="shared" ref="K4:N4" si="2">K8*0.28</f>
        <v>1501.7912000000001</v>
      </c>
      <c r="L4" s="3">
        <f t="shared" si="2"/>
        <v>1601.1240000000003</v>
      </c>
      <c r="M4" s="3">
        <f t="shared" si="2"/>
        <v>1871.1336000000001</v>
      </c>
      <c r="N4" s="3">
        <f t="shared" si="2"/>
        <v>2058</v>
      </c>
    </row>
    <row r="5" spans="1:32" x14ac:dyDescent="0.2">
      <c r="B5" s="2" t="s">
        <v>63</v>
      </c>
      <c r="I5" s="3">
        <v>462</v>
      </c>
      <c r="J5" s="3">
        <f>J8*0.07</f>
        <v>525</v>
      </c>
      <c r="K5" s="3">
        <f t="shared" ref="K5:N5" si="3">K8*0.07</f>
        <v>375.44780000000003</v>
      </c>
      <c r="L5" s="3">
        <f t="shared" si="3"/>
        <v>400.28100000000006</v>
      </c>
      <c r="M5" s="3">
        <f t="shared" si="3"/>
        <v>467.78340000000003</v>
      </c>
      <c r="N5" s="3">
        <f t="shared" si="3"/>
        <v>514.5</v>
      </c>
    </row>
    <row r="6" spans="1:32" x14ac:dyDescent="0.2">
      <c r="B6" s="2" t="s">
        <v>64</v>
      </c>
      <c r="I6" s="3">
        <v>927</v>
      </c>
      <c r="J6" s="3">
        <f>J8*0.14</f>
        <v>1050</v>
      </c>
      <c r="K6" s="3">
        <f t="shared" ref="K6:N6" si="4">K8*0.14</f>
        <v>750.89560000000006</v>
      </c>
      <c r="L6" s="3">
        <f t="shared" si="4"/>
        <v>800.56200000000013</v>
      </c>
      <c r="M6" s="3">
        <f t="shared" si="4"/>
        <v>935.56680000000006</v>
      </c>
      <c r="N6" s="3">
        <f t="shared" si="4"/>
        <v>1029</v>
      </c>
    </row>
    <row r="7" spans="1:32" x14ac:dyDescent="0.2">
      <c r="B7" s="2" t="s">
        <v>52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32" s="1" customFormat="1" ht="15" x14ac:dyDescent="0.25">
      <c r="B8" s="1" t="s">
        <v>24</v>
      </c>
      <c r="C8" s="6">
        <v>5353</v>
      </c>
      <c r="D8" s="6">
        <v>5359</v>
      </c>
      <c r="E8" s="6">
        <v>5800</v>
      </c>
      <c r="F8" s="6">
        <f>22680-(SUM(C8:E8))</f>
        <v>6168</v>
      </c>
      <c r="G8" s="6">
        <v>5473</v>
      </c>
      <c r="H8" s="6">
        <v>5835</v>
      </c>
      <c r="I8" s="6">
        <v>6819</v>
      </c>
      <c r="J8" s="6">
        <v>7500</v>
      </c>
      <c r="K8" s="6">
        <f t="shared" ref="K8:N8" si="5">+G8*0.98</f>
        <v>5363.54</v>
      </c>
      <c r="L8" s="6">
        <f t="shared" si="5"/>
        <v>5718.3</v>
      </c>
      <c r="M8" s="6">
        <f t="shared" si="5"/>
        <v>6682.62</v>
      </c>
      <c r="N8" s="6">
        <f t="shared" si="5"/>
        <v>7350</v>
      </c>
      <c r="Q8" s="6">
        <f>+SUM(G8:J8)</f>
        <v>25627</v>
      </c>
      <c r="R8" s="6">
        <f>+SUM(K8:N8)</f>
        <v>25114.46</v>
      </c>
    </row>
    <row r="9" spans="1:32" x14ac:dyDescent="0.2">
      <c r="B9" s="2" t="s">
        <v>35</v>
      </c>
      <c r="C9" s="3">
        <f>2689+305</f>
        <v>2994</v>
      </c>
      <c r="D9" s="3">
        <f>2704+212</f>
        <v>2916</v>
      </c>
      <c r="E9" s="3">
        <f>2843+210</f>
        <v>3053</v>
      </c>
      <c r="F9" s="3">
        <f>11278+942-(SUM(C9:E9))</f>
        <v>3257</v>
      </c>
      <c r="G9" s="3">
        <f>2683+230</f>
        <v>2913</v>
      </c>
      <c r="H9" s="3">
        <f>2740+231</f>
        <v>2971</v>
      </c>
      <c r="I9" s="3">
        <f>3167+233</f>
        <v>3400</v>
      </c>
      <c r="J9" s="3">
        <f>+J8-J10</f>
        <v>3750</v>
      </c>
      <c r="K9" s="3">
        <f t="shared" ref="K9:N9" si="6">+K8-K10</f>
        <v>2681.77</v>
      </c>
      <c r="L9" s="3">
        <f t="shared" si="6"/>
        <v>2859.15</v>
      </c>
      <c r="M9" s="3">
        <f t="shared" si="6"/>
        <v>3341.31</v>
      </c>
      <c r="N9" s="3">
        <f t="shared" si="6"/>
        <v>3675</v>
      </c>
      <c r="Q9" s="3">
        <f>+SUM(G9:J9)</f>
        <v>13034</v>
      </c>
      <c r="R9" s="3">
        <f>+SUM(K9:N9)</f>
        <v>12557.23</v>
      </c>
    </row>
    <row r="10" spans="1:32" s="1" customFormat="1" ht="15" x14ac:dyDescent="0.25">
      <c r="B10" s="1" t="s">
        <v>36</v>
      </c>
      <c r="C10" s="6">
        <f t="shared" ref="C10" si="7">C8-C9</f>
        <v>2359</v>
      </c>
      <c r="D10" s="6">
        <f t="shared" ref="D10" si="8">D8-D9</f>
        <v>2443</v>
      </c>
      <c r="E10" s="6">
        <f>E8-E9</f>
        <v>2747</v>
      </c>
      <c r="F10" s="6">
        <f>10460-(SUM(C10:E10))</f>
        <v>2911</v>
      </c>
      <c r="G10" s="6">
        <f t="shared" ref="G10" si="9">G8-G9</f>
        <v>2560</v>
      </c>
      <c r="H10" s="6">
        <f>H8-H9</f>
        <v>2864</v>
      </c>
      <c r="I10" s="6">
        <f>I8-I9</f>
        <v>3419</v>
      </c>
      <c r="J10" s="6">
        <f>+J8*0.5</f>
        <v>3750</v>
      </c>
      <c r="K10" s="6">
        <f>+K8*0.5</f>
        <v>2681.77</v>
      </c>
      <c r="L10" s="6">
        <f t="shared" ref="L10:N10" si="10">+L8*0.5</f>
        <v>2859.15</v>
      </c>
      <c r="M10" s="6">
        <f t="shared" si="10"/>
        <v>3341.31</v>
      </c>
      <c r="N10" s="6">
        <f t="shared" si="10"/>
        <v>3675</v>
      </c>
      <c r="Q10" s="6">
        <f>+Q8-Q9</f>
        <v>12593</v>
      </c>
      <c r="R10" s="6">
        <f>+R8-R9</f>
        <v>12557.23</v>
      </c>
    </row>
    <row r="11" spans="1:32" x14ac:dyDescent="0.2">
      <c r="B11" s="2" t="s">
        <v>37</v>
      </c>
      <c r="C11" s="3">
        <v>1411</v>
      </c>
      <c r="D11" s="3">
        <v>1443</v>
      </c>
      <c r="E11" s="3">
        <v>1507</v>
      </c>
      <c r="F11" s="3">
        <f>5872-(SUM(C11:E11))</f>
        <v>1511</v>
      </c>
      <c r="G11" s="3">
        <v>1525</v>
      </c>
      <c r="H11" s="3">
        <v>1583</v>
      </c>
      <c r="I11" s="3">
        <v>1636</v>
      </c>
      <c r="J11" s="3">
        <v>1636</v>
      </c>
      <c r="K11" s="3">
        <f>+AVERAGE(F11:I11)</f>
        <v>1563.75</v>
      </c>
      <c r="L11" s="3">
        <f t="shared" ref="L11:N11" si="11">+AVERAGE(G11:J11)</f>
        <v>1595</v>
      </c>
      <c r="M11" s="3">
        <f t="shared" si="11"/>
        <v>1604.6875</v>
      </c>
      <c r="N11" s="3">
        <f t="shared" si="11"/>
        <v>1607.6875</v>
      </c>
      <c r="Q11" s="3">
        <f>+SUM(G11:J11)</f>
        <v>6380</v>
      </c>
      <c r="R11" s="3">
        <f>+SUM(K11:N11)</f>
        <v>6371.125</v>
      </c>
    </row>
    <row r="12" spans="1:32" x14ac:dyDescent="0.2">
      <c r="B12" s="2" t="s">
        <v>47</v>
      </c>
      <c r="C12" s="3">
        <v>585</v>
      </c>
      <c r="D12" s="3">
        <v>547</v>
      </c>
      <c r="E12" s="3">
        <v>576</v>
      </c>
      <c r="F12" s="3">
        <f>2352-(SUM(C12:E12))</f>
        <v>644</v>
      </c>
      <c r="G12" s="3">
        <v>620</v>
      </c>
      <c r="H12" s="3">
        <v>650</v>
      </c>
      <c r="I12" s="3">
        <v>721</v>
      </c>
      <c r="J12" s="3">
        <v>721</v>
      </c>
      <c r="K12" s="3">
        <f>+J12*1.01</f>
        <v>728.21</v>
      </c>
      <c r="L12" s="3">
        <f t="shared" ref="L12:N12" si="12">+K12*1.01</f>
        <v>735.49210000000005</v>
      </c>
      <c r="M12" s="3">
        <f t="shared" si="12"/>
        <v>742.84702100000004</v>
      </c>
      <c r="N12" s="3">
        <f t="shared" si="12"/>
        <v>750.27549121000004</v>
      </c>
      <c r="Q12" s="3">
        <f>+SUM(G12:J12)</f>
        <v>2712</v>
      </c>
      <c r="R12" s="3">
        <f>+SUM(K12:N12)</f>
        <v>2956.8246122099999</v>
      </c>
    </row>
    <row r="13" spans="1:32" x14ac:dyDescent="0.2">
      <c r="B13" s="2" t="s">
        <v>48</v>
      </c>
      <c r="C13" s="3">
        <v>518</v>
      </c>
      <c r="D13" s="3">
        <v>481</v>
      </c>
      <c r="E13" s="3">
        <v>450</v>
      </c>
      <c r="F13" s="3">
        <f>1869-(SUM(C13:E13))</f>
        <v>420</v>
      </c>
      <c r="G13" s="3">
        <v>392</v>
      </c>
      <c r="H13" s="3">
        <v>372</v>
      </c>
      <c r="I13" s="3">
        <v>352</v>
      </c>
      <c r="J13" s="3">
        <f t="shared" ref="J13:N13" si="13">+I13*1.01</f>
        <v>355.52</v>
      </c>
      <c r="K13" s="3">
        <f t="shared" si="13"/>
        <v>359.0752</v>
      </c>
      <c r="L13" s="3">
        <f t="shared" si="13"/>
        <v>362.665952</v>
      </c>
      <c r="M13" s="3">
        <f t="shared" si="13"/>
        <v>366.29261151999998</v>
      </c>
      <c r="N13" s="3">
        <f t="shared" si="13"/>
        <v>369.95553763519996</v>
      </c>
      <c r="Q13" s="3">
        <f>+SUM(G13:J13)</f>
        <v>1471.52</v>
      </c>
      <c r="R13" s="3">
        <f>+SUM(K13:N13)</f>
        <v>1457.9893011552001</v>
      </c>
    </row>
    <row r="14" spans="1:32" x14ac:dyDescent="0.2">
      <c r="B14" s="2" t="s">
        <v>50</v>
      </c>
      <c r="C14" s="3">
        <f t="shared" ref="C14:I14" si="14">+SUM(C11:C13)</f>
        <v>2514</v>
      </c>
      <c r="D14" s="3">
        <f t="shared" si="14"/>
        <v>2471</v>
      </c>
      <c r="E14" s="3">
        <f t="shared" si="14"/>
        <v>2533</v>
      </c>
      <c r="F14" s="3">
        <f t="shared" si="14"/>
        <v>2575</v>
      </c>
      <c r="G14" s="3">
        <f t="shared" si="14"/>
        <v>2537</v>
      </c>
      <c r="H14" s="3">
        <f t="shared" si="14"/>
        <v>2605</v>
      </c>
      <c r="I14" s="3">
        <f t="shared" si="14"/>
        <v>2709</v>
      </c>
      <c r="J14" s="3">
        <f t="shared" ref="J14:N14" si="15">+I14*1.01</f>
        <v>2736.09</v>
      </c>
      <c r="K14" s="3">
        <f t="shared" si="15"/>
        <v>2763.4509000000003</v>
      </c>
      <c r="L14" s="3">
        <f t="shared" si="15"/>
        <v>2791.0854090000003</v>
      </c>
      <c r="M14" s="3">
        <f t="shared" si="15"/>
        <v>2818.9962630900004</v>
      </c>
      <c r="N14" s="3">
        <f t="shared" si="15"/>
        <v>2847.1862257209004</v>
      </c>
      <c r="Q14" s="3">
        <f>+Q13+Q12+Q11</f>
        <v>10563.52</v>
      </c>
      <c r="R14" s="3">
        <f>+R13+R12+R11</f>
        <v>10785.9389133652</v>
      </c>
    </row>
    <row r="15" spans="1:32" x14ac:dyDescent="0.2">
      <c r="B15" s="2" t="s">
        <v>49</v>
      </c>
      <c r="C15" s="3">
        <f t="shared" ref="C15:I15" si="16">C10-C14</f>
        <v>-155</v>
      </c>
      <c r="D15" s="3">
        <f t="shared" si="16"/>
        <v>-28</v>
      </c>
      <c r="E15" s="3">
        <f t="shared" si="16"/>
        <v>214</v>
      </c>
      <c r="F15" s="3">
        <f t="shared" si="16"/>
        <v>336</v>
      </c>
      <c r="G15" s="3">
        <f t="shared" si="16"/>
        <v>23</v>
      </c>
      <c r="H15" s="3">
        <f t="shared" si="16"/>
        <v>259</v>
      </c>
      <c r="I15" s="3">
        <f t="shared" si="16"/>
        <v>710</v>
      </c>
      <c r="J15" s="3">
        <f t="shared" ref="J15:N15" si="17">+I15*1.01</f>
        <v>717.1</v>
      </c>
      <c r="K15" s="3">
        <f t="shared" si="17"/>
        <v>724.27100000000007</v>
      </c>
      <c r="L15" s="3">
        <f t="shared" si="17"/>
        <v>731.51371000000006</v>
      </c>
      <c r="M15" s="3">
        <f t="shared" si="17"/>
        <v>738.82884710000008</v>
      </c>
      <c r="N15" s="3">
        <f t="shared" si="17"/>
        <v>746.21713557100009</v>
      </c>
      <c r="Q15" s="3">
        <f>+Q10-Q14</f>
        <v>2029.4799999999996</v>
      </c>
      <c r="R15" s="3">
        <f>+R10-R14</f>
        <v>1771.2910866347993</v>
      </c>
    </row>
    <row r="16" spans="1:32" x14ac:dyDescent="0.2">
      <c r="B16" s="2" t="s">
        <v>51</v>
      </c>
      <c r="C16" s="3">
        <v>-25</v>
      </c>
      <c r="D16" s="3">
        <v>-28</v>
      </c>
      <c r="E16" s="3">
        <v>-26</v>
      </c>
      <c r="F16" s="3">
        <f>-106-(SUM(C16:E16))</f>
        <v>-27</v>
      </c>
      <c r="G16" s="3">
        <v>-25</v>
      </c>
      <c r="H16" s="3">
        <v>-25</v>
      </c>
      <c r="I16" s="3">
        <v>-23</v>
      </c>
      <c r="J16" s="3">
        <f t="shared" ref="J16:N16" si="18">+I16*1.01</f>
        <v>-23.23</v>
      </c>
      <c r="K16" s="3">
        <f t="shared" si="18"/>
        <v>-23.462299999999999</v>
      </c>
      <c r="L16" s="3">
        <f t="shared" si="18"/>
        <v>-23.696922999999998</v>
      </c>
      <c r="M16" s="3">
        <f t="shared" si="18"/>
        <v>-23.933892229999998</v>
      </c>
      <c r="N16" s="3">
        <f t="shared" si="18"/>
        <v>-24.173231152299998</v>
      </c>
      <c r="Q16" s="3">
        <f>+SUM(G16:J16)</f>
        <v>-96.23</v>
      </c>
      <c r="R16" s="3">
        <f>+SUM(K16:N16)</f>
        <v>-95.266346382299986</v>
      </c>
    </row>
    <row r="17" spans="2:21" x14ac:dyDescent="0.2">
      <c r="B17" s="2" t="s">
        <v>52</v>
      </c>
      <c r="C17" s="3">
        <v>43</v>
      </c>
      <c r="D17" s="3">
        <v>46</v>
      </c>
      <c r="E17" s="3">
        <v>59</v>
      </c>
      <c r="F17" s="3">
        <f>197-(SUM(C17:E17))</f>
        <v>49</v>
      </c>
      <c r="G17" s="3">
        <v>53</v>
      </c>
      <c r="H17" s="3">
        <v>55</v>
      </c>
      <c r="I17" s="3">
        <v>36</v>
      </c>
      <c r="J17" s="3">
        <f t="shared" ref="J17:N17" si="19">+I17*1.01</f>
        <v>36.36</v>
      </c>
      <c r="K17" s="3">
        <f t="shared" si="19"/>
        <v>36.723599999999998</v>
      </c>
      <c r="L17" s="3">
        <f t="shared" si="19"/>
        <v>37.090835999999996</v>
      </c>
      <c r="M17" s="3">
        <f t="shared" si="19"/>
        <v>37.461744359999997</v>
      </c>
      <c r="N17" s="3">
        <f t="shared" si="19"/>
        <v>37.836361803599999</v>
      </c>
      <c r="Q17" s="3">
        <f>+SUM(G17:J17)</f>
        <v>180.36</v>
      </c>
      <c r="R17" s="3">
        <f>+SUM(K17:N17)</f>
        <v>149.11254216359998</v>
      </c>
    </row>
    <row r="18" spans="2:21" x14ac:dyDescent="0.2">
      <c r="B18" s="2" t="s">
        <v>53</v>
      </c>
      <c r="C18" s="3">
        <f t="shared" ref="C18:I18" si="20">C15+C16+C17</f>
        <v>-137</v>
      </c>
      <c r="D18" s="3">
        <f t="shared" si="20"/>
        <v>-10</v>
      </c>
      <c r="E18" s="3">
        <f t="shared" si="20"/>
        <v>247</v>
      </c>
      <c r="F18" s="3">
        <f t="shared" si="20"/>
        <v>358</v>
      </c>
      <c r="G18" s="3">
        <f t="shared" si="20"/>
        <v>51</v>
      </c>
      <c r="H18" s="3">
        <f t="shared" si="20"/>
        <v>289</v>
      </c>
      <c r="I18" s="3">
        <f t="shared" si="20"/>
        <v>723</v>
      </c>
      <c r="J18" s="3">
        <f t="shared" ref="J18:N18" si="21">+I18*1.01</f>
        <v>730.23</v>
      </c>
      <c r="K18" s="3">
        <f t="shared" si="21"/>
        <v>737.53230000000008</v>
      </c>
      <c r="L18" s="3">
        <f t="shared" si="21"/>
        <v>744.90762300000006</v>
      </c>
      <c r="M18" s="3">
        <f t="shared" si="21"/>
        <v>752.35669923000012</v>
      </c>
      <c r="N18" s="3">
        <f t="shared" si="21"/>
        <v>759.88026622230018</v>
      </c>
      <c r="Q18" s="3">
        <f>+Q15+Q16+Q17</f>
        <v>2113.6099999999997</v>
      </c>
      <c r="R18" s="3">
        <f>+R15+R16+R17</f>
        <v>1825.1372824160992</v>
      </c>
    </row>
    <row r="19" spans="2:21" x14ac:dyDescent="0.2">
      <c r="B19" s="2" t="s">
        <v>54</v>
      </c>
      <c r="C19" s="3">
        <v>13</v>
      </c>
      <c r="D19" s="3">
        <v>-23</v>
      </c>
      <c r="E19" s="3">
        <v>-39</v>
      </c>
      <c r="F19" s="3">
        <f>-346-(SUM(C19:E19))</f>
        <v>-297</v>
      </c>
      <c r="G19" s="3">
        <v>-52</v>
      </c>
      <c r="H19" s="3">
        <v>41</v>
      </c>
      <c r="I19" s="3">
        <v>-27</v>
      </c>
      <c r="J19" s="3">
        <f t="shared" ref="J19:N19" si="22">+I19*1.01</f>
        <v>-27.27</v>
      </c>
      <c r="K19" s="3">
        <f t="shared" si="22"/>
        <v>-27.5427</v>
      </c>
      <c r="L19" s="3">
        <f t="shared" si="22"/>
        <v>-27.818127</v>
      </c>
      <c r="M19" s="3">
        <f t="shared" si="22"/>
        <v>-28.096308270000002</v>
      </c>
      <c r="N19" s="3">
        <f t="shared" si="22"/>
        <v>-28.377271352700003</v>
      </c>
      <c r="Q19" s="3">
        <f>+SUM(G19:J19)</f>
        <v>-65.27</v>
      </c>
      <c r="R19" s="3">
        <f>+SUM(K19:N19)</f>
        <v>-111.83440662270002</v>
      </c>
    </row>
    <row r="20" spans="2:21" s="1" customFormat="1" ht="15" x14ac:dyDescent="0.25">
      <c r="B20" s="1" t="s">
        <v>55</v>
      </c>
      <c r="C20" s="6">
        <f t="shared" ref="C20:N20" si="23">C18-C19</f>
        <v>-150</v>
      </c>
      <c r="D20" s="6">
        <f t="shared" si="23"/>
        <v>13</v>
      </c>
      <c r="E20" s="6">
        <f t="shared" si="23"/>
        <v>286</v>
      </c>
      <c r="F20" s="6">
        <f t="shared" si="23"/>
        <v>655</v>
      </c>
      <c r="G20" s="6">
        <f t="shared" si="23"/>
        <v>103</v>
      </c>
      <c r="H20" s="6">
        <f t="shared" si="23"/>
        <v>248</v>
      </c>
      <c r="I20" s="6">
        <f t="shared" si="23"/>
        <v>750</v>
      </c>
      <c r="J20" s="6">
        <f t="shared" si="23"/>
        <v>757.5</v>
      </c>
      <c r="K20" s="6">
        <f t="shared" si="23"/>
        <v>765.07500000000005</v>
      </c>
      <c r="L20" s="6">
        <f t="shared" si="23"/>
        <v>772.72575000000006</v>
      </c>
      <c r="M20" s="6">
        <f t="shared" si="23"/>
        <v>780.45300750000013</v>
      </c>
      <c r="N20" s="6">
        <f t="shared" si="23"/>
        <v>788.25753757500013</v>
      </c>
      <c r="Q20" s="6">
        <f>+Q18-Q19</f>
        <v>2178.8799999999997</v>
      </c>
      <c r="R20" s="6">
        <f>+R18-R19</f>
        <v>1936.9716890387992</v>
      </c>
    </row>
    <row r="21" spans="2:21" s="1" customFormat="1" ht="15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Q21" s="10">
        <f>+Q20/Q22</f>
        <v>1.3449876543209875</v>
      </c>
      <c r="R21" s="10">
        <f>+R20/R22</f>
        <v>1.1956615364437033</v>
      </c>
    </row>
    <row r="22" spans="2:21" x14ac:dyDescent="0.2">
      <c r="B22" s="2" t="s">
        <v>1</v>
      </c>
      <c r="C22" s="3">
        <v>1611</v>
      </c>
      <c r="D22" s="3">
        <v>1618</v>
      </c>
      <c r="E22" s="3">
        <v>1616</v>
      </c>
      <c r="F22" s="3">
        <v>1614</v>
      </c>
      <c r="G22" s="3">
        <v>1617</v>
      </c>
      <c r="H22" s="3">
        <v>1618</v>
      </c>
      <c r="I22" s="3">
        <v>1620</v>
      </c>
      <c r="J22" s="3">
        <v>1620</v>
      </c>
      <c r="K22" s="3">
        <v>1620</v>
      </c>
      <c r="L22" s="3">
        <v>1620</v>
      </c>
      <c r="M22" s="3">
        <v>1620</v>
      </c>
      <c r="N22" s="3">
        <v>1620</v>
      </c>
      <c r="Q22" s="2">
        <v>1620</v>
      </c>
      <c r="R22" s="2">
        <v>1620</v>
      </c>
    </row>
    <row r="23" spans="2:21" x14ac:dyDescent="0.2">
      <c r="I23" s="3"/>
      <c r="J23" s="3"/>
      <c r="R23" s="8"/>
    </row>
    <row r="24" spans="2:21" x14ac:dyDescent="0.2">
      <c r="B24" s="2" t="s">
        <v>58</v>
      </c>
      <c r="G24" s="7">
        <f t="shared" ref="G24:N24" si="24">G8/C8-1</f>
        <v>2.2417336073230043E-2</v>
      </c>
      <c r="H24" s="7">
        <f t="shared" si="24"/>
        <v>8.882254151894009E-2</v>
      </c>
      <c r="I24" s="7">
        <f t="shared" si="24"/>
        <v>0.17568965517241386</v>
      </c>
      <c r="J24" s="7">
        <f t="shared" si="24"/>
        <v>0.21595330739299601</v>
      </c>
      <c r="K24" s="7">
        <f t="shared" si="24"/>
        <v>-2.0000000000000018E-2</v>
      </c>
      <c r="L24" s="7">
        <f t="shared" si="24"/>
        <v>-2.0000000000000018E-2</v>
      </c>
      <c r="M24" s="7">
        <f t="shared" si="24"/>
        <v>-2.0000000000000018E-2</v>
      </c>
      <c r="N24" s="7">
        <f t="shared" si="24"/>
        <v>-2.0000000000000018E-2</v>
      </c>
      <c r="U24" s="3"/>
    </row>
    <row r="25" spans="2:21" x14ac:dyDescent="0.2">
      <c r="B25" s="2" t="s">
        <v>59</v>
      </c>
      <c r="C25" s="7">
        <f t="shared" ref="C25:I25" si="25">C10/C8</f>
        <v>0.44068746497291239</v>
      </c>
      <c r="D25" s="7">
        <f t="shared" si="25"/>
        <v>0.4558686322075014</v>
      </c>
      <c r="E25" s="7">
        <f t="shared" si="25"/>
        <v>0.4736206896551724</v>
      </c>
      <c r="F25" s="7">
        <f t="shared" si="25"/>
        <v>0.47195201037613488</v>
      </c>
      <c r="G25" s="7">
        <f t="shared" si="25"/>
        <v>0.46775077653937513</v>
      </c>
      <c r="H25" s="7">
        <f t="shared" si="25"/>
        <v>0.49083119108826051</v>
      </c>
      <c r="I25" s="7">
        <f t="shared" si="25"/>
        <v>0.50139316615339491</v>
      </c>
    </row>
    <row r="26" spans="2:21" x14ac:dyDescent="0.2">
      <c r="B26" s="2" t="s">
        <v>60</v>
      </c>
      <c r="C26" s="8">
        <f t="shared" ref="C26:I26" si="26">C20/C22</f>
        <v>-9.3109869646182494E-2</v>
      </c>
      <c r="D26" s="8">
        <f t="shared" si="26"/>
        <v>8.034610630407911E-3</v>
      </c>
      <c r="E26" s="8">
        <f t="shared" si="26"/>
        <v>0.17698019801980197</v>
      </c>
      <c r="F26" s="8">
        <f t="shared" si="26"/>
        <v>0.40582403965303593</v>
      </c>
      <c r="G26" s="8">
        <f t="shared" si="26"/>
        <v>6.3698206555349413E-2</v>
      </c>
      <c r="H26" s="8">
        <f t="shared" si="26"/>
        <v>0.15327564894932014</v>
      </c>
      <c r="I26" s="8">
        <f t="shared" si="26"/>
        <v>0.46296296296296297</v>
      </c>
    </row>
    <row r="27" spans="2:21" x14ac:dyDescent="0.2">
      <c r="B27" s="2" t="s">
        <v>81</v>
      </c>
      <c r="C27" s="7">
        <f>+C11/C8</f>
        <v>0.26359050999439565</v>
      </c>
      <c r="D27" s="7">
        <f t="shared" ref="D27:I27" si="27">+D11/D8</f>
        <v>0.26926665422653479</v>
      </c>
      <c r="E27" s="7">
        <f t="shared" si="27"/>
        <v>0.25982758620689655</v>
      </c>
      <c r="F27" s="7">
        <f t="shared" si="27"/>
        <v>0.24497405966277561</v>
      </c>
      <c r="G27" s="7">
        <f t="shared" si="27"/>
        <v>0.27864059930568247</v>
      </c>
      <c r="H27" s="7">
        <f t="shared" si="27"/>
        <v>0.27129391602399316</v>
      </c>
      <c r="I27" s="7">
        <f t="shared" si="27"/>
        <v>0.23991787652148408</v>
      </c>
      <c r="O27" s="2" t="s">
        <v>75</v>
      </c>
      <c r="P27" s="7">
        <v>-0.02</v>
      </c>
    </row>
    <row r="28" spans="2:21" x14ac:dyDescent="0.2">
      <c r="O28" s="2" t="s">
        <v>76</v>
      </c>
      <c r="P28" s="7">
        <v>0.08</v>
      </c>
    </row>
    <row r="29" spans="2:21" x14ac:dyDescent="0.2">
      <c r="E29" s="7">
        <v>0.52</v>
      </c>
      <c r="O29" s="2" t="s">
        <v>77</v>
      </c>
      <c r="P29" s="11">
        <f>+NPV(P28,Q20:CW20)</f>
        <v>3678.1225043199574</v>
      </c>
    </row>
    <row r="30" spans="2:21" x14ac:dyDescent="0.2">
      <c r="E30" s="7">
        <v>0.28000000000000003</v>
      </c>
      <c r="O30" s="2" t="s">
        <v>78</v>
      </c>
      <c r="P30" s="3"/>
    </row>
    <row r="31" spans="2:21" x14ac:dyDescent="0.2">
      <c r="E31" s="7">
        <v>7.0000000000000007E-2</v>
      </c>
      <c r="O31" s="2" t="s">
        <v>79</v>
      </c>
    </row>
    <row r="32" spans="2:21" x14ac:dyDescent="0.2">
      <c r="E32" s="7">
        <v>0.14000000000000001</v>
      </c>
      <c r="O32" s="2" t="s">
        <v>80</v>
      </c>
    </row>
    <row r="33" spans="5:5" x14ac:dyDescent="0.2">
      <c r="E33" s="7">
        <v>0</v>
      </c>
    </row>
  </sheetData>
  <hyperlinks>
    <hyperlink ref="A1" r:id="rId1" xr:uid="{ED12D098-B5CC-45E5-B90D-79A760CE615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3D1E-96A4-45B7-BC41-DB71018EF69F}">
  <dimension ref="B3:E5"/>
  <sheetViews>
    <sheetView tabSelected="1" workbookViewId="0">
      <selection activeCell="B7" sqref="B7"/>
    </sheetView>
  </sheetViews>
  <sheetFormatPr defaultRowHeight="12.75" x14ac:dyDescent="0.2"/>
  <cols>
    <col min="1" max="16384" width="9.140625" style="12"/>
  </cols>
  <sheetData>
    <row r="3" spans="2:5" x14ac:dyDescent="0.2">
      <c r="D3" s="12" t="s">
        <v>83</v>
      </c>
      <c r="E3" s="12" t="s">
        <v>84</v>
      </c>
    </row>
    <row r="4" spans="2:5" ht="15" x14ac:dyDescent="0.25">
      <c r="B4" s="13" t="s">
        <v>82</v>
      </c>
      <c r="D4" s="12">
        <v>16</v>
      </c>
      <c r="E4" s="12">
        <v>2.4</v>
      </c>
    </row>
    <row r="5" spans="2:5" x14ac:dyDescent="0.2">
      <c r="B5" s="12" t="s">
        <v>85</v>
      </c>
      <c r="D5" s="12">
        <v>16</v>
      </c>
      <c r="E5" s="12">
        <v>2.1</v>
      </c>
    </row>
  </sheetData>
  <hyperlinks>
    <hyperlink ref="B4" r:id="rId1" xr:uid="{46B7F44C-4ADD-4913-943F-6073A5746A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2024-12-01T13:48:22Z</dcterms:created>
  <dcterms:modified xsi:type="dcterms:W3CDTF">2025-03-07T10:44:22Z</dcterms:modified>
</cp:coreProperties>
</file>