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p\Documents\GitHub\Financial-Models\"/>
    </mc:Choice>
  </mc:AlternateContent>
  <xr:revisionPtr revIDLastSave="0" documentId="13_ncr:1_{6538EDC2-FADF-44EA-9493-788F7F23BFBC}" xr6:coauthVersionLast="47" xr6:coauthVersionMax="47" xr10:uidLastSave="{00000000-0000-0000-0000-000000000000}"/>
  <bookViews>
    <workbookView xWindow="4230" yWindow="855" windowWidth="24300" windowHeight="13365" xr2:uid="{D1985DF7-E3B9-4CC5-8BC3-D2A55A1CFAFA}"/>
  </bookViews>
  <sheets>
    <sheet name="Main" sheetId="1" r:id="rId1"/>
    <sheet name="Model" sheetId="2" r:id="rId2"/>
    <sheet name="Partnershi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L13" i="1"/>
  <c r="Z21" i="2"/>
  <c r="AA21" i="2" s="1"/>
  <c r="AB21" i="2" s="1"/>
  <c r="AC21" i="2" s="1"/>
  <c r="Y21" i="2"/>
  <c r="X39" i="2"/>
  <c r="W39" i="2"/>
  <c r="X32" i="2"/>
  <c r="W32" i="2"/>
  <c r="V32" i="2"/>
  <c r="V21" i="2"/>
  <c r="V22" i="2" s="1"/>
  <c r="V20" i="2"/>
  <c r="V19" i="2"/>
  <c r="V17" i="2"/>
  <c r="V18" i="2" s="1"/>
  <c r="V16" i="2"/>
  <c r="V15" i="2"/>
  <c r="V14" i="2"/>
  <c r="V13" i="2"/>
  <c r="V12" i="2"/>
  <c r="V11" i="2"/>
  <c r="V10" i="2"/>
  <c r="V9" i="2"/>
  <c r="V8" i="2"/>
  <c r="V7" i="2"/>
  <c r="W21" i="2"/>
  <c r="W22" i="2" s="1"/>
  <c r="W20" i="2"/>
  <c r="W19" i="2"/>
  <c r="W17" i="2"/>
  <c r="W18" i="2" s="1"/>
  <c r="W16" i="2"/>
  <c r="W15" i="2"/>
  <c r="W14" i="2"/>
  <c r="W13" i="2"/>
  <c r="W12" i="2"/>
  <c r="W11" i="2"/>
  <c r="W10" i="2"/>
  <c r="W9" i="2"/>
  <c r="W8" i="2"/>
  <c r="W7" i="2"/>
  <c r="X21" i="2"/>
  <c r="X22" i="2" s="1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R7" i="2"/>
  <c r="Q7" i="2"/>
  <c r="P7" i="2"/>
  <c r="O21" i="2"/>
  <c r="O22" i="2" s="1"/>
  <c r="N21" i="2"/>
  <c r="N22" i="2" s="1"/>
  <c r="R17" i="2"/>
  <c r="Q17" i="2"/>
  <c r="P17" i="2"/>
  <c r="P18" i="2" s="1"/>
  <c r="P21" i="2" s="1"/>
  <c r="P22" i="2" s="1"/>
  <c r="O17" i="2"/>
  <c r="O18" i="2" s="1"/>
  <c r="N17" i="2"/>
  <c r="N18" i="2" s="1"/>
  <c r="N16" i="2"/>
  <c r="O16" i="2" s="1"/>
  <c r="P16" i="2" s="1"/>
  <c r="Q16" i="2" s="1"/>
  <c r="R16" i="2" s="1"/>
  <c r="N15" i="2"/>
  <c r="O15" i="2" s="1"/>
  <c r="P15" i="2" s="1"/>
  <c r="Q15" i="2" s="1"/>
  <c r="R15" i="2" s="1"/>
  <c r="N14" i="2"/>
  <c r="O14" i="2" s="1"/>
  <c r="P14" i="2" s="1"/>
  <c r="Q14" i="2" s="1"/>
  <c r="R14" i="2" s="1"/>
  <c r="N13" i="2"/>
  <c r="O13" i="2" s="1"/>
  <c r="P13" i="2" s="1"/>
  <c r="Q13" i="2" s="1"/>
  <c r="R13" i="2" s="1"/>
  <c r="O12" i="2"/>
  <c r="P12" i="2" s="1"/>
  <c r="Q12" i="2" s="1"/>
  <c r="R12" i="2" s="1"/>
  <c r="N12" i="2"/>
  <c r="N11" i="2"/>
  <c r="O11" i="2" s="1"/>
  <c r="P11" i="2" s="1"/>
  <c r="Q11" i="2" s="1"/>
  <c r="R11" i="2" s="1"/>
  <c r="O10" i="2"/>
  <c r="P10" i="2" s="1"/>
  <c r="Q10" i="2" s="1"/>
  <c r="R10" i="2" s="1"/>
  <c r="N10" i="2"/>
  <c r="O9" i="2"/>
  <c r="P9" i="2" s="1"/>
  <c r="Q9" i="2" s="1"/>
  <c r="R9" i="2" s="1"/>
  <c r="N9" i="2"/>
  <c r="P8" i="2"/>
  <c r="Q8" i="2" s="1"/>
  <c r="R8" i="2" s="1"/>
  <c r="O8" i="2"/>
  <c r="O7" i="2"/>
  <c r="M17" i="2"/>
  <c r="V3" i="2"/>
  <c r="L9" i="1"/>
  <c r="I34" i="2"/>
  <c r="J34" i="2"/>
  <c r="V34" i="2"/>
  <c r="U34" i="2"/>
  <c r="W2" i="2"/>
  <c r="X2" i="2" s="1"/>
  <c r="Y2" i="2" s="1"/>
  <c r="Z2" i="2" s="1"/>
  <c r="AA2" i="2" s="1"/>
  <c r="AB2" i="2" s="1"/>
  <c r="AC2" i="2" s="1"/>
  <c r="K34" i="2"/>
  <c r="G34" i="2"/>
  <c r="H34" i="2"/>
  <c r="L34" i="2"/>
  <c r="E17" i="2"/>
  <c r="E7" i="2"/>
  <c r="E28" i="2" s="1"/>
  <c r="I17" i="2"/>
  <c r="I7" i="2"/>
  <c r="I27" i="2" s="1"/>
  <c r="F17" i="2"/>
  <c r="F7" i="2"/>
  <c r="F26" i="2" s="1"/>
  <c r="J17" i="2"/>
  <c r="J7" i="2"/>
  <c r="J28" i="2" s="1"/>
  <c r="G17" i="2"/>
  <c r="G7" i="2"/>
  <c r="G26" i="2" s="1"/>
  <c r="K17" i="2"/>
  <c r="K7" i="2"/>
  <c r="K26" i="2" s="1"/>
  <c r="H17" i="2"/>
  <c r="H7" i="2"/>
  <c r="H26" i="2" s="1"/>
  <c r="L17" i="2"/>
  <c r="L7" i="2"/>
  <c r="L26" i="2" s="1"/>
  <c r="L7" i="1"/>
  <c r="L8" i="1"/>
  <c r="L6" i="1"/>
  <c r="L5" i="1"/>
  <c r="AD21" i="2" l="1"/>
  <c r="AE21" i="2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R18" i="2"/>
  <c r="R21" i="2" s="1"/>
  <c r="R22" i="2" s="1"/>
  <c r="Q18" i="2"/>
  <c r="Q21" i="2" s="1"/>
  <c r="Q22" i="2" s="1"/>
  <c r="M7" i="2"/>
  <c r="N7" i="2" s="1"/>
  <c r="L39" i="2"/>
  <c r="I39" i="2"/>
  <c r="J39" i="2"/>
  <c r="K39" i="2"/>
  <c r="K27" i="2"/>
  <c r="K28" i="2"/>
  <c r="L28" i="2"/>
  <c r="F25" i="2"/>
  <c r="L18" i="2"/>
  <c r="L21" i="2" s="1"/>
  <c r="L22" i="2" s="1"/>
  <c r="K25" i="2"/>
  <c r="L25" i="2"/>
  <c r="I26" i="2"/>
  <c r="J26" i="2"/>
  <c r="J27" i="2"/>
  <c r="E25" i="2"/>
  <c r="E26" i="2"/>
  <c r="L27" i="2"/>
  <c r="E27" i="2"/>
  <c r="F28" i="2"/>
  <c r="G25" i="2"/>
  <c r="F27" i="2"/>
  <c r="G28" i="2"/>
  <c r="H25" i="2"/>
  <c r="G27" i="2"/>
  <c r="H28" i="2"/>
  <c r="I25" i="2"/>
  <c r="H27" i="2"/>
  <c r="I28" i="2"/>
  <c r="J25" i="2"/>
  <c r="E18" i="2"/>
  <c r="I18" i="2"/>
  <c r="F18" i="2"/>
  <c r="J18" i="2"/>
  <c r="G18" i="2"/>
  <c r="K18" i="2"/>
  <c r="H18" i="2"/>
  <c r="AB28" i="2" l="1"/>
  <c r="AB30" i="2" s="1"/>
  <c r="AB32" i="2" s="1"/>
  <c r="M18" i="2"/>
  <c r="L32" i="2"/>
  <c r="H21" i="2"/>
  <c r="H22" i="2" s="1"/>
  <c r="H32" i="2"/>
  <c r="G21" i="2"/>
  <c r="G22" i="2" s="1"/>
  <c r="G32" i="2"/>
  <c r="F21" i="2"/>
  <c r="F22" i="2" s="1"/>
  <c r="F32" i="2"/>
  <c r="K21" i="2"/>
  <c r="K22" i="2" s="1"/>
  <c r="K32" i="2"/>
  <c r="I21" i="2"/>
  <c r="I22" i="2" s="1"/>
  <c r="I32" i="2"/>
  <c r="E21" i="2"/>
  <c r="E22" i="2" s="1"/>
  <c r="E32" i="2"/>
  <c r="J21" i="2"/>
  <c r="J22" i="2" s="1"/>
  <c r="J32" i="2"/>
  <c r="M32" i="2" l="1"/>
  <c r="M21" i="2"/>
  <c r="M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Kipp</author>
  </authors>
  <commentList>
    <comment ref="X7" authorId="0" shapeId="0" xr:uid="{CC4D2A01-3806-4EA9-B964-41BFA4F0E8A1}">
      <text>
        <r>
          <rPr>
            <b/>
            <sz val="9"/>
            <color indexed="81"/>
            <rFont val="Tahoma"/>
            <family val="2"/>
            <charset val="186"/>
          </rPr>
          <t>Kipp:</t>
        </r>
        <r>
          <rPr>
            <sz val="9"/>
            <color indexed="81"/>
            <rFont val="Tahoma"/>
            <family val="2"/>
            <charset val="186"/>
          </rPr>
          <t xml:space="preserve">
guidance for 2026 &gt;66Bn</t>
        </r>
      </text>
    </comment>
    <comment ref="AA7" authorId="0" shapeId="0" xr:uid="{DFE3E404-98AA-417A-890E-9660FD2C3903}">
      <text>
        <r>
          <rPr>
            <b/>
            <sz val="9"/>
            <color indexed="81"/>
            <rFont val="Tahoma"/>
            <family val="2"/>
            <charset val="186"/>
          </rPr>
          <t>Kipp:</t>
        </r>
        <r>
          <rPr>
            <sz val="9"/>
            <color indexed="81"/>
            <rFont val="Tahoma"/>
            <family val="2"/>
            <charset val="186"/>
          </rPr>
          <t xml:space="preserve">
guidance &gt;104Bn
</t>
        </r>
      </text>
    </comment>
  </commentList>
</comments>
</file>

<file path=xl/sharedStrings.xml><?xml version="1.0" encoding="utf-8"?>
<sst xmlns="http://schemas.openxmlformats.org/spreadsheetml/2006/main" count="85" uniqueCount="75">
  <si>
    <t>Price</t>
  </si>
  <si>
    <t>Shares</t>
  </si>
  <si>
    <t>MC</t>
  </si>
  <si>
    <t>Cash</t>
  </si>
  <si>
    <t>Debt</t>
  </si>
  <si>
    <t>EV</t>
  </si>
  <si>
    <t>Q125</t>
  </si>
  <si>
    <t>Q225</t>
  </si>
  <si>
    <t>Revenue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</si>
  <si>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</si>
  <si>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</si>
  <si>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</si>
  <si>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</si>
  <si>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</si>
  <si>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</si>
  <si>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</si>
  <si>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</si>
  <si>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</si>
  <si>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Q325</t>
  </si>
  <si>
    <t>Q425</t>
  </si>
  <si>
    <t>Cloud Services</t>
  </si>
  <si>
    <t>Cloud License</t>
  </si>
  <si>
    <t>Hardware</t>
  </si>
  <si>
    <t>Services</t>
  </si>
  <si>
    <t>Cloud</t>
  </si>
  <si>
    <t>S&amp;M</t>
  </si>
  <si>
    <t>R&amp;D</t>
  </si>
  <si>
    <t>G&amp;A</t>
  </si>
  <si>
    <t>Amortization</t>
  </si>
  <si>
    <t>Acquisition</t>
  </si>
  <si>
    <t>Restructuring</t>
  </si>
  <si>
    <t>Operating Income</t>
  </si>
  <si>
    <t>Expenses</t>
  </si>
  <si>
    <t>Taxes</t>
  </si>
  <si>
    <t>Interest</t>
  </si>
  <si>
    <t>Net Income</t>
  </si>
  <si>
    <t>EPS</t>
  </si>
  <si>
    <t>$m</t>
  </si>
  <si>
    <t>License</t>
  </si>
  <si>
    <t>Operating Margin</t>
  </si>
  <si>
    <t>FCF</t>
  </si>
  <si>
    <t>CFFO</t>
  </si>
  <si>
    <t>CapEx</t>
  </si>
  <si>
    <t>Revenue y/y</t>
  </si>
  <si>
    <t>NC</t>
  </si>
  <si>
    <t>Multicloud Partnerships</t>
  </si>
  <si>
    <t>Microsoft</t>
  </si>
  <si>
    <t>Sep. 2023</t>
  </si>
  <si>
    <t>Google</t>
  </si>
  <si>
    <t>June. 2024</t>
  </si>
  <si>
    <t>AWS</t>
  </si>
  <si>
    <t>Sep. 2024</t>
  </si>
  <si>
    <t>94% of Fortune 100 run on Oracle</t>
  </si>
  <si>
    <t>Customers</t>
  </si>
  <si>
    <t>Hardware &amp; Software</t>
  </si>
  <si>
    <t>Java</t>
  </si>
  <si>
    <t>Oracle Database</t>
  </si>
  <si>
    <t>MySQL</t>
  </si>
  <si>
    <t>Linux</t>
  </si>
  <si>
    <t>NoSQL</t>
  </si>
  <si>
    <t>CEO</t>
  </si>
  <si>
    <t>MS. Safra Ada Catz</t>
  </si>
  <si>
    <t>Q126</t>
  </si>
  <si>
    <t>Q226</t>
  </si>
  <si>
    <t>Q326</t>
  </si>
  <si>
    <t>Q426</t>
  </si>
  <si>
    <t>ROIC</t>
  </si>
  <si>
    <t>Discount</t>
  </si>
  <si>
    <t>Terminal</t>
  </si>
  <si>
    <t>NPV</t>
  </si>
  <si>
    <t>Share</t>
  </si>
  <si>
    <t>Current</t>
  </si>
  <si>
    <t>Upside</t>
  </si>
  <si>
    <t>P/E</t>
  </si>
  <si>
    <t>EV/E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</si>
</sst>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b/>
      <u/>
      <sz val="10"/>
      <color theme="1"/>
      <name val="Arial"/>
      <family val="2"/>
      <charset val="186"/>
    </font>
    <font>
      <sz val="10"/>
      <color theme="1"/>
      <name val="Arial"/>
      <family val="2"/>
      <charset val="186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3" fontId="1" fillId="0" borderId="0" xfId="0" applyNumberFormat="1" applyFont="1"/>
    <xf numFmtId="14" fontId="0" fillId="0" borderId="0" xfId="0" applyNumberFormat="1"/>
    <xf numFmtId="9" fontId="0" fillId="0" borderId="0" xfId="0" applyNumberFormat="1"/>
    <xf numFmtId="0" fontId="4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3" fontId="5" fillId="0" borderId="0" xfId="0" applyNumberFormat="1" applyFont="1"/>
    <xf numFmtId="38" fontId="0" fillId="0" borderId="0" xfId="0" applyNumberFormat="1"/>
    <xf numFmtId="4" fontId="0" fillId="0" borderId="0" xfId="0" applyNumberFormat="1"/>
    <xf numFmtId="9" fontId="6" fillId="2" borderId="0" xfId="0" applyNumberFormat="1" applyFont="1" applyFill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6569</xdr:rowOff>
    </xdr:from>
    <xdr:to>
      <xdr:col>12</xdr:col>
      <xdr:colOff>6569</xdr:colOff>
      <xdr:row>45</xdr:row>
      <xdr:rowOff>24848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02E1EF4-BB13-B8FE-FF6C-127E3FAEA20E}"/>
            </a:ext>
          </a:extLst>
        </xdr:cNvPr>
        <xdr:cNvCxnSpPr/>
      </xdr:nvCxnSpPr>
      <xdr:spPr>
        <a:xfrm flipH="1">
          <a:off x="10411239" y="6569"/>
          <a:ext cx="6569" cy="6975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Software-ALL.xlsx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F06E-1717-4182-A316-268A7E68242D}">
  <dimension ref="B3:M14"/>
  <sheetViews>
    <sheetView tabSelected="1" topLeftCell="B1" zoomScale="160" zoomScaleNormal="160" workbookViewId="0">
      <selection activeCell="L11" sqref="L11"/>
    </sheetView>
  </sheetViews>
  <sheetFormatPr defaultRowHeight="12.75" x14ac:dyDescent="0.2"/>
  <sheetData>
    <row r="3" spans="2:13" x14ac:dyDescent="0.2">
      <c r="B3" t="s">
        <v>52</v>
      </c>
      <c r="K3" t="s">
        <v>0</v>
      </c>
      <c r="L3">
        <v>151.37</v>
      </c>
    </row>
    <row r="4" spans="2:13" x14ac:dyDescent="0.2">
      <c r="K4" t="s">
        <v>1</v>
      </c>
      <c r="L4" s="1">
        <v>2796.9560000000001</v>
      </c>
      <c r="M4" t="s">
        <v>7</v>
      </c>
    </row>
    <row r="5" spans="2:13" x14ac:dyDescent="0.2">
      <c r="K5" t="s">
        <v>2</v>
      </c>
      <c r="L5" s="1">
        <f>+L3*L4</f>
        <v>423375.22972000006</v>
      </c>
    </row>
    <row r="6" spans="2:13" x14ac:dyDescent="0.2">
      <c r="B6" s="9" t="s">
        <v>54</v>
      </c>
      <c r="K6" t="s">
        <v>3</v>
      </c>
      <c r="L6" s="1">
        <f>10941+370</f>
        <v>11311</v>
      </c>
      <c r="M6" t="s">
        <v>7</v>
      </c>
    </row>
    <row r="7" spans="2:13" x14ac:dyDescent="0.2">
      <c r="B7" t="s">
        <v>55</v>
      </c>
      <c r="K7" t="s">
        <v>4</v>
      </c>
      <c r="L7" s="1">
        <f>80000+8162</f>
        <v>88162</v>
      </c>
      <c r="M7" t="s">
        <v>7</v>
      </c>
    </row>
    <row r="8" spans="2:13" x14ac:dyDescent="0.2">
      <c r="B8" t="s">
        <v>56</v>
      </c>
      <c r="K8" t="s">
        <v>5</v>
      </c>
      <c r="L8" s="1">
        <f>+L5-L6+L7</f>
        <v>500226.22972000006</v>
      </c>
    </row>
    <row r="9" spans="2:13" x14ac:dyDescent="0.2">
      <c r="B9" t="s">
        <v>57</v>
      </c>
      <c r="K9" t="s">
        <v>44</v>
      </c>
      <c r="L9" s="1">
        <f>+L6-L7</f>
        <v>-76851</v>
      </c>
    </row>
    <row r="10" spans="2:13" x14ac:dyDescent="0.2">
      <c r="B10" t="s">
        <v>58</v>
      </c>
    </row>
    <row r="11" spans="2:13" x14ac:dyDescent="0.2">
      <c r="B11" t="s">
        <v>59</v>
      </c>
      <c r="K11" t="s">
        <v>60</v>
      </c>
      <c r="L11" t="s">
        <v>61</v>
      </c>
    </row>
    <row r="13" spans="2:13" x14ac:dyDescent="0.2">
      <c r="K13" t="s">
        <v>73</v>
      </c>
      <c r="L13" s="1">
        <f>+L3/Model!V22</f>
        <v>41.522200373611248</v>
      </c>
    </row>
    <row r="14" spans="2:13" x14ac:dyDescent="0.2">
      <c r="K14" t="s">
        <v>74</v>
      </c>
      <c r="L14" s="1">
        <f>+L8/Model!V21</f>
        <v>49.181617315898151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1BA1-8EF7-4F5A-A312-B3953285440C}">
  <dimension ref="A1:DQ39"/>
  <sheetViews>
    <sheetView zoomScale="115" zoomScaleNormal="115" workbookViewId="0">
      <pane xSplit="2" ySplit="2" topLeftCell="U8" activePane="bottomRight" state="frozen"/>
      <selection pane="topRight" activeCell="C1" sqref="C1"/>
      <selection pane="bottomLeft" activeCell="A3" sqref="A3"/>
      <selection pane="bottomRight" activeCell="AB28" sqref="AB28"/>
    </sheetView>
  </sheetViews>
  <sheetFormatPr defaultRowHeight="12.75" x14ac:dyDescent="0.2"/>
  <cols>
    <col min="1" max="1" width="5" bestFit="1" customWidth="1"/>
    <col min="2" max="2" width="17.5703125" bestFit="1" customWidth="1"/>
    <col min="5" max="7" width="9.5703125" bestFit="1" customWidth="1"/>
    <col min="8" max="8" width="10.5703125" bestFit="1" customWidth="1"/>
    <col min="9" max="11" width="9.5703125" bestFit="1" customWidth="1"/>
    <col min="12" max="12" width="10.5703125" bestFit="1" customWidth="1"/>
    <col min="28" max="28" width="11.7109375" bestFit="1" customWidth="1"/>
  </cols>
  <sheetData>
    <row r="1" spans="1:29" x14ac:dyDescent="0.2">
      <c r="A1" s="18" t="s">
        <v>9</v>
      </c>
      <c r="E1" s="7">
        <v>44985</v>
      </c>
      <c r="F1" s="7">
        <v>45077</v>
      </c>
      <c r="G1" s="7">
        <v>45169</v>
      </c>
      <c r="H1" s="7">
        <v>45260</v>
      </c>
      <c r="I1" s="7">
        <v>45351</v>
      </c>
      <c r="J1" s="7">
        <v>45443</v>
      </c>
      <c r="K1" s="7">
        <v>45535</v>
      </c>
      <c r="L1" s="7">
        <v>45626</v>
      </c>
    </row>
    <row r="2" spans="1:29" x14ac:dyDescent="0.2">
      <c r="B2" s="3" t="s">
        <v>37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6</v>
      </c>
      <c r="L2" s="4" t="s">
        <v>7</v>
      </c>
      <c r="M2" s="4" t="s">
        <v>18</v>
      </c>
      <c r="N2" s="13" t="s">
        <v>19</v>
      </c>
      <c r="O2" s="10" t="s">
        <v>62</v>
      </c>
      <c r="P2" s="11" t="s">
        <v>63</v>
      </c>
      <c r="Q2" s="11" t="s">
        <v>64</v>
      </c>
      <c r="R2" s="12" t="s">
        <v>65</v>
      </c>
      <c r="U2">
        <v>2023</v>
      </c>
      <c r="V2">
        <v>2024</v>
      </c>
      <c r="W2">
        <f>+V2+1</f>
        <v>2025</v>
      </c>
      <c r="X2">
        <f t="shared" ref="X2:AC2" si="0">+W2+1</f>
        <v>2026</v>
      </c>
      <c r="Y2">
        <f t="shared" si="0"/>
        <v>2027</v>
      </c>
      <c r="Z2">
        <f t="shared" si="0"/>
        <v>2028</v>
      </c>
      <c r="AA2">
        <f t="shared" si="0"/>
        <v>2029</v>
      </c>
      <c r="AB2">
        <f t="shared" si="0"/>
        <v>2030</v>
      </c>
      <c r="AC2">
        <f t="shared" si="0"/>
        <v>2031</v>
      </c>
    </row>
    <row r="3" spans="1:29" x14ac:dyDescent="0.2">
      <c r="B3" t="s">
        <v>20</v>
      </c>
      <c r="E3" s="1">
        <v>8923</v>
      </c>
      <c r="F3" s="1">
        <v>9370</v>
      </c>
      <c r="G3" s="1">
        <v>9547</v>
      </c>
      <c r="H3" s="1">
        <v>9639</v>
      </c>
      <c r="I3" s="1">
        <v>9963</v>
      </c>
      <c r="J3" s="1">
        <v>10234</v>
      </c>
      <c r="K3" s="1">
        <v>10519</v>
      </c>
      <c r="L3" s="1">
        <v>10806</v>
      </c>
      <c r="V3" s="1">
        <f>+SUM(G3:J3)</f>
        <v>39383</v>
      </c>
    </row>
    <row r="4" spans="1:29" x14ac:dyDescent="0.2">
      <c r="B4" t="s">
        <v>21</v>
      </c>
      <c r="E4" s="1">
        <v>1288</v>
      </c>
      <c r="F4" s="1">
        <v>2152</v>
      </c>
      <c r="G4" s="1">
        <v>809</v>
      </c>
      <c r="H4" s="1">
        <v>1178</v>
      </c>
      <c r="I4" s="1">
        <v>1256</v>
      </c>
      <c r="J4" s="1">
        <v>1838</v>
      </c>
      <c r="K4" s="1">
        <v>870</v>
      </c>
      <c r="L4" s="1">
        <v>1195</v>
      </c>
    </row>
    <row r="5" spans="1:29" x14ac:dyDescent="0.2">
      <c r="B5" t="s">
        <v>22</v>
      </c>
      <c r="E5" s="1">
        <v>811</v>
      </c>
      <c r="F5" s="1">
        <v>850</v>
      </c>
      <c r="G5" s="1">
        <v>714</v>
      </c>
      <c r="H5" s="1">
        <v>756</v>
      </c>
      <c r="I5" s="1">
        <v>754</v>
      </c>
      <c r="J5" s="1">
        <v>842</v>
      </c>
      <c r="K5" s="1">
        <v>655</v>
      </c>
      <c r="L5" s="1">
        <v>728</v>
      </c>
    </row>
    <row r="6" spans="1:29" x14ac:dyDescent="0.2">
      <c r="B6" t="s">
        <v>23</v>
      </c>
      <c r="E6" s="1">
        <v>1376</v>
      </c>
      <c r="F6" s="1">
        <v>1465</v>
      </c>
      <c r="G6" s="1">
        <v>1383</v>
      </c>
      <c r="H6" s="1">
        <v>1368</v>
      </c>
      <c r="I6" s="1">
        <v>1307</v>
      </c>
      <c r="J6" s="1">
        <v>1373</v>
      </c>
      <c r="K6" s="1">
        <v>1263</v>
      </c>
      <c r="L6" s="1">
        <v>1330</v>
      </c>
    </row>
    <row r="7" spans="1:29" s="2" customFormat="1" x14ac:dyDescent="0.2">
      <c r="B7" s="2" t="s">
        <v>8</v>
      </c>
      <c r="E7" s="6">
        <f>+SUM(E3:E6)</f>
        <v>12398</v>
      </c>
      <c r="F7" s="6">
        <f>+SUM(F3:F6)</f>
        <v>13837</v>
      </c>
      <c r="G7" s="6">
        <f>+SUM(G3:G6)</f>
        <v>12453</v>
      </c>
      <c r="H7" s="6">
        <f>+SUM(H3:H6)</f>
        <v>12941</v>
      </c>
      <c r="I7" s="6">
        <f>+SUM(I3:I6)</f>
        <v>13280</v>
      </c>
      <c r="J7" s="6">
        <f>+SUM(J3:J6)</f>
        <v>14287</v>
      </c>
      <c r="K7" s="6">
        <f>+SUM(K3:K6)</f>
        <v>13307</v>
      </c>
      <c r="L7" s="6">
        <f>+SUM(L3:L6)</f>
        <v>14059</v>
      </c>
      <c r="M7" s="6">
        <f>+L7*1.07</f>
        <v>15043.130000000001</v>
      </c>
      <c r="N7" s="6">
        <f>+M7*1.02</f>
        <v>15343.992600000001</v>
      </c>
      <c r="O7" s="6">
        <f>+N7*1.03</f>
        <v>15804.312378000002</v>
      </c>
      <c r="P7" s="6">
        <f>+O7*1.01</f>
        <v>15962.355501780003</v>
      </c>
      <c r="Q7" s="6">
        <f>+P7*1.01</f>
        <v>16121.979056797803</v>
      </c>
      <c r="R7" s="6">
        <f>+Q7*1.01</f>
        <v>16283.198847365782</v>
      </c>
      <c r="V7" s="6">
        <f>+SUM(G7:J7)</f>
        <v>52961</v>
      </c>
      <c r="W7" s="6">
        <f>+SUM(K7:N7)</f>
        <v>57753.122600000002</v>
      </c>
      <c r="X7" s="6">
        <f>+SUM(O7:R7)</f>
        <v>64171.845783943594</v>
      </c>
      <c r="Y7" s="6"/>
      <c r="Z7" s="6"/>
      <c r="AA7" s="6">
        <v>104000</v>
      </c>
    </row>
    <row r="8" spans="1:29" x14ac:dyDescent="0.2">
      <c r="B8" t="s">
        <v>24</v>
      </c>
      <c r="E8" s="1">
        <v>1980</v>
      </c>
      <c r="F8" s="1">
        <v>2157</v>
      </c>
      <c r="G8" s="1">
        <v>2179</v>
      </c>
      <c r="H8" s="1">
        <v>2274</v>
      </c>
      <c r="I8" s="1">
        <v>2452</v>
      </c>
      <c r="J8" s="1">
        <v>2522</v>
      </c>
      <c r="K8" s="1">
        <v>2597</v>
      </c>
      <c r="L8" s="1">
        <v>2746</v>
      </c>
      <c r="M8" s="1">
        <v>2746</v>
      </c>
      <c r="N8" s="1">
        <v>2746</v>
      </c>
      <c r="O8" s="1">
        <f>+N8*1.02</f>
        <v>2800.92</v>
      </c>
      <c r="P8" s="1">
        <f t="shared" ref="P8:R8" si="1">+O8*1.02</f>
        <v>2856.9384</v>
      </c>
      <c r="Q8" s="1">
        <f t="shared" si="1"/>
        <v>2914.0771680000003</v>
      </c>
      <c r="R8" s="1">
        <f t="shared" si="1"/>
        <v>2972.3587113600001</v>
      </c>
      <c r="V8" s="1">
        <f>+SUM(G8:J8)</f>
        <v>9427</v>
      </c>
      <c r="W8" s="1">
        <f>+SUM(K8:N8)</f>
        <v>10835</v>
      </c>
      <c r="X8" s="14">
        <f>+SUM(O8:R8)</f>
        <v>11544.294279360001</v>
      </c>
    </row>
    <row r="9" spans="1:29" x14ac:dyDescent="0.2">
      <c r="B9" t="s">
        <v>22</v>
      </c>
      <c r="E9" s="1">
        <v>244</v>
      </c>
      <c r="F9" s="1">
        <v>261</v>
      </c>
      <c r="G9" s="1">
        <v>219</v>
      </c>
      <c r="H9" s="1">
        <v>213</v>
      </c>
      <c r="I9" s="1">
        <v>217</v>
      </c>
      <c r="J9" s="1">
        <v>241</v>
      </c>
      <c r="K9" s="1">
        <v>162</v>
      </c>
      <c r="L9" s="1">
        <v>172</v>
      </c>
      <c r="M9" s="1">
        <v>172</v>
      </c>
      <c r="N9" s="1">
        <f>+M9*1.05</f>
        <v>180.6</v>
      </c>
      <c r="O9" s="1">
        <f t="shared" ref="O9:R9" si="2">+N9*1.05</f>
        <v>189.63</v>
      </c>
      <c r="P9" s="1">
        <f t="shared" si="2"/>
        <v>199.11150000000001</v>
      </c>
      <c r="Q9" s="1">
        <f t="shared" si="2"/>
        <v>209.06707500000002</v>
      </c>
      <c r="R9" s="1">
        <f t="shared" si="2"/>
        <v>219.52042875000004</v>
      </c>
      <c r="V9" s="1">
        <f t="shared" ref="V9:V16" si="3">+SUM(G9:J9)</f>
        <v>890</v>
      </c>
      <c r="W9" s="1">
        <f t="shared" ref="W9:W16" si="4">+SUM(K9:N9)</f>
        <v>686.6</v>
      </c>
      <c r="X9" s="14">
        <f t="shared" ref="X9:X16" si="5">+SUM(O9:R9)</f>
        <v>817.32900375000008</v>
      </c>
    </row>
    <row r="10" spans="1:29" x14ac:dyDescent="0.2">
      <c r="B10" t="s">
        <v>23</v>
      </c>
      <c r="E10" s="1">
        <v>1215</v>
      </c>
      <c r="F10" s="1">
        <v>1312</v>
      </c>
      <c r="G10" s="1">
        <v>1212</v>
      </c>
      <c r="H10" s="1">
        <v>1253</v>
      </c>
      <c r="I10" s="1">
        <v>1200</v>
      </c>
      <c r="J10" s="1">
        <v>1160</v>
      </c>
      <c r="K10" s="1">
        <v>1147</v>
      </c>
      <c r="L10" s="1">
        <v>1167</v>
      </c>
      <c r="M10" s="1">
        <v>1167</v>
      </c>
      <c r="N10" s="1">
        <f>+M10*1.01</f>
        <v>1178.67</v>
      </c>
      <c r="O10" s="1">
        <f t="shared" ref="O10:R10" si="6">+N10*1.01</f>
        <v>1190.4567000000002</v>
      </c>
      <c r="P10" s="1">
        <f t="shared" si="6"/>
        <v>1202.3612670000002</v>
      </c>
      <c r="Q10" s="1">
        <f t="shared" si="6"/>
        <v>1214.3848796700001</v>
      </c>
      <c r="R10" s="1">
        <f t="shared" si="6"/>
        <v>1226.5287284667002</v>
      </c>
      <c r="V10" s="1">
        <f t="shared" si="3"/>
        <v>4825</v>
      </c>
      <c r="W10" s="1">
        <f t="shared" si="4"/>
        <v>4659.67</v>
      </c>
      <c r="X10" s="14">
        <f t="shared" si="5"/>
        <v>4833.7315751367005</v>
      </c>
    </row>
    <row r="11" spans="1:29" x14ac:dyDescent="0.2">
      <c r="B11" t="s">
        <v>25</v>
      </c>
      <c r="E11" s="1">
        <v>2150</v>
      </c>
      <c r="F11" s="1">
        <v>2289</v>
      </c>
      <c r="G11" s="1">
        <v>2026</v>
      </c>
      <c r="H11" s="1">
        <v>2093</v>
      </c>
      <c r="I11" s="1">
        <v>2042</v>
      </c>
      <c r="J11" s="1">
        <v>2114</v>
      </c>
      <c r="K11" s="1">
        <v>2036</v>
      </c>
      <c r="L11" s="1">
        <v>2190</v>
      </c>
      <c r="M11" s="1">
        <v>2190</v>
      </c>
      <c r="N11" s="1">
        <f t="shared" ref="N11:R11" si="7">+M11*1.01</f>
        <v>2211.9</v>
      </c>
      <c r="O11" s="1">
        <f t="shared" si="7"/>
        <v>2234.0190000000002</v>
      </c>
      <c r="P11" s="1">
        <f t="shared" si="7"/>
        <v>2256.3591900000001</v>
      </c>
      <c r="Q11" s="1">
        <f t="shared" si="7"/>
        <v>2278.9227819000002</v>
      </c>
      <c r="R11" s="1">
        <f t="shared" si="7"/>
        <v>2301.7120097190004</v>
      </c>
      <c r="V11" s="1">
        <f t="shared" si="3"/>
        <v>8275</v>
      </c>
      <c r="W11" s="1">
        <f t="shared" si="4"/>
        <v>8627.9</v>
      </c>
      <c r="X11" s="14">
        <f t="shared" si="5"/>
        <v>9071.0129816190001</v>
      </c>
    </row>
    <row r="12" spans="1:29" x14ac:dyDescent="0.2">
      <c r="B12" t="s">
        <v>26</v>
      </c>
      <c r="E12" s="1">
        <v>2146</v>
      </c>
      <c r="F12" s="1">
        <v>2226</v>
      </c>
      <c r="G12" s="1">
        <v>2216</v>
      </c>
      <c r="H12" s="1">
        <v>2226</v>
      </c>
      <c r="I12" s="1">
        <v>2248</v>
      </c>
      <c r="J12" s="1">
        <v>2226</v>
      </c>
      <c r="K12" s="1">
        <v>2306</v>
      </c>
      <c r="L12" s="1">
        <v>2471</v>
      </c>
      <c r="M12" s="1">
        <v>2471</v>
      </c>
      <c r="N12" s="1">
        <f t="shared" ref="N12:R12" si="8">+M12*1.01</f>
        <v>2495.71</v>
      </c>
      <c r="O12" s="1">
        <f t="shared" si="8"/>
        <v>2520.6671000000001</v>
      </c>
      <c r="P12" s="1">
        <f t="shared" si="8"/>
        <v>2545.873771</v>
      </c>
      <c r="Q12" s="1">
        <f t="shared" si="8"/>
        <v>2571.3325087100002</v>
      </c>
      <c r="R12" s="1">
        <f t="shared" si="8"/>
        <v>2597.0458337971004</v>
      </c>
      <c r="V12" s="1">
        <f t="shared" si="3"/>
        <v>8916</v>
      </c>
      <c r="W12" s="1">
        <f t="shared" si="4"/>
        <v>9743.7099999999991</v>
      </c>
      <c r="X12" s="14">
        <f t="shared" si="5"/>
        <v>10234.919213507101</v>
      </c>
    </row>
    <row r="13" spans="1:29" x14ac:dyDescent="0.2">
      <c r="B13" t="s">
        <v>27</v>
      </c>
      <c r="E13" s="1">
        <v>402</v>
      </c>
      <c r="F13" s="1">
        <v>400</v>
      </c>
      <c r="G13" s="1">
        <v>393</v>
      </c>
      <c r="H13" s="1">
        <v>375</v>
      </c>
      <c r="I13" s="1">
        <v>377</v>
      </c>
      <c r="J13" s="1">
        <v>402</v>
      </c>
      <c r="K13" s="1">
        <v>358</v>
      </c>
      <c r="L13" s="1">
        <v>387</v>
      </c>
      <c r="M13" s="1">
        <v>387</v>
      </c>
      <c r="N13" s="1">
        <f t="shared" ref="N13:R13" si="9">+M13*1.01</f>
        <v>390.87</v>
      </c>
      <c r="O13" s="1">
        <f t="shared" si="9"/>
        <v>394.77870000000001</v>
      </c>
      <c r="P13" s="1">
        <f t="shared" si="9"/>
        <v>398.72648700000002</v>
      </c>
      <c r="Q13" s="1">
        <f t="shared" si="9"/>
        <v>402.71375187000001</v>
      </c>
      <c r="R13" s="1">
        <f t="shared" si="9"/>
        <v>406.7408893887</v>
      </c>
      <c r="V13" s="1">
        <f t="shared" si="3"/>
        <v>1547</v>
      </c>
      <c r="W13" s="1">
        <f t="shared" si="4"/>
        <v>1522.87</v>
      </c>
      <c r="X13" s="14">
        <f t="shared" si="5"/>
        <v>1602.9598282586999</v>
      </c>
    </row>
    <row r="14" spans="1:29" x14ac:dyDescent="0.2">
      <c r="B14" t="s">
        <v>28</v>
      </c>
      <c r="E14" s="1">
        <v>886</v>
      </c>
      <c r="F14" s="1">
        <v>870</v>
      </c>
      <c r="G14" s="1">
        <v>763</v>
      </c>
      <c r="H14" s="1">
        <v>755</v>
      </c>
      <c r="I14" s="1">
        <v>749</v>
      </c>
      <c r="J14" s="1">
        <v>743</v>
      </c>
      <c r="K14" s="1">
        <v>624</v>
      </c>
      <c r="L14" s="1">
        <v>591</v>
      </c>
      <c r="M14" s="1">
        <v>591</v>
      </c>
      <c r="N14" s="1">
        <f t="shared" ref="N14:R14" si="10">+M14*1.01</f>
        <v>596.91</v>
      </c>
      <c r="O14" s="1">
        <f t="shared" si="10"/>
        <v>602.87909999999999</v>
      </c>
      <c r="P14" s="1">
        <f t="shared" si="10"/>
        <v>608.90789099999995</v>
      </c>
      <c r="Q14" s="1">
        <f t="shared" si="10"/>
        <v>614.99696990999996</v>
      </c>
      <c r="R14" s="1">
        <f t="shared" si="10"/>
        <v>621.14693960909995</v>
      </c>
      <c r="V14" s="1">
        <f t="shared" si="3"/>
        <v>3010</v>
      </c>
      <c r="W14" s="1">
        <f t="shared" si="4"/>
        <v>2402.91</v>
      </c>
      <c r="X14" s="14">
        <f t="shared" si="5"/>
        <v>2447.9309005190999</v>
      </c>
    </row>
    <row r="15" spans="1:29" x14ac:dyDescent="0.2">
      <c r="B15" t="s">
        <v>29</v>
      </c>
      <c r="E15" s="1">
        <v>37</v>
      </c>
      <c r="F15" s="1">
        <v>51</v>
      </c>
      <c r="G15" s="1">
        <v>11</v>
      </c>
      <c r="H15" s="1">
        <v>47</v>
      </c>
      <c r="I15" s="1">
        <v>155</v>
      </c>
      <c r="J15" s="1">
        <v>101</v>
      </c>
      <c r="K15" s="1">
        <v>13</v>
      </c>
      <c r="L15" s="1">
        <v>31</v>
      </c>
      <c r="M15" s="1">
        <v>31</v>
      </c>
      <c r="N15" s="1">
        <f t="shared" ref="N15:R15" si="11">+M15*1.01</f>
        <v>31.31</v>
      </c>
      <c r="O15" s="1">
        <f t="shared" si="11"/>
        <v>31.623099999999997</v>
      </c>
      <c r="P15" s="1">
        <f t="shared" si="11"/>
        <v>31.939330999999999</v>
      </c>
      <c r="Q15" s="1">
        <f t="shared" si="11"/>
        <v>32.258724309999998</v>
      </c>
      <c r="R15" s="1">
        <f t="shared" si="11"/>
        <v>32.581311553100001</v>
      </c>
      <c r="V15" s="1">
        <f t="shared" si="3"/>
        <v>314</v>
      </c>
      <c r="W15" s="1">
        <f t="shared" si="4"/>
        <v>106.31</v>
      </c>
      <c r="X15" s="14">
        <f t="shared" si="5"/>
        <v>128.40246686309999</v>
      </c>
    </row>
    <row r="16" spans="1:29" x14ac:dyDescent="0.2">
      <c r="B16" t="s">
        <v>30</v>
      </c>
      <c r="E16" s="1">
        <v>78</v>
      </c>
      <c r="F16" s="1">
        <v>131</v>
      </c>
      <c r="G16" s="1">
        <v>138</v>
      </c>
      <c r="H16" s="1">
        <v>83</v>
      </c>
      <c r="I16" s="1">
        <v>90</v>
      </c>
      <c r="J16" s="1">
        <v>92</v>
      </c>
      <c r="K16" s="1">
        <v>73</v>
      </c>
      <c r="L16" s="1">
        <v>84</v>
      </c>
      <c r="M16" s="1">
        <v>84</v>
      </c>
      <c r="N16" s="1">
        <f t="shared" ref="N16:R16" si="12">+M16*1.01</f>
        <v>84.84</v>
      </c>
      <c r="O16" s="1">
        <f t="shared" si="12"/>
        <v>85.688400000000001</v>
      </c>
      <c r="P16" s="1">
        <f t="shared" si="12"/>
        <v>86.545283999999995</v>
      </c>
      <c r="Q16" s="1">
        <f t="shared" si="12"/>
        <v>87.410736839999998</v>
      </c>
      <c r="R16" s="1">
        <f t="shared" si="12"/>
        <v>88.284844208400003</v>
      </c>
      <c r="V16" s="1">
        <f t="shared" si="3"/>
        <v>403</v>
      </c>
      <c r="W16" s="1">
        <f t="shared" si="4"/>
        <v>325.84000000000003</v>
      </c>
      <c r="X16" s="14">
        <f t="shared" si="5"/>
        <v>347.92926504839994</v>
      </c>
    </row>
    <row r="17" spans="2:121" x14ac:dyDescent="0.2">
      <c r="B17" t="s">
        <v>32</v>
      </c>
      <c r="E17" s="1">
        <f>+SUM(E8:E16)</f>
        <v>9138</v>
      </c>
      <c r="F17" s="1">
        <f>+SUM(F8:F16)</f>
        <v>9697</v>
      </c>
      <c r="G17" s="1">
        <f>+SUM(G8:G16)</f>
        <v>9157</v>
      </c>
      <c r="H17" s="1">
        <f>+SUM(H8:H16)</f>
        <v>9319</v>
      </c>
      <c r="I17" s="1">
        <f>+SUM(I8:I16)</f>
        <v>9530</v>
      </c>
      <c r="J17" s="1">
        <f>+SUM(J8:J16)</f>
        <v>9601</v>
      </c>
      <c r="K17" s="1">
        <f>+SUM(K8:K16)</f>
        <v>9316</v>
      </c>
      <c r="L17" s="1">
        <f>+SUM(L8:L16)</f>
        <v>9839</v>
      </c>
      <c r="M17" s="1">
        <f>+SUM(M8:M16)</f>
        <v>9839</v>
      </c>
      <c r="N17" s="1">
        <f t="shared" ref="N17:R17" si="13">+SUM(N8:N16)</f>
        <v>9916.8100000000013</v>
      </c>
      <c r="O17" s="1">
        <f t="shared" si="13"/>
        <v>10050.662100000001</v>
      </c>
      <c r="P17" s="1">
        <f t="shared" si="13"/>
        <v>10186.763121</v>
      </c>
      <c r="Q17" s="1">
        <f t="shared" si="13"/>
        <v>10325.164596210001</v>
      </c>
      <c r="R17" s="1">
        <f t="shared" si="13"/>
        <v>10465.919696852099</v>
      </c>
      <c r="V17" s="1">
        <f>+SUM(V8:V16)</f>
        <v>37607</v>
      </c>
      <c r="W17" s="1">
        <f>+SUM(W8:W16)</f>
        <v>38910.81</v>
      </c>
      <c r="X17" s="1">
        <f>+SUM(X8:X16)</f>
        <v>41028.509514062112</v>
      </c>
    </row>
    <row r="18" spans="2:121" s="2" customFormat="1" x14ac:dyDescent="0.2">
      <c r="B18" s="2" t="s">
        <v>31</v>
      </c>
      <c r="E18" s="6">
        <f>+E7-E17</f>
        <v>3260</v>
      </c>
      <c r="F18" s="6">
        <f>+F7-F17</f>
        <v>4140</v>
      </c>
      <c r="G18" s="6">
        <f>+G7-G17</f>
        <v>3296</v>
      </c>
      <c r="H18" s="6">
        <f>+H7-H17</f>
        <v>3622</v>
      </c>
      <c r="I18" s="6">
        <f>+I7-I17</f>
        <v>3750</v>
      </c>
      <c r="J18" s="6">
        <f>+J7-J17</f>
        <v>4686</v>
      </c>
      <c r="K18" s="6">
        <f>+K7-K17</f>
        <v>3991</v>
      </c>
      <c r="L18" s="6">
        <f>+L7-L17</f>
        <v>4220</v>
      </c>
      <c r="M18" s="6">
        <f>+M7-M17</f>
        <v>5204.130000000001</v>
      </c>
      <c r="N18" s="6">
        <f t="shared" ref="N18:R18" si="14">+N7-N17</f>
        <v>5427.1826000000001</v>
      </c>
      <c r="O18" s="6">
        <f t="shared" si="14"/>
        <v>5753.650278000001</v>
      </c>
      <c r="P18" s="6">
        <f t="shared" si="14"/>
        <v>5775.5923807800027</v>
      </c>
      <c r="Q18" s="6">
        <f t="shared" si="14"/>
        <v>5796.8144605878024</v>
      </c>
      <c r="R18" s="6">
        <f t="shared" si="14"/>
        <v>5817.2791505136829</v>
      </c>
      <c r="V18" s="6">
        <f t="shared" ref="V18:X18" si="15">+V7-V17</f>
        <v>15354</v>
      </c>
      <c r="W18" s="6">
        <f t="shared" si="15"/>
        <v>18842.312600000005</v>
      </c>
      <c r="X18" s="6">
        <f t="shared" si="15"/>
        <v>23143.336269881482</v>
      </c>
    </row>
    <row r="19" spans="2:121" x14ac:dyDescent="0.2">
      <c r="B19" t="s">
        <v>34</v>
      </c>
      <c r="E19" s="1">
        <v>908</v>
      </c>
      <c r="F19" s="1">
        <v>955</v>
      </c>
      <c r="G19" s="1">
        <v>872</v>
      </c>
      <c r="H19" s="1">
        <v>888</v>
      </c>
      <c r="I19" s="1">
        <v>876</v>
      </c>
      <c r="J19" s="1">
        <v>878</v>
      </c>
      <c r="K19" s="1">
        <v>842</v>
      </c>
      <c r="L19" s="1">
        <v>866</v>
      </c>
      <c r="M19" s="1">
        <v>888</v>
      </c>
      <c r="N19" s="1">
        <v>865</v>
      </c>
      <c r="O19" s="1">
        <v>865</v>
      </c>
      <c r="P19" s="1">
        <v>865</v>
      </c>
      <c r="Q19" s="1">
        <v>865</v>
      </c>
      <c r="R19" s="1">
        <v>865</v>
      </c>
      <c r="V19" s="14">
        <f t="shared" ref="V19:X20" si="16">+SUM(M19:P19)</f>
        <v>3483</v>
      </c>
      <c r="W19" s="14">
        <f t="shared" si="16"/>
        <v>3460</v>
      </c>
      <c r="X19" s="14">
        <f t="shared" si="16"/>
        <v>3460</v>
      </c>
    </row>
    <row r="20" spans="2:121" x14ac:dyDescent="0.2">
      <c r="B20" t="s">
        <v>33</v>
      </c>
      <c r="E20" s="1">
        <v>322</v>
      </c>
      <c r="F20" s="1">
        <v>-210</v>
      </c>
      <c r="G20" s="1">
        <v>45</v>
      </c>
      <c r="H20" s="1">
        <v>217</v>
      </c>
      <c r="I20" s="1">
        <v>464</v>
      </c>
      <c r="J20" s="1">
        <v>639</v>
      </c>
      <c r="K20" s="1">
        <v>240</v>
      </c>
      <c r="L20" s="1">
        <v>239</v>
      </c>
      <c r="M20" s="1">
        <v>500</v>
      </c>
      <c r="N20" s="1">
        <v>400</v>
      </c>
      <c r="O20" s="1">
        <v>400</v>
      </c>
      <c r="P20" s="1">
        <v>400</v>
      </c>
      <c r="Q20" s="1">
        <v>400</v>
      </c>
      <c r="R20" s="1">
        <v>400</v>
      </c>
      <c r="V20" s="14">
        <f t="shared" si="16"/>
        <v>1700</v>
      </c>
      <c r="W20" s="14">
        <f t="shared" si="16"/>
        <v>1600</v>
      </c>
      <c r="X20" s="14">
        <f t="shared" si="16"/>
        <v>1600</v>
      </c>
    </row>
    <row r="21" spans="2:121" s="2" customFormat="1" x14ac:dyDescent="0.2">
      <c r="B21" s="2" t="s">
        <v>35</v>
      </c>
      <c r="E21" s="6">
        <f>+E18-E19-E20</f>
        <v>2030</v>
      </c>
      <c r="F21" s="6">
        <f>+F18-F19-F20</f>
        <v>3395</v>
      </c>
      <c r="G21" s="6">
        <f>+G18-G19-G20</f>
        <v>2379</v>
      </c>
      <c r="H21" s="6">
        <f>+H18-H19-H20</f>
        <v>2517</v>
      </c>
      <c r="I21" s="6">
        <f>+I18-I19-I20</f>
        <v>2410</v>
      </c>
      <c r="J21" s="6">
        <f>+J18-J19-J20</f>
        <v>3169</v>
      </c>
      <c r="K21" s="6">
        <f>+K18-K19-K20</f>
        <v>2909</v>
      </c>
      <c r="L21" s="6">
        <f>+L18-L19-L20</f>
        <v>3115</v>
      </c>
      <c r="M21" s="6">
        <f>+M18-M19-M20</f>
        <v>3816.130000000001</v>
      </c>
      <c r="N21" s="6">
        <f t="shared" ref="N21:R21" si="17">+N18-N19-N20</f>
        <v>4162.1826000000001</v>
      </c>
      <c r="O21" s="6">
        <f t="shared" si="17"/>
        <v>4488.650278000001</v>
      </c>
      <c r="P21" s="6">
        <f t="shared" si="17"/>
        <v>4510.5923807800027</v>
      </c>
      <c r="Q21" s="6">
        <f t="shared" si="17"/>
        <v>4531.8144605878024</v>
      </c>
      <c r="R21" s="6">
        <f t="shared" si="17"/>
        <v>4552.2791505136829</v>
      </c>
      <c r="V21" s="6">
        <f t="shared" ref="V21:X21" si="18">+V18-V19-V20</f>
        <v>10171</v>
      </c>
      <c r="W21" s="6">
        <f t="shared" si="18"/>
        <v>13782.312600000005</v>
      </c>
      <c r="X21" s="6">
        <f t="shared" si="18"/>
        <v>18083.336269881482</v>
      </c>
      <c r="Y21" s="6">
        <f>+X21*1.1</f>
        <v>19891.669896869633</v>
      </c>
      <c r="Z21" s="6">
        <f t="shared" ref="Z21:AC21" si="19">+Y21*1.1</f>
        <v>21880.836886556597</v>
      </c>
      <c r="AA21" s="6">
        <f t="shared" si="19"/>
        <v>24068.920575212258</v>
      </c>
      <c r="AB21" s="6">
        <f t="shared" si="19"/>
        <v>26475.812632733487</v>
      </c>
      <c r="AC21" s="6">
        <f t="shared" si="19"/>
        <v>29123.393896006837</v>
      </c>
      <c r="AD21" s="6">
        <f t="shared" ref="Z21:AD21" si="20">+AC21*1.05</f>
        <v>30579.563590807182</v>
      </c>
      <c r="AE21" s="6">
        <f t="shared" ref="Z21:CK21" si="21">+AD21*(1+$AB27)</f>
        <v>30273.767954899111</v>
      </c>
      <c r="AF21" s="6">
        <f t="shared" si="21"/>
        <v>29971.03027535012</v>
      </c>
      <c r="AG21" s="6">
        <f t="shared" si="21"/>
        <v>29671.319972596619</v>
      </c>
      <c r="AH21" s="6">
        <f t="shared" si="21"/>
        <v>29374.606772870651</v>
      </c>
      <c r="AI21" s="6">
        <f t="shared" si="21"/>
        <v>29080.860705141946</v>
      </c>
      <c r="AJ21" s="6">
        <f t="shared" si="21"/>
        <v>28790.052098090528</v>
      </c>
      <c r="AK21" s="6">
        <f t="shared" si="21"/>
        <v>28502.151577109624</v>
      </c>
      <c r="AL21" s="6">
        <f t="shared" si="21"/>
        <v>28217.130061338528</v>
      </c>
      <c r="AM21" s="6">
        <f t="shared" si="21"/>
        <v>27934.958760725141</v>
      </c>
      <c r="AN21" s="6">
        <f t="shared" si="21"/>
        <v>27655.609173117889</v>
      </c>
      <c r="AO21" s="6">
        <f t="shared" si="21"/>
        <v>27379.053081386712</v>
      </c>
      <c r="AP21" s="6">
        <f t="shared" si="21"/>
        <v>27105.262550572843</v>
      </c>
      <c r="AQ21" s="6">
        <f t="shared" si="21"/>
        <v>26834.209925067113</v>
      </c>
      <c r="AR21" s="6">
        <f t="shared" si="21"/>
        <v>26565.86782581644</v>
      </c>
      <c r="AS21" s="6">
        <f t="shared" si="21"/>
        <v>26300.209147558275</v>
      </c>
      <c r="AT21" s="6">
        <f t="shared" si="21"/>
        <v>26037.207056082691</v>
      </c>
      <c r="AU21" s="6">
        <f t="shared" si="21"/>
        <v>25776.834985521862</v>
      </c>
      <c r="AV21" s="6">
        <f t="shared" si="21"/>
        <v>25519.066635666644</v>
      </c>
      <c r="AW21" s="6">
        <f t="shared" si="21"/>
        <v>25263.875969309978</v>
      </c>
      <c r="AX21" s="6">
        <f t="shared" si="21"/>
        <v>25011.237209616876</v>
      </c>
      <c r="AY21" s="6">
        <f t="shared" si="21"/>
        <v>24761.124837520707</v>
      </c>
      <c r="AZ21" s="6">
        <f t="shared" si="21"/>
        <v>24513.513589145499</v>
      </c>
      <c r="BA21" s="6">
        <f t="shared" si="21"/>
        <v>24268.378453254045</v>
      </c>
      <c r="BB21" s="6">
        <f t="shared" si="21"/>
        <v>24025.694668721506</v>
      </c>
      <c r="BC21" s="6">
        <f t="shared" si="21"/>
        <v>23785.43772203429</v>
      </c>
      <c r="BD21" s="6">
        <f t="shared" si="21"/>
        <v>23547.583344813946</v>
      </c>
      <c r="BE21" s="6">
        <f t="shared" si="21"/>
        <v>23312.107511365804</v>
      </c>
      <c r="BF21" s="6">
        <f t="shared" si="21"/>
        <v>23078.986436252148</v>
      </c>
      <c r="BG21" s="6">
        <f t="shared" si="21"/>
        <v>22848.196571889624</v>
      </c>
      <c r="BH21" s="6">
        <f t="shared" si="21"/>
        <v>22619.714606170728</v>
      </c>
      <c r="BI21" s="6">
        <f t="shared" si="21"/>
        <v>22393.517460109022</v>
      </c>
      <c r="BJ21" s="6">
        <f t="shared" si="21"/>
        <v>22169.582285507931</v>
      </c>
      <c r="BK21" s="6">
        <f t="shared" si="21"/>
        <v>21947.886462652852</v>
      </c>
      <c r="BL21" s="6">
        <f t="shared" si="21"/>
        <v>21728.407598026322</v>
      </c>
      <c r="BM21" s="6">
        <f t="shared" si="21"/>
        <v>21511.123522046058</v>
      </c>
      <c r="BN21" s="6">
        <f t="shared" si="21"/>
        <v>21296.012286825597</v>
      </c>
      <c r="BO21" s="6">
        <f t="shared" si="21"/>
        <v>21083.052163957342</v>
      </c>
      <c r="BP21" s="6">
        <f t="shared" si="21"/>
        <v>20872.221642317767</v>
      </c>
      <c r="BQ21" s="6">
        <f t="shared" si="21"/>
        <v>20663.499425894588</v>
      </c>
      <c r="BR21" s="6">
        <f t="shared" si="21"/>
        <v>20456.86443163564</v>
      </c>
      <c r="BS21" s="6">
        <f t="shared" si="21"/>
        <v>20252.295787319283</v>
      </c>
      <c r="BT21" s="6">
        <f t="shared" si="21"/>
        <v>20049.77282944609</v>
      </c>
      <c r="BU21" s="6">
        <f t="shared" si="21"/>
        <v>19849.27510115163</v>
      </c>
      <c r="BV21" s="6">
        <f t="shared" si="21"/>
        <v>19650.782350140114</v>
      </c>
      <c r="BW21" s="6">
        <f t="shared" si="21"/>
        <v>19454.274526638714</v>
      </c>
      <c r="BX21" s="6">
        <f t="shared" si="21"/>
        <v>19259.731781372328</v>
      </c>
      <c r="BY21" s="6">
        <f t="shared" si="21"/>
        <v>19067.134463558603</v>
      </c>
      <c r="BZ21" s="6">
        <f t="shared" si="21"/>
        <v>18876.463118923017</v>
      </c>
      <c r="CA21" s="6">
        <f t="shared" si="21"/>
        <v>18687.698487733785</v>
      </c>
      <c r="CB21" s="6">
        <f t="shared" si="21"/>
        <v>18500.821502856448</v>
      </c>
      <c r="CC21" s="6">
        <f t="shared" si="21"/>
        <v>18315.813287827885</v>
      </c>
      <c r="CD21" s="6">
        <f t="shared" si="21"/>
        <v>18132.655154949607</v>
      </c>
      <c r="CE21" s="6">
        <f t="shared" si="21"/>
        <v>17951.32860340011</v>
      </c>
      <c r="CF21" s="6">
        <f t="shared" si="21"/>
        <v>17771.815317366109</v>
      </c>
      <c r="CG21" s="6">
        <f t="shared" si="21"/>
        <v>17594.097164192448</v>
      </c>
      <c r="CH21" s="6">
        <f t="shared" si="21"/>
        <v>17418.156192550523</v>
      </c>
      <c r="CI21" s="6">
        <f t="shared" si="21"/>
        <v>17243.974630625016</v>
      </c>
      <c r="CJ21" s="6">
        <f t="shared" si="21"/>
        <v>17071.534884318768</v>
      </c>
      <c r="CK21" s="6">
        <f t="shared" si="21"/>
        <v>16900.819535475581</v>
      </c>
      <c r="CL21" s="6">
        <f t="shared" ref="CL21:DQ21" si="22">+CK21*(1+$AB27)</f>
        <v>16731.811340120825</v>
      </c>
      <c r="CM21" s="6">
        <f t="shared" si="22"/>
        <v>16564.493226719616</v>
      </c>
      <c r="CN21" s="6">
        <f t="shared" si="22"/>
        <v>16398.848294452418</v>
      </c>
      <c r="CO21" s="6">
        <f t="shared" si="22"/>
        <v>16234.859811507895</v>
      </c>
      <c r="CP21" s="6">
        <f t="shared" si="22"/>
        <v>16072.511213392816</v>
      </c>
      <c r="CQ21" s="6">
        <f t="shared" si="22"/>
        <v>15911.786101258887</v>
      </c>
      <c r="CR21" s="6">
        <f t="shared" si="22"/>
        <v>15752.668240246298</v>
      </c>
      <c r="CS21" s="6">
        <f t="shared" si="22"/>
        <v>15595.141557843834</v>
      </c>
      <c r="CT21" s="6">
        <f t="shared" si="22"/>
        <v>15439.190142265395</v>
      </c>
      <c r="CU21" s="6">
        <f t="shared" si="22"/>
        <v>15284.798240842742</v>
      </c>
      <c r="CV21" s="6">
        <f t="shared" si="22"/>
        <v>15131.950258434314</v>
      </c>
      <c r="CW21" s="6">
        <f t="shared" si="22"/>
        <v>14980.63075584997</v>
      </c>
      <c r="CX21" s="6">
        <f t="shared" si="22"/>
        <v>14830.824448291471</v>
      </c>
      <c r="CY21" s="6">
        <f t="shared" si="22"/>
        <v>14682.516203808556</v>
      </c>
      <c r="CZ21" s="6">
        <f t="shared" si="22"/>
        <v>14535.691041770471</v>
      </c>
      <c r="DA21" s="6">
        <f t="shared" si="22"/>
        <v>14390.334131352767</v>
      </c>
      <c r="DB21" s="6">
        <f t="shared" si="22"/>
        <v>14246.43079003924</v>
      </c>
      <c r="DC21" s="6">
        <f t="shared" si="22"/>
        <v>14103.966482138847</v>
      </c>
      <c r="DD21" s="6">
        <f t="shared" si="22"/>
        <v>13962.926817317459</v>
      </c>
      <c r="DE21" s="6">
        <f t="shared" si="22"/>
        <v>13823.297549144285</v>
      </c>
      <c r="DF21" s="6">
        <f t="shared" si="22"/>
        <v>13685.064573652842</v>
      </c>
      <c r="DG21" s="6">
        <f t="shared" si="22"/>
        <v>13548.213927916313</v>
      </c>
      <c r="DH21" s="6">
        <f t="shared" si="22"/>
        <v>13412.731788637149</v>
      </c>
      <c r="DI21" s="6">
        <f t="shared" si="22"/>
        <v>13278.604470750777</v>
      </c>
      <c r="DJ21" s="6">
        <f t="shared" si="22"/>
        <v>13145.81842604327</v>
      </c>
      <c r="DK21" s="6">
        <f t="shared" si="22"/>
        <v>13014.360241782837</v>
      </c>
      <c r="DL21" s="6">
        <f t="shared" si="22"/>
        <v>12884.216639365008</v>
      </c>
      <c r="DM21" s="6">
        <f t="shared" si="22"/>
        <v>12755.374472971358</v>
      </c>
      <c r="DN21" s="6">
        <f t="shared" si="22"/>
        <v>12627.820728241644</v>
      </c>
      <c r="DO21" s="6">
        <f t="shared" si="22"/>
        <v>12501.542520959229</v>
      </c>
      <c r="DP21" s="6">
        <f t="shared" si="22"/>
        <v>12376.527095749636</v>
      </c>
      <c r="DQ21" s="6">
        <f t="shared" si="22"/>
        <v>12252.76182479214</v>
      </c>
    </row>
    <row r="22" spans="2:121" x14ac:dyDescent="0.2">
      <c r="B22" t="s">
        <v>36</v>
      </c>
      <c r="E22" s="5">
        <f>+E21/E23</f>
        <v>0.75240919199406964</v>
      </c>
      <c r="F22" s="5">
        <f>+F21/F23</f>
        <v>1.2541558921315108</v>
      </c>
      <c r="G22" s="5">
        <f>+G21/G23</f>
        <v>0.87206744868035191</v>
      </c>
      <c r="H22" s="5">
        <f>+H21/H23</f>
        <v>0.91660597232337948</v>
      </c>
      <c r="I22" s="5">
        <f>+I21/I23</f>
        <v>0.87700145560407572</v>
      </c>
      <c r="J22" s="5">
        <f>+J21/J23</f>
        <v>1.151107882310207</v>
      </c>
      <c r="K22" s="5">
        <f>+K21/K23</f>
        <v>1.0536037667511771</v>
      </c>
      <c r="L22" s="5">
        <f>+L21/L23</f>
        <v>1.1164874551971327</v>
      </c>
      <c r="M22" s="5">
        <f>+M21/M23</f>
        <v>1.3677885304659503</v>
      </c>
      <c r="N22" s="5">
        <f t="shared" ref="N22:R22" si="23">+N21/N23</f>
        <v>1.4918217204301076</v>
      </c>
      <c r="O22" s="5">
        <f t="shared" si="23"/>
        <v>1.6088352250896061</v>
      </c>
      <c r="P22" s="5">
        <f t="shared" si="23"/>
        <v>1.6166997780573487</v>
      </c>
      <c r="Q22" s="5">
        <f t="shared" si="23"/>
        <v>1.6243062582751979</v>
      </c>
      <c r="R22" s="5">
        <f t="shared" si="23"/>
        <v>1.6316412725855494</v>
      </c>
      <c r="V22" s="5">
        <f t="shared" ref="V22:X22" si="24">+V21/V23</f>
        <v>3.6455197132616486</v>
      </c>
      <c r="W22" s="5">
        <f t="shared" si="24"/>
        <v>4.9398969892473135</v>
      </c>
      <c r="X22" s="5">
        <f t="shared" si="24"/>
        <v>6.4814825340076991</v>
      </c>
    </row>
    <row r="23" spans="2:121" x14ac:dyDescent="0.2">
      <c r="B23" t="s">
        <v>1</v>
      </c>
      <c r="E23" s="1">
        <v>2698</v>
      </c>
      <c r="F23" s="1">
        <v>2707</v>
      </c>
      <c r="G23" s="1">
        <v>2728</v>
      </c>
      <c r="H23" s="1">
        <v>2746</v>
      </c>
      <c r="I23" s="1">
        <v>2748</v>
      </c>
      <c r="J23" s="1">
        <v>2753</v>
      </c>
      <c r="K23" s="1">
        <v>2761</v>
      </c>
      <c r="L23" s="1">
        <v>2790</v>
      </c>
      <c r="M23" s="1">
        <v>2790</v>
      </c>
      <c r="N23" s="1">
        <v>2790</v>
      </c>
      <c r="O23" s="1">
        <v>2790</v>
      </c>
      <c r="P23" s="1">
        <v>2790</v>
      </c>
      <c r="Q23" s="1">
        <v>2790</v>
      </c>
      <c r="R23" s="1">
        <v>2790</v>
      </c>
      <c r="V23" s="1">
        <v>2790</v>
      </c>
      <c r="W23" s="1">
        <v>2790</v>
      </c>
      <c r="X23" s="1">
        <v>2790</v>
      </c>
    </row>
    <row r="25" spans="2:121" x14ac:dyDescent="0.2">
      <c r="B25" t="s">
        <v>24</v>
      </c>
      <c r="E25" s="8">
        <f>+E3/E7</f>
        <v>0.71971285691240527</v>
      </c>
      <c r="F25" s="8">
        <f t="shared" ref="F25:L25" si="25">+F3/F7</f>
        <v>0.67716990677169908</v>
      </c>
      <c r="G25" s="8">
        <f t="shared" si="25"/>
        <v>0.76664257608608366</v>
      </c>
      <c r="H25" s="8">
        <f t="shared" si="25"/>
        <v>0.74484197511784256</v>
      </c>
      <c r="I25" s="8">
        <f t="shared" si="25"/>
        <v>0.75022590361445785</v>
      </c>
      <c r="J25" s="8">
        <f t="shared" si="25"/>
        <v>0.71631553160215578</v>
      </c>
      <c r="K25" s="8">
        <f t="shared" si="25"/>
        <v>0.79048621026527388</v>
      </c>
      <c r="L25" s="8">
        <f t="shared" si="25"/>
        <v>0.76861796713848785</v>
      </c>
      <c r="AA25" t="s">
        <v>66</v>
      </c>
      <c r="AB25" s="8">
        <v>0.01</v>
      </c>
    </row>
    <row r="26" spans="2:121" x14ac:dyDescent="0.2">
      <c r="B26" t="s">
        <v>38</v>
      </c>
      <c r="E26" s="8">
        <f>+E4/E7</f>
        <v>0.10388772382642361</v>
      </c>
      <c r="F26" s="8">
        <f t="shared" ref="F26:L26" si="26">+F4/F7</f>
        <v>0.1555250415552504</v>
      </c>
      <c r="G26" s="8">
        <f t="shared" si="26"/>
        <v>6.4964265638801894E-2</v>
      </c>
      <c r="H26" s="8">
        <f t="shared" si="26"/>
        <v>9.1028514025191257E-2</v>
      </c>
      <c r="I26" s="8">
        <f t="shared" si="26"/>
        <v>9.4578313253012053E-2</v>
      </c>
      <c r="J26" s="8">
        <f t="shared" si="26"/>
        <v>0.1286484216420522</v>
      </c>
      <c r="K26" s="8">
        <f t="shared" si="26"/>
        <v>6.5379123769444658E-2</v>
      </c>
      <c r="L26" s="8">
        <f t="shared" si="26"/>
        <v>8.4998933067785762E-2</v>
      </c>
      <c r="AA26" t="s">
        <v>67</v>
      </c>
      <c r="AB26" s="8">
        <v>0.06</v>
      </c>
    </row>
    <row r="27" spans="2:121" x14ac:dyDescent="0.2">
      <c r="B27" t="s">
        <v>22</v>
      </c>
      <c r="E27" s="8">
        <f>+E5/E7</f>
        <v>6.5413776415550892E-2</v>
      </c>
      <c r="F27" s="8">
        <f t="shared" ref="F27:L27" si="27">+F5/F7</f>
        <v>6.1429500614295009E-2</v>
      </c>
      <c r="G27" s="8">
        <f t="shared" si="27"/>
        <v>5.733558178752108E-2</v>
      </c>
      <c r="H27" s="8">
        <f t="shared" si="27"/>
        <v>5.8418978440615096E-2</v>
      </c>
      <c r="I27" s="8">
        <f t="shared" si="27"/>
        <v>5.6777108433734937E-2</v>
      </c>
      <c r="J27" s="8">
        <f t="shared" si="27"/>
        <v>5.8934695877371039E-2</v>
      </c>
      <c r="K27" s="8">
        <f t="shared" si="27"/>
        <v>4.9222213872397988E-2</v>
      </c>
      <c r="L27" s="8">
        <f t="shared" si="27"/>
        <v>5.1781776797780781E-2</v>
      </c>
      <c r="AA27" t="s">
        <v>68</v>
      </c>
      <c r="AB27" s="8">
        <v>-0.01</v>
      </c>
    </row>
    <row r="28" spans="2:121" x14ac:dyDescent="0.2">
      <c r="B28" t="s">
        <v>23</v>
      </c>
      <c r="E28" s="8">
        <f>+E6/E7</f>
        <v>0.11098564284562026</v>
      </c>
      <c r="F28" s="8">
        <f t="shared" ref="F28:L28" si="28">+F6/F7</f>
        <v>0.10587555105875551</v>
      </c>
      <c r="G28" s="8">
        <f t="shared" si="28"/>
        <v>0.11105757648759335</v>
      </c>
      <c r="H28" s="8">
        <f t="shared" si="28"/>
        <v>0.10571053241635113</v>
      </c>
      <c r="I28" s="8">
        <f t="shared" si="28"/>
        <v>9.8418674698795186E-2</v>
      </c>
      <c r="J28" s="8">
        <f t="shared" si="28"/>
        <v>9.6101350878420935E-2</v>
      </c>
      <c r="K28" s="8">
        <f t="shared" si="28"/>
        <v>9.4912452092883445E-2</v>
      </c>
      <c r="L28" s="8">
        <f t="shared" si="28"/>
        <v>9.4601322995945661E-2</v>
      </c>
      <c r="AA28" t="s">
        <v>69</v>
      </c>
      <c r="AB28" s="15">
        <f>+NPV(AB26,V21:DQ21)</f>
        <v>395574.1966077658</v>
      </c>
    </row>
    <row r="29" spans="2:121" x14ac:dyDescent="0.2">
      <c r="E29" s="8"/>
      <c r="F29" s="8"/>
      <c r="G29" s="8"/>
      <c r="H29" s="8"/>
      <c r="I29" s="8"/>
      <c r="J29" s="8"/>
      <c r="K29" s="8"/>
      <c r="L29" s="8"/>
      <c r="AA29" t="s">
        <v>44</v>
      </c>
    </row>
    <row r="30" spans="2:121" x14ac:dyDescent="0.2">
      <c r="B30" t="s">
        <v>53</v>
      </c>
      <c r="E30" s="8"/>
      <c r="F30" s="8"/>
      <c r="G30" s="8"/>
      <c r="H30" s="8"/>
      <c r="I30" s="8"/>
      <c r="J30" s="8"/>
      <c r="K30" s="8"/>
      <c r="L30" s="8"/>
      <c r="U30" s="1">
        <v>70000</v>
      </c>
      <c r="V30" s="1">
        <v>80000</v>
      </c>
      <c r="AA30" t="s">
        <v>70</v>
      </c>
      <c r="AB30" s="16">
        <f>+AB28/Main!L4</f>
        <v>141.43025367855833</v>
      </c>
    </row>
    <row r="31" spans="2:121" x14ac:dyDescent="0.2">
      <c r="AA31" t="s">
        <v>71</v>
      </c>
      <c r="AB31">
        <v>151.37</v>
      </c>
    </row>
    <row r="32" spans="2:121" x14ac:dyDescent="0.2">
      <c r="B32" t="s">
        <v>39</v>
      </c>
      <c r="E32" s="8">
        <f>+E18/E7</f>
        <v>0.26294563639296659</v>
      </c>
      <c r="F32" s="8">
        <f t="shared" ref="F32:M32" si="29">+F18/F7</f>
        <v>0.29919780299197801</v>
      </c>
      <c r="G32" s="8">
        <f t="shared" si="29"/>
        <v>0.26467517867180601</v>
      </c>
      <c r="H32" s="8">
        <f t="shared" si="29"/>
        <v>0.27988563480411094</v>
      </c>
      <c r="I32" s="8">
        <f t="shared" si="29"/>
        <v>0.28237951807228917</v>
      </c>
      <c r="J32" s="8">
        <f t="shared" si="29"/>
        <v>0.32799048085672289</v>
      </c>
      <c r="K32" s="8">
        <f t="shared" si="29"/>
        <v>0.2999173367400616</v>
      </c>
      <c r="L32" s="8">
        <f t="shared" si="29"/>
        <v>0.30016359627285011</v>
      </c>
      <c r="M32" s="8">
        <f t="shared" si="29"/>
        <v>0.3459472862363086</v>
      </c>
      <c r="V32" s="8">
        <f t="shared" ref="V32:X32" si="30">+V18/V7</f>
        <v>0.28991144427031212</v>
      </c>
      <c r="W32" s="8">
        <f t="shared" si="30"/>
        <v>0.32625617025944159</v>
      </c>
      <c r="X32" s="8">
        <f t="shared" si="30"/>
        <v>0.36064626141191913</v>
      </c>
      <c r="AA32" t="s">
        <v>72</v>
      </c>
      <c r="AB32" s="17">
        <f>+AB31/AB30-1</f>
        <v>7.0280198634393054E-2</v>
      </c>
    </row>
    <row r="34" spans="2:24" s="6" customFormat="1" x14ac:dyDescent="0.2">
      <c r="B34" s="6" t="s">
        <v>40</v>
      </c>
      <c r="G34" s="6">
        <f>+G35+G36</f>
        <v>5412</v>
      </c>
      <c r="H34" s="6">
        <f>+H35+H36</f>
        <v>4723</v>
      </c>
      <c r="I34" s="6">
        <f>+I35+I36</f>
        <v>8524</v>
      </c>
      <c r="J34" s="6">
        <f>+J35+J36</f>
        <v>11807</v>
      </c>
      <c r="K34" s="6">
        <f>+K35+K36</f>
        <v>4662</v>
      </c>
      <c r="L34" s="6">
        <f>+L35+L36</f>
        <v>2458</v>
      </c>
      <c r="U34" s="6">
        <f>+U35+U36</f>
        <v>8470</v>
      </c>
      <c r="V34" s="6">
        <f>+V35+V36</f>
        <v>11807</v>
      </c>
    </row>
    <row r="35" spans="2:24" s="1" customFormat="1" x14ac:dyDescent="0.2">
      <c r="B35" s="1" t="s">
        <v>41</v>
      </c>
      <c r="G35" s="1">
        <v>6974</v>
      </c>
      <c r="H35" s="1">
        <v>7117</v>
      </c>
      <c r="I35" s="1">
        <v>12592</v>
      </c>
      <c r="J35" s="1">
        <v>18673</v>
      </c>
      <c r="K35" s="1">
        <v>7427</v>
      </c>
      <c r="L35" s="1">
        <v>8731</v>
      </c>
      <c r="U35" s="1">
        <v>17165</v>
      </c>
      <c r="V35" s="1">
        <v>18673</v>
      </c>
    </row>
    <row r="36" spans="2:24" s="1" customFormat="1" x14ac:dyDescent="0.2">
      <c r="B36" s="1" t="s">
        <v>42</v>
      </c>
      <c r="G36" s="1">
        <v>-1562</v>
      </c>
      <c r="H36" s="1">
        <v>-2394</v>
      </c>
      <c r="I36" s="1">
        <v>-4068</v>
      </c>
      <c r="J36" s="1">
        <v>-6866</v>
      </c>
      <c r="K36" s="1">
        <v>-2765</v>
      </c>
      <c r="L36" s="1">
        <v>-6273</v>
      </c>
      <c r="U36" s="1">
        <v>-8695</v>
      </c>
      <c r="V36" s="1">
        <v>-6866</v>
      </c>
      <c r="W36" s="1">
        <v>15000</v>
      </c>
    </row>
    <row r="37" spans="2:24" s="1" customFormat="1" x14ac:dyDescent="0.2"/>
    <row r="39" spans="2:24" x14ac:dyDescent="0.2">
      <c r="B39" t="s">
        <v>43</v>
      </c>
      <c r="G39" s="8"/>
      <c r="H39" s="8"/>
      <c r="I39" s="8">
        <f>+I7/E7-1</f>
        <v>7.114050653331172E-2</v>
      </c>
      <c r="J39" s="8">
        <f>+J7/F7-1</f>
        <v>3.2521500325215058E-2</v>
      </c>
      <c r="K39" s="8">
        <f>+K7/G7-1</f>
        <v>6.857785272625061E-2</v>
      </c>
      <c r="L39" s="8">
        <f>+L7/H7-1</f>
        <v>8.6392087164824938E-2</v>
      </c>
      <c r="W39" s="8">
        <f>+W7/V7-1</f>
        <v>9.0483990105927115E-2</v>
      </c>
      <c r="X39" s="8">
        <f>+X7/W7-1</f>
        <v>0.11114071231091471</v>
      </c>
    </row>
  </sheetData>
  <hyperlinks>
    <hyperlink ref="A1" r:id="rId1" xr:uid="{714A886F-5B2D-4036-B01F-D543C5FE8752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DB97-B469-4C56-8D96-0130B12905DC}">
  <dimension ref="B2:C6"/>
  <sheetViews>
    <sheetView workbookViewId="0">
      <selection activeCell="A10" sqref="A10"/>
    </sheetView>
  </sheetViews>
  <sheetFormatPr defaultRowHeight="12.75" x14ac:dyDescent="0.2"/>
  <sheetData>
    <row r="2" spans="2:3" x14ac:dyDescent="0.2">
      <c r="B2" s="9" t="s">
        <v>45</v>
      </c>
    </row>
    <row r="4" spans="2:3" x14ac:dyDescent="0.2">
      <c r="B4" t="s">
        <v>46</v>
      </c>
      <c r="C4" t="s">
        <v>47</v>
      </c>
    </row>
    <row r="5" spans="2:3" x14ac:dyDescent="0.2">
      <c r="B5" t="s">
        <v>48</v>
      </c>
      <c r="C5" t="s">
        <v>49</v>
      </c>
    </row>
    <row r="6" spans="2:3" x14ac:dyDescent="0.2">
      <c r="B6" t="s">
        <v>50</v>
      </c>
      <c r="C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Partnerships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2025-03-07T11:14:13Z</dcterms:created>
  <dcterms:modified xsi:type="dcterms:W3CDTF">2025-03-07T16:13:23Z</dcterms:modified>
</cp:coreProperties>
</file>