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9CE4C30E-A5D1-4783-B371-E70CDA2C3E61}" xr6:coauthVersionLast="47" xr6:coauthVersionMax="47" xr10:uidLastSave="{00000000-0000-0000-0000-000000000000}"/>
  <bookViews>
    <workbookView xWindow="7995" yWindow="1200" windowWidth="18690" windowHeight="14445" xr2:uid="{43FCD743-58A8-48E0-B806-0075CD1B8A7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2" l="1"/>
  <c r="H26" i="2"/>
  <c r="G26" i="2"/>
  <c r="F26" i="2"/>
  <c r="E26" i="2"/>
  <c r="D26" i="2"/>
  <c r="C26" i="2"/>
  <c r="N23" i="2"/>
  <c r="M23" i="2"/>
  <c r="L23" i="2"/>
  <c r="K23" i="2"/>
  <c r="J23" i="2"/>
  <c r="N20" i="2"/>
  <c r="M20" i="2"/>
  <c r="L20" i="2"/>
  <c r="K20" i="2"/>
  <c r="J19" i="2"/>
  <c r="K19" i="2" s="1"/>
  <c r="L19" i="2" s="1"/>
  <c r="M19" i="2" s="1"/>
  <c r="N19" i="2" s="1"/>
  <c r="J18" i="2"/>
  <c r="K18" i="2" s="1"/>
  <c r="L18" i="2" s="1"/>
  <c r="M18" i="2" s="1"/>
  <c r="N18" i="2" s="1"/>
  <c r="J17" i="2"/>
  <c r="K17" i="2" s="1"/>
  <c r="L17" i="2" s="1"/>
  <c r="M17" i="2" s="1"/>
  <c r="N17" i="2" s="1"/>
  <c r="J16" i="2"/>
  <c r="K16" i="2" s="1"/>
  <c r="L16" i="2" s="1"/>
  <c r="M16" i="2" s="1"/>
  <c r="N16" i="2" s="1"/>
  <c r="K15" i="2"/>
  <c r="L15" i="2" s="1"/>
  <c r="M15" i="2" s="1"/>
  <c r="N15" i="2" s="1"/>
  <c r="J15" i="2"/>
  <c r="K14" i="2"/>
  <c r="L14" i="2" s="1"/>
  <c r="M14" i="2" s="1"/>
  <c r="N14" i="2" s="1"/>
  <c r="J14" i="2"/>
  <c r="K13" i="2"/>
  <c r="L13" i="2" s="1"/>
  <c r="M13" i="2" s="1"/>
  <c r="N13" i="2" s="1"/>
  <c r="J13" i="2"/>
  <c r="M12" i="2"/>
  <c r="N12" i="2" s="1"/>
  <c r="L12" i="2"/>
  <c r="K12" i="2"/>
  <c r="M11" i="2"/>
  <c r="L11" i="2"/>
  <c r="N11" i="2" s="1"/>
  <c r="K11" i="2"/>
  <c r="N9" i="2"/>
  <c r="M9" i="2"/>
  <c r="L9" i="2"/>
  <c r="K9" i="2"/>
  <c r="J9" i="2"/>
  <c r="J10" i="2"/>
  <c r="J20" i="2" s="1"/>
  <c r="N10" i="2"/>
  <c r="M10" i="2"/>
  <c r="L10" i="2"/>
  <c r="K10" i="2"/>
  <c r="N6" i="2"/>
  <c r="M6" i="2"/>
  <c r="L6" i="2"/>
  <c r="K6" i="2"/>
  <c r="N5" i="2"/>
  <c r="M5" i="2"/>
  <c r="L5" i="2"/>
  <c r="K5" i="2"/>
  <c r="N4" i="2"/>
  <c r="M4" i="2"/>
  <c r="L4" i="2"/>
  <c r="K4" i="2"/>
  <c r="N3" i="2"/>
  <c r="M3" i="2"/>
  <c r="L3" i="2"/>
  <c r="K3" i="2"/>
  <c r="N8" i="2"/>
  <c r="M8" i="2"/>
  <c r="L8" i="2"/>
  <c r="K8" i="2"/>
  <c r="J8" i="2"/>
  <c r="J6" i="2" s="1"/>
  <c r="I25" i="2"/>
  <c r="H25" i="2"/>
  <c r="G25" i="2"/>
  <c r="F25" i="2"/>
  <c r="E25" i="2"/>
  <c r="D25" i="2"/>
  <c r="C25" i="2"/>
  <c r="J22" i="1"/>
  <c r="J21" i="1"/>
  <c r="J20" i="1"/>
  <c r="J23" i="1" s="1"/>
  <c r="J4" i="2"/>
  <c r="J3" i="2"/>
  <c r="C24" i="1"/>
  <c r="C23" i="1"/>
  <c r="C26" i="1"/>
  <c r="C22" i="1"/>
  <c r="I23" i="2"/>
  <c r="H23" i="2"/>
  <c r="G23" i="2"/>
  <c r="F19" i="2"/>
  <c r="F17" i="2"/>
  <c r="F16" i="2"/>
  <c r="F13" i="2"/>
  <c r="F12" i="2"/>
  <c r="F11" i="2"/>
  <c r="F8" i="2"/>
  <c r="C9" i="2"/>
  <c r="C10" i="2" s="1"/>
  <c r="C14" i="2"/>
  <c r="G9" i="2"/>
  <c r="G10" i="2" s="1"/>
  <c r="G24" i="2" s="1"/>
  <c r="G14" i="2"/>
  <c r="D9" i="2"/>
  <c r="D10" i="2" s="1"/>
  <c r="D24" i="2" s="1"/>
  <c r="D14" i="2"/>
  <c r="H9" i="2"/>
  <c r="H10" i="2" s="1"/>
  <c r="H24" i="2" s="1"/>
  <c r="H14" i="2"/>
  <c r="E9" i="2"/>
  <c r="E10" i="2" s="1"/>
  <c r="E24" i="2" s="1"/>
  <c r="E14" i="2"/>
  <c r="I14" i="2"/>
  <c r="I9" i="2"/>
  <c r="I10" i="2" s="1"/>
  <c r="I15" i="2" s="1"/>
  <c r="I18" i="2" s="1"/>
  <c r="I20" i="2" s="1"/>
  <c r="J5" i="2" l="1"/>
  <c r="F14" i="2"/>
  <c r="F10" i="2"/>
  <c r="F9" i="2"/>
  <c r="I24" i="2"/>
  <c r="F24" i="2"/>
  <c r="F15" i="2"/>
  <c r="F18" i="2" s="1"/>
  <c r="F20" i="2" s="1"/>
  <c r="C24" i="2"/>
  <c r="C15" i="2"/>
  <c r="C18" i="2" s="1"/>
  <c r="C20" i="2" s="1"/>
  <c r="G15" i="2"/>
  <c r="G18" i="2" s="1"/>
  <c r="G20" i="2" s="1"/>
  <c r="D15" i="2"/>
  <c r="D18" i="2" s="1"/>
  <c r="D20" i="2" s="1"/>
  <c r="H15" i="2"/>
  <c r="H18" i="2" s="1"/>
  <c r="H20" i="2" s="1"/>
  <c r="E15" i="2"/>
  <c r="E18" i="2" s="1"/>
  <c r="E20" i="2" s="1"/>
</calcChain>
</file>

<file path=xl/sharedStrings.xml><?xml version="1.0" encoding="utf-8"?>
<sst xmlns="http://schemas.openxmlformats.org/spreadsheetml/2006/main" count="92" uniqueCount="82">
  <si>
    <t>Price</t>
  </si>
  <si>
    <t>Shares</t>
  </si>
  <si>
    <t>MC</t>
  </si>
  <si>
    <t>Cash</t>
  </si>
  <si>
    <t>Debt</t>
  </si>
  <si>
    <t>EV</t>
  </si>
  <si>
    <t>Q324</t>
  </si>
  <si>
    <t>Products</t>
  </si>
  <si>
    <t>x86 microprocessors</t>
  </si>
  <si>
    <t>GPUs</t>
  </si>
  <si>
    <t>standalone or in APUs</t>
  </si>
  <si>
    <t>chipsets</t>
  </si>
  <si>
    <t>data center and professional GPUs</t>
  </si>
  <si>
    <t>embedded processors</t>
  </si>
  <si>
    <t>SoC products</t>
  </si>
  <si>
    <t>microprocessor and SoC development services</t>
  </si>
  <si>
    <t>DPUs</t>
  </si>
  <si>
    <t>FPGAs</t>
  </si>
  <si>
    <t>SOMs</t>
  </si>
  <si>
    <t>SmartNICs</t>
  </si>
  <si>
    <t>AI accelerators and Adaptive SoC products</t>
  </si>
  <si>
    <t>Intellectual property porfolio</t>
  </si>
  <si>
    <t>Only Intel, AMD, VIA tech, DM&amp;P hold x86 architectural licenses</t>
  </si>
  <si>
    <t>Main</t>
  </si>
  <si>
    <t>Revenue</t>
  </si>
  <si>
    <t>Q223</t>
  </si>
  <si>
    <t>Q323</t>
  </si>
  <si>
    <t>Q423</t>
  </si>
  <si>
    <t>Q124</t>
  </si>
  <si>
    <t>Q224</t>
  </si>
  <si>
    <t>Q424</t>
  </si>
  <si>
    <t>Q125</t>
  </si>
  <si>
    <t>Q225</t>
  </si>
  <si>
    <t>Q325</t>
  </si>
  <si>
    <t>Q425</t>
  </si>
  <si>
    <t>COGS</t>
  </si>
  <si>
    <t>Gross Profit</t>
  </si>
  <si>
    <t>R&amp;D</t>
  </si>
  <si>
    <t>Competitors</t>
  </si>
  <si>
    <t>S</t>
  </si>
  <si>
    <t>W</t>
  </si>
  <si>
    <t>O</t>
  </si>
  <si>
    <t>T</t>
  </si>
  <si>
    <t>Growing market</t>
  </si>
  <si>
    <t>programmable accelerator that makes networking, security and storage efficient</t>
  </si>
  <si>
    <t>Intel</t>
  </si>
  <si>
    <t>Nvidia</t>
  </si>
  <si>
    <t>M,G&amp;A</t>
  </si>
  <si>
    <t>Amortization</t>
  </si>
  <si>
    <t>Operating Income</t>
  </si>
  <si>
    <t>Operating expenses</t>
  </si>
  <si>
    <t>Interest expense</t>
  </si>
  <si>
    <t>Other</t>
  </si>
  <si>
    <t>Pretax Income</t>
  </si>
  <si>
    <t>Taxes</t>
  </si>
  <si>
    <t>Net income</t>
  </si>
  <si>
    <t>Q123</t>
  </si>
  <si>
    <t>30/12/2023</t>
  </si>
  <si>
    <t>Revenue y/y</t>
  </si>
  <si>
    <t>Gross Margin</t>
  </si>
  <si>
    <t>EPS</t>
  </si>
  <si>
    <t>Data Center</t>
  </si>
  <si>
    <t>Client</t>
  </si>
  <si>
    <t>Gaming</t>
  </si>
  <si>
    <t>Embedded</t>
  </si>
  <si>
    <t>"We are on-track to deliver record annual revenue for 2024 based on significant growth in our Data Center and Client segments."</t>
  </si>
  <si>
    <t>Q4 2024, AMD expects Revenue 7,5B +- 300m</t>
  </si>
  <si>
    <t>high-performance computing, graphics, and visualization technologies.</t>
  </si>
  <si>
    <t>to-do:</t>
  </si>
  <si>
    <t>watch previous press releases, go a year back</t>
  </si>
  <si>
    <t>research management</t>
  </si>
  <si>
    <t>figure out a discount rate</t>
  </si>
  <si>
    <t>P/e</t>
  </si>
  <si>
    <t xml:space="preserve">PEG </t>
  </si>
  <si>
    <t>P/E divided by EPS growth rate</t>
  </si>
  <si>
    <t>Terminal</t>
  </si>
  <si>
    <t>Discount</t>
  </si>
  <si>
    <t>NPV</t>
  </si>
  <si>
    <t>Share</t>
  </si>
  <si>
    <t>Current</t>
  </si>
  <si>
    <t>Difference</t>
  </si>
  <si>
    <t>R/D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</si>
</sst>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  <charset val="186"/>
    </font>
    <font>
      <sz val="11"/>
      <color theme="1"/>
      <name val="Arial"/>
      <family val="2"/>
      <charset val="186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  <charset val="186"/>
    </font>
    <font>
      <u/>
      <sz val="11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1" applyFont="1"/>
    <xf numFmtId="14" fontId="2" fillId="0" borderId="0" xfId="0" applyNumberFormat="1" applyFont="1"/>
    <xf numFmtId="3" fontId="1" fillId="0" borderId="0" xfId="0" applyNumberFormat="1" applyFont="1"/>
    <xf numFmtId="9" fontId="2" fillId="0" borderId="0" xfId="0" applyNumberFormat="1" applyFont="1"/>
    <xf numFmtId="4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666750</xdr:colOff>
      <xdr:row>0</xdr:row>
      <xdr:rowOff>47625</xdr:rowOff>
    </xdr:from>
    <xdr:to>
      <xdr:col>9</xdr:col>
      <xdr:colOff>9525</xdr:colOff>
      <xdr:row>38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6FB0BC2-200C-A090-1A70-6DE3B2429FA5}"/>
            </a:ext>
          </a:extLst>
        </xdr:cNvPr>
        <xdr:cNvCxnSpPr/>
      </xdr:nvCxnSpPr>
      <xdr:spPr>
        <a:xfrm>
          <a:off x="6429375" y="47625"/>
          <a:ext cx="19050" cy="6067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Semiconducto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408D-00DF-49A4-8539-35C15A6A169F}">
  <dimension ref="B2:R35"/>
  <sheetViews>
    <sheetView tabSelected="1" workbookViewId="0">
      <selection activeCell="J7" sqref="J7"/>
    </sheetView>
  </sheetViews>
  <sheetFormatPr defaultRowHeight="14.25" x14ac:dyDescent="0.2"/>
  <cols>
    <col min="1" max="1" width="9.140625" style="2"/>
    <col min="2" max="2" width="17.85546875" style="2" customWidth="1"/>
    <col min="3" max="8" width="9.140625" style="2"/>
    <col min="9" max="9" width="12.42578125" style="2" bestFit="1" customWidth="1"/>
    <col min="10" max="10" width="15.85546875" style="2" bestFit="1" customWidth="1"/>
    <col min="11" max="16384" width="9.140625" style="2"/>
  </cols>
  <sheetData>
    <row r="2" spans="2:18" x14ac:dyDescent="0.2">
      <c r="B2" s="2" t="s">
        <v>67</v>
      </c>
    </row>
    <row r="4" spans="2:18" ht="15" x14ac:dyDescent="0.25">
      <c r="B4" s="1" t="s">
        <v>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R4" s="3"/>
    </row>
    <row r="5" spans="2:18" x14ac:dyDescent="0.2">
      <c r="B5" s="2" t="s">
        <v>8</v>
      </c>
      <c r="I5" s="2" t="s">
        <v>45</v>
      </c>
      <c r="J5" s="2" t="s">
        <v>43</v>
      </c>
      <c r="R5" s="3"/>
    </row>
    <row r="6" spans="2:18" x14ac:dyDescent="0.2">
      <c r="B6" s="2" t="s">
        <v>9</v>
      </c>
      <c r="C6" s="2" t="s">
        <v>10</v>
      </c>
      <c r="I6" s="2" t="s">
        <v>46</v>
      </c>
      <c r="R6" s="3"/>
    </row>
    <row r="7" spans="2:18" x14ac:dyDescent="0.2">
      <c r="B7" s="2" t="s">
        <v>11</v>
      </c>
      <c r="I7" s="2" t="s">
        <v>73</v>
      </c>
      <c r="J7" s="2" t="s">
        <v>74</v>
      </c>
      <c r="R7" s="3"/>
    </row>
    <row r="8" spans="2:18" x14ac:dyDescent="0.2">
      <c r="B8" s="2" t="s">
        <v>12</v>
      </c>
      <c r="R8" s="3"/>
    </row>
    <row r="9" spans="2:18" x14ac:dyDescent="0.2">
      <c r="B9" s="2" t="s">
        <v>13</v>
      </c>
      <c r="R9" s="3"/>
    </row>
    <row r="10" spans="2:18" x14ac:dyDescent="0.2">
      <c r="B10" s="2" t="s">
        <v>14</v>
      </c>
      <c r="R10" s="3"/>
    </row>
    <row r="11" spans="2:18" x14ac:dyDescent="0.2">
      <c r="B11" s="2" t="s">
        <v>15</v>
      </c>
    </row>
    <row r="12" spans="2:18" x14ac:dyDescent="0.2">
      <c r="B12" s="2" t="s">
        <v>16</v>
      </c>
    </row>
    <row r="13" spans="2:18" x14ac:dyDescent="0.2">
      <c r="B13" s="2" t="s">
        <v>17</v>
      </c>
    </row>
    <row r="14" spans="2:18" x14ac:dyDescent="0.2">
      <c r="B14" s="2" t="s">
        <v>18</v>
      </c>
    </row>
    <row r="15" spans="2:18" x14ac:dyDescent="0.2">
      <c r="B15" s="2" t="s">
        <v>19</v>
      </c>
      <c r="C15" s="2" t="s">
        <v>44</v>
      </c>
    </row>
    <row r="16" spans="2:18" x14ac:dyDescent="0.2">
      <c r="B16" s="2" t="s">
        <v>20</v>
      </c>
    </row>
    <row r="17" spans="2:11" x14ac:dyDescent="0.2">
      <c r="B17" s="2" t="s">
        <v>21</v>
      </c>
    </row>
    <row r="18" spans="2:11" x14ac:dyDescent="0.2">
      <c r="I18" s="2" t="s">
        <v>0</v>
      </c>
      <c r="J18" s="3">
        <v>137</v>
      </c>
    </row>
    <row r="19" spans="2:11" x14ac:dyDescent="0.2">
      <c r="I19" s="2" t="s">
        <v>1</v>
      </c>
      <c r="J19" s="3">
        <v>1622</v>
      </c>
      <c r="K19" s="2" t="s">
        <v>6</v>
      </c>
    </row>
    <row r="20" spans="2:11" x14ac:dyDescent="0.2">
      <c r="B20" s="2" t="s">
        <v>22</v>
      </c>
      <c r="I20" s="2" t="s">
        <v>2</v>
      </c>
      <c r="J20" s="3">
        <f>J19*J18</f>
        <v>222214</v>
      </c>
    </row>
    <row r="21" spans="2:11" x14ac:dyDescent="0.2">
      <c r="I21" s="2" t="s">
        <v>3</v>
      </c>
      <c r="J21" s="3">
        <f>3897+647</f>
        <v>4544</v>
      </c>
      <c r="K21" s="2" t="s">
        <v>6</v>
      </c>
    </row>
    <row r="22" spans="2:11" x14ac:dyDescent="0.2">
      <c r="B22" s="2" t="s">
        <v>61</v>
      </c>
      <c r="C22" s="7">
        <f>Model!I3/Model!I8</f>
        <v>0.52045754509458864</v>
      </c>
      <c r="I22" s="2" t="s">
        <v>4</v>
      </c>
      <c r="J22" s="3">
        <f>1720</f>
        <v>1720</v>
      </c>
      <c r="K22" s="2" t="s">
        <v>6</v>
      </c>
    </row>
    <row r="23" spans="2:11" x14ac:dyDescent="0.2">
      <c r="B23" s="2" t="s">
        <v>62</v>
      </c>
      <c r="C23" s="7">
        <f>Model!I4/Model!I8</f>
        <v>0.27584689837219534</v>
      </c>
      <c r="I23" s="2" t="s">
        <v>5</v>
      </c>
      <c r="J23" s="3">
        <f>J20-J21+J22</f>
        <v>219390</v>
      </c>
    </row>
    <row r="24" spans="2:11" x14ac:dyDescent="0.2">
      <c r="B24" s="2" t="s">
        <v>63</v>
      </c>
      <c r="C24" s="7">
        <f>Model!I5/Model!I8</f>
        <v>6.775186977562693E-2</v>
      </c>
      <c r="I24" s="2" t="s">
        <v>72</v>
      </c>
    </row>
    <row r="25" spans="2:11" x14ac:dyDescent="0.2">
      <c r="B25" s="2" t="s">
        <v>64</v>
      </c>
      <c r="C25" s="7">
        <v>0.14000000000000001</v>
      </c>
    </row>
    <row r="26" spans="2:11" x14ac:dyDescent="0.2">
      <c r="B26" s="2" t="s">
        <v>52</v>
      </c>
      <c r="C26" s="7">
        <f>Model!I7/Model!I12</f>
        <v>0</v>
      </c>
    </row>
    <row r="28" spans="2:11" x14ac:dyDescent="0.2">
      <c r="B28" s="2" t="s">
        <v>65</v>
      </c>
    </row>
    <row r="30" spans="2:11" x14ac:dyDescent="0.2">
      <c r="B30" s="2" t="s">
        <v>66</v>
      </c>
    </row>
    <row r="32" spans="2:11" x14ac:dyDescent="0.2">
      <c r="B32" s="9" t="s">
        <v>68</v>
      </c>
    </row>
    <row r="33" spans="2:2" x14ac:dyDescent="0.2">
      <c r="B33" s="2" t="s">
        <v>69</v>
      </c>
    </row>
    <row r="34" spans="2:2" x14ac:dyDescent="0.2">
      <c r="B34" s="2" t="s">
        <v>70</v>
      </c>
    </row>
    <row r="35" spans="2:2" x14ac:dyDescent="0.2">
      <c r="B35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EDB9-4F77-4717-B90B-F4BF71763D31}">
  <dimension ref="A1:P32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H28" sqref="H28"/>
    </sheetView>
  </sheetViews>
  <sheetFormatPr defaultRowHeight="14.25" x14ac:dyDescent="0.2"/>
  <cols>
    <col min="1" max="1" width="5.42578125" style="2" bestFit="1" customWidth="1"/>
    <col min="2" max="2" width="20" style="2" bestFit="1" customWidth="1"/>
    <col min="3" max="3" width="9.140625" style="2"/>
    <col min="4" max="5" width="10.140625" style="2" bestFit="1" customWidth="1"/>
    <col min="6" max="6" width="11.28515625" style="2" bestFit="1" customWidth="1"/>
    <col min="7" max="9" width="10.140625" style="2" bestFit="1" customWidth="1"/>
    <col min="10" max="10" width="9.7109375" style="2" bestFit="1" customWidth="1"/>
    <col min="11" max="16384" width="9.140625" style="2"/>
  </cols>
  <sheetData>
    <row r="1" spans="1:14" x14ac:dyDescent="0.2">
      <c r="A1" s="4" t="s">
        <v>23</v>
      </c>
      <c r="C1" s="5">
        <v>45017</v>
      </c>
      <c r="D1" s="5">
        <v>45107</v>
      </c>
      <c r="E1" s="5">
        <v>45199</v>
      </c>
      <c r="F1" s="2" t="s">
        <v>57</v>
      </c>
      <c r="G1" s="5">
        <v>45381</v>
      </c>
      <c r="H1" s="5">
        <v>45472</v>
      </c>
      <c r="I1" s="5">
        <v>45563</v>
      </c>
    </row>
    <row r="2" spans="1:14" x14ac:dyDescent="0.2">
      <c r="C2" s="2" t="s">
        <v>56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6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</row>
    <row r="3" spans="1:14" x14ac:dyDescent="0.2">
      <c r="B3" s="2" t="s">
        <v>61</v>
      </c>
      <c r="I3" s="3">
        <v>3549</v>
      </c>
      <c r="J3" s="3">
        <f>J8*0.52</f>
        <v>3143.2128000000002</v>
      </c>
      <c r="K3" s="3">
        <f t="shared" ref="K3:N3" si="0">K8*0.52</f>
        <v>2789.0408000000002</v>
      </c>
      <c r="L3" s="3">
        <f t="shared" si="0"/>
        <v>2973.5160000000001</v>
      </c>
      <c r="M3" s="3">
        <f t="shared" si="0"/>
        <v>3474.9623999999999</v>
      </c>
      <c r="N3" s="3">
        <f t="shared" si="0"/>
        <v>3080.3485439999999</v>
      </c>
    </row>
    <row r="4" spans="1:14" x14ac:dyDescent="0.2">
      <c r="B4" s="2" t="s">
        <v>62</v>
      </c>
      <c r="I4" s="3">
        <v>1881</v>
      </c>
      <c r="J4" s="3">
        <f>J8*0.28</f>
        <v>1692.4992000000002</v>
      </c>
      <c r="K4" s="3">
        <f t="shared" ref="K4:N4" si="1">K8*0.28</f>
        <v>1501.7912000000001</v>
      </c>
      <c r="L4" s="3">
        <f t="shared" si="1"/>
        <v>1601.1240000000003</v>
      </c>
      <c r="M4" s="3">
        <f t="shared" si="1"/>
        <v>1871.1336000000001</v>
      </c>
      <c r="N4" s="3">
        <f t="shared" si="1"/>
        <v>1658.649216</v>
      </c>
    </row>
    <row r="5" spans="1:14" x14ac:dyDescent="0.2">
      <c r="B5" s="2" t="s">
        <v>63</v>
      </c>
      <c r="I5" s="3">
        <v>462</v>
      </c>
      <c r="J5" s="3">
        <f>J8*0.07</f>
        <v>423.12480000000005</v>
      </c>
      <c r="K5" s="3">
        <f t="shared" ref="K5:N5" si="2">K8*0.07</f>
        <v>375.44780000000003</v>
      </c>
      <c r="L5" s="3">
        <f t="shared" si="2"/>
        <v>400.28100000000006</v>
      </c>
      <c r="M5" s="3">
        <f t="shared" si="2"/>
        <v>467.78340000000003</v>
      </c>
      <c r="N5" s="3">
        <f t="shared" si="2"/>
        <v>414.66230400000001</v>
      </c>
    </row>
    <row r="6" spans="1:14" x14ac:dyDescent="0.2">
      <c r="B6" s="2" t="s">
        <v>64</v>
      </c>
      <c r="I6" s="3">
        <v>927</v>
      </c>
      <c r="J6" s="3">
        <f>J8*0.14</f>
        <v>846.2496000000001</v>
      </c>
      <c r="K6" s="3">
        <f t="shared" ref="K6:N6" si="3">K8*0.14</f>
        <v>750.89560000000006</v>
      </c>
      <c r="L6" s="3">
        <f t="shared" si="3"/>
        <v>800.56200000000013</v>
      </c>
      <c r="M6" s="3">
        <f t="shared" si="3"/>
        <v>935.56680000000006</v>
      </c>
      <c r="N6" s="3">
        <f t="shared" si="3"/>
        <v>829.32460800000001</v>
      </c>
    </row>
    <row r="7" spans="1:14" x14ac:dyDescent="0.2">
      <c r="B7" s="2" t="s">
        <v>52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s="1" customFormat="1" ht="15" x14ac:dyDescent="0.25">
      <c r="B8" s="1" t="s">
        <v>24</v>
      </c>
      <c r="C8" s="6">
        <v>5353</v>
      </c>
      <c r="D8" s="6">
        <v>5359</v>
      </c>
      <c r="E8" s="6">
        <v>5800</v>
      </c>
      <c r="F8" s="6">
        <f>22680-(SUM(C8:E8))</f>
        <v>6168</v>
      </c>
      <c r="G8" s="6">
        <v>5473</v>
      </c>
      <c r="H8" s="6">
        <v>5835</v>
      </c>
      <c r="I8" s="6">
        <v>6819</v>
      </c>
      <c r="J8" s="6">
        <f>+F8*0.98</f>
        <v>6044.64</v>
      </c>
      <c r="K8" s="6">
        <f t="shared" ref="K8:N8" si="4">+G8*0.98</f>
        <v>5363.54</v>
      </c>
      <c r="L8" s="6">
        <f t="shared" si="4"/>
        <v>5718.3</v>
      </c>
      <c r="M8" s="6">
        <f t="shared" si="4"/>
        <v>6682.62</v>
      </c>
      <c r="N8" s="6">
        <f t="shared" si="4"/>
        <v>5923.7471999999998</v>
      </c>
    </row>
    <row r="9" spans="1:14" x14ac:dyDescent="0.2">
      <c r="B9" s="2" t="s">
        <v>35</v>
      </c>
      <c r="C9" s="3">
        <f>2689+305</f>
        <v>2994</v>
      </c>
      <c r="D9" s="3">
        <f>2704+212</f>
        <v>2916</v>
      </c>
      <c r="E9" s="3">
        <f>2843+210</f>
        <v>3053</v>
      </c>
      <c r="F9" s="3">
        <f>11278+942-(SUM(C9:E9))</f>
        <v>3257</v>
      </c>
      <c r="G9" s="3">
        <f>2683+230</f>
        <v>2913</v>
      </c>
      <c r="H9" s="3">
        <f>2740+231</f>
        <v>2971</v>
      </c>
      <c r="I9" s="3">
        <f>3167+233</f>
        <v>3400</v>
      </c>
      <c r="J9" s="3">
        <f>+J8-J10</f>
        <v>3022.32</v>
      </c>
      <c r="K9" s="3">
        <f t="shared" ref="K9:N9" si="5">+K8-K10</f>
        <v>2681.77</v>
      </c>
      <c r="L9" s="3">
        <f t="shared" si="5"/>
        <v>2859.15</v>
      </c>
      <c r="M9" s="3">
        <f t="shared" si="5"/>
        <v>3341.31</v>
      </c>
      <c r="N9" s="3">
        <f t="shared" si="5"/>
        <v>2961.8735999999999</v>
      </c>
    </row>
    <row r="10" spans="1:14" s="1" customFormat="1" ht="15" x14ac:dyDescent="0.25">
      <c r="B10" s="1" t="s">
        <v>36</v>
      </c>
      <c r="C10" s="6">
        <f t="shared" ref="C10" si="6">C8-C9</f>
        <v>2359</v>
      </c>
      <c r="D10" s="6">
        <f t="shared" ref="D10" si="7">D8-D9</f>
        <v>2443</v>
      </c>
      <c r="E10" s="6">
        <f>E8-E9</f>
        <v>2747</v>
      </c>
      <c r="F10" s="6">
        <f>10460-(SUM(C10:E10))</f>
        <v>2911</v>
      </c>
      <c r="G10" s="6">
        <f t="shared" ref="G10" si="8">G8-G9</f>
        <v>2560</v>
      </c>
      <c r="H10" s="6">
        <f>H8-H9</f>
        <v>2864</v>
      </c>
      <c r="I10" s="6">
        <f>I8-I9</f>
        <v>3419</v>
      </c>
      <c r="J10" s="6">
        <f>+J8*0.5</f>
        <v>3022.32</v>
      </c>
      <c r="K10" s="6">
        <f>+K8*0.5</f>
        <v>2681.77</v>
      </c>
      <c r="L10" s="6">
        <f t="shared" ref="L10:N10" si="9">+L8*0.5</f>
        <v>2859.15</v>
      </c>
      <c r="M10" s="6">
        <f t="shared" si="9"/>
        <v>3341.31</v>
      </c>
      <c r="N10" s="6">
        <f t="shared" si="9"/>
        <v>2961.8735999999999</v>
      </c>
    </row>
    <row r="11" spans="1:14" x14ac:dyDescent="0.2">
      <c r="B11" s="2" t="s">
        <v>37</v>
      </c>
      <c r="C11" s="3">
        <v>1411</v>
      </c>
      <c r="D11" s="3">
        <v>1443</v>
      </c>
      <c r="E11" s="3">
        <v>1507</v>
      </c>
      <c r="F11" s="3">
        <f>5872-(SUM(C11:E11))</f>
        <v>1511</v>
      </c>
      <c r="G11" s="3">
        <v>1525</v>
      </c>
      <c r="H11" s="3">
        <v>1583</v>
      </c>
      <c r="I11" s="3">
        <v>1636</v>
      </c>
      <c r="J11" s="3">
        <v>1636</v>
      </c>
      <c r="K11" s="3">
        <f>+AVERAGE(F11:I11)</f>
        <v>1563.75</v>
      </c>
      <c r="L11" s="3">
        <f t="shared" ref="L11:N11" si="10">+AVERAGE(G11:J11)</f>
        <v>1595</v>
      </c>
      <c r="M11" s="3">
        <f t="shared" si="10"/>
        <v>1604.6875</v>
      </c>
      <c r="N11" s="3">
        <f t="shared" si="10"/>
        <v>1607.6875</v>
      </c>
    </row>
    <row r="12" spans="1:14" x14ac:dyDescent="0.2">
      <c r="B12" s="2" t="s">
        <v>47</v>
      </c>
      <c r="C12" s="3">
        <v>585</v>
      </c>
      <c r="D12" s="3">
        <v>547</v>
      </c>
      <c r="E12" s="3">
        <v>576</v>
      </c>
      <c r="F12" s="3">
        <f>2352-(SUM(C12:E12))</f>
        <v>644</v>
      </c>
      <c r="G12" s="3">
        <v>620</v>
      </c>
      <c r="H12" s="3">
        <v>650</v>
      </c>
      <c r="I12" s="3">
        <v>721</v>
      </c>
      <c r="J12" s="3">
        <v>721</v>
      </c>
      <c r="K12" s="3">
        <f>+J12*1.01</f>
        <v>728.21</v>
      </c>
      <c r="L12" s="3">
        <f t="shared" ref="L12:N12" si="11">+K12*1.01</f>
        <v>735.49210000000005</v>
      </c>
      <c r="M12" s="3">
        <f t="shared" si="11"/>
        <v>742.84702100000004</v>
      </c>
      <c r="N12" s="3">
        <f t="shared" si="11"/>
        <v>750.27549121000004</v>
      </c>
    </row>
    <row r="13" spans="1:14" x14ac:dyDescent="0.2">
      <c r="B13" s="2" t="s">
        <v>48</v>
      </c>
      <c r="C13" s="3">
        <v>518</v>
      </c>
      <c r="D13" s="3">
        <v>481</v>
      </c>
      <c r="E13" s="3">
        <v>450</v>
      </c>
      <c r="F13" s="3">
        <f>1869-(SUM(C13:E13))</f>
        <v>420</v>
      </c>
      <c r="G13" s="3">
        <v>392</v>
      </c>
      <c r="H13" s="3">
        <v>372</v>
      </c>
      <c r="I13" s="3">
        <v>352</v>
      </c>
      <c r="J13" s="3">
        <f t="shared" ref="J13:N13" si="12">+I13*1.01</f>
        <v>355.52</v>
      </c>
      <c r="K13" s="3">
        <f t="shared" si="12"/>
        <v>359.0752</v>
      </c>
      <c r="L13" s="3">
        <f t="shared" si="12"/>
        <v>362.665952</v>
      </c>
      <c r="M13" s="3">
        <f t="shared" si="12"/>
        <v>366.29261151999998</v>
      </c>
      <c r="N13" s="3">
        <f t="shared" si="12"/>
        <v>369.95553763519996</v>
      </c>
    </row>
    <row r="14" spans="1:14" x14ac:dyDescent="0.2">
      <c r="B14" s="2" t="s">
        <v>50</v>
      </c>
      <c r="C14" s="3">
        <f t="shared" ref="C14:I14" si="13">+SUM(C11:C13)</f>
        <v>2514</v>
      </c>
      <c r="D14" s="3">
        <f t="shared" si="13"/>
        <v>2471</v>
      </c>
      <c r="E14" s="3">
        <f t="shared" si="13"/>
        <v>2533</v>
      </c>
      <c r="F14" s="3">
        <f t="shared" si="13"/>
        <v>2575</v>
      </c>
      <c r="G14" s="3">
        <f t="shared" si="13"/>
        <v>2537</v>
      </c>
      <c r="H14" s="3">
        <f t="shared" si="13"/>
        <v>2605</v>
      </c>
      <c r="I14" s="3">
        <f t="shared" si="13"/>
        <v>2709</v>
      </c>
      <c r="J14" s="3">
        <f t="shared" ref="J14:N14" si="14">+I14*1.01</f>
        <v>2736.09</v>
      </c>
      <c r="K14" s="3">
        <f t="shared" si="14"/>
        <v>2763.4509000000003</v>
      </c>
      <c r="L14" s="3">
        <f t="shared" si="14"/>
        <v>2791.0854090000003</v>
      </c>
      <c r="M14" s="3">
        <f t="shared" si="14"/>
        <v>2818.9962630900004</v>
      </c>
      <c r="N14" s="3">
        <f t="shared" si="14"/>
        <v>2847.1862257209004</v>
      </c>
    </row>
    <row r="15" spans="1:14" x14ac:dyDescent="0.2">
      <c r="B15" s="2" t="s">
        <v>49</v>
      </c>
      <c r="C15" s="3">
        <f t="shared" ref="C15:I15" si="15">C10-C14</f>
        <v>-155</v>
      </c>
      <c r="D15" s="3">
        <f t="shared" si="15"/>
        <v>-28</v>
      </c>
      <c r="E15" s="3">
        <f t="shared" si="15"/>
        <v>214</v>
      </c>
      <c r="F15" s="3">
        <f t="shared" si="15"/>
        <v>336</v>
      </c>
      <c r="G15" s="3">
        <f t="shared" si="15"/>
        <v>23</v>
      </c>
      <c r="H15" s="3">
        <f t="shared" si="15"/>
        <v>259</v>
      </c>
      <c r="I15" s="3">
        <f t="shared" si="15"/>
        <v>710</v>
      </c>
      <c r="J15" s="3">
        <f t="shared" ref="J15:N15" si="16">+I15*1.01</f>
        <v>717.1</v>
      </c>
      <c r="K15" s="3">
        <f t="shared" si="16"/>
        <v>724.27100000000007</v>
      </c>
      <c r="L15" s="3">
        <f t="shared" si="16"/>
        <v>731.51371000000006</v>
      </c>
      <c r="M15" s="3">
        <f t="shared" si="16"/>
        <v>738.82884710000008</v>
      </c>
      <c r="N15" s="3">
        <f t="shared" si="16"/>
        <v>746.21713557100009</v>
      </c>
    </row>
    <row r="16" spans="1:14" x14ac:dyDescent="0.2">
      <c r="B16" s="2" t="s">
        <v>51</v>
      </c>
      <c r="C16" s="3">
        <v>-25</v>
      </c>
      <c r="D16" s="3">
        <v>-28</v>
      </c>
      <c r="E16" s="3">
        <v>-26</v>
      </c>
      <c r="F16" s="3">
        <f>-106-(SUM(C16:E16))</f>
        <v>-27</v>
      </c>
      <c r="G16" s="3">
        <v>-25</v>
      </c>
      <c r="H16" s="3">
        <v>-25</v>
      </c>
      <c r="I16" s="3">
        <v>-23</v>
      </c>
      <c r="J16" s="3">
        <f t="shared" ref="J16:N16" si="17">+I16*1.01</f>
        <v>-23.23</v>
      </c>
      <c r="K16" s="3">
        <f t="shared" si="17"/>
        <v>-23.462299999999999</v>
      </c>
      <c r="L16" s="3">
        <f t="shared" si="17"/>
        <v>-23.696922999999998</v>
      </c>
      <c r="M16" s="3">
        <f t="shared" si="17"/>
        <v>-23.933892229999998</v>
      </c>
      <c r="N16" s="3">
        <f t="shared" si="17"/>
        <v>-24.173231152299998</v>
      </c>
    </row>
    <row r="17" spans="2:16" x14ac:dyDescent="0.2">
      <c r="B17" s="2" t="s">
        <v>52</v>
      </c>
      <c r="C17" s="3">
        <v>43</v>
      </c>
      <c r="D17" s="3">
        <v>46</v>
      </c>
      <c r="E17" s="3">
        <v>59</v>
      </c>
      <c r="F17" s="3">
        <f>197-(SUM(C17:E17))</f>
        <v>49</v>
      </c>
      <c r="G17" s="3">
        <v>53</v>
      </c>
      <c r="H17" s="3">
        <v>55</v>
      </c>
      <c r="I17" s="3">
        <v>36</v>
      </c>
      <c r="J17" s="3">
        <f t="shared" ref="J17:N17" si="18">+I17*1.01</f>
        <v>36.36</v>
      </c>
      <c r="K17" s="3">
        <f t="shared" si="18"/>
        <v>36.723599999999998</v>
      </c>
      <c r="L17" s="3">
        <f t="shared" si="18"/>
        <v>37.090835999999996</v>
      </c>
      <c r="M17" s="3">
        <f t="shared" si="18"/>
        <v>37.461744359999997</v>
      </c>
      <c r="N17" s="3">
        <f t="shared" si="18"/>
        <v>37.836361803599999</v>
      </c>
    </row>
    <row r="18" spans="2:16" x14ac:dyDescent="0.2">
      <c r="B18" s="2" t="s">
        <v>53</v>
      </c>
      <c r="C18" s="3">
        <f t="shared" ref="C18:I18" si="19">C15+C16+C17</f>
        <v>-137</v>
      </c>
      <c r="D18" s="3">
        <f t="shared" si="19"/>
        <v>-10</v>
      </c>
      <c r="E18" s="3">
        <f t="shared" si="19"/>
        <v>247</v>
      </c>
      <c r="F18" s="3">
        <f t="shared" si="19"/>
        <v>358</v>
      </c>
      <c r="G18" s="3">
        <f t="shared" si="19"/>
        <v>51</v>
      </c>
      <c r="H18" s="3">
        <f t="shared" si="19"/>
        <v>289</v>
      </c>
      <c r="I18" s="3">
        <f t="shared" si="19"/>
        <v>723</v>
      </c>
      <c r="J18" s="3">
        <f t="shared" ref="J18:N18" si="20">+I18*1.01</f>
        <v>730.23</v>
      </c>
      <c r="K18" s="3">
        <f t="shared" si="20"/>
        <v>737.53230000000008</v>
      </c>
      <c r="L18" s="3">
        <f t="shared" si="20"/>
        <v>744.90762300000006</v>
      </c>
      <c r="M18" s="3">
        <f t="shared" si="20"/>
        <v>752.35669923000012</v>
      </c>
      <c r="N18" s="3">
        <f t="shared" si="20"/>
        <v>759.88026622230018</v>
      </c>
    </row>
    <row r="19" spans="2:16" x14ac:dyDescent="0.2">
      <c r="B19" s="2" t="s">
        <v>54</v>
      </c>
      <c r="C19" s="3">
        <v>13</v>
      </c>
      <c r="D19" s="3">
        <v>-23</v>
      </c>
      <c r="E19" s="3">
        <v>-39</v>
      </c>
      <c r="F19" s="3">
        <f>-346-(SUM(C19:E19))</f>
        <v>-297</v>
      </c>
      <c r="G19" s="3">
        <v>-52</v>
      </c>
      <c r="H19" s="3">
        <v>41</v>
      </c>
      <c r="I19" s="3">
        <v>-27</v>
      </c>
      <c r="J19" s="3">
        <f t="shared" ref="J19:N19" si="21">+I19*1.01</f>
        <v>-27.27</v>
      </c>
      <c r="K19" s="3">
        <f t="shared" si="21"/>
        <v>-27.5427</v>
      </c>
      <c r="L19" s="3">
        <f t="shared" si="21"/>
        <v>-27.818127</v>
      </c>
      <c r="M19" s="3">
        <f t="shared" si="21"/>
        <v>-28.096308270000002</v>
      </c>
      <c r="N19" s="3">
        <f t="shared" si="21"/>
        <v>-28.377271352700003</v>
      </c>
    </row>
    <row r="20" spans="2:16" s="1" customFormat="1" ht="15" x14ac:dyDescent="0.25">
      <c r="B20" s="1" t="s">
        <v>55</v>
      </c>
      <c r="C20" s="6">
        <f t="shared" ref="C20:J20" si="22">C18-C19</f>
        <v>-150</v>
      </c>
      <c r="D20" s="6">
        <f t="shared" si="22"/>
        <v>13</v>
      </c>
      <c r="E20" s="6">
        <f t="shared" si="22"/>
        <v>286</v>
      </c>
      <c r="F20" s="6">
        <f t="shared" si="22"/>
        <v>655</v>
      </c>
      <c r="G20" s="6">
        <f t="shared" si="22"/>
        <v>103</v>
      </c>
      <c r="H20" s="6">
        <f t="shared" si="22"/>
        <v>248</v>
      </c>
      <c r="I20" s="6">
        <f t="shared" si="22"/>
        <v>750</v>
      </c>
      <c r="J20" s="6">
        <f t="shared" si="22"/>
        <v>757.5</v>
      </c>
      <c r="K20" s="6">
        <f t="shared" ref="K20:N20" si="23">K18-K19</f>
        <v>765.07500000000005</v>
      </c>
      <c r="L20" s="6">
        <f t="shared" si="23"/>
        <v>772.72575000000006</v>
      </c>
      <c r="M20" s="6">
        <f t="shared" si="23"/>
        <v>780.45300750000013</v>
      </c>
      <c r="N20" s="6">
        <f t="shared" si="23"/>
        <v>788.25753757500013</v>
      </c>
    </row>
    <row r="21" spans="2:16" x14ac:dyDescent="0.2">
      <c r="B21" s="2" t="s">
        <v>1</v>
      </c>
      <c r="C21" s="3">
        <v>1611</v>
      </c>
      <c r="D21" s="3">
        <v>1618</v>
      </c>
      <c r="E21" s="3">
        <v>1616</v>
      </c>
      <c r="F21" s="3">
        <v>1614</v>
      </c>
      <c r="G21" s="3">
        <v>1617</v>
      </c>
      <c r="H21" s="3">
        <v>1618</v>
      </c>
      <c r="I21" s="3">
        <v>1620</v>
      </c>
      <c r="J21" s="3">
        <v>1620</v>
      </c>
      <c r="K21" s="3">
        <v>1620</v>
      </c>
      <c r="L21" s="3">
        <v>1620</v>
      </c>
      <c r="M21" s="3">
        <v>1620</v>
      </c>
      <c r="N21" s="3">
        <v>1620</v>
      </c>
    </row>
    <row r="22" spans="2:16" x14ac:dyDescent="0.2">
      <c r="I22" s="3"/>
      <c r="J22" s="3"/>
    </row>
    <row r="23" spans="2:16" x14ac:dyDescent="0.2">
      <c r="B23" s="2" t="s">
        <v>58</v>
      </c>
      <c r="G23" s="7">
        <f>G8/C8-1</f>
        <v>2.2417336073230043E-2</v>
      </c>
      <c r="H23" s="7">
        <f t="shared" ref="H23:I23" si="24">H8/D8-1</f>
        <v>8.882254151894009E-2</v>
      </c>
      <c r="I23" s="7">
        <f t="shared" si="24"/>
        <v>0.17568965517241386</v>
      </c>
      <c r="J23" s="7">
        <f t="shared" ref="J23" si="25">J8/F8-1</f>
        <v>-1.9999999999999907E-2</v>
      </c>
      <c r="K23" s="7">
        <f t="shared" ref="K23" si="26">K8/G8-1</f>
        <v>-2.0000000000000018E-2</v>
      </c>
      <c r="L23" s="7">
        <f t="shared" ref="L23" si="27">L8/H8-1</f>
        <v>-2.0000000000000018E-2</v>
      </c>
      <c r="M23" s="7">
        <f t="shared" ref="M23" si="28">M8/I8-1</f>
        <v>-2.0000000000000018E-2</v>
      </c>
      <c r="N23" s="7">
        <f t="shared" ref="N23" si="29">N8/J8-1</f>
        <v>-2.0000000000000129E-2</v>
      </c>
    </row>
    <row r="24" spans="2:16" x14ac:dyDescent="0.2">
      <c r="B24" s="2" t="s">
        <v>59</v>
      </c>
      <c r="C24" s="7">
        <f>C10/C8</f>
        <v>0.44068746497291239</v>
      </c>
      <c r="D24" s="7">
        <f t="shared" ref="D24:I24" si="30">D10/D8</f>
        <v>0.4558686322075014</v>
      </c>
      <c r="E24" s="7">
        <f t="shared" si="30"/>
        <v>0.4736206896551724</v>
      </c>
      <c r="F24" s="7">
        <f t="shared" si="30"/>
        <v>0.47195201037613488</v>
      </c>
      <c r="G24" s="7">
        <f t="shared" si="30"/>
        <v>0.46775077653937513</v>
      </c>
      <c r="H24" s="7">
        <f t="shared" si="30"/>
        <v>0.49083119108826051</v>
      </c>
      <c r="I24" s="7">
        <f t="shared" si="30"/>
        <v>0.50139316615339491</v>
      </c>
    </row>
    <row r="25" spans="2:16" x14ac:dyDescent="0.2">
      <c r="B25" s="2" t="s">
        <v>60</v>
      </c>
      <c r="C25" s="8">
        <f>C20/C21</f>
        <v>-9.3109869646182494E-2</v>
      </c>
      <c r="D25" s="8">
        <f t="shared" ref="D25:I25" si="31">D20/D21</f>
        <v>8.034610630407911E-3</v>
      </c>
      <c r="E25" s="8">
        <f t="shared" si="31"/>
        <v>0.17698019801980197</v>
      </c>
      <c r="F25" s="8">
        <f t="shared" si="31"/>
        <v>0.40582403965303593</v>
      </c>
      <c r="G25" s="8">
        <f t="shared" si="31"/>
        <v>6.3698206555349413E-2</v>
      </c>
      <c r="H25" s="8">
        <f t="shared" si="31"/>
        <v>0.15327564894932014</v>
      </c>
      <c r="I25" s="8">
        <f t="shared" si="31"/>
        <v>0.46296296296296297</v>
      </c>
    </row>
    <row r="26" spans="2:16" x14ac:dyDescent="0.2">
      <c r="B26" s="2" t="s">
        <v>81</v>
      </c>
      <c r="C26" s="7">
        <f>+C11/C8</f>
        <v>0.26359050999439565</v>
      </c>
      <c r="D26" s="7">
        <f t="shared" ref="D26:I26" si="32">+D11/D8</f>
        <v>0.26926665422653479</v>
      </c>
      <c r="E26" s="7">
        <f t="shared" si="32"/>
        <v>0.25982758620689655</v>
      </c>
      <c r="F26" s="7">
        <f t="shared" si="32"/>
        <v>0.24497405966277561</v>
      </c>
      <c r="G26" s="7">
        <f t="shared" si="32"/>
        <v>0.27864059930568247</v>
      </c>
      <c r="H26" s="7">
        <f t="shared" si="32"/>
        <v>0.27129391602399316</v>
      </c>
      <c r="I26" s="7">
        <f t="shared" si="32"/>
        <v>0.23991787652148408</v>
      </c>
      <c r="O26" s="2" t="s">
        <v>75</v>
      </c>
      <c r="P26" s="7">
        <v>0.02</v>
      </c>
    </row>
    <row r="27" spans="2:16" x14ac:dyDescent="0.2">
      <c r="O27" s="2" t="s">
        <v>76</v>
      </c>
      <c r="P27" s="7">
        <v>0.1</v>
      </c>
    </row>
    <row r="28" spans="2:16" x14ac:dyDescent="0.2">
      <c r="E28" s="7">
        <v>0.52</v>
      </c>
      <c r="O28" s="2" t="s">
        <v>77</v>
      </c>
    </row>
    <row r="29" spans="2:16" x14ac:dyDescent="0.2">
      <c r="E29" s="7">
        <v>0.28000000000000003</v>
      </c>
      <c r="O29" s="2" t="s">
        <v>78</v>
      </c>
    </row>
    <row r="30" spans="2:16" x14ac:dyDescent="0.2">
      <c r="E30" s="7">
        <v>7.0000000000000007E-2</v>
      </c>
      <c r="O30" s="2" t="s">
        <v>79</v>
      </c>
    </row>
    <row r="31" spans="2:16" x14ac:dyDescent="0.2">
      <c r="E31" s="7">
        <v>0.14000000000000001</v>
      </c>
      <c r="O31" s="2" t="s">
        <v>80</v>
      </c>
    </row>
    <row r="32" spans="2:16" x14ac:dyDescent="0.2">
      <c r="E32" s="7">
        <v>0</v>
      </c>
    </row>
  </sheetData>
  <hyperlinks>
    <hyperlink ref="A1" r:id="rId1" xr:uid="{ED12D098-B5CC-45E5-B90D-79A760CE615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2024-12-01T13:48:22Z</dcterms:created>
  <dcterms:modified xsi:type="dcterms:W3CDTF">2025-01-20T19:44:14Z</dcterms:modified>
</cp:coreProperties>
</file>