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E36BAC8B-F7BE-4E3F-86C8-3702BA4F93CD}" xr6:coauthVersionLast="47" xr6:coauthVersionMax="47" xr10:uidLastSave="{00000000-0000-0000-0000-000000000000}"/>
  <bookViews>
    <workbookView xWindow="14580" yWindow="1005" windowWidth="13770" windowHeight="14445" xr2:uid="{AD8F8C97-537A-4B2E-895E-9F02A435B44B}"/>
  </bookViews>
  <sheets>
    <sheet name="Main" sheetId="1" r:id="rId1"/>
    <sheet name="Model" sheetId="2" r:id="rId2"/>
    <sheet name="Op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U76" i="2"/>
  <c r="V58" i="2"/>
  <c r="V76" i="2" s="1"/>
  <c r="V57" i="2"/>
  <c r="U57" i="2"/>
  <c r="U58" i="2" s="1"/>
  <c r="W62" i="2"/>
  <c r="G6" i="1"/>
  <c r="L28" i="2"/>
  <c r="AC9" i="2"/>
  <c r="AC10" i="2" s="1"/>
  <c r="AC11" i="2" s="1"/>
  <c r="AC13" i="2" s="1"/>
  <c r="AC8" i="2"/>
  <c r="K24" i="2"/>
  <c r="M24" i="2"/>
  <c r="N24" i="2"/>
  <c r="AC7" i="2"/>
  <c r="AC22" i="2" s="1"/>
  <c r="AD16" i="2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O3" i="2"/>
  <c r="P3" i="2" s="1"/>
  <c r="X15" i="2"/>
  <c r="X14" i="2"/>
  <c r="X12" i="2"/>
  <c r="W15" i="2"/>
  <c r="W12" i="2"/>
  <c r="W4" i="2"/>
  <c r="W3" i="2"/>
  <c r="W5" i="2" s="1"/>
  <c r="N7" i="2"/>
  <c r="N21" i="2"/>
  <c r="N15" i="2"/>
  <c r="N14" i="2"/>
  <c r="W14" i="2" s="1"/>
  <c r="N10" i="2"/>
  <c r="N9" i="2"/>
  <c r="O9" i="2" s="1"/>
  <c r="N8" i="2"/>
  <c r="W8" i="2" s="1"/>
  <c r="N6" i="2"/>
  <c r="O6" i="2" s="1"/>
  <c r="P4" i="2"/>
  <c r="Q4" i="2" s="1"/>
  <c r="R4" i="2" s="1"/>
  <c r="O4" i="2"/>
  <c r="O5" i="2" s="1"/>
  <c r="O7" i="2" s="1"/>
  <c r="V10" i="2"/>
  <c r="V15" i="2"/>
  <c r="V14" i="2"/>
  <c r="V12" i="2"/>
  <c r="V9" i="2"/>
  <c r="V25" i="2" s="1"/>
  <c r="V8" i="2"/>
  <c r="V6" i="2"/>
  <c r="V4" i="2"/>
  <c r="U15" i="2"/>
  <c r="U14" i="2"/>
  <c r="U12" i="2"/>
  <c r="U10" i="2"/>
  <c r="U9" i="2"/>
  <c r="U8" i="2"/>
  <c r="U6" i="2"/>
  <c r="U4" i="2"/>
  <c r="U5" i="2" s="1"/>
  <c r="V3" i="2"/>
  <c r="V5" i="2" s="1"/>
  <c r="U3" i="2"/>
  <c r="V2" i="2"/>
  <c r="W2" i="2" s="1"/>
  <c r="X2" i="2" s="1"/>
  <c r="Y2" i="2" s="1"/>
  <c r="Z2" i="2" s="1"/>
  <c r="AA2" i="2" s="1"/>
  <c r="AB2" i="2" s="1"/>
  <c r="L48" i="2"/>
  <c r="L51" i="2" s="1"/>
  <c r="L34" i="2"/>
  <c r="L30" i="2"/>
  <c r="L29" i="2"/>
  <c r="L10" i="2"/>
  <c r="L5" i="2"/>
  <c r="L7" i="2" s="1"/>
  <c r="L22" i="2" s="1"/>
  <c r="K10" i="2"/>
  <c r="K5" i="2"/>
  <c r="K7" i="2" s="1"/>
  <c r="K22" i="2" s="1"/>
  <c r="J10" i="2"/>
  <c r="J5" i="2"/>
  <c r="J7" i="2" s="1"/>
  <c r="J22" i="2" s="1"/>
  <c r="F10" i="2"/>
  <c r="F5" i="2"/>
  <c r="F7" i="2" s="1"/>
  <c r="F22" i="2" s="1"/>
  <c r="E10" i="2"/>
  <c r="E5" i="2"/>
  <c r="E7" i="2" s="1"/>
  <c r="E22" i="2" s="1"/>
  <c r="C10" i="2"/>
  <c r="C5" i="2"/>
  <c r="C7" i="2" s="1"/>
  <c r="C22" i="2" s="1"/>
  <c r="G10" i="2"/>
  <c r="G5" i="2"/>
  <c r="G7" i="2" s="1"/>
  <c r="G22" i="2" s="1"/>
  <c r="D10" i="2"/>
  <c r="D5" i="2"/>
  <c r="D7" i="2" s="1"/>
  <c r="D22" i="2" s="1"/>
  <c r="H10" i="2"/>
  <c r="H5" i="2"/>
  <c r="H7" i="2" s="1"/>
  <c r="H22" i="2" s="1"/>
  <c r="R1" i="2"/>
  <c r="Q1" i="2"/>
  <c r="P1" i="2"/>
  <c r="O1" i="2"/>
  <c r="C1" i="2"/>
  <c r="F1" i="2"/>
  <c r="I10" i="2"/>
  <c r="I5" i="2"/>
  <c r="I7" i="2" s="1"/>
  <c r="I22" i="2" s="1"/>
  <c r="M10" i="2"/>
  <c r="M5" i="2"/>
  <c r="M7" i="2" s="1"/>
  <c r="M22" i="2" s="1"/>
  <c r="G5" i="1"/>
  <c r="W24" i="2" l="1"/>
  <c r="P5" i="2"/>
  <c r="P7" i="2" s="1"/>
  <c r="Q3" i="2"/>
  <c r="R3" i="2" s="1"/>
  <c r="P9" i="2"/>
  <c r="Q9" i="2" s="1"/>
  <c r="R9" i="2" s="1"/>
  <c r="X9" i="2"/>
  <c r="P6" i="2"/>
  <c r="Q6" i="2" s="1"/>
  <c r="R6" i="2" s="1"/>
  <c r="X6" i="2"/>
  <c r="V7" i="2"/>
  <c r="V24" i="2"/>
  <c r="U7" i="2"/>
  <c r="U11" i="2" s="1"/>
  <c r="U13" i="2" s="1"/>
  <c r="U16" i="2" s="1"/>
  <c r="U25" i="2"/>
  <c r="U24" i="2"/>
  <c r="L24" i="2"/>
  <c r="W6" i="2"/>
  <c r="W7" i="2" s="1"/>
  <c r="W22" i="2" s="1"/>
  <c r="O8" i="2"/>
  <c r="X4" i="2"/>
  <c r="J24" i="2"/>
  <c r="L41" i="2"/>
  <c r="W9" i="2"/>
  <c r="N11" i="2"/>
  <c r="N13" i="2" s="1"/>
  <c r="N16" i="2" s="1"/>
  <c r="AC6" i="2"/>
  <c r="G8" i="1"/>
  <c r="G9" i="1" s="1"/>
  <c r="R5" i="2"/>
  <c r="R7" i="2" s="1"/>
  <c r="X3" i="2"/>
  <c r="O22" i="2"/>
  <c r="P22" i="2"/>
  <c r="P21" i="2"/>
  <c r="O21" i="2"/>
  <c r="Q5" i="2"/>
  <c r="N22" i="2"/>
  <c r="N23" i="2"/>
  <c r="I21" i="2"/>
  <c r="J21" i="2"/>
  <c r="K21" i="2"/>
  <c r="L21" i="2"/>
  <c r="G21" i="2"/>
  <c r="M21" i="2"/>
  <c r="H21" i="2"/>
  <c r="L11" i="2"/>
  <c r="K11" i="2"/>
  <c r="J11" i="2"/>
  <c r="F11" i="2"/>
  <c r="E11" i="2"/>
  <c r="C11" i="2"/>
  <c r="G11" i="2"/>
  <c r="D11" i="2"/>
  <c r="H11" i="2"/>
  <c r="M11" i="2"/>
  <c r="I11" i="2"/>
  <c r="V22" i="2" l="1"/>
  <c r="V11" i="2"/>
  <c r="V13" i="2" s="1"/>
  <c r="V16" i="2" s="1"/>
  <c r="V21" i="2" s="1"/>
  <c r="P8" i="2"/>
  <c r="O24" i="2"/>
  <c r="O10" i="2"/>
  <c r="O11" i="2" s="1"/>
  <c r="O23" i="2" s="1"/>
  <c r="W25" i="2"/>
  <c r="W10" i="2"/>
  <c r="X5" i="2"/>
  <c r="X7" i="2" s="1"/>
  <c r="W11" i="2"/>
  <c r="W13" i="2" s="1"/>
  <c r="W16" i="2" s="1"/>
  <c r="W21" i="2" s="1"/>
  <c r="R21" i="2"/>
  <c r="Q7" i="2"/>
  <c r="Q21" i="2"/>
  <c r="R22" i="2"/>
  <c r="K13" i="2"/>
  <c r="K16" i="2" s="1"/>
  <c r="K17" i="2" s="1"/>
  <c r="K23" i="2"/>
  <c r="G13" i="2"/>
  <c r="G16" i="2" s="1"/>
  <c r="G17" i="2" s="1"/>
  <c r="G23" i="2"/>
  <c r="M13" i="2"/>
  <c r="M16" i="2" s="1"/>
  <c r="M17" i="2" s="1"/>
  <c r="M23" i="2"/>
  <c r="D13" i="2"/>
  <c r="D16" i="2" s="1"/>
  <c r="D17" i="2" s="1"/>
  <c r="D23" i="2"/>
  <c r="C13" i="2"/>
  <c r="C16" i="2" s="1"/>
  <c r="C17" i="2" s="1"/>
  <c r="C23" i="2"/>
  <c r="H13" i="2"/>
  <c r="H16" i="2" s="1"/>
  <c r="H17" i="2" s="1"/>
  <c r="H23" i="2"/>
  <c r="E13" i="2"/>
  <c r="E16" i="2" s="1"/>
  <c r="E17" i="2" s="1"/>
  <c r="E23" i="2"/>
  <c r="L13" i="2"/>
  <c r="L16" i="2" s="1"/>
  <c r="L17" i="2" s="1"/>
  <c r="L23" i="2"/>
  <c r="F13" i="2"/>
  <c r="F16" i="2" s="1"/>
  <c r="F17" i="2" s="1"/>
  <c r="F23" i="2"/>
  <c r="I13" i="2"/>
  <c r="I16" i="2" s="1"/>
  <c r="I17" i="2" s="1"/>
  <c r="I23" i="2"/>
  <c r="J13" i="2"/>
  <c r="J16" i="2" s="1"/>
  <c r="J17" i="2" s="1"/>
  <c r="J23" i="2"/>
  <c r="O13" i="2" l="1"/>
  <c r="O16" i="2" s="1"/>
  <c r="Q8" i="2"/>
  <c r="P24" i="2"/>
  <c r="P10" i="2"/>
  <c r="P11" i="2" s="1"/>
  <c r="X22" i="2"/>
  <c r="Q22" i="2"/>
  <c r="R8" i="2" l="1"/>
  <c r="Q24" i="2"/>
  <c r="Q10" i="2"/>
  <c r="Q11" i="2" s="1"/>
  <c r="X8" i="2"/>
  <c r="P13" i="2"/>
  <c r="P16" i="2" s="1"/>
  <c r="P23" i="2"/>
  <c r="Q13" i="2"/>
  <c r="Q16" i="2" s="1"/>
  <c r="Q23" i="2"/>
  <c r="X24" i="2" l="1"/>
  <c r="X10" i="2"/>
  <c r="X11" i="2" s="1"/>
  <c r="X13" i="2" s="1"/>
  <c r="X16" i="2" s="1"/>
  <c r="R24" i="2"/>
  <c r="R10" i="2"/>
  <c r="R11" i="2" s="1"/>
  <c r="R13" i="2" l="1"/>
  <c r="R16" i="2" s="1"/>
  <c r="R23" i="2"/>
  <c r="X21" i="2"/>
  <c r="X17" i="2"/>
  <c r="Y17" i="2" s="1"/>
  <c r="Y16" i="2" s="1"/>
  <c r="Z16" i="2" s="1"/>
  <c r="AA16" i="2" s="1"/>
  <c r="AB16" i="2" s="1"/>
  <c r="AA22" i="2" l="1"/>
  <c r="AA23" i="2" l="1"/>
  <c r="AA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X5" authorId="0" shapeId="0" xr:uid="{2CFA3333-5B9D-4BF0-92F1-6A30267C45CC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30-30bn annually
</t>
        </r>
      </text>
    </comment>
    <comment ref="AC5" authorId="0" shapeId="0" xr:uid="{CE312BA9-FC19-4B70-A0F7-320B6660C8C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44-60bn
</t>
        </r>
      </text>
    </comment>
  </commentList>
</comments>
</file>

<file path=xl/sharedStrings.xml><?xml version="1.0" encoding="utf-8"?>
<sst xmlns="http://schemas.openxmlformats.org/spreadsheetml/2006/main" count="123" uniqueCount="111">
  <si>
    <t>Price</t>
  </si>
  <si>
    <t>Shares</t>
  </si>
  <si>
    <t>MC</t>
  </si>
  <si>
    <t>Cash</t>
  </si>
  <si>
    <t>Debt</t>
  </si>
  <si>
    <t>EV</t>
  </si>
  <si>
    <t>HQ</t>
  </si>
  <si>
    <t>Netherlands</t>
  </si>
  <si>
    <t>They use 20-F, it is the same as 10K</t>
  </si>
  <si>
    <t>6K - quarterly reports</t>
  </si>
  <si>
    <t>Q324</t>
  </si>
  <si>
    <t>Employees</t>
  </si>
  <si>
    <t>NASD</t>
  </si>
  <si>
    <t>AMS</t>
  </si>
  <si>
    <t>Main</t>
  </si>
  <si>
    <t>$</t>
  </si>
  <si>
    <t>Metrology</t>
  </si>
  <si>
    <t>Services</t>
  </si>
  <si>
    <t>YieldStar systems, HMI electron beams</t>
  </si>
  <si>
    <t>Former name:</t>
  </si>
  <si>
    <t>ASM Lithography Holding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</si>
  <si>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</si>
  <si>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</si>
  <si>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</si>
  <si>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</si>
  <si>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</si>
  <si>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</si>
  <si>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</si>
  <si>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</si>
  <si>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</si>
  <si>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Q424</t>
  </si>
  <si>
    <t>Q125</t>
  </si>
  <si>
    <t>Q225</t>
  </si>
  <si>
    <t>Q325</t>
  </si>
  <si>
    <t>Q425</t>
  </si>
  <si>
    <t>Q323</t>
  </si>
  <si>
    <t>System</t>
  </si>
  <si>
    <t>Service, field</t>
  </si>
  <si>
    <t>COGS</t>
  </si>
  <si>
    <t>Gross Profit</t>
  </si>
  <si>
    <t>R&amp;D</t>
  </si>
  <si>
    <t>S,G&amp;A</t>
  </si>
  <si>
    <t>OpInc</t>
  </si>
  <si>
    <t>OpEx</t>
  </si>
  <si>
    <t>Interest</t>
  </si>
  <si>
    <t>Pretax income</t>
  </si>
  <si>
    <t>Taxes</t>
  </si>
  <si>
    <t>Equity</t>
  </si>
  <si>
    <t>Net Income</t>
  </si>
  <si>
    <t>EPS</t>
  </si>
  <si>
    <t>Revenue</t>
  </si>
  <si>
    <t>Profit y/y</t>
  </si>
  <si>
    <t>Gross Margin</t>
  </si>
  <si>
    <t>Tax %</t>
  </si>
  <si>
    <t>CFFI</t>
  </si>
  <si>
    <t>CFFF</t>
  </si>
  <si>
    <t>Short Term</t>
  </si>
  <si>
    <t>A/R</t>
  </si>
  <si>
    <t>F/R</t>
  </si>
  <si>
    <t>Tax assets</t>
  </si>
  <si>
    <t>Contracts</t>
  </si>
  <si>
    <t>Inventories</t>
  </si>
  <si>
    <t>Other</t>
  </si>
  <si>
    <t>Goodwill</t>
  </si>
  <si>
    <t>PP&amp;E</t>
  </si>
  <si>
    <t>Right-of-use</t>
  </si>
  <si>
    <t>Total Assets</t>
  </si>
  <si>
    <t>D/T</t>
  </si>
  <si>
    <t>Loans</t>
  </si>
  <si>
    <t>Accured</t>
  </si>
  <si>
    <t>Total liabilities</t>
  </si>
  <si>
    <t>S/E</t>
  </si>
  <si>
    <t>L + S/E</t>
  </si>
  <si>
    <t>Current Liabilities</t>
  </si>
  <si>
    <t>Headcount</t>
  </si>
  <si>
    <t>Terminal</t>
  </si>
  <si>
    <t>Discount</t>
  </si>
  <si>
    <t>NPV</t>
  </si>
  <si>
    <t>Current</t>
  </si>
  <si>
    <t>Share</t>
  </si>
  <si>
    <t>Diff</t>
  </si>
  <si>
    <t>2024E</t>
  </si>
  <si>
    <t>DUV lithography systems</t>
  </si>
  <si>
    <t xml:space="preserve">range from 365nm(i-line) through 248nm(krf) to 193 nm(ArF) </t>
  </si>
  <si>
    <t>Modern chips can have up to 100 layers</t>
  </si>
  <si>
    <t>extreme ultraviolet light at a wavelength of 13.5 nm</t>
  </si>
  <si>
    <t>2023 Annual Report</t>
  </si>
  <si>
    <t>world's only manufacturer of EUV lithography systems</t>
  </si>
  <si>
    <t>EUV lithography systems</t>
  </si>
  <si>
    <t>Refurbished classics</t>
  </si>
  <si>
    <t>Computational lithography</t>
  </si>
  <si>
    <t>TWINSCAN EXE:5000, NXE:5000, NXE:3600D, 3400C</t>
  </si>
  <si>
    <t>R/D of Revenue</t>
  </si>
  <si>
    <t>Net Cash</t>
  </si>
  <si>
    <t>Model NI</t>
  </si>
  <si>
    <t>Reported NI</t>
  </si>
  <si>
    <t>Depreciation</t>
  </si>
  <si>
    <t>WC</t>
  </si>
  <si>
    <t>CFFO</t>
  </si>
  <si>
    <t>Income Tax</t>
  </si>
  <si>
    <t>CapEx</t>
  </si>
  <si>
    <t>Acquisitions</t>
  </si>
  <si>
    <t>Investments</t>
  </si>
  <si>
    <t>Sales of investments</t>
  </si>
  <si>
    <t>Debt repayments</t>
  </si>
  <si>
    <t>Repurchases</t>
  </si>
  <si>
    <t>Dividends</t>
  </si>
  <si>
    <t>Debt.</t>
  </si>
  <si>
    <t>Financing</t>
  </si>
  <si>
    <t>FCF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</si>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</sst>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b/>
      <u/>
      <sz val="11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1" applyFont="1"/>
    <xf numFmtId="0" fontId="5" fillId="0" borderId="0" xfId="0" applyFont="1"/>
    <xf numFmtId="14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8283</xdr:colOff>
      <xdr:row>0</xdr:row>
      <xdr:rowOff>57978</xdr:rowOff>
    </xdr:from>
    <xdr:to>
      <xdr:col>13</xdr:col>
      <xdr:colOff>8283</xdr:colOff>
      <xdr:row>26</xdr:row>
      <xdr:rowOff>157369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0D5107-F2A3-D3A8-3458-C30581FBE974}"/>
            </a:ext>
          </a:extLst>
        </xdr:cNvPr>
        <xdr:cNvCxnSpPr/>
      </xdr:nvCxnSpPr>
      <xdr:spPr>
        <a:xfrm>
          <a:off x="8961783" y="57978"/>
          <a:ext cx="0" cy="48701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604345</xdr:colOff>
      <xdr:row>0</xdr:row>
      <xdr:rowOff>85397</xdr:rowOff>
    </xdr:from>
    <xdr:to>
      <xdr:col>23</xdr:col>
      <xdr:colOff>19707</xdr:colOff>
      <xdr:row>29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00D5582-44BC-9BA0-4442-E68FB61C9E6B}"/>
            </a:ext>
          </a:extLst>
        </xdr:cNvPr>
        <xdr:cNvCxnSpPr/>
      </xdr:nvCxnSpPr>
      <xdr:spPr>
        <a:xfrm>
          <a:off x="15522466" y="85397"/>
          <a:ext cx="26275" cy="451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444963</xdr:colOff>
      <xdr:row>25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2215D-6ED5-8705-AFF6-6163AECA1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5931363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4565-EE7E-4A17-B4C8-B0AECC36374E}">
  <dimension ref="B2:M20"/>
  <sheetViews>
    <sheetView tabSelected="1" topLeftCell="D1" zoomScale="145" zoomScaleNormal="145" workbookViewId="0">
      <selection activeCell="I3" sqref="I3"/>
    </sheetView>
  </sheetViews>
  <sheetFormatPr defaultRowHeight="14.25" x14ac:dyDescent="0.2"/>
  <cols>
    <col min="1" max="5" width="9.140625" style="1"/>
    <col min="6" max="6" width="10.42578125" style="1" bestFit="1" customWidth="1"/>
    <col min="7" max="16384" width="9.140625" style="1"/>
  </cols>
  <sheetData>
    <row r="2" spans="2:13" ht="15" x14ac:dyDescent="0.25">
      <c r="B2" s="1" t="s">
        <v>8</v>
      </c>
      <c r="G2" s="2">
        <v>684.4</v>
      </c>
      <c r="H2" s="3" t="s">
        <v>13</v>
      </c>
      <c r="I2" s="1" t="s">
        <v>110</v>
      </c>
      <c r="J2" s="3" t="s">
        <v>17</v>
      </c>
    </row>
    <row r="3" spans="2:13" ht="15" x14ac:dyDescent="0.25">
      <c r="B3" s="1" t="s">
        <v>9</v>
      </c>
      <c r="F3" s="1" t="s">
        <v>0</v>
      </c>
      <c r="G3" s="2">
        <v>758</v>
      </c>
      <c r="H3" s="3" t="s">
        <v>12</v>
      </c>
      <c r="I3" s="1">
        <f>+G3/I4</f>
        <v>39.89473684210526</v>
      </c>
      <c r="J3" s="1" t="s">
        <v>88</v>
      </c>
      <c r="M3" s="1" t="s">
        <v>91</v>
      </c>
    </row>
    <row r="4" spans="2:13" ht="15" x14ac:dyDescent="0.25">
      <c r="B4" s="3" t="s">
        <v>19</v>
      </c>
      <c r="F4" s="1" t="s">
        <v>1</v>
      </c>
      <c r="G4" s="1">
        <v>393</v>
      </c>
      <c r="H4" s="1" t="s">
        <v>10</v>
      </c>
      <c r="I4" s="1">
        <v>19</v>
      </c>
      <c r="J4" s="1" t="s">
        <v>82</v>
      </c>
    </row>
    <row r="5" spans="2:13" ht="15" x14ac:dyDescent="0.25">
      <c r="B5" s="1" t="s">
        <v>20</v>
      </c>
      <c r="F5" s="1" t="s">
        <v>2</v>
      </c>
      <c r="G5" s="4">
        <f>G3*G4</f>
        <v>297894</v>
      </c>
      <c r="J5" s="1" t="s">
        <v>16</v>
      </c>
      <c r="K5" s="3" t="s">
        <v>18</v>
      </c>
    </row>
    <row r="6" spans="2:13" x14ac:dyDescent="0.2">
      <c r="F6" s="1" t="s">
        <v>3</v>
      </c>
      <c r="G6" s="4">
        <f>4814+205</f>
        <v>5019</v>
      </c>
      <c r="H6" s="1" t="s">
        <v>10</v>
      </c>
      <c r="J6" s="1" t="s">
        <v>89</v>
      </c>
    </row>
    <row r="7" spans="2:13" x14ac:dyDescent="0.2">
      <c r="F7" s="1" t="s">
        <v>4</v>
      </c>
      <c r="G7" s="4">
        <v>4608</v>
      </c>
      <c r="H7" s="1" t="s">
        <v>10</v>
      </c>
      <c r="J7" s="1" t="s">
        <v>90</v>
      </c>
    </row>
    <row r="8" spans="2:13" ht="15" x14ac:dyDescent="0.25">
      <c r="F8" s="1" t="s">
        <v>5</v>
      </c>
      <c r="G8" s="5">
        <f>G5-G6+G7</f>
        <v>297483</v>
      </c>
    </row>
    <row r="9" spans="2:13" ht="15" x14ac:dyDescent="0.25">
      <c r="E9" s="1" t="s">
        <v>81</v>
      </c>
      <c r="F9" s="1">
        <v>7500</v>
      </c>
      <c r="G9" s="5">
        <f>+G8/F9</f>
        <v>39.664400000000001</v>
      </c>
      <c r="H9" s="3"/>
    </row>
    <row r="11" spans="2:13" s="7" customFormat="1" ht="12.75" x14ac:dyDescent="0.2"/>
    <row r="12" spans="2:13" x14ac:dyDescent="0.2">
      <c r="F12" s="1" t="s">
        <v>6</v>
      </c>
      <c r="G12" s="1" t="s">
        <v>7</v>
      </c>
    </row>
    <row r="13" spans="2:13" x14ac:dyDescent="0.2">
      <c r="F13" s="1" t="s">
        <v>11</v>
      </c>
      <c r="G13" s="4">
        <v>42372</v>
      </c>
    </row>
    <row r="16" spans="2:13" ht="15" x14ac:dyDescent="0.25">
      <c r="B16" s="17" t="s">
        <v>86</v>
      </c>
    </row>
    <row r="17" spans="2:5" x14ac:dyDescent="0.2">
      <c r="B17" s="1" t="s">
        <v>82</v>
      </c>
      <c r="E17" s="1" t="s">
        <v>83</v>
      </c>
    </row>
    <row r="18" spans="2:5" x14ac:dyDescent="0.2">
      <c r="B18" s="1" t="s">
        <v>84</v>
      </c>
    </row>
    <row r="19" spans="2:5" x14ac:dyDescent="0.2">
      <c r="B19" s="1" t="s">
        <v>85</v>
      </c>
    </row>
    <row r="20" spans="2:5" x14ac:dyDescent="0.2">
      <c r="B20" s="1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2A34-9113-4AFD-94ED-65E1F388EF60}">
  <dimension ref="A1:CM81"/>
  <sheetViews>
    <sheetView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A23" sqref="AA23"/>
    </sheetView>
  </sheetViews>
  <sheetFormatPr defaultRowHeight="12.75" x14ac:dyDescent="0.2"/>
  <cols>
    <col min="1" max="1" width="5.42578125" style="7" bestFit="1" customWidth="1"/>
    <col min="2" max="2" width="14.5703125" style="7" bestFit="1" customWidth="1"/>
    <col min="3" max="5" width="10.140625" style="7" bestFit="1" customWidth="1"/>
    <col min="6" max="6" width="11.28515625" style="7" bestFit="1" customWidth="1"/>
    <col min="7" max="9" width="10.140625" style="7" bestFit="1" customWidth="1"/>
    <col min="10" max="10" width="11.28515625" style="7" bestFit="1" customWidth="1"/>
    <col min="11" max="13" width="10.140625" style="7" bestFit="1" customWidth="1"/>
    <col min="14" max="14" width="11.28515625" style="7" bestFit="1" customWidth="1"/>
    <col min="15" max="17" width="10.140625" style="7" bestFit="1" customWidth="1"/>
    <col min="18" max="18" width="11.28515625" style="7" bestFit="1" customWidth="1"/>
    <col min="19" max="24" width="9.140625" style="7"/>
    <col min="25" max="25" width="11.140625" style="7" bestFit="1" customWidth="1"/>
    <col min="26" max="26" width="9.140625" style="7"/>
    <col min="27" max="27" width="12.28515625" style="7" bestFit="1" customWidth="1"/>
    <col min="28" max="16384" width="9.140625" style="7"/>
  </cols>
  <sheetData>
    <row r="1" spans="1:91" x14ac:dyDescent="0.2">
      <c r="A1" s="6" t="s">
        <v>14</v>
      </c>
      <c r="C1" s="8">
        <f>G1-365</f>
        <v>44653</v>
      </c>
      <c r="D1" s="8">
        <v>44745</v>
      </c>
      <c r="E1" s="8">
        <v>44836</v>
      </c>
      <c r="F1" s="8">
        <f>+J1-365</f>
        <v>44926</v>
      </c>
      <c r="G1" s="8">
        <v>45018</v>
      </c>
      <c r="H1" s="8">
        <v>45109</v>
      </c>
      <c r="I1" s="8">
        <v>45198</v>
      </c>
      <c r="J1" s="8">
        <v>45291</v>
      </c>
      <c r="K1" s="8">
        <v>45382</v>
      </c>
      <c r="L1" s="8">
        <v>45473</v>
      </c>
      <c r="M1" s="8">
        <v>45564</v>
      </c>
      <c r="N1" s="8">
        <v>45657</v>
      </c>
      <c r="O1" s="8">
        <f>K1+365</f>
        <v>45747</v>
      </c>
      <c r="P1" s="8">
        <f>L1+365</f>
        <v>45838</v>
      </c>
      <c r="Q1" s="8">
        <f>M1+365</f>
        <v>45929</v>
      </c>
      <c r="R1" s="8">
        <f>N1+365</f>
        <v>46022</v>
      </c>
    </row>
    <row r="2" spans="1:91" x14ac:dyDescent="0.2">
      <c r="B2" s="7" t="s">
        <v>15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35</v>
      </c>
      <c r="J2" s="7" t="s">
        <v>27</v>
      </c>
      <c r="K2" s="7" t="s">
        <v>28</v>
      </c>
      <c r="L2" s="7" t="s">
        <v>29</v>
      </c>
      <c r="M2" s="7" t="s">
        <v>10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34</v>
      </c>
      <c r="U2" s="7">
        <v>2022</v>
      </c>
      <c r="V2" s="7">
        <f>+U2+1</f>
        <v>2023</v>
      </c>
      <c r="W2" s="7">
        <f t="shared" ref="W2:AB2" si="0">+V2+1</f>
        <v>2024</v>
      </c>
      <c r="X2" s="7">
        <f t="shared" si="0"/>
        <v>2025</v>
      </c>
      <c r="Y2" s="7">
        <f t="shared" si="0"/>
        <v>2026</v>
      </c>
      <c r="Z2" s="7">
        <f t="shared" si="0"/>
        <v>2027</v>
      </c>
      <c r="AA2" s="7">
        <f t="shared" si="0"/>
        <v>2028</v>
      </c>
      <c r="AB2" s="7">
        <f t="shared" si="0"/>
        <v>2029</v>
      </c>
      <c r="AC2" s="7">
        <v>2030</v>
      </c>
    </row>
    <row r="3" spans="1:91" x14ac:dyDescent="0.2">
      <c r="B3" s="7" t="s">
        <v>36</v>
      </c>
      <c r="C3" s="9">
        <v>2287.1999999999998</v>
      </c>
      <c r="D3" s="9">
        <v>4140.5</v>
      </c>
      <c r="E3" s="9">
        <v>4254.7</v>
      </c>
      <c r="F3" s="9">
        <v>4747.8999999999996</v>
      </c>
      <c r="G3" s="9">
        <v>5341.8</v>
      </c>
      <c r="H3" s="9">
        <v>5606.1</v>
      </c>
      <c r="I3" s="9">
        <v>5308.2</v>
      </c>
      <c r="J3" s="9">
        <v>5682.5</v>
      </c>
      <c r="K3" s="9">
        <v>3965.9</v>
      </c>
      <c r="L3" s="9">
        <v>4760.8999999999996</v>
      </c>
      <c r="M3" s="9">
        <v>5926</v>
      </c>
      <c r="N3" s="9">
        <v>5926</v>
      </c>
      <c r="O3" s="9">
        <f>+N3*1.01</f>
        <v>5985.26</v>
      </c>
      <c r="P3" s="9">
        <f>+O3*1.01</f>
        <v>6045.1126000000004</v>
      </c>
      <c r="Q3" s="9">
        <f>+P3*1.01</f>
        <v>6105.5637260000003</v>
      </c>
      <c r="R3" s="9">
        <f>+Q3*1.01</f>
        <v>6166.6193632600007</v>
      </c>
      <c r="U3" s="9">
        <f>+SUM(C3:F3)</f>
        <v>15430.3</v>
      </c>
      <c r="V3" s="9">
        <f>+SUM(G3:J3)</f>
        <v>21938.600000000002</v>
      </c>
      <c r="W3" s="9">
        <f>+SUM(K3:N3)</f>
        <v>20578.8</v>
      </c>
      <c r="X3" s="9">
        <f>+SUM(O3:R3)</f>
        <v>24302.555689260003</v>
      </c>
    </row>
    <row r="4" spans="1:91" x14ac:dyDescent="0.2">
      <c r="B4" s="7" t="s">
        <v>37</v>
      </c>
      <c r="C4" s="9">
        <v>1247.2</v>
      </c>
      <c r="D4" s="9">
        <v>1290</v>
      </c>
      <c r="E4" s="9">
        <v>1523.6</v>
      </c>
      <c r="F4" s="9">
        <v>1682.3</v>
      </c>
      <c r="G4" s="9">
        <v>1404.4</v>
      </c>
      <c r="H4" s="9">
        <v>1296.2</v>
      </c>
      <c r="I4" s="9">
        <v>1364.8</v>
      </c>
      <c r="J4" s="9">
        <v>1554.5</v>
      </c>
      <c r="K4" s="9">
        <v>1324.1</v>
      </c>
      <c r="L4" s="9">
        <v>1481.9</v>
      </c>
      <c r="M4" s="9">
        <v>1541.3</v>
      </c>
      <c r="N4" s="9">
        <v>1541.3</v>
      </c>
      <c r="O4" s="9">
        <f>+N4*1.02</f>
        <v>1572.126</v>
      </c>
      <c r="P4" s="9">
        <f>+O4*1.02</f>
        <v>1603.56852</v>
      </c>
      <c r="Q4" s="9">
        <f>+P4*1.02</f>
        <v>1635.6398904</v>
      </c>
      <c r="R4" s="9">
        <f>+Q4*1.02</f>
        <v>1668.352688208</v>
      </c>
      <c r="U4" s="9">
        <f t="shared" ref="U4:U15" si="1">+SUM(C4:F4)</f>
        <v>5743.0999999999995</v>
      </c>
      <c r="V4" s="9">
        <f>+SUM(G4:J4)</f>
        <v>5619.9000000000005</v>
      </c>
      <c r="W4" s="9">
        <f>+SUM(K4:N4)</f>
        <v>5888.6</v>
      </c>
      <c r="X4" s="9">
        <f>+SUM(O4:R4)</f>
        <v>6479.6870986079994</v>
      </c>
    </row>
    <row r="5" spans="1:91" s="10" customFormat="1" x14ac:dyDescent="0.2">
      <c r="B5" s="10" t="s">
        <v>50</v>
      </c>
      <c r="C5" s="11">
        <f>C3+C4</f>
        <v>3534.3999999999996</v>
      </c>
      <c r="D5" s="11">
        <f>D3+D4</f>
        <v>5430.5</v>
      </c>
      <c r="E5" s="11">
        <f>E3+E4</f>
        <v>5778.2999999999993</v>
      </c>
      <c r="F5" s="11">
        <f>F3+F4</f>
        <v>6430.2</v>
      </c>
      <c r="G5" s="11">
        <f>G3+G4</f>
        <v>6746.2000000000007</v>
      </c>
      <c r="H5" s="11">
        <f>H3+H4</f>
        <v>6902.3</v>
      </c>
      <c r="I5" s="11">
        <f>I3+I4</f>
        <v>6673</v>
      </c>
      <c r="J5" s="11">
        <f>J3+J4</f>
        <v>7237</v>
      </c>
      <c r="K5" s="11">
        <f>K3+K4</f>
        <v>5290</v>
      </c>
      <c r="L5" s="11">
        <f>L3+L4</f>
        <v>6242.7999999999993</v>
      </c>
      <c r="M5" s="11">
        <f>M3+M4</f>
        <v>7467.3</v>
      </c>
      <c r="N5" s="11">
        <v>6750</v>
      </c>
      <c r="O5" s="11">
        <f t="shared" ref="O5:R5" si="2">O3+O4</f>
        <v>7557.3860000000004</v>
      </c>
      <c r="P5" s="11">
        <f t="shared" si="2"/>
        <v>7648.6811200000002</v>
      </c>
      <c r="Q5" s="11">
        <f t="shared" si="2"/>
        <v>7741.2036164000001</v>
      </c>
      <c r="R5" s="11">
        <f t="shared" si="2"/>
        <v>7834.9720514680012</v>
      </c>
      <c r="U5" s="11">
        <f>+U4+U3</f>
        <v>21173.399999999998</v>
      </c>
      <c r="V5" s="11">
        <f>+V4+V3</f>
        <v>27558.500000000004</v>
      </c>
      <c r="W5" s="11">
        <f>+W4+W3</f>
        <v>26467.4</v>
      </c>
      <c r="X5" s="11">
        <f>+X4+X3</f>
        <v>30782.242787868003</v>
      </c>
      <c r="AC5" s="11">
        <v>44000</v>
      </c>
    </row>
    <row r="6" spans="1:91" x14ac:dyDescent="0.2">
      <c r="B6" s="7" t="s">
        <v>38</v>
      </c>
      <c r="C6" s="9">
        <v>1803.4</v>
      </c>
      <c r="D6" s="9">
        <v>2766</v>
      </c>
      <c r="E6" s="9">
        <v>2784.6</v>
      </c>
      <c r="F6" s="9">
        <v>3119.3</v>
      </c>
      <c r="G6" s="9">
        <v>3333</v>
      </c>
      <c r="H6" s="9">
        <v>3358.3</v>
      </c>
      <c r="I6" s="9">
        <v>3211.4</v>
      </c>
      <c r="J6" s="9">
        <v>3519.7</v>
      </c>
      <c r="K6" s="9">
        <v>2593.4</v>
      </c>
      <c r="L6" s="9">
        <v>3030.6</v>
      </c>
      <c r="M6" s="9">
        <v>3673.9</v>
      </c>
      <c r="N6" s="9">
        <f>+AVERAGE(K6:M6)</f>
        <v>3099.2999999999997</v>
      </c>
      <c r="O6" s="9">
        <f>+N6*1.05</f>
        <v>3254.2649999999999</v>
      </c>
      <c r="P6" s="9">
        <f t="shared" ref="P6:R6" si="3">+O6*1.05</f>
        <v>3416.9782500000001</v>
      </c>
      <c r="Q6" s="9">
        <f t="shared" si="3"/>
        <v>3587.8271625000002</v>
      </c>
      <c r="R6" s="9">
        <f t="shared" si="3"/>
        <v>3767.2185206250006</v>
      </c>
      <c r="U6" s="9">
        <f t="shared" si="1"/>
        <v>10473.299999999999</v>
      </c>
      <c r="V6" s="9">
        <f>+SUM(G6:J6)</f>
        <v>13422.400000000001</v>
      </c>
      <c r="W6" s="9">
        <f>+SUM(K6:N6)</f>
        <v>12397.199999999999</v>
      </c>
      <c r="X6" s="9">
        <f>+SUM(O6:R6)</f>
        <v>14026.288933125001</v>
      </c>
      <c r="AC6" s="9">
        <f>+AC5-AC7</f>
        <v>19359.999999999996</v>
      </c>
    </row>
    <row r="7" spans="1:91" x14ac:dyDescent="0.2">
      <c r="B7" s="10" t="s">
        <v>39</v>
      </c>
      <c r="C7" s="9">
        <f>C5-C6</f>
        <v>1730.9999999999995</v>
      </c>
      <c r="D7" s="9">
        <f>D5-D6</f>
        <v>2664.5</v>
      </c>
      <c r="E7" s="9">
        <f>E5-E6</f>
        <v>2993.6999999999994</v>
      </c>
      <c r="F7" s="9">
        <f>F5-F6</f>
        <v>3310.8999999999996</v>
      </c>
      <c r="G7" s="9">
        <f>G5-G6</f>
        <v>3413.2000000000007</v>
      </c>
      <c r="H7" s="9">
        <f>H5-H6</f>
        <v>3544</v>
      </c>
      <c r="I7" s="9">
        <f>I5-I6</f>
        <v>3461.6</v>
      </c>
      <c r="J7" s="9">
        <f>J5-J6</f>
        <v>3717.3</v>
      </c>
      <c r="K7" s="9">
        <f>K5-K6</f>
        <v>2696.6</v>
      </c>
      <c r="L7" s="9">
        <f>L5-L6</f>
        <v>3212.1999999999994</v>
      </c>
      <c r="M7" s="9">
        <f>M5-M6</f>
        <v>3793.4</v>
      </c>
      <c r="N7" s="11">
        <f>+N5*0.51</f>
        <v>3442.5</v>
      </c>
      <c r="O7" s="11">
        <f t="shared" ref="O7:R7" si="4">+O5*0.51</f>
        <v>3854.2668600000002</v>
      </c>
      <c r="P7" s="11">
        <f t="shared" si="4"/>
        <v>3900.8273712</v>
      </c>
      <c r="Q7" s="11">
        <f t="shared" si="4"/>
        <v>3948.0138443640003</v>
      </c>
      <c r="R7" s="11">
        <f t="shared" si="4"/>
        <v>3995.8357462486806</v>
      </c>
      <c r="U7" s="11">
        <f>+U5-U6</f>
        <v>10700.099999999999</v>
      </c>
      <c r="V7" s="11">
        <f>+V5-V6</f>
        <v>14136.100000000002</v>
      </c>
      <c r="W7" s="11">
        <f>+W5-W6</f>
        <v>14070.200000000003</v>
      </c>
      <c r="X7" s="11">
        <f>+X5-X6</f>
        <v>16755.953854743002</v>
      </c>
      <c r="AC7" s="9">
        <f>+AC5*0.56</f>
        <v>24640.000000000004</v>
      </c>
    </row>
    <row r="8" spans="1:91" x14ac:dyDescent="0.2">
      <c r="B8" s="7" t="s">
        <v>40</v>
      </c>
      <c r="C8" s="9">
        <v>738.7</v>
      </c>
      <c r="D8" s="9">
        <v>789.1</v>
      </c>
      <c r="E8" s="9">
        <v>819.4</v>
      </c>
      <c r="F8" s="9">
        <v>906.3</v>
      </c>
      <c r="G8" s="9">
        <v>947.9</v>
      </c>
      <c r="H8" s="9">
        <v>999.9</v>
      </c>
      <c r="I8" s="9">
        <v>991.4</v>
      </c>
      <c r="J8" s="9">
        <v>1041.3</v>
      </c>
      <c r="K8" s="9">
        <v>1031.9000000000001</v>
      </c>
      <c r="L8" s="9">
        <v>1100.5999999999999</v>
      </c>
      <c r="M8" s="9">
        <v>1055.2</v>
      </c>
      <c r="N8" s="9">
        <f>+AVERAGE(K8:M8)</f>
        <v>1062.5666666666666</v>
      </c>
      <c r="O8" s="9">
        <f>+N8*1.02</f>
        <v>1083.818</v>
      </c>
      <c r="P8" s="9">
        <f t="shared" ref="P8:R8" si="5">+O8*1.02</f>
        <v>1105.4943599999999</v>
      </c>
      <c r="Q8" s="9">
        <f t="shared" si="5"/>
        <v>1127.6042471999999</v>
      </c>
      <c r="R8" s="9">
        <f t="shared" si="5"/>
        <v>1150.1563321439999</v>
      </c>
      <c r="U8" s="9">
        <f t="shared" si="1"/>
        <v>3253.5</v>
      </c>
      <c r="V8" s="9">
        <f>+SUM(G8:J8)</f>
        <v>3980.5</v>
      </c>
      <c r="W8" s="9">
        <f>+SUM(K8:N8)</f>
        <v>4250.2666666666664</v>
      </c>
      <c r="X8" s="9">
        <f>+SUM(O8:R8)</f>
        <v>4467.0729393439997</v>
      </c>
      <c r="AC8" s="9">
        <f>+AC5*0.15</f>
        <v>6600</v>
      </c>
    </row>
    <row r="9" spans="1:91" x14ac:dyDescent="0.2">
      <c r="B9" s="7" t="s">
        <v>41</v>
      </c>
      <c r="C9" s="9">
        <v>207.7</v>
      </c>
      <c r="D9" s="9">
        <v>222</v>
      </c>
      <c r="E9" s="9">
        <v>235.8</v>
      </c>
      <c r="F9" s="9">
        <v>280.39999999999998</v>
      </c>
      <c r="G9" s="9">
        <v>260.3</v>
      </c>
      <c r="H9" s="9">
        <v>281.10000000000002</v>
      </c>
      <c r="I9" s="9">
        <v>287.8</v>
      </c>
      <c r="J9" s="9">
        <v>284.10000000000002</v>
      </c>
      <c r="K9" s="9">
        <v>273.3</v>
      </c>
      <c r="L9" s="9">
        <v>277</v>
      </c>
      <c r="M9" s="9">
        <v>297</v>
      </c>
      <c r="N9" s="9">
        <f>+AVERAGE(K9:M9)</f>
        <v>282.43333333333334</v>
      </c>
      <c r="O9" s="9">
        <f>+N9*1.02</f>
        <v>288.08199999999999</v>
      </c>
      <c r="P9" s="9">
        <f t="shared" ref="P9:R9" si="6">+O9*1.02</f>
        <v>293.84363999999999</v>
      </c>
      <c r="Q9" s="9">
        <f t="shared" si="6"/>
        <v>299.72051279999999</v>
      </c>
      <c r="R9" s="9">
        <f t="shared" si="6"/>
        <v>305.71492305599998</v>
      </c>
      <c r="U9" s="9">
        <f t="shared" si="1"/>
        <v>945.9</v>
      </c>
      <c r="V9" s="9">
        <f>+SUM(G9:J9)</f>
        <v>1113.3000000000002</v>
      </c>
      <c r="W9" s="9">
        <f>+SUM(K9:N9)</f>
        <v>1129.7333333333333</v>
      </c>
      <c r="X9" s="9">
        <f>+SUM(O9:R9)</f>
        <v>1187.3610758559998</v>
      </c>
      <c r="AC9" s="9">
        <f>+AC5*0.04</f>
        <v>1760</v>
      </c>
    </row>
    <row r="10" spans="1:91" x14ac:dyDescent="0.2">
      <c r="B10" s="7" t="s">
        <v>43</v>
      </c>
      <c r="C10" s="9">
        <f>C8+C9</f>
        <v>946.40000000000009</v>
      </c>
      <c r="D10" s="9">
        <f>D8+D9</f>
        <v>1011.1</v>
      </c>
      <c r="E10" s="9">
        <f>E8+E9</f>
        <v>1055.2</v>
      </c>
      <c r="F10" s="9">
        <f>F8+F9</f>
        <v>1186.6999999999998</v>
      </c>
      <c r="G10" s="9">
        <f>G8+G9</f>
        <v>1208.2</v>
      </c>
      <c r="H10" s="9">
        <f>H8+H9</f>
        <v>1281</v>
      </c>
      <c r="I10" s="9">
        <f>I8+I9</f>
        <v>1279.2</v>
      </c>
      <c r="J10" s="9">
        <f>J8+J9</f>
        <v>1325.4</v>
      </c>
      <c r="K10" s="9">
        <f>K8+K9</f>
        <v>1305.2</v>
      </c>
      <c r="L10" s="9">
        <f>L8+L9</f>
        <v>1377.6</v>
      </c>
      <c r="M10" s="9">
        <f>M8+M9</f>
        <v>1352.2</v>
      </c>
      <c r="N10" s="9">
        <f>N8+N9</f>
        <v>1345</v>
      </c>
      <c r="O10" s="9">
        <f>O8+O9</f>
        <v>1371.9</v>
      </c>
      <c r="P10" s="9">
        <f>P8+P9</f>
        <v>1399.338</v>
      </c>
      <c r="Q10" s="9">
        <f>Q8+Q9</f>
        <v>1427.32476</v>
      </c>
      <c r="R10" s="9">
        <f>R8+R9</f>
        <v>1455.8712551999997</v>
      </c>
      <c r="U10" s="9">
        <f>+U9+U8</f>
        <v>4199.3999999999996</v>
      </c>
      <c r="V10" s="9">
        <f>+V9+V8</f>
        <v>5093.8</v>
      </c>
      <c r="W10" s="9">
        <f>+W9+W8</f>
        <v>5380</v>
      </c>
      <c r="X10" s="9">
        <f>+X9+X8</f>
        <v>5654.4340151999995</v>
      </c>
      <c r="AC10" s="9">
        <f>+AC9+AC8</f>
        <v>8360</v>
      </c>
    </row>
    <row r="11" spans="1:91" s="10" customFormat="1" x14ac:dyDescent="0.2">
      <c r="B11" s="10" t="s">
        <v>42</v>
      </c>
      <c r="C11" s="11">
        <f>C7-C10</f>
        <v>784.59999999999945</v>
      </c>
      <c r="D11" s="11">
        <f>D7-D10</f>
        <v>1653.4</v>
      </c>
      <c r="E11" s="11">
        <f>E7-E10</f>
        <v>1938.4999999999993</v>
      </c>
      <c r="F11" s="11">
        <f>F7-F10</f>
        <v>2124.1999999999998</v>
      </c>
      <c r="G11" s="11">
        <f>G7-G10</f>
        <v>2205.0000000000009</v>
      </c>
      <c r="H11" s="11">
        <f>H7-H10</f>
        <v>2263</v>
      </c>
      <c r="I11" s="11">
        <f>I7-I10</f>
        <v>2182.3999999999996</v>
      </c>
      <c r="J11" s="11">
        <f>J7-J10</f>
        <v>2391.9</v>
      </c>
      <c r="K11" s="11">
        <f>K7-K10</f>
        <v>1391.3999999999999</v>
      </c>
      <c r="L11" s="11">
        <f>L7-L10</f>
        <v>1834.5999999999995</v>
      </c>
      <c r="M11" s="11">
        <f>M7-M10</f>
        <v>2441.1999999999998</v>
      </c>
      <c r="N11" s="11">
        <f t="shared" ref="N11:R11" si="7">N7-N10</f>
        <v>2097.5</v>
      </c>
      <c r="O11" s="11">
        <f t="shared" si="7"/>
        <v>2482.3668600000001</v>
      </c>
      <c r="P11" s="11">
        <f t="shared" si="7"/>
        <v>2501.4893712000003</v>
      </c>
      <c r="Q11" s="11">
        <f t="shared" si="7"/>
        <v>2520.6890843640003</v>
      </c>
      <c r="R11" s="11">
        <f t="shared" si="7"/>
        <v>2539.9644910486809</v>
      </c>
      <c r="U11" s="11">
        <f>+U7-U10</f>
        <v>6500.6999999999989</v>
      </c>
      <c r="V11" s="11">
        <f>+V7-V10</f>
        <v>9042.3000000000029</v>
      </c>
      <c r="W11" s="11">
        <f>+W7-W10</f>
        <v>8690.2000000000025</v>
      </c>
      <c r="X11" s="11">
        <f>+X7-X10</f>
        <v>11101.519839543002</v>
      </c>
      <c r="AC11" s="11">
        <f>+AC7-AC10</f>
        <v>16280.000000000004</v>
      </c>
    </row>
    <row r="12" spans="1:91" x14ac:dyDescent="0.2">
      <c r="B12" s="7" t="s">
        <v>44</v>
      </c>
      <c r="C12" s="9">
        <v>15.6</v>
      </c>
      <c r="D12" s="9">
        <v>10.8</v>
      </c>
      <c r="E12" s="9">
        <v>15.1</v>
      </c>
      <c r="F12" s="9">
        <v>3.1</v>
      </c>
      <c r="G12" s="9">
        <v>12.2</v>
      </c>
      <c r="H12" s="9">
        <v>16.7</v>
      </c>
      <c r="I12" s="9">
        <v>7.1</v>
      </c>
      <c r="J12" s="9">
        <v>5.2</v>
      </c>
      <c r="K12" s="9">
        <v>26.2</v>
      </c>
      <c r="L12" s="9">
        <v>11.9</v>
      </c>
      <c r="M12" s="9">
        <v>-0.8</v>
      </c>
      <c r="N12" s="9">
        <v>5</v>
      </c>
      <c r="O12" s="9">
        <v>10</v>
      </c>
      <c r="P12" s="9">
        <v>10</v>
      </c>
      <c r="Q12" s="9">
        <v>10</v>
      </c>
      <c r="R12" s="9">
        <v>10</v>
      </c>
      <c r="U12" s="9">
        <f t="shared" si="1"/>
        <v>44.6</v>
      </c>
      <c r="V12" s="9">
        <f>+SUM(G12:J12)</f>
        <v>41.2</v>
      </c>
      <c r="W12" s="9">
        <f>+SUM(K12:N12)</f>
        <v>42.300000000000004</v>
      </c>
      <c r="X12" s="9">
        <f>+SUM(O12:R12)</f>
        <v>40</v>
      </c>
      <c r="AC12" s="9">
        <v>50</v>
      </c>
    </row>
    <row r="13" spans="1:91" x14ac:dyDescent="0.2">
      <c r="B13" s="7" t="s">
        <v>45</v>
      </c>
      <c r="C13" s="9">
        <f>C11+C12</f>
        <v>800.19999999999948</v>
      </c>
      <c r="D13" s="9">
        <f>D11+D12</f>
        <v>1664.2</v>
      </c>
      <c r="E13" s="9">
        <f>E11+E12</f>
        <v>1953.5999999999992</v>
      </c>
      <c r="F13" s="9">
        <f>F11+F12</f>
        <v>2127.2999999999997</v>
      </c>
      <c r="G13" s="9">
        <f>G11+G12</f>
        <v>2217.2000000000007</v>
      </c>
      <c r="H13" s="9">
        <f>H11+H12</f>
        <v>2279.6999999999998</v>
      </c>
      <c r="I13" s="9">
        <f>I11+I12</f>
        <v>2189.4999999999995</v>
      </c>
      <c r="J13" s="9">
        <f>J11+J12</f>
        <v>2397.1</v>
      </c>
      <c r="K13" s="9">
        <f>K11+K12</f>
        <v>1417.6</v>
      </c>
      <c r="L13" s="9">
        <f>L11+L12</f>
        <v>1846.4999999999995</v>
      </c>
      <c r="M13" s="9">
        <f>M11+M12</f>
        <v>2440.3999999999996</v>
      </c>
      <c r="N13" s="9">
        <f t="shared" ref="N13:R13" si="8">N11+N12</f>
        <v>2102.5</v>
      </c>
      <c r="O13" s="9">
        <f t="shared" si="8"/>
        <v>2492.3668600000001</v>
      </c>
      <c r="P13" s="9">
        <f t="shared" si="8"/>
        <v>2511.4893712000003</v>
      </c>
      <c r="Q13" s="9">
        <f t="shared" si="8"/>
        <v>2530.6890843640003</v>
      </c>
      <c r="R13" s="9">
        <f t="shared" si="8"/>
        <v>2549.9644910486809</v>
      </c>
      <c r="U13" s="9">
        <f>+U11-U12</f>
        <v>6456.0999999999985</v>
      </c>
      <c r="V13" s="9">
        <f>+V11-V12</f>
        <v>9001.1000000000022</v>
      </c>
      <c r="W13" s="9">
        <f>+W11-W12</f>
        <v>8647.9000000000033</v>
      </c>
      <c r="X13" s="9">
        <f>+X11-X12</f>
        <v>11061.519839543002</v>
      </c>
      <c r="AC13" s="9">
        <f>+AC11-AC12</f>
        <v>16230.000000000004</v>
      </c>
    </row>
    <row r="14" spans="1:91" x14ac:dyDescent="0.2">
      <c r="B14" s="7" t="s">
        <v>46</v>
      </c>
      <c r="C14" s="9">
        <v>114.4</v>
      </c>
      <c r="D14" s="9">
        <v>246.2</v>
      </c>
      <c r="E14" s="9">
        <v>252</v>
      </c>
      <c r="F14" s="9">
        <v>357.3</v>
      </c>
      <c r="G14" s="9">
        <v>302.60000000000002</v>
      </c>
      <c r="H14" s="9">
        <v>403.9</v>
      </c>
      <c r="I14" s="9">
        <v>343.7</v>
      </c>
      <c r="J14" s="9">
        <v>385.6</v>
      </c>
      <c r="K14" s="9">
        <v>224</v>
      </c>
      <c r="L14" s="9">
        <v>291.60000000000002</v>
      </c>
      <c r="M14" s="9">
        <v>441.2</v>
      </c>
      <c r="N14" s="9">
        <f>+AVERAGE(K14:M14)</f>
        <v>318.93333333333334</v>
      </c>
      <c r="O14" s="9">
        <v>319</v>
      </c>
      <c r="P14" s="9">
        <v>319</v>
      </c>
      <c r="Q14" s="9">
        <v>319</v>
      </c>
      <c r="R14" s="9">
        <v>319</v>
      </c>
      <c r="U14" s="9">
        <f t="shared" si="1"/>
        <v>969.90000000000009</v>
      </c>
      <c r="V14" s="9">
        <f>+SUM(G14:J14)</f>
        <v>1435.8000000000002</v>
      </c>
      <c r="W14" s="9">
        <f>+SUM(K14:N14)</f>
        <v>1275.7333333333333</v>
      </c>
      <c r="X14" s="9">
        <f>+SUM(O14:R14)</f>
        <v>1276</v>
      </c>
      <c r="AC14" s="9">
        <v>1500</v>
      </c>
    </row>
    <row r="15" spans="1:91" x14ac:dyDescent="0.2">
      <c r="B15" s="7" t="s">
        <v>47</v>
      </c>
      <c r="C15" s="9">
        <v>40.700000000000003</v>
      </c>
      <c r="D15" s="9">
        <v>14.5</v>
      </c>
      <c r="E15" s="9">
        <v>30.1</v>
      </c>
      <c r="F15" s="9">
        <v>52.7</v>
      </c>
      <c r="G15" s="9">
        <v>41.2</v>
      </c>
      <c r="H15" s="9">
        <v>65.900000000000006</v>
      </c>
      <c r="I15" s="9">
        <v>47.6</v>
      </c>
      <c r="J15" s="9">
        <v>36.6</v>
      </c>
      <c r="K15" s="9">
        <v>30.2</v>
      </c>
      <c r="L15" s="9">
        <v>46.8</v>
      </c>
      <c r="M15" s="9">
        <v>77.3</v>
      </c>
      <c r="N15" s="9">
        <f>+AVERAGE(K15:M15)</f>
        <v>51.433333333333337</v>
      </c>
      <c r="O15" s="9">
        <v>51</v>
      </c>
      <c r="P15" s="9">
        <v>51</v>
      </c>
      <c r="Q15" s="9">
        <v>51</v>
      </c>
      <c r="R15" s="9">
        <v>51</v>
      </c>
      <c r="U15" s="9">
        <f t="shared" si="1"/>
        <v>138</v>
      </c>
      <c r="V15" s="9">
        <f>+SUM(G15:J15)</f>
        <v>191.3</v>
      </c>
      <c r="W15" s="9">
        <f>+SUM(K15:N15)</f>
        <v>205.73333333333335</v>
      </c>
      <c r="X15" s="9">
        <f>+SUM(O15:R15)</f>
        <v>204</v>
      </c>
      <c r="AC15" s="9">
        <v>200</v>
      </c>
    </row>
    <row r="16" spans="1:91" s="10" customFormat="1" x14ac:dyDescent="0.2">
      <c r="B16" s="10" t="s">
        <v>48</v>
      </c>
      <c r="C16" s="11">
        <f>C13-C14+C15</f>
        <v>726.49999999999955</v>
      </c>
      <c r="D16" s="11">
        <f>D13-D14+D15</f>
        <v>1432.5</v>
      </c>
      <c r="E16" s="11">
        <f>E13-E14+E15</f>
        <v>1731.6999999999991</v>
      </c>
      <c r="F16" s="11">
        <f>F13-F14+F15</f>
        <v>1822.6999999999998</v>
      </c>
      <c r="G16" s="11">
        <f>G13-G14+G15</f>
        <v>1955.8000000000009</v>
      </c>
      <c r="H16" s="11">
        <f>H13-H14+H15</f>
        <v>1941.6999999999998</v>
      </c>
      <c r="I16" s="11">
        <f>I13-I14+I15</f>
        <v>1893.3999999999994</v>
      </c>
      <c r="J16" s="11">
        <f>J13-J14+J15</f>
        <v>2048.1</v>
      </c>
      <c r="K16" s="11">
        <f>K13-K14+K15</f>
        <v>1223.8</v>
      </c>
      <c r="L16" s="11">
        <f>L13-L14+L15</f>
        <v>1601.6999999999996</v>
      </c>
      <c r="M16" s="11">
        <f>M13-M14+M15</f>
        <v>2076.4999999999995</v>
      </c>
      <c r="N16" s="11">
        <f t="shared" ref="N16:R16" si="9">N13-N14+N15</f>
        <v>1835</v>
      </c>
      <c r="O16" s="11">
        <f t="shared" si="9"/>
        <v>2224.3668600000001</v>
      </c>
      <c r="P16" s="11">
        <f t="shared" si="9"/>
        <v>2243.4893712000003</v>
      </c>
      <c r="Q16" s="11">
        <f t="shared" si="9"/>
        <v>2262.6890843640003</v>
      </c>
      <c r="R16" s="11">
        <f t="shared" si="9"/>
        <v>2281.9644910486809</v>
      </c>
      <c r="U16" s="11">
        <f>+U13-U14-U15</f>
        <v>5348.1999999999989</v>
      </c>
      <c r="V16" s="11">
        <f>+V13-V14-V15</f>
        <v>7374.0000000000018</v>
      </c>
      <c r="W16" s="11">
        <f>+W13-W14-W15</f>
        <v>7166.4333333333361</v>
      </c>
      <c r="X16" s="11">
        <f>+X13-X14-X15</f>
        <v>9581.5198395430016</v>
      </c>
      <c r="Y16" s="11">
        <f>+X16+$Y17</f>
        <v>10571.215871634402</v>
      </c>
      <c r="Z16" s="11">
        <f t="shared" ref="Z16:AB16" si="10">+Y16+$Y17</f>
        <v>11560.911903725802</v>
      </c>
      <c r="AA16" s="11">
        <f t="shared" si="10"/>
        <v>12550.607935817203</v>
      </c>
      <c r="AB16" s="11">
        <f t="shared" si="10"/>
        <v>13540.303967908603</v>
      </c>
      <c r="AC16" s="11">
        <v>14530</v>
      </c>
      <c r="AD16" s="10">
        <f t="shared" ref="AD16:CK16" si="11">+AC16*(1+$AA20)</f>
        <v>14384.7</v>
      </c>
      <c r="AE16" s="10">
        <f t="shared" si="11"/>
        <v>14240.853000000001</v>
      </c>
      <c r="AF16" s="10">
        <f t="shared" si="11"/>
        <v>14098.44447</v>
      </c>
      <c r="AG16" s="10">
        <f t="shared" si="11"/>
        <v>13957.460025300001</v>
      </c>
      <c r="AH16" s="10">
        <f t="shared" si="11"/>
        <v>13817.885425047001</v>
      </c>
      <c r="AI16" s="10">
        <f t="shared" si="11"/>
        <v>13679.70657079653</v>
      </c>
      <c r="AJ16" s="10">
        <f t="shared" si="11"/>
        <v>13542.909505088564</v>
      </c>
      <c r="AK16" s="10">
        <f t="shared" si="11"/>
        <v>13407.480410037679</v>
      </c>
      <c r="AL16" s="10">
        <f t="shared" si="11"/>
        <v>13273.405605937302</v>
      </c>
      <c r="AM16" s="10">
        <f t="shared" si="11"/>
        <v>13140.671549877929</v>
      </c>
      <c r="AN16" s="10">
        <f t="shared" si="11"/>
        <v>13009.26483437915</v>
      </c>
      <c r="AO16" s="10">
        <f t="shared" si="11"/>
        <v>12879.172186035357</v>
      </c>
      <c r="AP16" s="10">
        <f t="shared" si="11"/>
        <v>12750.380464175003</v>
      </c>
      <c r="AQ16" s="10">
        <f t="shared" si="11"/>
        <v>12622.876659533253</v>
      </c>
      <c r="AR16" s="10">
        <f t="shared" si="11"/>
        <v>12496.647892937921</v>
      </c>
      <c r="AS16" s="10">
        <f t="shared" si="11"/>
        <v>12371.681414008541</v>
      </c>
      <c r="AT16" s="10">
        <f t="shared" si="11"/>
        <v>12247.964599868455</v>
      </c>
      <c r="AU16" s="10">
        <f t="shared" si="11"/>
        <v>12125.484953869771</v>
      </c>
      <c r="AV16" s="10">
        <f t="shared" si="11"/>
        <v>12004.230104331073</v>
      </c>
      <c r="AW16" s="10">
        <f t="shared" si="11"/>
        <v>11884.187803287761</v>
      </c>
      <c r="AX16" s="10">
        <f t="shared" si="11"/>
        <v>11765.345925254884</v>
      </c>
      <c r="AY16" s="10">
        <f t="shared" si="11"/>
        <v>11647.692466002334</v>
      </c>
      <c r="AZ16" s="10">
        <f t="shared" si="11"/>
        <v>11531.215541342312</v>
      </c>
      <c r="BA16" s="10">
        <f t="shared" si="11"/>
        <v>11415.903385928888</v>
      </c>
      <c r="BB16" s="10">
        <f t="shared" si="11"/>
        <v>11301.7443520696</v>
      </c>
      <c r="BC16" s="10">
        <f t="shared" si="11"/>
        <v>11188.726908548904</v>
      </c>
      <c r="BD16" s="10">
        <f t="shared" si="11"/>
        <v>11076.839639463415</v>
      </c>
      <c r="BE16" s="10">
        <f t="shared" si="11"/>
        <v>10966.07124306878</v>
      </c>
      <c r="BF16" s="10">
        <f t="shared" si="11"/>
        <v>10856.410530638092</v>
      </c>
      <c r="BG16" s="10">
        <f t="shared" si="11"/>
        <v>10747.846425331711</v>
      </c>
      <c r="BH16" s="10">
        <f t="shared" si="11"/>
        <v>10640.367961078393</v>
      </c>
      <c r="BI16" s="10">
        <f t="shared" si="11"/>
        <v>10533.964281467608</v>
      </c>
      <c r="BJ16" s="10">
        <f t="shared" si="11"/>
        <v>10428.624638652931</v>
      </c>
      <c r="BK16" s="10">
        <f t="shared" si="11"/>
        <v>10324.338392266402</v>
      </c>
      <c r="BL16" s="10">
        <f t="shared" si="11"/>
        <v>10221.095008343738</v>
      </c>
      <c r="BM16" s="10">
        <f t="shared" si="11"/>
        <v>10118.884058260301</v>
      </c>
      <c r="BN16" s="10">
        <f t="shared" si="11"/>
        <v>10017.695217677698</v>
      </c>
      <c r="BO16" s="10">
        <f t="shared" si="11"/>
        <v>9917.5182655009212</v>
      </c>
      <c r="BP16" s="10">
        <f t="shared" si="11"/>
        <v>9818.3430828459113</v>
      </c>
      <c r="BQ16" s="10">
        <f t="shared" si="11"/>
        <v>9720.1596520174517</v>
      </c>
      <c r="BR16" s="10">
        <f t="shared" si="11"/>
        <v>9622.9580554972763</v>
      </c>
      <c r="BS16" s="10">
        <f t="shared" si="11"/>
        <v>9526.7284749423034</v>
      </c>
      <c r="BT16" s="10">
        <f t="shared" si="11"/>
        <v>9431.4611901928802</v>
      </c>
      <c r="BU16" s="10">
        <f t="shared" si="11"/>
        <v>9337.1465782909509</v>
      </c>
      <c r="BV16" s="10">
        <f t="shared" si="11"/>
        <v>9243.7751125080413</v>
      </c>
      <c r="BW16" s="10">
        <f t="shared" si="11"/>
        <v>9151.3373613829608</v>
      </c>
      <c r="BX16" s="10">
        <f t="shared" si="11"/>
        <v>9059.8239877691303</v>
      </c>
      <c r="BY16" s="10">
        <f t="shared" si="11"/>
        <v>8969.2257478914398</v>
      </c>
      <c r="BZ16" s="10">
        <f t="shared" si="11"/>
        <v>8879.5334904125248</v>
      </c>
      <c r="CA16" s="10">
        <f t="shared" si="11"/>
        <v>8790.7381555083994</v>
      </c>
      <c r="CB16" s="10">
        <f t="shared" si="11"/>
        <v>8702.8307739533157</v>
      </c>
      <c r="CC16" s="10">
        <f t="shared" si="11"/>
        <v>8615.8024662137832</v>
      </c>
      <c r="CD16" s="10">
        <f t="shared" si="11"/>
        <v>8529.6444415516453</v>
      </c>
      <c r="CE16" s="10">
        <f t="shared" si="11"/>
        <v>8444.3479971361285</v>
      </c>
      <c r="CF16" s="10">
        <f t="shared" si="11"/>
        <v>8359.9045171647667</v>
      </c>
      <c r="CG16" s="10">
        <f t="shared" si="11"/>
        <v>8276.3054719931188</v>
      </c>
      <c r="CH16" s="10">
        <f t="shared" si="11"/>
        <v>8193.5424172731873</v>
      </c>
      <c r="CI16" s="10">
        <f t="shared" si="11"/>
        <v>8111.6069931004549</v>
      </c>
      <c r="CJ16" s="10">
        <f t="shared" si="11"/>
        <v>8030.4909231694501</v>
      </c>
      <c r="CK16" s="10">
        <f t="shared" si="11"/>
        <v>7950.1860139377559</v>
      </c>
      <c r="CL16" s="10">
        <f t="shared" ref="CL16:CM16" si="12">+CK16*(1+$AA20)</f>
        <v>7870.6841537983782</v>
      </c>
      <c r="CM16" s="10">
        <f t="shared" si="12"/>
        <v>7791.9773122603947</v>
      </c>
    </row>
    <row r="17" spans="2:29" x14ac:dyDescent="0.2">
      <c r="B17" s="7" t="s">
        <v>49</v>
      </c>
      <c r="C17" s="12">
        <f>C16/C18</f>
        <v>1.8094645080946439</v>
      </c>
      <c r="D17" s="12">
        <f>D16/D18</f>
        <v>3.5938283993978923</v>
      </c>
      <c r="E17" s="12">
        <f>E16/E18</f>
        <v>4.3663640948058475</v>
      </c>
      <c r="F17" s="12">
        <f>F16/F18</f>
        <v>4.6120951417004044</v>
      </c>
      <c r="G17" s="12">
        <f>G16/G18</f>
        <v>4.9539007092198606</v>
      </c>
      <c r="H17" s="12">
        <f>H16/H18</f>
        <v>4.9306754697816144</v>
      </c>
      <c r="I17" s="12">
        <f>I16/I18</f>
        <v>4.8129130655821033</v>
      </c>
      <c r="J17" s="12">
        <f>J16/J18</f>
        <v>5.2008633824276282</v>
      </c>
      <c r="K17" s="12">
        <f>K16/K18</f>
        <v>3.1084582169164339</v>
      </c>
      <c r="L17" s="12">
        <f>L16/L18</f>
        <v>4.070393900889453</v>
      </c>
      <c r="M17" s="12">
        <f>M16/M18</f>
        <v>5.2783426537874929</v>
      </c>
      <c r="N17" s="9"/>
      <c r="O17" s="9"/>
      <c r="P17" s="9"/>
      <c r="Q17" s="9"/>
      <c r="R17" s="9"/>
      <c r="U17" s="9"/>
      <c r="X17" s="9">
        <f>+AC16-X16</f>
        <v>4948.4801604569984</v>
      </c>
      <c r="Y17" s="7">
        <f>+X17/5</f>
        <v>989.69603209139973</v>
      </c>
      <c r="AC17" s="11"/>
    </row>
    <row r="18" spans="2:29" x14ac:dyDescent="0.2">
      <c r="B18" s="7" t="s">
        <v>1</v>
      </c>
      <c r="C18" s="9">
        <v>401.5</v>
      </c>
      <c r="D18" s="9">
        <v>398.6</v>
      </c>
      <c r="E18" s="9">
        <v>396.6</v>
      </c>
      <c r="F18" s="9">
        <v>395.2</v>
      </c>
      <c r="G18" s="9">
        <v>394.8</v>
      </c>
      <c r="H18" s="9">
        <v>393.8</v>
      </c>
      <c r="I18" s="9">
        <v>393.4</v>
      </c>
      <c r="J18" s="9">
        <v>393.8</v>
      </c>
      <c r="K18" s="9">
        <v>393.7</v>
      </c>
      <c r="L18" s="9">
        <v>393.5</v>
      </c>
      <c r="M18" s="9">
        <v>393.4</v>
      </c>
      <c r="N18" s="9"/>
      <c r="O18" s="9"/>
      <c r="P18" s="9"/>
      <c r="Q18" s="9"/>
      <c r="R18" s="9"/>
      <c r="U18" s="9"/>
    </row>
    <row r="19" spans="2:29" x14ac:dyDescent="0.2">
      <c r="B19" s="7" t="s">
        <v>74</v>
      </c>
      <c r="J19" s="15">
        <v>42.4</v>
      </c>
    </row>
    <row r="20" spans="2:29" x14ac:dyDescent="0.2">
      <c r="Z20" s="7" t="s">
        <v>75</v>
      </c>
      <c r="AA20" s="13">
        <v>-0.01</v>
      </c>
    </row>
    <row r="21" spans="2:29" x14ac:dyDescent="0.2">
      <c r="B21" s="7" t="s">
        <v>51</v>
      </c>
      <c r="D21" s="13"/>
      <c r="E21" s="13"/>
      <c r="F21" s="13"/>
      <c r="G21" s="14">
        <f t="shared" ref="G21:L21" si="13">G5/C5-1</f>
        <v>0.90872566772295205</v>
      </c>
      <c r="H21" s="13">
        <f t="shared" si="13"/>
        <v>0.27102476751680338</v>
      </c>
      <c r="I21" s="13">
        <f t="shared" si="13"/>
        <v>0.15483792811034403</v>
      </c>
      <c r="J21" s="13">
        <f t="shared" si="13"/>
        <v>0.12547043637833966</v>
      </c>
      <c r="K21" s="13">
        <f t="shared" si="13"/>
        <v>-0.21585485162017148</v>
      </c>
      <c r="L21" s="13">
        <f t="shared" si="13"/>
        <v>-9.5547860857974953E-2</v>
      </c>
      <c r="M21" s="13">
        <f>M5/I5-1</f>
        <v>0.11903191967630744</v>
      </c>
      <c r="N21" s="13">
        <f>N5/J5-1</f>
        <v>-6.7293077241951105E-2</v>
      </c>
      <c r="O21" s="13">
        <f>O5/K5-1</f>
        <v>0.42861739130434784</v>
      </c>
      <c r="P21" s="13">
        <f t="shared" ref="O21:Q21" si="14">P5/L5-1</f>
        <v>0.22520041007240366</v>
      </c>
      <c r="Q21" s="13">
        <f t="shared" si="14"/>
        <v>3.6680408768898998E-2</v>
      </c>
      <c r="R21" s="13">
        <f>R5/N5-1</f>
        <v>0.16073660021748171</v>
      </c>
      <c r="U21" s="13"/>
      <c r="V21" s="13">
        <f t="shared" ref="U21:X21" si="15">+V16/U16-1</f>
        <v>0.37878164616132604</v>
      </c>
      <c r="W21" s="13">
        <f t="shared" si="15"/>
        <v>-2.8148449507277684E-2</v>
      </c>
      <c r="X21" s="13">
        <f>+X16/W16-1</f>
        <v>0.3369997869060386</v>
      </c>
      <c r="Z21" s="7" t="s">
        <v>76</v>
      </c>
      <c r="AA21" s="13">
        <v>0.05</v>
      </c>
    </row>
    <row r="22" spans="2:29" x14ac:dyDescent="0.2">
      <c r="B22" s="7" t="s">
        <v>52</v>
      </c>
      <c r="C22" s="13">
        <f t="shared" ref="C22:H22" si="16">C7/C5</f>
        <v>0.48975780896333176</v>
      </c>
      <c r="D22" s="13">
        <f t="shared" si="16"/>
        <v>0.49065463585305219</v>
      </c>
      <c r="E22" s="13">
        <f t="shared" si="16"/>
        <v>0.51809355692850834</v>
      </c>
      <c r="F22" s="13">
        <f t="shared" si="16"/>
        <v>0.51489844794874184</v>
      </c>
      <c r="G22" s="13">
        <f t="shared" si="16"/>
        <v>0.50594408704159388</v>
      </c>
      <c r="H22" s="13">
        <f>H7/H5</f>
        <v>0.5134520377265549</v>
      </c>
      <c r="I22" s="13">
        <f>I7/I5</f>
        <v>0.51874719016933912</v>
      </c>
      <c r="J22" s="13">
        <f t="shared" ref="J22:L22" si="17">J7/J5</f>
        <v>0.5136520657731104</v>
      </c>
      <c r="K22" s="13">
        <f t="shared" si="17"/>
        <v>0.50975425330812851</v>
      </c>
      <c r="L22" s="13">
        <f t="shared" si="17"/>
        <v>0.51454475555840329</v>
      </c>
      <c r="M22" s="13">
        <f>M7/M5</f>
        <v>0.50800155343966358</v>
      </c>
      <c r="N22" s="13">
        <f>N7/N5</f>
        <v>0.51</v>
      </c>
      <c r="O22" s="13">
        <f t="shared" ref="O22:R22" si="18">O7/O5</f>
        <v>0.51</v>
      </c>
      <c r="P22" s="13">
        <f t="shared" si="18"/>
        <v>0.51</v>
      </c>
      <c r="Q22" s="13">
        <f t="shared" si="18"/>
        <v>0.51</v>
      </c>
      <c r="R22" s="13">
        <f t="shared" si="18"/>
        <v>0.51</v>
      </c>
      <c r="V22" s="13">
        <f t="shared" ref="V22:X22" si="19">V7/V5</f>
        <v>0.51294881796904768</v>
      </c>
      <c r="W22" s="13">
        <f t="shared" si="19"/>
        <v>0.531604917747871</v>
      </c>
      <c r="X22" s="13">
        <f t="shared" si="19"/>
        <v>0.54433830472375178</v>
      </c>
      <c r="Z22" s="7" t="s">
        <v>77</v>
      </c>
      <c r="AA22" s="16">
        <f>NPV(AA21,U16:CM16)</f>
        <v>220732.80450391708</v>
      </c>
      <c r="AC22" s="13">
        <f t="shared" ref="AC22" si="20">AC7/AC5</f>
        <v>0.56000000000000005</v>
      </c>
    </row>
    <row r="23" spans="2:29" x14ac:dyDescent="0.2">
      <c r="B23" s="7" t="s">
        <v>53</v>
      </c>
      <c r="C23" s="13">
        <f t="shared" ref="C23:H23" si="21">C14/C11</f>
        <v>0.14580678052510845</v>
      </c>
      <c r="D23" s="13">
        <f t="shared" si="21"/>
        <v>0.14890528607717429</v>
      </c>
      <c r="E23" s="13">
        <f t="shared" si="21"/>
        <v>0.12999742068609754</v>
      </c>
      <c r="F23" s="13">
        <f t="shared" si="21"/>
        <v>0.16820450051784203</v>
      </c>
      <c r="G23" s="13">
        <f t="shared" si="21"/>
        <v>0.13723356009070289</v>
      </c>
      <c r="H23" s="13">
        <f>H14/H11</f>
        <v>0.17847989394608926</v>
      </c>
      <c r="I23" s="13">
        <f>I14/I11</f>
        <v>0.15748717008797655</v>
      </c>
      <c r="J23" s="13">
        <f t="shared" ref="J23:L23" si="22">J14/J11</f>
        <v>0.16121075295789958</v>
      </c>
      <c r="K23" s="13">
        <f t="shared" si="22"/>
        <v>0.16098893201092426</v>
      </c>
      <c r="L23" s="13">
        <f t="shared" si="22"/>
        <v>0.15894472909626081</v>
      </c>
      <c r="M23" s="13">
        <f>M14/M11</f>
        <v>0.18073078813698182</v>
      </c>
      <c r="N23" s="13">
        <f>N14/N11</f>
        <v>0.15205403257846642</v>
      </c>
      <c r="O23" s="13">
        <f t="shared" ref="O23:R23" si="23">O14/O11</f>
        <v>0.12850638845541146</v>
      </c>
      <c r="P23" s="13">
        <f t="shared" si="23"/>
        <v>0.12752402775430188</v>
      </c>
      <c r="Q23" s="13">
        <f t="shared" si="23"/>
        <v>0.12655269623642912</v>
      </c>
      <c r="R23" s="13">
        <f t="shared" si="23"/>
        <v>0.1255923069492573</v>
      </c>
      <c r="Z23" s="7" t="s">
        <v>79</v>
      </c>
      <c r="AA23" s="11">
        <f>+AA22/Main!G4</f>
        <v>561.66108016263888</v>
      </c>
    </row>
    <row r="24" spans="2:29" x14ac:dyDescent="0.2">
      <c r="B24" s="7" t="s">
        <v>92</v>
      </c>
      <c r="J24" s="13">
        <f>+J8/J5</f>
        <v>0.14388558795080833</v>
      </c>
      <c r="K24" s="13">
        <f>+K8/K5</f>
        <v>0.19506616257088849</v>
      </c>
      <c r="L24" s="13">
        <f>+L8/L5</f>
        <v>0.17629909655923626</v>
      </c>
      <c r="M24" s="13">
        <f>+M8/M5</f>
        <v>0.14130944250264488</v>
      </c>
      <c r="N24" s="13">
        <f>+N8/N5</f>
        <v>0.15741728395061727</v>
      </c>
      <c r="O24" s="13">
        <f>+O8/O5</f>
        <v>0.14341175639301737</v>
      </c>
      <c r="P24" s="13">
        <f>+P8/P5</f>
        <v>0.14453398470349615</v>
      </c>
      <c r="Q24" s="13">
        <f>+Q8/Q5</f>
        <v>0.14566265184022964</v>
      </c>
      <c r="R24" s="13">
        <f>+R8/R5</f>
        <v>0.1467977581271015</v>
      </c>
      <c r="S24" s="13"/>
      <c r="T24" s="13"/>
      <c r="U24" s="13">
        <f>+U8/U5</f>
        <v>0.15365978066819691</v>
      </c>
      <c r="V24" s="13">
        <f>+V8/V5</f>
        <v>0.14443819511221581</v>
      </c>
      <c r="W24" s="13">
        <f>+W8/W5</f>
        <v>0.16058497119727158</v>
      </c>
      <c r="X24" s="13">
        <f>+X8/X5</f>
        <v>0.1451185012777749</v>
      </c>
      <c r="Z24" s="7" t="s">
        <v>78</v>
      </c>
      <c r="AA24" s="7">
        <v>758</v>
      </c>
      <c r="AC24" s="13">
        <v>0.15</v>
      </c>
    </row>
    <row r="25" spans="2:29" x14ac:dyDescent="0.2">
      <c r="U25" s="13">
        <f>+U9/U5</f>
        <v>4.4673977726770384E-2</v>
      </c>
      <c r="V25" s="13">
        <f>+V9/V5</f>
        <v>4.0397699439374421E-2</v>
      </c>
      <c r="W25" s="13">
        <f>+W9/W5</f>
        <v>4.2683955860165081E-2</v>
      </c>
      <c r="Z25" s="7" t="s">
        <v>80</v>
      </c>
      <c r="AA25" s="13">
        <f>+AA23/AA24-1</f>
        <v>-0.25902232168517303</v>
      </c>
      <c r="AC25" s="13">
        <v>0.04</v>
      </c>
    </row>
    <row r="26" spans="2:29" x14ac:dyDescent="0.2">
      <c r="B26" s="7" t="s">
        <v>3</v>
      </c>
      <c r="L26" s="9">
        <v>4813.6000000000004</v>
      </c>
    </row>
    <row r="27" spans="2:29" x14ac:dyDescent="0.2">
      <c r="B27" s="7" t="s">
        <v>56</v>
      </c>
      <c r="L27" s="9">
        <v>205.3</v>
      </c>
    </row>
    <row r="28" spans="2:29" x14ac:dyDescent="0.2">
      <c r="B28" s="7" t="s">
        <v>93</v>
      </c>
      <c r="L28" s="9">
        <f>+L26+L27-L44</f>
        <v>410.70000000000073</v>
      </c>
    </row>
    <row r="29" spans="2:29" x14ac:dyDescent="0.2">
      <c r="B29" s="7" t="s">
        <v>57</v>
      </c>
      <c r="L29" s="9">
        <f>4475.8+0</f>
        <v>4475.8</v>
      </c>
    </row>
    <row r="30" spans="2:29" x14ac:dyDescent="0.2">
      <c r="B30" s="7" t="s">
        <v>58</v>
      </c>
      <c r="L30" s="9">
        <f>977+64</f>
        <v>1041</v>
      </c>
    </row>
    <row r="31" spans="2:29" x14ac:dyDescent="0.2">
      <c r="B31" s="7" t="s">
        <v>59</v>
      </c>
      <c r="L31" s="9">
        <v>684.8</v>
      </c>
    </row>
    <row r="32" spans="2:29" x14ac:dyDescent="0.2">
      <c r="B32" s="7" t="s">
        <v>60</v>
      </c>
      <c r="L32" s="9">
        <v>435</v>
      </c>
    </row>
    <row r="33" spans="2:12" x14ac:dyDescent="0.2">
      <c r="B33" s="7" t="s">
        <v>61</v>
      </c>
      <c r="L33" s="9">
        <v>10972.3</v>
      </c>
    </row>
    <row r="34" spans="2:12" x14ac:dyDescent="0.2">
      <c r="B34" s="7" t="s">
        <v>62</v>
      </c>
      <c r="L34" s="9">
        <f>1889.4+702.8+686.4</f>
        <v>3278.6</v>
      </c>
    </row>
    <row r="35" spans="2:12" x14ac:dyDescent="0.2">
      <c r="B35" s="7" t="s">
        <v>67</v>
      </c>
      <c r="L35" s="9">
        <v>1872.4</v>
      </c>
    </row>
    <row r="36" spans="2:12" x14ac:dyDescent="0.2">
      <c r="B36" s="7" t="s">
        <v>68</v>
      </c>
      <c r="L36" s="9">
        <v>929.3</v>
      </c>
    </row>
    <row r="37" spans="2:12" x14ac:dyDescent="0.2">
      <c r="B37" s="7" t="s">
        <v>47</v>
      </c>
      <c r="L37" s="9">
        <v>1002.3</v>
      </c>
    </row>
    <row r="38" spans="2:12" x14ac:dyDescent="0.2">
      <c r="B38" s="7" t="s">
        <v>63</v>
      </c>
      <c r="L38" s="9">
        <v>4588.6000000000004</v>
      </c>
    </row>
    <row r="39" spans="2:12" x14ac:dyDescent="0.2">
      <c r="B39" s="7" t="s">
        <v>64</v>
      </c>
      <c r="L39" s="9">
        <v>6084</v>
      </c>
    </row>
    <row r="40" spans="2:12" x14ac:dyDescent="0.2">
      <c r="B40" s="7" t="s">
        <v>65</v>
      </c>
      <c r="L40" s="9">
        <v>358</v>
      </c>
    </row>
    <row r="41" spans="2:12" x14ac:dyDescent="0.2">
      <c r="B41" s="7" t="s">
        <v>66</v>
      </c>
      <c r="L41" s="9">
        <f>+SUM(L26:L40)</f>
        <v>41151.699999999997</v>
      </c>
    </row>
    <row r="43" spans="2:12" x14ac:dyDescent="0.2">
      <c r="B43" s="7" t="s">
        <v>73</v>
      </c>
      <c r="L43" s="9">
        <v>16132.3</v>
      </c>
    </row>
    <row r="44" spans="2:12" x14ac:dyDescent="0.2">
      <c r="B44" s="7" t="s">
        <v>4</v>
      </c>
      <c r="L44" s="9">
        <v>4608.2</v>
      </c>
    </row>
    <row r="45" spans="2:12" x14ac:dyDescent="0.2">
      <c r="B45" s="7" t="s">
        <v>67</v>
      </c>
      <c r="L45" s="9">
        <v>351.9</v>
      </c>
    </row>
    <row r="46" spans="2:12" x14ac:dyDescent="0.2">
      <c r="B46" s="7" t="s">
        <v>60</v>
      </c>
      <c r="L46" s="9">
        <v>4463</v>
      </c>
    </row>
    <row r="47" spans="2:12" x14ac:dyDescent="0.2">
      <c r="B47" s="7" t="s">
        <v>69</v>
      </c>
      <c r="L47" s="9">
        <v>474.4</v>
      </c>
    </row>
    <row r="48" spans="2:12" x14ac:dyDescent="0.2">
      <c r="B48" s="7" t="s">
        <v>70</v>
      </c>
      <c r="L48" s="9">
        <f>+SUM(L43:L47)</f>
        <v>26029.800000000003</v>
      </c>
    </row>
    <row r="50" spans="2:23" x14ac:dyDescent="0.2">
      <c r="B50" s="7" t="s">
        <v>71</v>
      </c>
      <c r="L50" s="9">
        <v>14711.2</v>
      </c>
    </row>
    <row r="51" spans="2:23" x14ac:dyDescent="0.2">
      <c r="B51" s="7" t="s">
        <v>72</v>
      </c>
      <c r="L51" s="9">
        <f>+L50+L48</f>
        <v>40741</v>
      </c>
    </row>
    <row r="54" spans="2:23" x14ac:dyDescent="0.2">
      <c r="B54" s="7" t="s">
        <v>94</v>
      </c>
      <c r="U54" s="9">
        <v>5348.1</v>
      </c>
      <c r="V54" s="7">
        <v>7374</v>
      </c>
      <c r="W54" s="7">
        <v>7166</v>
      </c>
    </row>
    <row r="55" spans="2:23" x14ac:dyDescent="0.2">
      <c r="B55" s="7" t="s">
        <v>95</v>
      </c>
      <c r="U55" s="9">
        <v>5624.2</v>
      </c>
      <c r="V55" s="7">
        <v>7839</v>
      </c>
      <c r="W55" s="7">
        <v>7166</v>
      </c>
    </row>
    <row r="56" spans="2:23" x14ac:dyDescent="0.2">
      <c r="B56" s="7" t="s">
        <v>96</v>
      </c>
      <c r="U56" s="9">
        <v>583.6</v>
      </c>
      <c r="V56" s="7">
        <v>739.8</v>
      </c>
    </row>
    <row r="57" spans="2:23" x14ac:dyDescent="0.2">
      <c r="B57" s="7" t="s">
        <v>97</v>
      </c>
      <c r="U57" s="9">
        <f>39.6+68.96+278.5-564.2+15.3+2441.2</f>
        <v>2279.3599999999997</v>
      </c>
      <c r="V57" s="7">
        <f>37.5+134.8+485.3-133.6+4.2-3663.6</f>
        <v>-3135.3999999999996</v>
      </c>
    </row>
    <row r="58" spans="2:23" x14ac:dyDescent="0.2">
      <c r="B58" s="7" t="s">
        <v>98</v>
      </c>
      <c r="U58" s="9">
        <f>+SUM(U55:U57)</f>
        <v>8487.16</v>
      </c>
      <c r="V58" s="9">
        <f>+SUM(V55:V57)</f>
        <v>5443.4</v>
      </c>
    </row>
    <row r="60" spans="2:23" x14ac:dyDescent="0.2">
      <c r="B60" s="7" t="s">
        <v>44</v>
      </c>
    </row>
    <row r="61" spans="2:23" x14ac:dyDescent="0.2">
      <c r="B61" s="7" t="s">
        <v>99</v>
      </c>
    </row>
    <row r="62" spans="2:23" x14ac:dyDescent="0.2">
      <c r="B62" s="7" t="s">
        <v>100</v>
      </c>
      <c r="U62" s="7">
        <v>1281.8</v>
      </c>
      <c r="V62" s="7">
        <v>2155.6</v>
      </c>
      <c r="W62" s="7">
        <f>+V62*1.1</f>
        <v>2371.1600000000003</v>
      </c>
    </row>
    <row r="63" spans="2:23" x14ac:dyDescent="0.2">
      <c r="B63" s="7" t="s">
        <v>101</v>
      </c>
    </row>
    <row r="64" spans="2:23" x14ac:dyDescent="0.2">
      <c r="B64" s="7" t="s">
        <v>102</v>
      </c>
    </row>
    <row r="65" spans="2:25" x14ac:dyDescent="0.2">
      <c r="B65" s="7" t="s">
        <v>103</v>
      </c>
    </row>
    <row r="66" spans="2:25" x14ac:dyDescent="0.2">
      <c r="B66" s="7" t="s">
        <v>62</v>
      </c>
    </row>
    <row r="67" spans="2:25" x14ac:dyDescent="0.2">
      <c r="B67" s="7" t="s">
        <v>54</v>
      </c>
    </row>
    <row r="69" spans="2:25" x14ac:dyDescent="0.2">
      <c r="B69" s="7" t="s">
        <v>104</v>
      </c>
    </row>
    <row r="70" spans="2:25" x14ac:dyDescent="0.2">
      <c r="B70" s="7" t="s">
        <v>105</v>
      </c>
    </row>
    <row r="71" spans="2:25" x14ac:dyDescent="0.2">
      <c r="B71" s="7" t="s">
        <v>106</v>
      </c>
    </row>
    <row r="72" spans="2:25" x14ac:dyDescent="0.2">
      <c r="B72" s="7" t="s">
        <v>107</v>
      </c>
    </row>
    <row r="73" spans="2:25" x14ac:dyDescent="0.2">
      <c r="B73" s="7" t="s">
        <v>108</v>
      </c>
    </row>
    <row r="74" spans="2:25" x14ac:dyDescent="0.2">
      <c r="B74" s="7" t="s">
        <v>55</v>
      </c>
    </row>
    <row r="76" spans="2:25" x14ac:dyDescent="0.2">
      <c r="B76" s="7" t="s">
        <v>109</v>
      </c>
      <c r="U76" s="9">
        <f>+U58-U62</f>
        <v>7205.36</v>
      </c>
      <c r="V76" s="9">
        <f>+V58-V62</f>
        <v>3287.7999999999997</v>
      </c>
      <c r="W76" s="7">
        <v>4000</v>
      </c>
    </row>
    <row r="79" spans="2:25" x14ac:dyDescent="0.2">
      <c r="Y79" s="13"/>
    </row>
    <row r="80" spans="2:25" x14ac:dyDescent="0.2">
      <c r="Y80" s="16"/>
    </row>
    <row r="81" spans="25:25" x14ac:dyDescent="0.2">
      <c r="Y81" s="11"/>
    </row>
  </sheetData>
  <hyperlinks>
    <hyperlink ref="A1" r:id="rId1" xr:uid="{70852AEA-ED8F-4022-B7DD-B3E24C342756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A0A-1620-456F-A54B-368DE190A5B9}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4687B7451F94EA64C5F4B31F85A87" ma:contentTypeVersion="6" ma:contentTypeDescription="Create a new document." ma:contentTypeScope="" ma:versionID="823ea21def8fb4e793859f9713f5f2db">
  <xsd:schema xmlns:xsd="http://www.w3.org/2001/XMLSchema" xmlns:xs="http://www.w3.org/2001/XMLSchema" xmlns:p="http://schemas.microsoft.com/office/2006/metadata/properties" xmlns:ns3="f93d7efc-1e24-428e-8f6d-76e776254fc6" targetNamespace="http://schemas.microsoft.com/office/2006/metadata/properties" ma:root="true" ma:fieldsID="1e858d3a660684fb6d5cab4c36a9507d" ns3:_="">
    <xsd:import namespace="f93d7efc-1e24-428e-8f6d-76e776254fc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d7efc-1e24-428e-8f6d-76e776254fc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3d7efc-1e24-428e-8f6d-76e776254f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1FAF07-5E67-42D6-B335-CC2135A15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d7efc-1e24-428e-8f6d-76e776254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C5173D-1C1D-4875-8C9C-0CAA36FE7A51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f93d7efc-1e24-428e-8f6d-76e776254fc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000DAC-5EAD-4340-9EF8-A337F3287E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2024-12-13T12:55:09Z</dcterms:created>
  <dcterms:modified xsi:type="dcterms:W3CDTF">2025-01-18T22:55:10Z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0x0101002B14687B7451F94EA64C5F4B31F85A87</vt:lpwstr>
  </property>
</Properties>
</file>