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esktop\Models\"/>
    </mc:Choice>
  </mc:AlternateContent>
  <xr:revisionPtr revIDLastSave="0" documentId="13_ncr:1_{DDB3E1ED-B9DB-46E2-B2ED-11655C5FCDDD}" xr6:coauthVersionLast="47" xr6:coauthVersionMax="47" xr10:uidLastSave="{00000000-0000-0000-0000-000000000000}"/>
  <bookViews>
    <workbookView xWindow="7725" yWindow="750" windowWidth="18690" windowHeight="14445" xr2:uid="{EDE7FC58-ED31-490D-AEAC-D1F0975229E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AD16" i="2"/>
  <c r="AE16" i="2" s="1"/>
  <c r="AC20" i="2"/>
  <c r="AC5" i="2"/>
  <c r="AC7" i="2" s="1"/>
  <c r="AC11" i="2"/>
  <c r="AC18" i="2"/>
  <c r="AC15" i="2"/>
  <c r="AC14" i="2"/>
  <c r="AC13" i="2"/>
  <c r="AC10" i="2"/>
  <c r="AC9" i="2"/>
  <c r="AC8" i="2"/>
  <c r="AC6" i="2"/>
  <c r="AC4" i="2"/>
  <c r="AC3" i="2"/>
  <c r="S14" i="2"/>
  <c r="T14" i="2" s="1"/>
  <c r="U14" i="2" s="1"/>
  <c r="V14" i="2" s="1"/>
  <c r="S13" i="2"/>
  <c r="T13" i="2" s="1"/>
  <c r="U13" i="2" s="1"/>
  <c r="V13" i="2" s="1"/>
  <c r="S10" i="2"/>
  <c r="T10" i="2" s="1"/>
  <c r="U10" i="2" s="1"/>
  <c r="V10" i="2" s="1"/>
  <c r="S9" i="2"/>
  <c r="T9" i="2" s="1"/>
  <c r="U9" i="2" s="1"/>
  <c r="V9" i="2" s="1"/>
  <c r="S8" i="2"/>
  <c r="S11" i="2" s="1"/>
  <c r="S12" i="2" s="1"/>
  <c r="V7" i="2"/>
  <c r="U7" i="2"/>
  <c r="T7" i="2"/>
  <c r="S7" i="2"/>
  <c r="T6" i="2"/>
  <c r="S6" i="2"/>
  <c r="V5" i="2"/>
  <c r="U5" i="2"/>
  <c r="T5" i="2"/>
  <c r="S5" i="2"/>
  <c r="S4" i="2"/>
  <c r="T4" i="2" s="1"/>
  <c r="U4" i="2" s="1"/>
  <c r="V4" i="2" s="1"/>
  <c r="S3" i="2"/>
  <c r="T3" i="2" s="1"/>
  <c r="U3" i="2" s="1"/>
  <c r="V3" i="2" s="1"/>
  <c r="AB18" i="2"/>
  <c r="O14" i="2"/>
  <c r="O13" i="2"/>
  <c r="P13" i="2" s="1"/>
  <c r="P10" i="2"/>
  <c r="Q10" i="2" s="1"/>
  <c r="O9" i="2"/>
  <c r="O8" i="2"/>
  <c r="O4" i="2"/>
  <c r="P4" i="2" s="1"/>
  <c r="Q4" i="2" s="1"/>
  <c r="O3" i="2"/>
  <c r="P3" i="2" s="1"/>
  <c r="AF16" i="2" l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AC12" i="2"/>
  <c r="AC16" i="2" s="1"/>
  <c r="AC17" i="2" s="1"/>
  <c r="S15" i="2"/>
  <c r="S16" i="2"/>
  <c r="S17" i="2" s="1"/>
  <c r="T8" i="2"/>
  <c r="U6" i="2"/>
  <c r="V6" i="2"/>
  <c r="O5" i="2"/>
  <c r="O23" i="2" s="1"/>
  <c r="P9" i="2"/>
  <c r="Q9" i="2" s="1"/>
  <c r="R9" i="2" s="1"/>
  <c r="R10" i="2"/>
  <c r="AB10" i="2" s="1"/>
  <c r="Q3" i="2"/>
  <c r="R3" i="2" s="1"/>
  <c r="P5" i="2"/>
  <c r="Q13" i="2"/>
  <c r="R13" i="2" s="1"/>
  <c r="R4" i="2"/>
  <c r="P8" i="2"/>
  <c r="P14" i="2"/>
  <c r="Q14" i="2" s="1"/>
  <c r="R14" i="2" s="1"/>
  <c r="O11" i="2"/>
  <c r="AA13" i="2"/>
  <c r="AA18" i="2"/>
  <c r="AA15" i="2"/>
  <c r="AA14" i="2"/>
  <c r="AA10" i="2"/>
  <c r="AA9" i="2"/>
  <c r="AA8" i="2"/>
  <c r="AA6" i="2"/>
  <c r="AA4" i="2"/>
  <c r="AA3" i="2"/>
  <c r="Z11" i="2"/>
  <c r="Z18" i="2"/>
  <c r="Z15" i="2"/>
  <c r="Z14" i="2"/>
  <c r="Z13" i="2"/>
  <c r="Z10" i="2"/>
  <c r="Z9" i="2"/>
  <c r="Z8" i="2"/>
  <c r="Z6" i="2"/>
  <c r="Z4" i="2"/>
  <c r="Z3" i="2"/>
  <c r="Y18" i="2"/>
  <c r="Y15" i="2"/>
  <c r="Y14" i="2"/>
  <c r="Y13" i="2"/>
  <c r="Y10" i="2"/>
  <c r="Y9" i="2"/>
  <c r="Y8" i="2"/>
  <c r="Y6" i="2"/>
  <c r="Y4" i="2"/>
  <c r="Y3" i="2"/>
  <c r="Z2" i="2"/>
  <c r="AA2" i="2" s="1"/>
  <c r="AB2" i="2" s="1"/>
  <c r="AC2" i="2" s="1"/>
  <c r="AD2" i="2" s="1"/>
  <c r="AE2" i="2" s="1"/>
  <c r="F11" i="2"/>
  <c r="F5" i="2"/>
  <c r="F7" i="2" s="1"/>
  <c r="F21" i="2" s="1"/>
  <c r="J11" i="2"/>
  <c r="J5" i="2"/>
  <c r="J7" i="2" s="1"/>
  <c r="J21" i="2" s="1"/>
  <c r="N11" i="2"/>
  <c r="N5" i="2"/>
  <c r="N7" i="2" s="1"/>
  <c r="N21" i="2" s="1"/>
  <c r="E11" i="2"/>
  <c r="E5" i="2"/>
  <c r="E7" i="2" s="1"/>
  <c r="E21" i="2" s="1"/>
  <c r="C11" i="2"/>
  <c r="C5" i="2"/>
  <c r="C7" i="2" s="1"/>
  <c r="C21" i="2" s="1"/>
  <c r="D11" i="2"/>
  <c r="D5" i="2"/>
  <c r="D23" i="2" s="1"/>
  <c r="G11" i="2"/>
  <c r="G5" i="2"/>
  <c r="G7" i="2" s="1"/>
  <c r="G21" i="2" s="1"/>
  <c r="K11" i="2"/>
  <c r="K5" i="2"/>
  <c r="K7" i="2" s="1"/>
  <c r="K21" i="2" s="1"/>
  <c r="H11" i="2"/>
  <c r="H5" i="2"/>
  <c r="H7" i="2" s="1"/>
  <c r="H21" i="2" s="1"/>
  <c r="L11" i="2"/>
  <c r="L5" i="2"/>
  <c r="L7" i="2" s="1"/>
  <c r="L21" i="2" s="1"/>
  <c r="I11" i="2"/>
  <c r="I5" i="2"/>
  <c r="I7" i="2" s="1"/>
  <c r="I21" i="2" s="1"/>
  <c r="M11" i="2"/>
  <c r="M5" i="2"/>
  <c r="M7" i="2" s="1"/>
  <c r="M12" i="2" s="1"/>
  <c r="M16" i="2" s="1"/>
  <c r="M22" i="2" s="1"/>
  <c r="J7" i="1"/>
  <c r="J6" i="1"/>
  <c r="J9" i="1" s="1"/>
  <c r="J5" i="1"/>
  <c r="J8" i="1" s="1"/>
  <c r="AF23" i="2" l="1"/>
  <c r="AF24" i="2" s="1"/>
  <c r="AF26" i="2" s="1"/>
  <c r="T11" i="2"/>
  <c r="T12" i="2" s="1"/>
  <c r="U8" i="2"/>
  <c r="O7" i="2"/>
  <c r="AA5" i="2"/>
  <c r="AA11" i="2"/>
  <c r="AB3" i="2"/>
  <c r="Z5" i="2"/>
  <c r="Z7" i="2" s="1"/>
  <c r="Z12" i="2" s="1"/>
  <c r="Z16" i="2" s="1"/>
  <c r="Z17" i="2" s="1"/>
  <c r="F23" i="2"/>
  <c r="Y11" i="2"/>
  <c r="H20" i="2"/>
  <c r="M23" i="2"/>
  <c r="M24" i="2"/>
  <c r="R5" i="2"/>
  <c r="H23" i="2"/>
  <c r="M21" i="2"/>
  <c r="Y5" i="2"/>
  <c r="Y7" i="2" s="1"/>
  <c r="O20" i="2"/>
  <c r="AB9" i="2"/>
  <c r="E23" i="2"/>
  <c r="AB13" i="2"/>
  <c r="AA7" i="2"/>
  <c r="AA12" i="2" s="1"/>
  <c r="AA16" i="2" s="1"/>
  <c r="AA17" i="2" s="1"/>
  <c r="O6" i="2"/>
  <c r="O21" i="2"/>
  <c r="O12" i="2"/>
  <c r="P7" i="2"/>
  <c r="P20" i="2"/>
  <c r="G23" i="2"/>
  <c r="D7" i="2"/>
  <c r="D21" i="2" s="1"/>
  <c r="I23" i="2"/>
  <c r="J23" i="2"/>
  <c r="P11" i="2"/>
  <c r="P23" i="2"/>
  <c r="Q8" i="2"/>
  <c r="K20" i="2"/>
  <c r="L20" i="2"/>
  <c r="M20" i="2"/>
  <c r="C23" i="2"/>
  <c r="K23" i="2"/>
  <c r="Q5" i="2"/>
  <c r="G20" i="2"/>
  <c r="N23" i="2"/>
  <c r="AB14" i="2"/>
  <c r="I20" i="2"/>
  <c r="J20" i="2"/>
  <c r="N20" i="2"/>
  <c r="L23" i="2"/>
  <c r="Z20" i="2"/>
  <c r="AB4" i="2"/>
  <c r="AB5" i="2" s="1"/>
  <c r="F12" i="2"/>
  <c r="J12" i="2"/>
  <c r="N12" i="2"/>
  <c r="E12" i="2"/>
  <c r="C12" i="2"/>
  <c r="G12" i="2"/>
  <c r="K12" i="2"/>
  <c r="H12" i="2"/>
  <c r="L12" i="2"/>
  <c r="I12" i="2"/>
  <c r="U11" i="2" l="1"/>
  <c r="U12" i="2" s="1"/>
  <c r="V8" i="2"/>
  <c r="V11" i="2" s="1"/>
  <c r="V12" i="2" s="1"/>
  <c r="T15" i="2"/>
  <c r="T16" i="2" s="1"/>
  <c r="T17" i="2" s="1"/>
  <c r="Y12" i="2"/>
  <c r="Y16" i="2" s="1"/>
  <c r="Y17" i="2" s="1"/>
  <c r="AA20" i="2"/>
  <c r="R7" i="2"/>
  <c r="R21" i="2" s="1"/>
  <c r="D12" i="2"/>
  <c r="R20" i="2"/>
  <c r="I16" i="2"/>
  <c r="I24" i="2"/>
  <c r="Q20" i="2"/>
  <c r="Q7" i="2"/>
  <c r="Q6" i="2" s="1"/>
  <c r="Q23" i="2"/>
  <c r="R8" i="2"/>
  <c r="Q11" i="2"/>
  <c r="L16" i="2"/>
  <c r="L24" i="2"/>
  <c r="J16" i="2"/>
  <c r="J24" i="2"/>
  <c r="P6" i="2"/>
  <c r="P12" i="2"/>
  <c r="P21" i="2"/>
  <c r="H16" i="2"/>
  <c r="H24" i="2"/>
  <c r="F16" i="2"/>
  <c r="F24" i="2"/>
  <c r="O15" i="2"/>
  <c r="O16" i="2" s="1"/>
  <c r="K16" i="2"/>
  <c r="K24" i="2"/>
  <c r="G16" i="2"/>
  <c r="G24" i="2"/>
  <c r="D16" i="2"/>
  <c r="D24" i="2"/>
  <c r="AB20" i="2"/>
  <c r="C16" i="2"/>
  <c r="C24" i="2"/>
  <c r="E16" i="2"/>
  <c r="E24" i="2"/>
  <c r="N24" i="2"/>
  <c r="N16" i="2"/>
  <c r="N17" i="2" s="1"/>
  <c r="V15" i="2" l="1"/>
  <c r="V16" i="2" s="1"/>
  <c r="V17" i="2" s="1"/>
  <c r="U15" i="2"/>
  <c r="U16" i="2" s="1"/>
  <c r="U17" i="2" s="1"/>
  <c r="R6" i="2"/>
  <c r="O24" i="2"/>
  <c r="AB6" i="2"/>
  <c r="AB7" i="2" s="1"/>
  <c r="R11" i="2"/>
  <c r="R12" i="2" s="1"/>
  <c r="R23" i="2"/>
  <c r="K17" i="2"/>
  <c r="K22" i="2"/>
  <c r="P15" i="2"/>
  <c r="P16" i="2" s="1"/>
  <c r="O17" i="2"/>
  <c r="O22" i="2"/>
  <c r="P24" i="2"/>
  <c r="Q24" i="2" s="1"/>
  <c r="R24" i="2" s="1"/>
  <c r="Q21" i="2"/>
  <c r="Q12" i="2"/>
  <c r="G17" i="2"/>
  <c r="G22" i="2"/>
  <c r="H17" i="2"/>
  <c r="H22" i="2"/>
  <c r="C17" i="2"/>
  <c r="C22" i="2"/>
  <c r="D17" i="2"/>
  <c r="D22" i="2"/>
  <c r="J17" i="2"/>
  <c r="J22" i="2"/>
  <c r="E17" i="2"/>
  <c r="E22" i="2"/>
  <c r="F17" i="2"/>
  <c r="F22" i="2"/>
  <c r="AB8" i="2"/>
  <c r="AB11" i="2" s="1"/>
  <c r="L17" i="2"/>
  <c r="L22" i="2"/>
  <c r="I17" i="2"/>
  <c r="I22" i="2"/>
  <c r="N22" i="2"/>
  <c r="M17" i="2"/>
  <c r="AB12" i="2" l="1"/>
  <c r="Q15" i="2"/>
  <c r="R15" i="2"/>
  <c r="R16" i="2"/>
  <c r="P17" i="2"/>
  <c r="P22" i="2"/>
  <c r="AB15" i="2" l="1"/>
  <c r="AB16" i="2" s="1"/>
  <c r="AB17" i="2" s="1"/>
  <c r="R22" i="2"/>
  <c r="R17" i="2"/>
  <c r="Q16" i="2"/>
  <c r="Q22" i="2" l="1"/>
  <c r="Q17" i="2"/>
</calcChain>
</file>

<file path=xl/sharedStrings.xml><?xml version="1.0" encoding="utf-8"?>
<sst xmlns="http://schemas.openxmlformats.org/spreadsheetml/2006/main" count="78" uniqueCount="72">
  <si>
    <t>Price</t>
  </si>
  <si>
    <t>Share</t>
  </si>
  <si>
    <t>Shares</t>
  </si>
  <si>
    <t>MC</t>
  </si>
  <si>
    <t>Cash</t>
  </si>
  <si>
    <t>Debt</t>
  </si>
  <si>
    <t>EV</t>
  </si>
  <si>
    <t>Q424</t>
  </si>
  <si>
    <t>Net Cash</t>
  </si>
  <si>
    <t>Revenue</t>
  </si>
  <si>
    <t>Main</t>
  </si>
  <si>
    <t>$mil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</si>
  <si>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</si>
  <si>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</si>
  <si>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</si>
  <si>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</si>
  <si>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</si>
  <si>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</si>
  <si>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</si>
  <si>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</si>
  <si>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</si>
  <si>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</si>
  <si>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</si>
  <si>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</si>
  <si>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</si>
  <si>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</si>
  <si>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</si>
  <si>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Services</t>
  </si>
  <si>
    <t>Licensing</t>
  </si>
  <si>
    <t>COGS</t>
  </si>
  <si>
    <t>R&amp;D</t>
  </si>
  <si>
    <t>S,G&amp;A</t>
  </si>
  <si>
    <t>Other</t>
  </si>
  <si>
    <t>OpInc</t>
  </si>
  <si>
    <t>OpEx</t>
  </si>
  <si>
    <t>Interest</t>
  </si>
  <si>
    <t>Taxes</t>
  </si>
  <si>
    <t>Net Income</t>
  </si>
  <si>
    <t>EPS</t>
  </si>
  <si>
    <t>Gross Profit</t>
  </si>
  <si>
    <t>Investment</t>
  </si>
  <si>
    <t>24/24/23</t>
  </si>
  <si>
    <t>24/25/22</t>
  </si>
  <si>
    <t>24/25/21</t>
  </si>
  <si>
    <t>Gross Margin</t>
  </si>
  <si>
    <t>Profit Margin</t>
  </si>
  <si>
    <t>R/D of R</t>
  </si>
  <si>
    <t>Tax Rate</t>
  </si>
  <si>
    <t>Revenue y/y</t>
  </si>
  <si>
    <t>Q126</t>
  </si>
  <si>
    <t>Q226</t>
  </si>
  <si>
    <t>Q326</t>
  </si>
  <si>
    <t>Q426</t>
  </si>
  <si>
    <t>Terminal</t>
  </si>
  <si>
    <t>Discount</t>
  </si>
  <si>
    <t>NPV</t>
  </si>
  <si>
    <t>Current</t>
  </si>
  <si>
    <t>Diff</t>
  </si>
  <si>
    <t>Qualcomm CDMA Technologies (QCT)</t>
  </si>
  <si>
    <t>Qualcomm Technology Licensing (QTL)</t>
  </si>
  <si>
    <t>Quallcom Strategic Initiatives (QSI)</t>
  </si>
  <si>
    <t>QCT</t>
  </si>
  <si>
    <t>develops and supplies IC's and system software based on 3G/4G/5G and other systems to use in wireless voice and data comms</t>
  </si>
  <si>
    <t>QTL</t>
  </si>
  <si>
    <t>grants licenses or provides rights to use portions of its intellectual property portfolio</t>
  </si>
  <si>
    <t>CDMA2000</t>
  </si>
  <si>
    <t>WCDMA</t>
  </si>
  <si>
    <t>LTE and/or OFDMA-based 5G standards and their derivatives</t>
  </si>
  <si>
    <t>QSI</t>
  </si>
  <si>
    <t>invests in early-stage companies in various industries like 5G, AI, automotive, consumer, enterprise, cloud and IoT</t>
  </si>
  <si>
    <t>Headcount</t>
  </si>
  <si>
    <t>P/E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</si>
</sst>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  <charset val="186"/>
    </font>
    <font>
      <u/>
      <sz val="10"/>
      <color theme="1"/>
      <name val="Arial"/>
      <family val="2"/>
      <charset val="186"/>
    </font>
    <font>
      <b/>
      <u/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3" fontId="2" fillId="0" borderId="0" xfId="0" applyNumberFormat="1" applyFont="1"/>
    <xf numFmtId="0" fontId="4" fillId="0" borderId="0" xfId="1" applyFont="1"/>
    <xf numFmtId="14" fontId="1" fillId="0" borderId="0" xfId="0" applyNumberFormat="1" applyFont="1"/>
    <xf numFmtId="0" fontId="5" fillId="0" borderId="0" xfId="0" applyFont="1"/>
    <xf numFmtId="0" fontId="2" fillId="0" borderId="0" xfId="0" applyFont="1"/>
    <xf numFmtId="9" fontId="1" fillId="0" borderId="0" xfId="0" applyNumberFormat="1" applyFont="1"/>
    <xf numFmtId="38" fontId="1" fillId="0" borderId="0" xfId="0" applyNumberFormat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14653</xdr:colOff>
      <xdr:row>0</xdr:row>
      <xdr:rowOff>43962</xdr:rowOff>
    </xdr:from>
    <xdr:to>
      <xdr:col>15</xdr:col>
      <xdr:colOff>21980</xdr:colOff>
      <xdr:row>28</xdr:row>
      <xdr:rowOff>153865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70173A8-6516-3DB7-89A8-F30CA4674B34}"/>
            </a:ext>
          </a:extLst>
        </xdr:cNvPr>
        <xdr:cNvCxnSpPr/>
      </xdr:nvCxnSpPr>
      <xdr:spPr>
        <a:xfrm>
          <a:off x="9092711" y="43962"/>
          <a:ext cx="7327" cy="46232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</xdr:row>
      <xdr:rowOff>0</xdr:rowOff>
    </xdr:from>
    <xdr:to>
      <xdr:col>27</xdr:col>
      <xdr:colOff>0</xdr:colOff>
      <xdr:row>26</xdr:row>
      <xdr:rowOff>80596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81AAF63-CF13-E556-CF05-155EAA480F2F}"/>
            </a:ext>
          </a:extLst>
        </xdr:cNvPr>
        <xdr:cNvCxnSpPr/>
      </xdr:nvCxnSpPr>
      <xdr:spPr>
        <a:xfrm>
          <a:off x="16375673" y="161192"/>
          <a:ext cx="0" cy="41104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5037-65E4-4154-9611-9CF43E9C488B}">
  <dimension ref="B2:K24"/>
  <sheetViews>
    <sheetView tabSelected="1" zoomScale="145" zoomScaleNormal="145" workbookViewId="0">
      <selection activeCell="B4" sqref="B4"/>
    </sheetView>
  </sheetViews>
  <sheetFormatPr defaultRowHeight="12.75" x14ac:dyDescent="0.2"/>
  <cols>
    <col min="1" max="16384" width="9.140625" style="1"/>
  </cols>
  <sheetData>
    <row r="2" spans="2:11" x14ac:dyDescent="0.2">
      <c r="B2" s="1" t="s">
        <v>58</v>
      </c>
    </row>
    <row r="3" spans="2:11" x14ac:dyDescent="0.2">
      <c r="B3" s="1" t="s">
        <v>59</v>
      </c>
      <c r="I3" s="1" t="s">
        <v>0</v>
      </c>
      <c r="J3" s="3">
        <v>164.56</v>
      </c>
    </row>
    <row r="4" spans="2:11" x14ac:dyDescent="0.2">
      <c r="B4" s="1" t="s">
        <v>60</v>
      </c>
      <c r="I4" s="1" t="s">
        <v>2</v>
      </c>
      <c r="J4" s="2">
        <v>1111</v>
      </c>
      <c r="K4" s="1" t="s">
        <v>7</v>
      </c>
    </row>
    <row r="5" spans="2:11" x14ac:dyDescent="0.2">
      <c r="I5" s="1" t="s">
        <v>3</v>
      </c>
      <c r="J5" s="2">
        <f>+J3*J4</f>
        <v>182826.16</v>
      </c>
    </row>
    <row r="6" spans="2:11" x14ac:dyDescent="0.2">
      <c r="I6" s="1" t="s">
        <v>4</v>
      </c>
      <c r="J6" s="2">
        <f>7849+5451</f>
        <v>13300</v>
      </c>
      <c r="K6" s="1" t="s">
        <v>7</v>
      </c>
    </row>
    <row r="7" spans="2:11" x14ac:dyDescent="0.2">
      <c r="I7" s="1" t="s">
        <v>5</v>
      </c>
      <c r="J7" s="2">
        <f>1364+13270</f>
        <v>14634</v>
      </c>
      <c r="K7" s="1" t="s">
        <v>7</v>
      </c>
    </row>
    <row r="8" spans="2:11" x14ac:dyDescent="0.2">
      <c r="I8" s="1" t="s">
        <v>6</v>
      </c>
      <c r="J8" s="4">
        <f>+J5-J6+J7</f>
        <v>184160.16</v>
      </c>
    </row>
    <row r="9" spans="2:11" x14ac:dyDescent="0.2">
      <c r="I9" s="1" t="s">
        <v>8</v>
      </c>
      <c r="J9" s="2">
        <f>+J6-J7</f>
        <v>-1334</v>
      </c>
    </row>
    <row r="10" spans="2:11" x14ac:dyDescent="0.2">
      <c r="I10" s="1" t="s">
        <v>38</v>
      </c>
      <c r="J10" s="3">
        <v>2.57</v>
      </c>
      <c r="K10" s="1" t="s">
        <v>7</v>
      </c>
    </row>
    <row r="11" spans="2:11" x14ac:dyDescent="0.2">
      <c r="I11" s="1" t="s">
        <v>71</v>
      </c>
      <c r="J11" s="3">
        <f>+(J3/J10)/4</f>
        <v>16.007782101167315</v>
      </c>
    </row>
    <row r="12" spans="2:11" x14ac:dyDescent="0.2">
      <c r="B12" s="11" t="s">
        <v>61</v>
      </c>
    </row>
    <row r="13" spans="2:11" x14ac:dyDescent="0.2">
      <c r="B13" s="1" t="s">
        <v>62</v>
      </c>
    </row>
    <row r="16" spans="2:11" x14ac:dyDescent="0.2">
      <c r="B16" s="11" t="s">
        <v>63</v>
      </c>
    </row>
    <row r="17" spans="2:2" x14ac:dyDescent="0.2">
      <c r="B17" s="1" t="s">
        <v>64</v>
      </c>
    </row>
    <row r="18" spans="2:2" x14ac:dyDescent="0.2">
      <c r="B18" s="1" t="s">
        <v>65</v>
      </c>
    </row>
    <row r="19" spans="2:2" x14ac:dyDescent="0.2">
      <c r="B19" s="1" t="s">
        <v>66</v>
      </c>
    </row>
    <row r="20" spans="2:2" x14ac:dyDescent="0.2">
      <c r="B20" s="1" t="s">
        <v>67</v>
      </c>
    </row>
    <row r="23" spans="2:2" x14ac:dyDescent="0.2">
      <c r="B23" s="11" t="s">
        <v>68</v>
      </c>
    </row>
    <row r="24" spans="2:2" x14ac:dyDescent="0.2">
      <c r="B24" s="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B7CF-FE6E-4A50-8F0A-17561D9CF355}">
  <dimension ref="A1:CX26"/>
  <sheetViews>
    <sheetView zoomScale="130" zoomScaleNormal="130" workbookViewId="0">
      <pane xSplit="2" ySplit="2" topLeftCell="X15" activePane="bottomRight" state="frozen"/>
      <selection pane="topRight" activeCell="C1" sqref="C1"/>
      <selection pane="bottomLeft" activeCell="A3" sqref="A3"/>
      <selection pane="bottomRight" activeCell="AF24" sqref="AF24"/>
    </sheetView>
  </sheetViews>
  <sheetFormatPr defaultRowHeight="12.75" x14ac:dyDescent="0.2"/>
  <cols>
    <col min="1" max="1" width="5.42578125" style="1" bestFit="1" customWidth="1"/>
    <col min="2" max="2" width="12.140625" style="1" bestFit="1" customWidth="1"/>
    <col min="3" max="31" width="9.140625" style="1"/>
    <col min="32" max="32" width="11.7109375" style="1" bestFit="1" customWidth="1"/>
    <col min="33" max="16384" width="9.140625" style="1"/>
  </cols>
  <sheetData>
    <row r="1" spans="1:102" x14ac:dyDescent="0.2">
      <c r="A1" s="5" t="s">
        <v>10</v>
      </c>
      <c r="C1" s="1" t="s">
        <v>43</v>
      </c>
      <c r="D1" s="6">
        <v>44647</v>
      </c>
      <c r="E1" s="6">
        <v>44738</v>
      </c>
      <c r="F1" s="6">
        <v>44829</v>
      </c>
      <c r="G1" s="1" t="s">
        <v>42</v>
      </c>
      <c r="H1" s="6">
        <v>45011</v>
      </c>
      <c r="I1" s="6">
        <v>45102</v>
      </c>
      <c r="J1" s="6">
        <v>45193</v>
      </c>
      <c r="K1" s="1" t="s">
        <v>41</v>
      </c>
      <c r="L1" s="6">
        <v>45346</v>
      </c>
      <c r="M1" s="6">
        <v>45466</v>
      </c>
      <c r="N1" s="6">
        <v>45564</v>
      </c>
    </row>
    <row r="2" spans="1:102" x14ac:dyDescent="0.2">
      <c r="B2" s="7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7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49</v>
      </c>
      <c r="T2" s="1" t="s">
        <v>50</v>
      </c>
      <c r="U2" s="1" t="s">
        <v>51</v>
      </c>
      <c r="V2" s="1" t="s">
        <v>52</v>
      </c>
      <c r="Y2" s="1">
        <v>2022</v>
      </c>
      <c r="Z2" s="1">
        <f>+Y2+1</f>
        <v>2023</v>
      </c>
      <c r="AA2" s="1">
        <f t="shared" ref="AA2:AE2" si="0">+Z2+1</f>
        <v>2024</v>
      </c>
      <c r="AB2" s="1">
        <f t="shared" si="0"/>
        <v>2025</v>
      </c>
      <c r="AC2" s="1">
        <f t="shared" si="0"/>
        <v>2026</v>
      </c>
      <c r="AD2" s="1">
        <f t="shared" si="0"/>
        <v>2027</v>
      </c>
      <c r="AE2" s="1">
        <f t="shared" si="0"/>
        <v>2028</v>
      </c>
    </row>
    <row r="3" spans="1:102" x14ac:dyDescent="0.2">
      <c r="B3" s="1" t="s">
        <v>27</v>
      </c>
      <c r="C3" s="2">
        <v>8682</v>
      </c>
      <c r="D3" s="2">
        <v>9417</v>
      </c>
      <c r="E3" s="2">
        <v>9266</v>
      </c>
      <c r="F3" s="2">
        <v>9807</v>
      </c>
      <c r="G3" s="2">
        <v>7784</v>
      </c>
      <c r="H3" s="2">
        <v>7846</v>
      </c>
      <c r="I3" s="2">
        <v>7108</v>
      </c>
      <c r="J3" s="2">
        <v>7290</v>
      </c>
      <c r="K3" s="2">
        <v>8316</v>
      </c>
      <c r="L3" s="2">
        <v>7950</v>
      </c>
      <c r="M3" s="2">
        <v>7993</v>
      </c>
      <c r="N3" s="2">
        <v>8532</v>
      </c>
      <c r="O3" s="2">
        <f>+AVERAGE(C3:N3)</f>
        <v>8332.5833333333339</v>
      </c>
      <c r="P3" s="2">
        <f>+O3*1.01</f>
        <v>8415.9091666666682</v>
      </c>
      <c r="Q3" s="2">
        <f t="shared" ref="Q3:R3" si="1">+P3*1.01</f>
        <v>8500.0682583333346</v>
      </c>
      <c r="R3" s="2">
        <f t="shared" si="1"/>
        <v>8585.068940916668</v>
      </c>
      <c r="S3" s="2">
        <f t="shared" ref="S3:V3" si="2">+R3*1.01</f>
        <v>8670.9196303258341</v>
      </c>
      <c r="T3" s="2">
        <f t="shared" si="2"/>
        <v>8757.6288266290921</v>
      </c>
      <c r="U3" s="2">
        <f t="shared" si="2"/>
        <v>8845.2051148953833</v>
      </c>
      <c r="V3" s="2">
        <f t="shared" si="2"/>
        <v>8933.6571660443369</v>
      </c>
      <c r="Y3" s="2">
        <f>+SUM(C3:F3)</f>
        <v>37172</v>
      </c>
      <c r="Z3" s="2">
        <f>+SUM(G3:J3)</f>
        <v>30028</v>
      </c>
      <c r="AA3" s="2">
        <f>+SUM(K3:N3)</f>
        <v>32791</v>
      </c>
      <c r="AB3" s="2">
        <f>+SUM(O3:R3)</f>
        <v>33833.629699249999</v>
      </c>
      <c r="AC3" s="2">
        <f>+SUM(S3:V3)</f>
        <v>35207.41073789465</v>
      </c>
    </row>
    <row r="4" spans="1:102" x14ac:dyDescent="0.2">
      <c r="B4" s="1" t="s">
        <v>28</v>
      </c>
      <c r="C4" s="2">
        <v>2023</v>
      </c>
      <c r="D4" s="2">
        <v>1747</v>
      </c>
      <c r="E4" s="2">
        <v>1670</v>
      </c>
      <c r="F4" s="2">
        <v>1589</v>
      </c>
      <c r="G4" s="2">
        <v>1679</v>
      </c>
      <c r="H4" s="2">
        <v>1429</v>
      </c>
      <c r="I4" s="2">
        <v>1343</v>
      </c>
      <c r="J4" s="2">
        <v>1341</v>
      </c>
      <c r="K4" s="2">
        <v>1619</v>
      </c>
      <c r="L4" s="2">
        <v>1439</v>
      </c>
      <c r="M4" s="2">
        <v>1400</v>
      </c>
      <c r="N4" s="2">
        <v>1712</v>
      </c>
      <c r="O4" s="2">
        <f>+AVERAGE(C4:N4)</f>
        <v>1582.5833333333333</v>
      </c>
      <c r="P4" s="2">
        <f>+O4*1.01</f>
        <v>1598.4091666666666</v>
      </c>
      <c r="Q4" s="2">
        <f>+P4*1.01</f>
        <v>1614.3932583333333</v>
      </c>
      <c r="R4" s="2">
        <f>+Q4*1.01</f>
        <v>1630.5371909166665</v>
      </c>
      <c r="S4" s="2">
        <f t="shared" ref="S4:V4" si="3">+R4*1.01</f>
        <v>1646.8425628258333</v>
      </c>
      <c r="T4" s="2">
        <f t="shared" si="3"/>
        <v>1663.3109884540916</v>
      </c>
      <c r="U4" s="2">
        <f t="shared" si="3"/>
        <v>1679.9440983386326</v>
      </c>
      <c r="V4" s="2">
        <f t="shared" si="3"/>
        <v>1696.7435393220189</v>
      </c>
      <c r="Y4" s="2">
        <f>+SUM(C4:F4)</f>
        <v>7029</v>
      </c>
      <c r="Z4" s="2">
        <f>+SUM(G4:J4)</f>
        <v>5792</v>
      </c>
      <c r="AA4" s="2">
        <f>+SUM(K4:N4)</f>
        <v>6170</v>
      </c>
      <c r="AB4" s="2">
        <f>+SUM(O4:R4)</f>
        <v>6425.9229492499999</v>
      </c>
      <c r="AC4" s="2">
        <f>+SUM(S4:V4)</f>
        <v>6686.8411889405761</v>
      </c>
    </row>
    <row r="5" spans="1:102" s="8" customFormat="1" x14ac:dyDescent="0.2">
      <c r="B5" s="8" t="s">
        <v>9</v>
      </c>
      <c r="C5" s="4">
        <f>+C4+C3</f>
        <v>10705</v>
      </c>
      <c r="D5" s="4">
        <f>+D4+D3</f>
        <v>11164</v>
      </c>
      <c r="E5" s="4">
        <f>+E4+E3</f>
        <v>10936</v>
      </c>
      <c r="F5" s="4">
        <f>+F4+F3</f>
        <v>11396</v>
      </c>
      <c r="G5" s="4">
        <f>+G4+G3</f>
        <v>9463</v>
      </c>
      <c r="H5" s="4">
        <f>+H4+H3</f>
        <v>9275</v>
      </c>
      <c r="I5" s="4">
        <f>+I4+I3</f>
        <v>8451</v>
      </c>
      <c r="J5" s="4">
        <f>+J4+J3</f>
        <v>8631</v>
      </c>
      <c r="K5" s="4">
        <f>+K4+K3</f>
        <v>9935</v>
      </c>
      <c r="L5" s="4">
        <f>+L4+L3</f>
        <v>9389</v>
      </c>
      <c r="M5" s="4">
        <f>+M4+M3</f>
        <v>9393</v>
      </c>
      <c r="N5" s="4">
        <f>+N4+N3</f>
        <v>10244</v>
      </c>
      <c r="O5" s="4">
        <f t="shared" ref="O5:R5" si="4">+O4+O3</f>
        <v>9915.1666666666679</v>
      </c>
      <c r="P5" s="4">
        <f t="shared" si="4"/>
        <v>10014.318333333335</v>
      </c>
      <c r="Q5" s="4">
        <f t="shared" si="4"/>
        <v>10114.461516666668</v>
      </c>
      <c r="R5" s="4">
        <f t="shared" si="4"/>
        <v>10215.606131833334</v>
      </c>
      <c r="S5" s="4">
        <f t="shared" ref="S5" si="5">+S4+S3</f>
        <v>10317.762193151668</v>
      </c>
      <c r="T5" s="4">
        <f t="shared" ref="T5" si="6">+T4+T3</f>
        <v>10420.939815083184</v>
      </c>
      <c r="U5" s="4">
        <f t="shared" ref="U5" si="7">+U4+U3</f>
        <v>10525.149213234015</v>
      </c>
      <c r="V5" s="4">
        <f t="shared" ref="V5" si="8">+V4+V3</f>
        <v>10630.400705366355</v>
      </c>
      <c r="Y5" s="4">
        <f>+Y4+Y3</f>
        <v>44201</v>
      </c>
      <c r="Z5" s="4">
        <f>+Z4+Z3</f>
        <v>35820</v>
      </c>
      <c r="AA5" s="4">
        <f>+AA4+AA3</f>
        <v>38961</v>
      </c>
      <c r="AB5" s="4">
        <f>+AB4+AB3</f>
        <v>40259.552648500001</v>
      </c>
      <c r="AC5" s="4">
        <f>+AC4+AC3</f>
        <v>41894.251926835226</v>
      </c>
    </row>
    <row r="6" spans="1:102" x14ac:dyDescent="0.2">
      <c r="B6" s="1" t="s">
        <v>29</v>
      </c>
      <c r="C6" s="2">
        <v>4303</v>
      </c>
      <c r="D6" s="2">
        <v>4648</v>
      </c>
      <c r="E6" s="2">
        <v>4816</v>
      </c>
      <c r="F6" s="2">
        <v>4868</v>
      </c>
      <c r="G6" s="2">
        <v>4044</v>
      </c>
      <c r="H6" s="2">
        <v>4153</v>
      </c>
      <c r="I6" s="2">
        <v>3792</v>
      </c>
      <c r="J6" s="2">
        <v>3880</v>
      </c>
      <c r="K6" s="2">
        <v>4312</v>
      </c>
      <c r="L6" s="2">
        <v>4106</v>
      </c>
      <c r="M6" s="2">
        <v>4174</v>
      </c>
      <c r="N6" s="2">
        <v>4467</v>
      </c>
      <c r="O6" s="2">
        <f>+O5-O7</f>
        <v>4362.6733333333332</v>
      </c>
      <c r="P6" s="2">
        <f t="shared" ref="P6:R6" si="9">+P5-P7</f>
        <v>4406.3000666666667</v>
      </c>
      <c r="Q6" s="2">
        <f t="shared" si="9"/>
        <v>4450.3630673333337</v>
      </c>
      <c r="R6" s="2">
        <f t="shared" si="9"/>
        <v>4494.8666980066664</v>
      </c>
      <c r="S6" s="2">
        <f t="shared" ref="S6" si="10">+S5-S7</f>
        <v>4539.8153649867336</v>
      </c>
      <c r="T6" s="2">
        <f t="shared" ref="T6" si="11">+T5-T7</f>
        <v>4585.2135186366004</v>
      </c>
      <c r="U6" s="2">
        <f t="shared" ref="U6" si="12">+U5-U7</f>
        <v>4631.0656538229659</v>
      </c>
      <c r="V6" s="2">
        <f t="shared" ref="V6" si="13">+V5-V7</f>
        <v>4677.3763103611955</v>
      </c>
      <c r="Y6" s="2">
        <f>+SUM(C6:F6)</f>
        <v>18635</v>
      </c>
      <c r="Z6" s="2">
        <f>+SUM(G6:J6)</f>
        <v>15869</v>
      </c>
      <c r="AA6" s="2">
        <f>+SUM(K6:N6)</f>
        <v>17059</v>
      </c>
      <c r="AB6" s="2">
        <f>+SUM(O6:R6)</f>
        <v>17714.203165339997</v>
      </c>
      <c r="AC6" s="2">
        <f>+SUM(S6:V6)</f>
        <v>18433.470847807497</v>
      </c>
    </row>
    <row r="7" spans="1:102" s="8" customFormat="1" x14ac:dyDescent="0.2">
      <c r="B7" s="8" t="s">
        <v>39</v>
      </c>
      <c r="C7" s="4">
        <f>+C5-C6</f>
        <v>6402</v>
      </c>
      <c r="D7" s="4">
        <f>+D5-D6</f>
        <v>6516</v>
      </c>
      <c r="E7" s="4">
        <f>+E5-E6</f>
        <v>6120</v>
      </c>
      <c r="F7" s="4">
        <f>+F5-F6</f>
        <v>6528</v>
      </c>
      <c r="G7" s="4">
        <f>+G5-G6</f>
        <v>5419</v>
      </c>
      <c r="H7" s="4">
        <f>+H5-H6</f>
        <v>5122</v>
      </c>
      <c r="I7" s="4">
        <f>+I5-I6</f>
        <v>4659</v>
      </c>
      <c r="J7" s="4">
        <f>+J5-J6</f>
        <v>4751</v>
      </c>
      <c r="K7" s="4">
        <f>+K5-K6</f>
        <v>5623</v>
      </c>
      <c r="L7" s="4">
        <f>+L5-L6</f>
        <v>5283</v>
      </c>
      <c r="M7" s="4">
        <f>+M5-M6</f>
        <v>5219</v>
      </c>
      <c r="N7" s="4">
        <f>+N5-N6</f>
        <v>5777</v>
      </c>
      <c r="O7" s="4">
        <f t="shared" ref="O7:R7" si="14">+O5*0.56</f>
        <v>5552.4933333333347</v>
      </c>
      <c r="P7" s="4">
        <f t="shared" si="14"/>
        <v>5608.0182666666678</v>
      </c>
      <c r="Q7" s="4">
        <f t="shared" si="14"/>
        <v>5664.0984493333344</v>
      </c>
      <c r="R7" s="4">
        <f t="shared" si="14"/>
        <v>5720.7394338266677</v>
      </c>
      <c r="S7" s="4">
        <f t="shared" ref="S7:V7" si="15">+S5*0.56</f>
        <v>5777.9468281649342</v>
      </c>
      <c r="T7" s="4">
        <f t="shared" si="15"/>
        <v>5835.7262964465835</v>
      </c>
      <c r="U7" s="4">
        <f t="shared" si="15"/>
        <v>5894.0835594110495</v>
      </c>
      <c r="V7" s="4">
        <f t="shared" si="15"/>
        <v>5953.0243950051599</v>
      </c>
      <c r="Y7" s="4">
        <f>+Y5-Y6</f>
        <v>25566</v>
      </c>
      <c r="Z7" s="4">
        <f>+Z5-Z6</f>
        <v>19951</v>
      </c>
      <c r="AA7" s="4">
        <f>+AA5-AA6</f>
        <v>21902</v>
      </c>
      <c r="AB7" s="4">
        <f>+AB5-AB6</f>
        <v>22545.349483160004</v>
      </c>
      <c r="AC7" s="4">
        <f>+AC5-AC6</f>
        <v>23460.781079027729</v>
      </c>
    </row>
    <row r="8" spans="1:102" x14ac:dyDescent="0.2">
      <c r="B8" s="1" t="s">
        <v>30</v>
      </c>
      <c r="C8" s="2">
        <v>1930</v>
      </c>
      <c r="D8" s="2">
        <v>2034</v>
      </c>
      <c r="E8" s="2">
        <v>2052</v>
      </c>
      <c r="F8" s="2">
        <v>2179</v>
      </c>
      <c r="G8" s="2">
        <v>2251</v>
      </c>
      <c r="H8" s="2">
        <v>2210</v>
      </c>
      <c r="I8" s="2">
        <v>2222</v>
      </c>
      <c r="J8" s="2">
        <v>2135</v>
      </c>
      <c r="K8" s="2">
        <v>2096</v>
      </c>
      <c r="L8" s="2">
        <v>2236</v>
      </c>
      <c r="M8" s="2">
        <v>2259</v>
      </c>
      <c r="N8" s="2">
        <v>2302</v>
      </c>
      <c r="O8" s="2">
        <f>+AVERAGE(C8:N8)</f>
        <v>2158.8333333333335</v>
      </c>
      <c r="P8" s="2">
        <f>+O8*1.01</f>
        <v>2180.4216666666666</v>
      </c>
      <c r="Q8" s="2">
        <f>+P8*1.01</f>
        <v>2202.2258833333335</v>
      </c>
      <c r="R8" s="2">
        <f>+Q8*1.01</f>
        <v>2224.2481421666671</v>
      </c>
      <c r="S8" s="2">
        <f t="shared" ref="S8:V8" si="16">+R8*1.01</f>
        <v>2246.4906235883336</v>
      </c>
      <c r="T8" s="2">
        <f t="shared" si="16"/>
        <v>2268.9555298242171</v>
      </c>
      <c r="U8" s="2">
        <f t="shared" si="16"/>
        <v>2291.6450851224595</v>
      </c>
      <c r="V8" s="2">
        <f t="shared" si="16"/>
        <v>2314.5615359736839</v>
      </c>
      <c r="Y8" s="2">
        <f>+SUM(C8:F8)</f>
        <v>8195</v>
      </c>
      <c r="Z8" s="2">
        <f>+SUM(G8:J8)</f>
        <v>8818</v>
      </c>
      <c r="AA8" s="2">
        <f>+SUM(K8:N8)</f>
        <v>8893</v>
      </c>
      <c r="AB8" s="2">
        <f>+SUM(O8:R8)</f>
        <v>8765.7290255000007</v>
      </c>
      <c r="AC8" s="2">
        <f>+SUM(S8:V8)</f>
        <v>9121.6527745086951</v>
      </c>
    </row>
    <row r="9" spans="1:102" x14ac:dyDescent="0.2">
      <c r="B9" s="1" t="s">
        <v>31</v>
      </c>
      <c r="C9" s="2">
        <v>608</v>
      </c>
      <c r="D9" s="2">
        <v>624</v>
      </c>
      <c r="E9" s="2">
        <v>655</v>
      </c>
      <c r="F9" s="2">
        <v>683</v>
      </c>
      <c r="G9" s="2">
        <v>623</v>
      </c>
      <c r="H9" s="2">
        <v>614</v>
      </c>
      <c r="I9" s="2">
        <v>618</v>
      </c>
      <c r="J9" s="2">
        <v>628</v>
      </c>
      <c r="K9" s="2">
        <v>627</v>
      </c>
      <c r="L9" s="2">
        <v>707</v>
      </c>
      <c r="M9" s="2">
        <v>664</v>
      </c>
      <c r="N9" s="2">
        <v>762</v>
      </c>
      <c r="O9" s="2">
        <f>+AVERAGE(C9:N9)</f>
        <v>651.08333333333337</v>
      </c>
      <c r="P9" s="2">
        <f>+O9*1.01</f>
        <v>657.59416666666675</v>
      </c>
      <c r="Q9" s="2">
        <f>+P9*1.01</f>
        <v>664.17010833333347</v>
      </c>
      <c r="R9" s="2">
        <f>+Q9*1.01</f>
        <v>670.81180941666685</v>
      </c>
      <c r="S9" s="2">
        <f t="shared" ref="S9:V9" si="17">+R9*1.01</f>
        <v>677.51992751083355</v>
      </c>
      <c r="T9" s="2">
        <f t="shared" si="17"/>
        <v>684.29512678594187</v>
      </c>
      <c r="U9" s="2">
        <f t="shared" si="17"/>
        <v>691.13807805380134</v>
      </c>
      <c r="V9" s="2">
        <f t="shared" si="17"/>
        <v>698.04945883433936</v>
      </c>
      <c r="Y9" s="2">
        <f>+SUM(C9:F9)</f>
        <v>2570</v>
      </c>
      <c r="Z9" s="2">
        <f>+SUM(G9:J9)</f>
        <v>2483</v>
      </c>
      <c r="AA9" s="2">
        <f>+SUM(K9:N9)</f>
        <v>2760</v>
      </c>
      <c r="AB9" s="2">
        <f>+SUM(O9:R9)</f>
        <v>2643.6594177500006</v>
      </c>
      <c r="AC9" s="2">
        <f>+SUM(S9:V9)</f>
        <v>2751.0025911849166</v>
      </c>
    </row>
    <row r="10" spans="1:102" x14ac:dyDescent="0.2">
      <c r="B10" s="1" t="s">
        <v>32</v>
      </c>
      <c r="C10" s="2">
        <v>0</v>
      </c>
      <c r="D10" s="2">
        <v>0</v>
      </c>
      <c r="E10" s="2">
        <v>-1059</v>
      </c>
      <c r="F10" s="2">
        <v>0</v>
      </c>
      <c r="G10" s="2">
        <v>80</v>
      </c>
      <c r="H10" s="2">
        <v>208</v>
      </c>
      <c r="I10" s="2">
        <v>-4</v>
      </c>
      <c r="J10" s="2">
        <v>577</v>
      </c>
      <c r="K10" s="2">
        <v>-28</v>
      </c>
      <c r="L10" s="2">
        <v>0</v>
      </c>
      <c r="M10" s="2">
        <v>75</v>
      </c>
      <c r="N10" s="2">
        <v>132</v>
      </c>
      <c r="O10" s="2">
        <v>75</v>
      </c>
      <c r="P10" s="2">
        <f>+O10*1.01</f>
        <v>75.75</v>
      </c>
      <c r="Q10" s="2">
        <f>+P10*1.01</f>
        <v>76.507500000000007</v>
      </c>
      <c r="R10" s="2">
        <f>+Q10*1.01</f>
        <v>77.272575000000003</v>
      </c>
      <c r="S10" s="2">
        <f t="shared" ref="S10:V10" si="18">+R10*1.01</f>
        <v>78.04530075000001</v>
      </c>
      <c r="T10" s="2">
        <f t="shared" si="18"/>
        <v>78.82575375750001</v>
      </c>
      <c r="U10" s="2">
        <f t="shared" si="18"/>
        <v>79.614011295075017</v>
      </c>
      <c r="V10" s="2">
        <f t="shared" si="18"/>
        <v>80.410151408025769</v>
      </c>
      <c r="Y10" s="2">
        <f>+SUM(C10:F10)</f>
        <v>-1059</v>
      </c>
      <c r="Z10" s="2">
        <f>+SUM(G10:J10)</f>
        <v>861</v>
      </c>
      <c r="AA10" s="2">
        <f>+SUM(K10:N10)</f>
        <v>179</v>
      </c>
      <c r="AB10" s="2">
        <f>+SUM(O10:R10)</f>
        <v>304.53007500000001</v>
      </c>
      <c r="AC10" s="2">
        <f>+SUM(S10:V10)</f>
        <v>316.89521721060078</v>
      </c>
    </row>
    <row r="11" spans="1:102" x14ac:dyDescent="0.2">
      <c r="B11" s="1" t="s">
        <v>34</v>
      </c>
      <c r="C11" s="2">
        <f>+SUM(C8:C10)</f>
        <v>2538</v>
      </c>
      <c r="D11" s="2">
        <f>+SUM(D8:D10)</f>
        <v>2658</v>
      </c>
      <c r="E11" s="2">
        <f>+SUM(E8:E10)</f>
        <v>1648</v>
      </c>
      <c r="F11" s="2">
        <f>+SUM(F8:F10)</f>
        <v>2862</v>
      </c>
      <c r="G11" s="2">
        <f>+SUM(G8:G10)</f>
        <v>2954</v>
      </c>
      <c r="H11" s="2">
        <f>+SUM(H8:H10)</f>
        <v>3032</v>
      </c>
      <c r="I11" s="2">
        <f>+SUM(I8:I10)</f>
        <v>2836</v>
      </c>
      <c r="J11" s="2">
        <f>+SUM(J8:J10)</f>
        <v>3340</v>
      </c>
      <c r="K11" s="2">
        <f>+SUM(K8:K10)</f>
        <v>2695</v>
      </c>
      <c r="L11" s="2">
        <f>+SUM(L8:L10)</f>
        <v>2943</v>
      </c>
      <c r="M11" s="2">
        <f>+SUM(M8:M10)</f>
        <v>2998</v>
      </c>
      <c r="N11" s="2">
        <f>+SUM(N8:N10)</f>
        <v>3196</v>
      </c>
      <c r="O11" s="2">
        <f t="shared" ref="O11:R11" si="19">+SUM(O8:O10)</f>
        <v>2884.916666666667</v>
      </c>
      <c r="P11" s="2">
        <f t="shared" si="19"/>
        <v>2913.7658333333334</v>
      </c>
      <c r="Q11" s="2">
        <f t="shared" si="19"/>
        <v>2942.9034916666674</v>
      </c>
      <c r="R11" s="2">
        <f t="shared" si="19"/>
        <v>2972.3325265833337</v>
      </c>
      <c r="S11" s="2">
        <f t="shared" ref="S11" si="20">+SUM(S8:S10)</f>
        <v>3002.0558518491671</v>
      </c>
      <c r="T11" s="2">
        <f t="shared" ref="T11" si="21">+SUM(T8:T10)</f>
        <v>3032.0764103676593</v>
      </c>
      <c r="U11" s="2">
        <f t="shared" ref="U11" si="22">+SUM(U8:U10)</f>
        <v>3062.3971744713363</v>
      </c>
      <c r="V11" s="2">
        <f t="shared" ref="V11" si="23">+SUM(V8:V10)</f>
        <v>3093.0211462160491</v>
      </c>
      <c r="Y11" s="2">
        <f>+SUM(Y8:Y10)</f>
        <v>9706</v>
      </c>
      <c r="Z11" s="2">
        <f>+SUM(Z8:Z10)</f>
        <v>12162</v>
      </c>
      <c r="AA11" s="2">
        <f>+SUM(AA8:AA10)</f>
        <v>11832</v>
      </c>
      <c r="AB11" s="2">
        <f>+SUM(AB8:AB10)</f>
        <v>11713.918518250002</v>
      </c>
      <c r="AC11" s="2">
        <f>+SUM(AC8:AC10)</f>
        <v>12189.550582904212</v>
      </c>
    </row>
    <row r="12" spans="1:102" x14ac:dyDescent="0.2">
      <c r="B12" s="1" t="s">
        <v>33</v>
      </c>
      <c r="C12" s="2">
        <f>+C7-C11</f>
        <v>3864</v>
      </c>
      <c r="D12" s="2">
        <f>+D7-D11</f>
        <v>3858</v>
      </c>
      <c r="E12" s="2">
        <f>+E7-E11</f>
        <v>4472</v>
      </c>
      <c r="F12" s="2">
        <f>+F7-F11</f>
        <v>3666</v>
      </c>
      <c r="G12" s="2">
        <f>+G7-G11</f>
        <v>2465</v>
      </c>
      <c r="H12" s="2">
        <f>+H7-H11</f>
        <v>2090</v>
      </c>
      <c r="I12" s="2">
        <f>+I7-I11</f>
        <v>1823</v>
      </c>
      <c r="J12" s="2">
        <f>+J7-J11</f>
        <v>1411</v>
      </c>
      <c r="K12" s="2">
        <f>+K7-K11</f>
        <v>2928</v>
      </c>
      <c r="L12" s="2">
        <f>+L7-L11</f>
        <v>2340</v>
      </c>
      <c r="M12" s="2">
        <f>+M7-M11</f>
        <v>2221</v>
      </c>
      <c r="N12" s="2">
        <f>+N7-N11</f>
        <v>2581</v>
      </c>
      <c r="O12" s="2">
        <f>+O7-O11</f>
        <v>2667.5766666666677</v>
      </c>
      <c r="P12" s="2">
        <f t="shared" ref="P12:R12" si="24">+P7-P11</f>
        <v>2694.2524333333345</v>
      </c>
      <c r="Q12" s="2">
        <f t="shared" si="24"/>
        <v>2721.1949576666671</v>
      </c>
      <c r="R12" s="2">
        <f t="shared" si="24"/>
        <v>2748.406907243334</v>
      </c>
      <c r="S12" s="2">
        <f t="shared" ref="S12" si="25">+S7-S11</f>
        <v>2775.8909763157671</v>
      </c>
      <c r="T12" s="2">
        <f t="shared" ref="T12" si="26">+T7-T11</f>
        <v>2803.6498860789243</v>
      </c>
      <c r="U12" s="2">
        <f t="shared" ref="U12" si="27">+U7-U11</f>
        <v>2831.6863849397132</v>
      </c>
      <c r="V12" s="2">
        <f t="shared" ref="V12" si="28">+V7-V11</f>
        <v>2860.0032487891108</v>
      </c>
      <c r="Y12" s="2">
        <f>+Y7-Y11</f>
        <v>15860</v>
      </c>
      <c r="Z12" s="2">
        <f>+Z7-Z11</f>
        <v>7789</v>
      </c>
      <c r="AA12" s="2">
        <f>+AA7-AA11</f>
        <v>10070</v>
      </c>
      <c r="AB12" s="2">
        <f>+AB7-AB11</f>
        <v>10831.430964910001</v>
      </c>
      <c r="AC12" s="2">
        <f>+AC7-AC11</f>
        <v>11271.230496123517</v>
      </c>
    </row>
    <row r="13" spans="1:102" x14ac:dyDescent="0.2">
      <c r="B13" s="1" t="s">
        <v>35</v>
      </c>
      <c r="C13" s="2">
        <v>-139</v>
      </c>
      <c r="D13" s="2">
        <v>-137</v>
      </c>
      <c r="E13" s="2">
        <v>-70</v>
      </c>
      <c r="F13" s="2">
        <v>-145</v>
      </c>
      <c r="G13" s="2">
        <v>-170</v>
      </c>
      <c r="H13" s="2">
        <v>-179</v>
      </c>
      <c r="I13" s="2">
        <v>-172</v>
      </c>
      <c r="J13" s="2">
        <v>-174</v>
      </c>
      <c r="K13" s="2">
        <v>-178</v>
      </c>
      <c r="L13" s="2">
        <v>-172</v>
      </c>
      <c r="M13" s="2">
        <v>-168</v>
      </c>
      <c r="N13" s="2">
        <v>-178</v>
      </c>
      <c r="O13" s="2">
        <f>+AVERAGE(C13:N13)</f>
        <v>-156.83333333333334</v>
      </c>
      <c r="P13" s="2">
        <f t="shared" ref="P13:R14" si="29">+O13*1.01</f>
        <v>-158.40166666666667</v>
      </c>
      <c r="Q13" s="2">
        <f t="shared" si="29"/>
        <v>-159.98568333333333</v>
      </c>
      <c r="R13" s="2">
        <f t="shared" si="29"/>
        <v>-161.58554016666668</v>
      </c>
      <c r="S13" s="2">
        <f t="shared" ref="S13:V13" si="30">+R13*1.01</f>
        <v>-163.20139556833334</v>
      </c>
      <c r="T13" s="2">
        <f t="shared" si="30"/>
        <v>-164.83340952401667</v>
      </c>
      <c r="U13" s="2">
        <f t="shared" si="30"/>
        <v>-166.48174361925683</v>
      </c>
      <c r="V13" s="2">
        <f t="shared" si="30"/>
        <v>-168.14656105544941</v>
      </c>
      <c r="Y13" s="2">
        <f>+SUM(C13:F13)</f>
        <v>-491</v>
      </c>
      <c r="Z13" s="2">
        <f>+SUM(G13:J13)</f>
        <v>-695</v>
      </c>
      <c r="AA13" s="2">
        <f>+AVERAGE(H13:K13)</f>
        <v>-175.75</v>
      </c>
      <c r="AB13" s="2">
        <f>+SUM(O13:R13)</f>
        <v>-636.80622349999999</v>
      </c>
      <c r="AC13" s="2">
        <f>+SUM(S13:V13)</f>
        <v>-662.6631097670562</v>
      </c>
    </row>
    <row r="14" spans="1:102" x14ac:dyDescent="0.2">
      <c r="B14" s="1" t="s">
        <v>40</v>
      </c>
      <c r="C14" s="2">
        <v>140</v>
      </c>
      <c r="D14" s="2">
        <v>-298</v>
      </c>
      <c r="E14" s="2">
        <v>-163</v>
      </c>
      <c r="F14" s="2">
        <v>-51</v>
      </c>
      <c r="G14" s="2">
        <v>76</v>
      </c>
      <c r="H14" s="2">
        <v>-16</v>
      </c>
      <c r="I14" s="2">
        <v>106</v>
      </c>
      <c r="J14" s="2">
        <v>183</v>
      </c>
      <c r="K14" s="2">
        <v>212</v>
      </c>
      <c r="L14" s="2">
        <v>330</v>
      </c>
      <c r="M14" s="2">
        <v>226</v>
      </c>
      <c r="N14" s="2">
        <v>194</v>
      </c>
      <c r="O14" s="2">
        <f>+AVERAGE(C14:N14)</f>
        <v>78.25</v>
      </c>
      <c r="P14" s="2">
        <f t="shared" si="29"/>
        <v>79.032499999999999</v>
      </c>
      <c r="Q14" s="2">
        <f t="shared" si="29"/>
        <v>79.822824999999995</v>
      </c>
      <c r="R14" s="2">
        <f t="shared" si="29"/>
        <v>80.621053249999989</v>
      </c>
      <c r="S14" s="2">
        <f t="shared" ref="S14:V14" si="31">+R14*1.01</f>
        <v>81.427263782499992</v>
      </c>
      <c r="T14" s="2">
        <f t="shared" si="31"/>
        <v>82.241536420324991</v>
      </c>
      <c r="U14" s="2">
        <f t="shared" si="31"/>
        <v>83.063951784528243</v>
      </c>
      <c r="V14" s="2">
        <f t="shared" si="31"/>
        <v>83.894591302373527</v>
      </c>
      <c r="Y14" s="2">
        <f>+SUM(C14:F14)</f>
        <v>-372</v>
      </c>
      <c r="Z14" s="2">
        <f>+SUM(G14:J14)</f>
        <v>349</v>
      </c>
      <c r="AA14" s="2">
        <f>+SUM(K14:N14)</f>
        <v>962</v>
      </c>
      <c r="AB14" s="2">
        <f>+SUM(O14:R14)</f>
        <v>317.72637824999998</v>
      </c>
      <c r="AC14" s="2">
        <f>+SUM(S14:V14)</f>
        <v>330.6273432897267</v>
      </c>
    </row>
    <row r="15" spans="1:102" x14ac:dyDescent="0.2">
      <c r="B15" s="1" t="s">
        <v>36</v>
      </c>
      <c r="C15" s="2">
        <v>-466</v>
      </c>
      <c r="D15" s="2">
        <v>-489</v>
      </c>
      <c r="E15" s="2">
        <v>-509</v>
      </c>
      <c r="F15" s="2">
        <v>-547</v>
      </c>
      <c r="G15" s="2">
        <v>-98</v>
      </c>
      <c r="H15" s="2">
        <v>-193</v>
      </c>
      <c r="I15" s="2">
        <v>-22</v>
      </c>
      <c r="J15" s="2">
        <v>209</v>
      </c>
      <c r="K15" s="2">
        <v>-151</v>
      </c>
      <c r="L15" s="2">
        <v>-223</v>
      </c>
      <c r="M15" s="2">
        <v>-171</v>
      </c>
      <c r="N15" s="2">
        <v>318</v>
      </c>
      <c r="O15" s="2">
        <f>+O12*0.05</f>
        <v>133.3788333333334</v>
      </c>
      <c r="P15" s="2">
        <f t="shared" ref="P15:R15" si="32">+P12*0.05</f>
        <v>134.71262166666673</v>
      </c>
      <c r="Q15" s="2">
        <f t="shared" si="32"/>
        <v>136.05974788333336</v>
      </c>
      <c r="R15" s="2">
        <f t="shared" si="32"/>
        <v>137.4203453621667</v>
      </c>
      <c r="S15" s="2">
        <f t="shared" ref="S15:V15" si="33">+S12*0.05</f>
        <v>138.79454881578837</v>
      </c>
      <c r="T15" s="2">
        <f t="shared" si="33"/>
        <v>140.18249430394621</v>
      </c>
      <c r="U15" s="2">
        <f t="shared" si="33"/>
        <v>141.58431924698567</v>
      </c>
      <c r="V15" s="2">
        <f t="shared" si="33"/>
        <v>143.00016243945555</v>
      </c>
      <c r="Y15" s="2">
        <f>+SUM(C15:F15)</f>
        <v>-2011</v>
      </c>
      <c r="Z15" s="2">
        <f>+SUM(G15:J15)</f>
        <v>-104</v>
      </c>
      <c r="AA15" s="2">
        <f>+SUM(K15:N15)</f>
        <v>-227</v>
      </c>
      <c r="AB15" s="2">
        <f>+SUM(O15:R15)</f>
        <v>541.57154824550014</v>
      </c>
      <c r="AC15" s="2">
        <f>+SUM(S15:V15)</f>
        <v>563.56152480617584</v>
      </c>
    </row>
    <row r="16" spans="1:102" s="8" customFormat="1" x14ac:dyDescent="0.2">
      <c r="B16" s="8" t="s">
        <v>37</v>
      </c>
      <c r="C16" s="4">
        <f>+C12+C13+C14+C15</f>
        <v>3399</v>
      </c>
      <c r="D16" s="4">
        <f>+D12+D13+D14+D15</f>
        <v>2934</v>
      </c>
      <c r="E16" s="4">
        <f>+E12+E13+E14+E15</f>
        <v>3730</v>
      </c>
      <c r="F16" s="4">
        <f>+F12+F13+F14+F15</f>
        <v>2923</v>
      </c>
      <c r="G16" s="4">
        <f>+G12+G13+G14+G15</f>
        <v>2273</v>
      </c>
      <c r="H16" s="4">
        <f>+H12+H13+H14+H15</f>
        <v>1702</v>
      </c>
      <c r="I16" s="4">
        <f>+I12+I13+I14+I15</f>
        <v>1735</v>
      </c>
      <c r="J16" s="4">
        <f>+J12+J13+J14+J15</f>
        <v>1629</v>
      </c>
      <c r="K16" s="4">
        <f>+K12+K13+K14+K15</f>
        <v>2811</v>
      </c>
      <c r="L16" s="4">
        <f>+L12+L13+L14+L15</f>
        <v>2275</v>
      </c>
      <c r="M16" s="4">
        <f>+M12+M13+M14+M15</f>
        <v>2108</v>
      </c>
      <c r="N16" s="4">
        <f>+N12+N13+N14+N15</f>
        <v>2915</v>
      </c>
      <c r="O16" s="4">
        <f t="shared" ref="O16:R16" si="34">+O12+O13+O14+O15</f>
        <v>2722.3721666666675</v>
      </c>
      <c r="P16" s="4">
        <f t="shared" si="34"/>
        <v>2749.5958883333342</v>
      </c>
      <c r="Q16" s="4">
        <f t="shared" si="34"/>
        <v>2777.0918472166672</v>
      </c>
      <c r="R16" s="4">
        <f t="shared" si="34"/>
        <v>2804.8627656888339</v>
      </c>
      <c r="S16" s="4">
        <f t="shared" ref="S16" si="35">+S12+S13+S14+S15</f>
        <v>2832.9113933457224</v>
      </c>
      <c r="T16" s="4">
        <f t="shared" ref="T16" si="36">+T12+T13+T14+T15</f>
        <v>2861.2405072791789</v>
      </c>
      <c r="U16" s="4">
        <f t="shared" ref="U16" si="37">+U12+U13+U14+U15</f>
        <v>2889.8529123519702</v>
      </c>
      <c r="V16" s="4">
        <f t="shared" ref="V16" si="38">+V12+V13+V14+V15</f>
        <v>2918.7514414754905</v>
      </c>
      <c r="Y16" s="4">
        <f>+Y12+Y13+Y14+Y15</f>
        <v>12986</v>
      </c>
      <c r="Z16" s="4">
        <f>+Z12+Z13+Z14+Z15</f>
        <v>7339</v>
      </c>
      <c r="AA16" s="4">
        <f>+AA12+AA13+AA14+AA15</f>
        <v>10629.25</v>
      </c>
      <c r="AB16" s="4">
        <f>+AB12+AB13+AB14+AB15</f>
        <v>11053.922667905501</v>
      </c>
      <c r="AC16" s="4">
        <f t="shared" ref="AC16" si="39">+AC12+AC13+AC14+AC15</f>
        <v>11502.756254452364</v>
      </c>
      <c r="AD16" s="8">
        <f>+AC16*(1+$AF21)</f>
        <v>11272.701129363317</v>
      </c>
      <c r="AE16" s="8">
        <f t="shared" ref="AE16:CP16" si="40">+AD16*(1+$AF21)</f>
        <v>11047.247106776051</v>
      </c>
      <c r="AF16" s="8">
        <f t="shared" si="40"/>
        <v>10826.302164640529</v>
      </c>
      <c r="AG16" s="8">
        <f t="shared" si="40"/>
        <v>10609.776121347717</v>
      </c>
      <c r="AH16" s="8">
        <f t="shared" si="40"/>
        <v>10397.580598920762</v>
      </c>
      <c r="AI16" s="8">
        <f t="shared" si="40"/>
        <v>10189.628986942347</v>
      </c>
      <c r="AJ16" s="8">
        <f t="shared" si="40"/>
        <v>9985.8364072035001</v>
      </c>
      <c r="AK16" s="8">
        <f t="shared" si="40"/>
        <v>9786.1196790594295</v>
      </c>
      <c r="AL16" s="8">
        <f t="shared" si="40"/>
        <v>9590.3972854782405</v>
      </c>
      <c r="AM16" s="8">
        <f t="shared" si="40"/>
        <v>9398.5893397686759</v>
      </c>
      <c r="AN16" s="8">
        <f t="shared" si="40"/>
        <v>9210.6175529733027</v>
      </c>
      <c r="AO16" s="8">
        <f t="shared" si="40"/>
        <v>9026.4052019138362</v>
      </c>
      <c r="AP16" s="8">
        <f t="shared" si="40"/>
        <v>8845.8770978755601</v>
      </c>
      <c r="AQ16" s="8">
        <f t="shared" si="40"/>
        <v>8668.9595559180489</v>
      </c>
      <c r="AR16" s="8">
        <f t="shared" si="40"/>
        <v>8495.5803647996872</v>
      </c>
      <c r="AS16" s="8">
        <f t="shared" si="40"/>
        <v>8325.668757503694</v>
      </c>
      <c r="AT16" s="8">
        <f t="shared" si="40"/>
        <v>8159.1553823536196</v>
      </c>
      <c r="AU16" s="8">
        <f t="shared" si="40"/>
        <v>7995.9722747065471</v>
      </c>
      <c r="AV16" s="8">
        <f t="shared" si="40"/>
        <v>7836.0528292124163</v>
      </c>
      <c r="AW16" s="8">
        <f t="shared" si="40"/>
        <v>7679.3317726281675</v>
      </c>
      <c r="AX16" s="8">
        <f t="shared" si="40"/>
        <v>7525.7451371756042</v>
      </c>
      <c r="AY16" s="8">
        <f t="shared" si="40"/>
        <v>7375.2302344320924</v>
      </c>
      <c r="AZ16" s="8">
        <f t="shared" si="40"/>
        <v>7227.7256297434506</v>
      </c>
      <c r="BA16" s="8">
        <f t="shared" si="40"/>
        <v>7083.1711171485813</v>
      </c>
      <c r="BB16" s="8">
        <f t="shared" si="40"/>
        <v>6941.5076948056094</v>
      </c>
      <c r="BC16" s="8">
        <f t="shared" si="40"/>
        <v>6802.6775409094971</v>
      </c>
      <c r="BD16" s="8">
        <f t="shared" si="40"/>
        <v>6666.623990091307</v>
      </c>
      <c r="BE16" s="8">
        <f t="shared" si="40"/>
        <v>6533.2915102894804</v>
      </c>
      <c r="BF16" s="8">
        <f t="shared" si="40"/>
        <v>6402.6256800836909</v>
      </c>
      <c r="BG16" s="8">
        <f t="shared" si="40"/>
        <v>6274.5731664820169</v>
      </c>
      <c r="BH16" s="8">
        <f t="shared" si="40"/>
        <v>6149.0817031523766</v>
      </c>
      <c r="BI16" s="8">
        <f t="shared" si="40"/>
        <v>6026.1000690893288</v>
      </c>
      <c r="BJ16" s="8">
        <f t="shared" si="40"/>
        <v>5905.5780677075418</v>
      </c>
      <c r="BK16" s="8">
        <f t="shared" si="40"/>
        <v>5787.4665063533912</v>
      </c>
      <c r="BL16" s="8">
        <f t="shared" si="40"/>
        <v>5671.7171762263233</v>
      </c>
      <c r="BM16" s="8">
        <f t="shared" si="40"/>
        <v>5558.2828327017969</v>
      </c>
      <c r="BN16" s="8">
        <f t="shared" si="40"/>
        <v>5447.1171760477609</v>
      </c>
      <c r="BO16" s="8">
        <f t="shared" si="40"/>
        <v>5338.1748325268054</v>
      </c>
      <c r="BP16" s="8">
        <f t="shared" si="40"/>
        <v>5231.4113358762688</v>
      </c>
      <c r="BQ16" s="8">
        <f t="shared" si="40"/>
        <v>5126.7831091587432</v>
      </c>
      <c r="BR16" s="8">
        <f t="shared" si="40"/>
        <v>5024.247446975568</v>
      </c>
      <c r="BS16" s="8">
        <f t="shared" si="40"/>
        <v>4923.762498036057</v>
      </c>
      <c r="BT16" s="8">
        <f t="shared" si="40"/>
        <v>4825.2872480753358</v>
      </c>
      <c r="BU16" s="8">
        <f t="shared" si="40"/>
        <v>4728.7815031138289</v>
      </c>
      <c r="BV16" s="8">
        <f t="shared" si="40"/>
        <v>4634.2058730515519</v>
      </c>
      <c r="BW16" s="8">
        <f t="shared" si="40"/>
        <v>4541.521755590521</v>
      </c>
      <c r="BX16" s="8">
        <f t="shared" si="40"/>
        <v>4450.6913204787106</v>
      </c>
      <c r="BY16" s="8">
        <f t="shared" si="40"/>
        <v>4361.6774940691366</v>
      </c>
      <c r="BZ16" s="8">
        <f t="shared" si="40"/>
        <v>4274.4439441877539</v>
      </c>
      <c r="CA16" s="8">
        <f t="shared" si="40"/>
        <v>4188.9550653039987</v>
      </c>
      <c r="CB16" s="8">
        <f t="shared" si="40"/>
        <v>4105.1759639979191</v>
      </c>
      <c r="CC16" s="8">
        <f t="shared" si="40"/>
        <v>4023.0724447179605</v>
      </c>
      <c r="CD16" s="8">
        <f t="shared" si="40"/>
        <v>3942.6109958236011</v>
      </c>
      <c r="CE16" s="8">
        <f t="shared" si="40"/>
        <v>3863.7587759071289</v>
      </c>
      <c r="CF16" s="8">
        <f t="shared" si="40"/>
        <v>3786.4836003889864</v>
      </c>
      <c r="CG16" s="8">
        <f t="shared" si="40"/>
        <v>3710.7539283812066</v>
      </c>
      <c r="CH16" s="8">
        <f t="shared" si="40"/>
        <v>3636.5388498135826</v>
      </c>
      <c r="CI16" s="8">
        <f t="shared" si="40"/>
        <v>3563.8080728173109</v>
      </c>
      <c r="CJ16" s="8">
        <f t="shared" si="40"/>
        <v>3492.5319113609644</v>
      </c>
      <c r="CK16" s="8">
        <f t="shared" si="40"/>
        <v>3422.681273133745</v>
      </c>
      <c r="CL16" s="8">
        <f t="shared" si="40"/>
        <v>3354.2276476710699</v>
      </c>
      <c r="CM16" s="8">
        <f t="shared" si="40"/>
        <v>3287.1430947176486</v>
      </c>
      <c r="CN16" s="8">
        <f t="shared" si="40"/>
        <v>3221.4002328232955</v>
      </c>
      <c r="CO16" s="8">
        <f t="shared" si="40"/>
        <v>3156.9722281668296</v>
      </c>
      <c r="CP16" s="8">
        <f t="shared" si="40"/>
        <v>3093.8327836034928</v>
      </c>
      <c r="CQ16" s="8">
        <f t="shared" ref="CQ16:CX16" si="41">+CP16*(1+$AF21)</f>
        <v>3031.956127931423</v>
      </c>
      <c r="CR16" s="8">
        <f t="shared" si="41"/>
        <v>2971.3170053727945</v>
      </c>
      <c r="CS16" s="8">
        <f t="shared" si="41"/>
        <v>2911.8906652653386</v>
      </c>
      <c r="CT16" s="8">
        <f t="shared" si="41"/>
        <v>2853.652851960032</v>
      </c>
      <c r="CU16" s="8">
        <f t="shared" si="41"/>
        <v>2796.5797949208313</v>
      </c>
      <c r="CV16" s="8">
        <f t="shared" si="41"/>
        <v>2740.6481990224147</v>
      </c>
      <c r="CW16" s="8">
        <f t="shared" si="41"/>
        <v>2685.8352350419664</v>
      </c>
      <c r="CX16" s="8">
        <f t="shared" si="41"/>
        <v>2632.1185303411271</v>
      </c>
    </row>
    <row r="17" spans="2:32" x14ac:dyDescent="0.2">
      <c r="B17" s="1" t="s">
        <v>38</v>
      </c>
      <c r="C17" s="3">
        <f>+C16/C18</f>
        <v>2.9763572679509633</v>
      </c>
      <c r="D17" s="3">
        <f>+D16/D18</f>
        <v>2.5736842105263156</v>
      </c>
      <c r="E17" s="3">
        <f>+E16/E18</f>
        <v>3.2892416225749561</v>
      </c>
      <c r="F17" s="3">
        <f>+F16/F18</f>
        <v>2.5798764342453664</v>
      </c>
      <c r="G17" s="3">
        <f>+G16/G18</f>
        <v>2.0168589174800355</v>
      </c>
      <c r="H17" s="3">
        <f>+H16/H18</f>
        <v>1.5155832591273375</v>
      </c>
      <c r="I17" s="3">
        <f>+I16/I18</f>
        <v>1.5299823633156966</v>
      </c>
      <c r="J17" s="3">
        <f>+J16/J18</f>
        <v>1.448</v>
      </c>
      <c r="K17" s="3">
        <f>+K16/K18</f>
        <v>2.4942324755989351</v>
      </c>
      <c r="L17" s="3">
        <f>+L16/L18</f>
        <v>2.0132743362831858</v>
      </c>
      <c r="M17" s="3">
        <f>+M16/M18</f>
        <v>1.8589065255731922</v>
      </c>
      <c r="N17" s="3">
        <f t="shared" ref="N17:R17" si="42">+N16/N18</f>
        <v>2.5705467372134039</v>
      </c>
      <c r="O17" s="3">
        <f t="shared" si="42"/>
        <v>2.4006809229864792</v>
      </c>
      <c r="P17" s="3">
        <f t="shared" si="42"/>
        <v>2.424687732216344</v>
      </c>
      <c r="Q17" s="3">
        <f t="shared" si="42"/>
        <v>2.4489346095385072</v>
      </c>
      <c r="R17" s="3">
        <f t="shared" si="42"/>
        <v>2.4734239556338924</v>
      </c>
      <c r="S17" s="3">
        <f t="shared" ref="S17" si="43">+S16/S18</f>
        <v>2.4981581951902316</v>
      </c>
      <c r="T17" s="3">
        <f t="shared" ref="T17" si="44">+T16/T18</f>
        <v>2.5231397771421329</v>
      </c>
      <c r="U17" s="3">
        <f t="shared" ref="U17" si="45">+U16/U18</f>
        <v>2.5483711749135538</v>
      </c>
      <c r="V17" s="3">
        <f t="shared" ref="V17" si="46">+V16/V18</f>
        <v>2.5738548866626902</v>
      </c>
      <c r="Y17" s="3">
        <f>+Y16/Y18</f>
        <v>11.41877335678171</v>
      </c>
      <c r="Z17" s="3">
        <f>+Z16/Z18</f>
        <v>6.5105344865823911</v>
      </c>
      <c r="AA17" s="3">
        <f>+AA16/AA18</f>
        <v>9.4293634952317582</v>
      </c>
      <c r="AB17" s="3">
        <f t="shared" ref="AB17" si="47">+AB16/AB18</f>
        <v>9.7908969600580171</v>
      </c>
      <c r="AC17" s="3">
        <f t="shared" ref="AC17" si="48">+AC16/AC18</f>
        <v>10.188446638133184</v>
      </c>
    </row>
    <row r="18" spans="2:32" x14ac:dyDescent="0.2">
      <c r="B18" s="1" t="s">
        <v>2</v>
      </c>
      <c r="C18" s="2">
        <v>1142</v>
      </c>
      <c r="D18" s="2">
        <v>1140</v>
      </c>
      <c r="E18" s="2">
        <v>1134</v>
      </c>
      <c r="F18" s="2">
        <v>1133</v>
      </c>
      <c r="G18" s="2">
        <v>1127</v>
      </c>
      <c r="H18" s="2">
        <v>1123</v>
      </c>
      <c r="I18" s="2">
        <v>1134</v>
      </c>
      <c r="J18" s="2">
        <v>1125</v>
      </c>
      <c r="K18" s="2">
        <v>1127</v>
      </c>
      <c r="L18" s="2">
        <v>1130</v>
      </c>
      <c r="M18" s="2">
        <v>1134</v>
      </c>
      <c r="N18" s="2">
        <v>1134</v>
      </c>
      <c r="O18" s="2">
        <v>1134</v>
      </c>
      <c r="P18" s="2">
        <v>1134</v>
      </c>
      <c r="Q18" s="2">
        <v>1134</v>
      </c>
      <c r="R18" s="2">
        <v>1134</v>
      </c>
      <c r="S18" s="2">
        <v>1134</v>
      </c>
      <c r="T18" s="2">
        <v>1134</v>
      </c>
      <c r="U18" s="2">
        <v>1134</v>
      </c>
      <c r="V18" s="2">
        <v>1134</v>
      </c>
      <c r="Y18" s="2">
        <f>+AVERAGE(C18:F18)</f>
        <v>1137.25</v>
      </c>
      <c r="Z18" s="2">
        <f>+AVERAGE(G18:J18)</f>
        <v>1127.25</v>
      </c>
      <c r="AA18" s="2">
        <f>+AVERAGE(H18:K18)</f>
        <v>1127.25</v>
      </c>
      <c r="AB18" s="2">
        <f t="shared" ref="AB18" si="49">+AVERAGE(I18:L18)</f>
        <v>1129</v>
      </c>
      <c r="AC18" s="2">
        <f t="shared" ref="AC18" si="50">+AVERAGE(J18:M18)</f>
        <v>1129</v>
      </c>
    </row>
    <row r="20" spans="2:32" x14ac:dyDescent="0.2">
      <c r="B20" s="1" t="s">
        <v>48</v>
      </c>
      <c r="E20" s="9"/>
      <c r="F20" s="9"/>
      <c r="G20" s="9">
        <f t="shared" ref="G20:M20" si="51">+G5/C5-1</f>
        <v>-0.11602055114432508</v>
      </c>
      <c r="H20" s="9">
        <f t="shared" si="51"/>
        <v>-0.16920458616983158</v>
      </c>
      <c r="I20" s="9">
        <f t="shared" si="51"/>
        <v>-0.22723116313094371</v>
      </c>
      <c r="J20" s="9">
        <f t="shared" si="51"/>
        <v>-0.24262899262899262</v>
      </c>
      <c r="K20" s="9">
        <f t="shared" si="51"/>
        <v>4.9878474056852973E-2</v>
      </c>
      <c r="L20" s="9">
        <f t="shared" si="51"/>
        <v>1.2291105121293722E-2</v>
      </c>
      <c r="M20" s="9">
        <f t="shared" si="51"/>
        <v>0.11146609868654589</v>
      </c>
      <c r="N20" s="9">
        <f>+N5/J5-1</f>
        <v>0.1868844861545591</v>
      </c>
      <c r="O20" s="9">
        <f t="shared" ref="O20:R20" si="52">+O5/K5-1</f>
        <v>-1.9963093440696911E-3</v>
      </c>
      <c r="P20" s="9">
        <f t="shared" si="52"/>
        <v>6.66011644832607E-2</v>
      </c>
      <c r="Q20" s="9">
        <f t="shared" si="52"/>
        <v>7.6808422939068199E-2</v>
      </c>
      <c r="R20" s="9">
        <f t="shared" si="52"/>
        <v>-2.7717559709747874E-3</v>
      </c>
      <c r="Z20" s="9">
        <f>+Z5/Y5-1</f>
        <v>-0.18961109477161153</v>
      </c>
      <c r="AA20" s="9">
        <f>+AA5/Z5-1</f>
        <v>8.7688442211055317E-2</v>
      </c>
      <c r="AB20" s="9">
        <f>+AB5/AA5-1</f>
        <v>3.3329551307718086E-2</v>
      </c>
      <c r="AC20" s="9">
        <f>+AC5/AB5-1</f>
        <v>4.0604010000000024E-2</v>
      </c>
    </row>
    <row r="21" spans="2:32" x14ac:dyDescent="0.2">
      <c r="B21" s="1" t="s">
        <v>44</v>
      </c>
      <c r="C21" s="9">
        <f>+C7/C5</f>
        <v>0.59803829985987855</v>
      </c>
      <c r="D21" s="9">
        <f t="shared" ref="D21:N21" si="53">+D7/D5</f>
        <v>0.58366176997491936</v>
      </c>
      <c r="E21" s="9">
        <f t="shared" si="53"/>
        <v>0.55961960497439645</v>
      </c>
      <c r="F21" s="9">
        <f t="shared" si="53"/>
        <v>0.57283257283257283</v>
      </c>
      <c r="G21" s="9">
        <f t="shared" si="53"/>
        <v>0.57265137905526786</v>
      </c>
      <c r="H21" s="9">
        <f t="shared" si="53"/>
        <v>0.55223719676549865</v>
      </c>
      <c r="I21" s="9">
        <f t="shared" si="53"/>
        <v>0.55129570465033728</v>
      </c>
      <c r="J21" s="9">
        <f t="shared" si="53"/>
        <v>0.55045765264743363</v>
      </c>
      <c r="K21" s="9">
        <f t="shared" si="53"/>
        <v>0.56597886260694519</v>
      </c>
      <c r="L21" s="9">
        <f t="shared" si="53"/>
        <v>0.56267973160080942</v>
      </c>
      <c r="M21" s="9">
        <f t="shared" si="53"/>
        <v>0.555626530394975</v>
      </c>
      <c r="N21" s="9">
        <f t="shared" si="53"/>
        <v>0.56393986723935963</v>
      </c>
      <c r="O21" s="9">
        <f t="shared" ref="O21:R21" si="54">+O7/O5</f>
        <v>0.56000000000000005</v>
      </c>
      <c r="P21" s="9">
        <f t="shared" si="54"/>
        <v>0.56000000000000005</v>
      </c>
      <c r="Q21" s="9">
        <f t="shared" si="54"/>
        <v>0.56000000000000005</v>
      </c>
      <c r="R21" s="9">
        <f t="shared" si="54"/>
        <v>0.56000000000000005</v>
      </c>
      <c r="AE21" s="1" t="s">
        <v>53</v>
      </c>
      <c r="AF21" s="9">
        <v>-0.02</v>
      </c>
    </row>
    <row r="22" spans="2:32" x14ac:dyDescent="0.2">
      <c r="B22" s="1" t="s">
        <v>45</v>
      </c>
      <c r="C22" s="9">
        <f>+C16/C5</f>
        <v>0.31751517982251287</v>
      </c>
      <c r="D22" s="9">
        <f t="shared" ref="D22:N22" si="55">+D16/D5</f>
        <v>0.26280902902185599</v>
      </c>
      <c r="E22" s="9">
        <f t="shared" si="55"/>
        <v>0.34107534747622531</v>
      </c>
      <c r="F22" s="9">
        <f t="shared" si="55"/>
        <v>0.2564935064935065</v>
      </c>
      <c r="G22" s="9">
        <f t="shared" si="55"/>
        <v>0.24019866849836205</v>
      </c>
      <c r="H22" s="9">
        <f t="shared" si="55"/>
        <v>0.18350404312668464</v>
      </c>
      <c r="I22" s="9">
        <f t="shared" si="55"/>
        <v>0.20530114779316058</v>
      </c>
      <c r="J22" s="9">
        <f t="shared" si="55"/>
        <v>0.18873826903023982</v>
      </c>
      <c r="K22" s="9">
        <f t="shared" si="55"/>
        <v>0.28293910417715146</v>
      </c>
      <c r="L22" s="9">
        <f t="shared" si="55"/>
        <v>0.24230482479497284</v>
      </c>
      <c r="M22" s="9">
        <f t="shared" si="55"/>
        <v>0.22442244224422442</v>
      </c>
      <c r="N22" s="9">
        <f t="shared" si="55"/>
        <v>0.28455681374463099</v>
      </c>
      <c r="O22" s="9">
        <f t="shared" ref="O22:R22" si="56">+O16/O5</f>
        <v>0.27456645543023317</v>
      </c>
      <c r="P22" s="9">
        <f t="shared" si="56"/>
        <v>0.27456645543023317</v>
      </c>
      <c r="Q22" s="9">
        <f t="shared" si="56"/>
        <v>0.27456645543023317</v>
      </c>
      <c r="R22" s="9">
        <f t="shared" si="56"/>
        <v>0.27456645543023317</v>
      </c>
      <c r="AE22" s="1" t="s">
        <v>54</v>
      </c>
      <c r="AF22" s="9">
        <v>0.06</v>
      </c>
    </row>
    <row r="23" spans="2:32" x14ac:dyDescent="0.2">
      <c r="B23" s="1" t="s">
        <v>46</v>
      </c>
      <c r="C23" s="9">
        <f>+C8/C5</f>
        <v>0.18028958430639888</v>
      </c>
      <c r="D23" s="9">
        <f t="shared" ref="D23:N23" si="57">+D8/D5</f>
        <v>0.18219276245073451</v>
      </c>
      <c r="E23" s="9">
        <f t="shared" si="57"/>
        <v>0.18763716166788588</v>
      </c>
      <c r="F23" s="9">
        <f t="shared" si="57"/>
        <v>0.19120744120744121</v>
      </c>
      <c r="G23" s="9">
        <f t="shared" si="57"/>
        <v>0.23787382436859347</v>
      </c>
      <c r="H23" s="9">
        <f t="shared" si="57"/>
        <v>0.23827493261455526</v>
      </c>
      <c r="I23" s="9">
        <f t="shared" si="57"/>
        <v>0.26292746420541946</v>
      </c>
      <c r="J23" s="9">
        <f t="shared" si="57"/>
        <v>0.24736415247364152</v>
      </c>
      <c r="K23" s="9">
        <f t="shared" si="57"/>
        <v>0.21097131353799697</v>
      </c>
      <c r="L23" s="9">
        <f t="shared" si="57"/>
        <v>0.2381510277984876</v>
      </c>
      <c r="M23" s="9">
        <f t="shared" si="57"/>
        <v>0.24049824337272438</v>
      </c>
      <c r="N23" s="9">
        <f t="shared" si="57"/>
        <v>0.2247169074580242</v>
      </c>
      <c r="O23" s="9">
        <f t="shared" ref="O23:R23" si="58">+O8/O5</f>
        <v>0.21773041300364759</v>
      </c>
      <c r="P23" s="9">
        <f t="shared" si="58"/>
        <v>0.21773041300364759</v>
      </c>
      <c r="Q23" s="9">
        <f t="shared" si="58"/>
        <v>0.21773041300364759</v>
      </c>
      <c r="R23" s="9">
        <f t="shared" si="58"/>
        <v>0.21773041300364765</v>
      </c>
      <c r="AE23" s="1" t="s">
        <v>55</v>
      </c>
      <c r="AF23" s="10">
        <f>+NPV(AF22,Y16:CX16)</f>
        <v>150011.20722235966</v>
      </c>
    </row>
    <row r="24" spans="2:32" x14ac:dyDescent="0.2">
      <c r="B24" s="1" t="s">
        <v>47</v>
      </c>
      <c r="C24" s="9">
        <f>+C15/C12*-1</f>
        <v>0.12060041407867494</v>
      </c>
      <c r="D24" s="9">
        <f t="shared" ref="D24:N24" si="59">+D15/D12*-1</f>
        <v>0.12674961119751166</v>
      </c>
      <c r="E24" s="9">
        <f t="shared" si="59"/>
        <v>0.11381932021466905</v>
      </c>
      <c r="F24" s="9">
        <f t="shared" si="59"/>
        <v>0.14920894708128751</v>
      </c>
      <c r="G24" s="9">
        <f t="shared" si="59"/>
        <v>3.9756592292089249E-2</v>
      </c>
      <c r="H24" s="9">
        <f t="shared" si="59"/>
        <v>9.2344497607655507E-2</v>
      </c>
      <c r="I24" s="9">
        <f t="shared" si="59"/>
        <v>1.2068019747668678E-2</v>
      </c>
      <c r="J24" s="9">
        <f t="shared" si="59"/>
        <v>-0.1481218993621545</v>
      </c>
      <c r="K24" s="9">
        <f t="shared" si="59"/>
        <v>5.1571038251366122E-2</v>
      </c>
      <c r="L24" s="9">
        <f t="shared" si="59"/>
        <v>9.5299145299145294E-2</v>
      </c>
      <c r="M24" s="9">
        <f t="shared" si="59"/>
        <v>7.6992345790184602E-2</v>
      </c>
      <c r="N24" s="9">
        <f t="shared" si="59"/>
        <v>-0.12320805889190237</v>
      </c>
      <c r="O24" s="9">
        <f>+AVERAGE(C24:N24)</f>
        <v>5.0589997775516322E-2</v>
      </c>
      <c r="P24" s="9">
        <f t="shared" ref="P24:R24" si="60">+AVERAGE(D24:O24)</f>
        <v>4.475579641691977E-2</v>
      </c>
      <c r="Q24" s="9">
        <f t="shared" si="60"/>
        <v>3.7922978518537105E-2</v>
      </c>
      <c r="R24" s="9">
        <f t="shared" si="60"/>
        <v>3.1598283377192782E-2</v>
      </c>
      <c r="AE24" s="1" t="s">
        <v>1</v>
      </c>
      <c r="AF24" s="3">
        <f>+AF23/Main!J4</f>
        <v>135.02358885900961</v>
      </c>
    </row>
    <row r="25" spans="2:32" x14ac:dyDescent="0.2">
      <c r="B25" s="1" t="s">
        <v>70</v>
      </c>
      <c r="O25" s="2">
        <v>49000</v>
      </c>
      <c r="AE25" s="1" t="s">
        <v>56</v>
      </c>
      <c r="AF25" s="1">
        <v>164.56</v>
      </c>
    </row>
    <row r="26" spans="2:32" x14ac:dyDescent="0.2">
      <c r="AE26" s="1" t="s">
        <v>57</v>
      </c>
      <c r="AF26" s="9">
        <f>+AF24/AF25-1</f>
        <v>-0.17948718486260573</v>
      </c>
    </row>
  </sheetData>
  <hyperlinks>
    <hyperlink ref="A1" r:id="rId1" xr:uid="{EE52F421-9977-47E9-9D03-161139FD216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2025-01-19T12:16:28Z</dcterms:created>
  <dcterms:modified xsi:type="dcterms:W3CDTF">2025-01-19T16:22:10Z</dcterms:modified>
</cp:coreProperties>
</file>