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ipp\Documents\GitHub\Financial-Models\"/>
    </mc:Choice>
  </mc:AlternateContent>
  <xr:revisionPtr revIDLastSave="0" documentId="13_ncr:1_{B1B5FFD3-46FD-40C0-A324-3238BA96469D}" xr6:coauthVersionLast="47" xr6:coauthVersionMax="47" xr10:uidLastSave="{00000000-0000-0000-0000-000000000000}"/>
  <bookViews>
    <workbookView xWindow="1110" yWindow="885" windowWidth="24240" windowHeight="14445" xr2:uid="{5FA0205A-B168-4B72-B032-412A2FEFE68C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27" i="2" l="1"/>
  <c r="AM16" i="2"/>
  <c r="AN16" i="2" s="1"/>
  <c r="AO16" i="2" s="1"/>
  <c r="AP16" i="2" s="1"/>
  <c r="AQ16" i="2" s="1"/>
  <c r="AR16" i="2" s="1"/>
  <c r="AS16" i="2" s="1"/>
  <c r="AT16" i="2" s="1"/>
  <c r="AU16" i="2" s="1"/>
  <c r="AV16" i="2" s="1"/>
  <c r="AW16" i="2" s="1"/>
  <c r="AX16" i="2" s="1"/>
  <c r="AY16" i="2" s="1"/>
  <c r="AZ16" i="2" s="1"/>
  <c r="BA16" i="2" s="1"/>
  <c r="BB16" i="2" s="1"/>
  <c r="BC16" i="2" s="1"/>
  <c r="BD16" i="2" s="1"/>
  <c r="BE16" i="2" s="1"/>
  <c r="BF16" i="2" s="1"/>
  <c r="BG16" i="2" s="1"/>
  <c r="BH16" i="2" s="1"/>
  <c r="BI16" i="2" s="1"/>
  <c r="BJ16" i="2" s="1"/>
  <c r="BK16" i="2" s="1"/>
  <c r="BL16" i="2" s="1"/>
  <c r="BM16" i="2" s="1"/>
  <c r="BN16" i="2" s="1"/>
  <c r="BO16" i="2" s="1"/>
  <c r="BP16" i="2" s="1"/>
  <c r="BQ16" i="2" s="1"/>
  <c r="BR16" i="2" s="1"/>
  <c r="BS16" i="2" s="1"/>
  <c r="BT16" i="2" s="1"/>
  <c r="BU16" i="2" s="1"/>
  <c r="BV16" i="2" s="1"/>
  <c r="BW16" i="2" s="1"/>
  <c r="BX16" i="2" s="1"/>
  <c r="BY16" i="2" s="1"/>
  <c r="BZ16" i="2" s="1"/>
  <c r="CA16" i="2" s="1"/>
  <c r="CB16" i="2" s="1"/>
  <c r="CC16" i="2" s="1"/>
  <c r="CD16" i="2" s="1"/>
  <c r="CE16" i="2" s="1"/>
  <c r="CF16" i="2" s="1"/>
  <c r="CG16" i="2" s="1"/>
  <c r="CH16" i="2" s="1"/>
  <c r="CI16" i="2" s="1"/>
  <c r="CJ16" i="2" s="1"/>
  <c r="CK16" i="2" s="1"/>
  <c r="CL16" i="2" s="1"/>
  <c r="CM16" i="2" s="1"/>
  <c r="CN16" i="2" s="1"/>
  <c r="CO16" i="2" s="1"/>
  <c r="CP16" i="2" s="1"/>
  <c r="CQ16" i="2" s="1"/>
  <c r="CR16" i="2" s="1"/>
  <c r="CS16" i="2" s="1"/>
  <c r="CT16" i="2" s="1"/>
  <c r="CU16" i="2" s="1"/>
  <c r="CV16" i="2" s="1"/>
  <c r="AL16" i="2"/>
  <c r="AD16" i="2"/>
  <c r="AE16" i="2" s="1"/>
  <c r="AF16" i="2" s="1"/>
  <c r="AG16" i="2" s="1"/>
  <c r="AH16" i="2" s="1"/>
  <c r="AI16" i="2" s="1"/>
  <c r="AJ16" i="2" s="1"/>
  <c r="AK16" i="2" s="1"/>
  <c r="AC16" i="2"/>
  <c r="AA15" i="2"/>
  <c r="AB15" i="2" s="1"/>
  <c r="Z15" i="2"/>
  <c r="Y15" i="2"/>
  <c r="Z13" i="2"/>
  <c r="AA13" i="2" s="1"/>
  <c r="Y13" i="2"/>
  <c r="Z14" i="2"/>
  <c r="Z16" i="2" s="1"/>
  <c r="Y14" i="2"/>
  <c r="AB18" i="2"/>
  <c r="AA18" i="2"/>
  <c r="Z18" i="2"/>
  <c r="Y18" i="2"/>
  <c r="AB11" i="2"/>
  <c r="AB12" i="2" s="1"/>
  <c r="AA11" i="2"/>
  <c r="AA12" i="2" s="1"/>
  <c r="Z11" i="2"/>
  <c r="Z12" i="2" s="1"/>
  <c r="Y11" i="2"/>
  <c r="Y12" i="2" s="1"/>
  <c r="Z10" i="2"/>
  <c r="AA10" i="2" s="1"/>
  <c r="AB10" i="2" s="1"/>
  <c r="Y10" i="2"/>
  <c r="AB9" i="2"/>
  <c r="AA9" i="2"/>
  <c r="Z9" i="2"/>
  <c r="Y9" i="2"/>
  <c r="AB7" i="2"/>
  <c r="AA7" i="2"/>
  <c r="Z7" i="2"/>
  <c r="Y7" i="2"/>
  <c r="AB8" i="2"/>
  <c r="AA8" i="2"/>
  <c r="Z8" i="2"/>
  <c r="Y8" i="2"/>
  <c r="Z6" i="2"/>
  <c r="AA6" i="2" s="1"/>
  <c r="AB6" i="2" s="1"/>
  <c r="Y6" i="2"/>
  <c r="J10" i="1"/>
  <c r="U72" i="2"/>
  <c r="U81" i="2" s="1"/>
  <c r="U69" i="2"/>
  <c r="U60" i="2"/>
  <c r="V81" i="2"/>
  <c r="V69" i="2"/>
  <c r="W26" i="2"/>
  <c r="V26" i="2"/>
  <c r="U26" i="2"/>
  <c r="M26" i="2"/>
  <c r="D20" i="2"/>
  <c r="M81" i="2"/>
  <c r="M69" i="2"/>
  <c r="M61" i="2"/>
  <c r="M54" i="2"/>
  <c r="L51" i="2"/>
  <c r="L48" i="2"/>
  <c r="L45" i="2"/>
  <c r="L39" i="2"/>
  <c r="X9" i="2"/>
  <c r="W15" i="2"/>
  <c r="W13" i="2"/>
  <c r="W10" i="2"/>
  <c r="W9" i="2"/>
  <c r="W7" i="2"/>
  <c r="W6" i="2"/>
  <c r="C18" i="2"/>
  <c r="D18" i="2"/>
  <c r="K18" i="2"/>
  <c r="J18" i="2"/>
  <c r="G18" i="2"/>
  <c r="F18" i="2"/>
  <c r="E18" i="2"/>
  <c r="V15" i="2"/>
  <c r="V13" i="2"/>
  <c r="V10" i="2"/>
  <c r="V9" i="2"/>
  <c r="V7" i="2"/>
  <c r="V6" i="2"/>
  <c r="U15" i="2"/>
  <c r="U13" i="2"/>
  <c r="U10" i="2"/>
  <c r="U9" i="2"/>
  <c r="U11" i="2" s="1"/>
  <c r="U7" i="2"/>
  <c r="U6" i="2"/>
  <c r="V2" i="2"/>
  <c r="W2" i="2" s="1"/>
  <c r="X2" i="2" s="1"/>
  <c r="Y2" i="2" s="1"/>
  <c r="Z2" i="2" s="1"/>
  <c r="AA2" i="2" s="1"/>
  <c r="AB2" i="2" s="1"/>
  <c r="P6" i="2"/>
  <c r="P8" i="2" s="1"/>
  <c r="O13" i="2"/>
  <c r="O10" i="2"/>
  <c r="N24" i="2"/>
  <c r="O8" i="2"/>
  <c r="O20" i="2" s="1"/>
  <c r="M51" i="2"/>
  <c r="M48" i="2"/>
  <c r="M45" i="2"/>
  <c r="M28" i="2" s="1"/>
  <c r="M39" i="2"/>
  <c r="N51" i="2"/>
  <c r="N48" i="2"/>
  <c r="N45" i="2"/>
  <c r="N28" i="2" s="1"/>
  <c r="N39" i="2"/>
  <c r="M21" i="2"/>
  <c r="L21" i="2"/>
  <c r="K21" i="2"/>
  <c r="J21" i="2"/>
  <c r="I21" i="2"/>
  <c r="H21" i="2"/>
  <c r="G21" i="2"/>
  <c r="N21" i="2"/>
  <c r="C11" i="2"/>
  <c r="C8" i="2"/>
  <c r="C20" i="2" s="1"/>
  <c r="D11" i="2"/>
  <c r="D8" i="2"/>
  <c r="E11" i="2"/>
  <c r="E8" i="2"/>
  <c r="E20" i="2" s="1"/>
  <c r="N11" i="2"/>
  <c r="N8" i="2"/>
  <c r="N20" i="2" s="1"/>
  <c r="F11" i="2"/>
  <c r="F8" i="2"/>
  <c r="F20" i="2" s="1"/>
  <c r="J11" i="2"/>
  <c r="J8" i="2"/>
  <c r="J20" i="2" s="1"/>
  <c r="G11" i="2"/>
  <c r="G8" i="2"/>
  <c r="G20" i="2" s="1"/>
  <c r="K11" i="2"/>
  <c r="K8" i="2"/>
  <c r="K20" i="2" s="1"/>
  <c r="H11" i="2"/>
  <c r="H8" i="2"/>
  <c r="H20" i="2" s="1"/>
  <c r="L8" i="2"/>
  <c r="L20" i="2" s="1"/>
  <c r="L11" i="2"/>
  <c r="I11" i="2"/>
  <c r="I8" i="2"/>
  <c r="I20" i="2" s="1"/>
  <c r="M11" i="2"/>
  <c r="M8" i="2"/>
  <c r="M20" i="2" s="1"/>
  <c r="J8" i="1"/>
  <c r="J7" i="1"/>
  <c r="J6" i="1"/>
  <c r="J9" i="1" s="1"/>
  <c r="Y16" i="2" l="1"/>
  <c r="AB13" i="2"/>
  <c r="AB14" i="2" s="1"/>
  <c r="AB16" i="2" s="1"/>
  <c r="AA14" i="2"/>
  <c r="AA16" i="2" s="1"/>
  <c r="AA17" i="2" s="1"/>
  <c r="Z17" i="2"/>
  <c r="Y17" i="2"/>
  <c r="AB17" i="2"/>
  <c r="U8" i="2"/>
  <c r="V18" i="2"/>
  <c r="V20" i="2"/>
  <c r="X18" i="2"/>
  <c r="W20" i="2"/>
  <c r="V8" i="2"/>
  <c r="U18" i="2"/>
  <c r="P10" i="2"/>
  <c r="P11" i="2" s="1"/>
  <c r="P12" i="2" s="1"/>
  <c r="W18" i="2"/>
  <c r="O7" i="2"/>
  <c r="U12" i="2"/>
  <c r="U14" i="2" s="1"/>
  <c r="U16" i="2" s="1"/>
  <c r="N49" i="2"/>
  <c r="N52" i="2" s="1"/>
  <c r="W11" i="2"/>
  <c r="V11" i="2"/>
  <c r="V12" i="2" s="1"/>
  <c r="V14" i="2" s="1"/>
  <c r="V16" i="2" s="1"/>
  <c r="V17" i="2" s="1"/>
  <c r="L49" i="2"/>
  <c r="L52" i="2" s="1"/>
  <c r="O11" i="2"/>
  <c r="O12" i="2" s="1"/>
  <c r="O14" i="2" s="1"/>
  <c r="O15" i="2" s="1"/>
  <c r="P13" i="2"/>
  <c r="L28" i="2"/>
  <c r="M49" i="2"/>
  <c r="M52" i="2" s="1"/>
  <c r="M12" i="2"/>
  <c r="M23" i="2" s="1"/>
  <c r="P7" i="2"/>
  <c r="Q6" i="2"/>
  <c r="W8" i="2"/>
  <c r="C12" i="2"/>
  <c r="D12" i="2"/>
  <c r="E12" i="2"/>
  <c r="N12" i="2"/>
  <c r="F12" i="2"/>
  <c r="J12" i="2"/>
  <c r="G12" i="2"/>
  <c r="K12" i="2"/>
  <c r="H12" i="2"/>
  <c r="L12" i="2"/>
  <c r="I12" i="2"/>
  <c r="P14" i="2" l="1"/>
  <c r="Q13" i="2"/>
  <c r="R13" i="2" s="1"/>
  <c r="U17" i="2"/>
  <c r="M14" i="2"/>
  <c r="M22" i="2" s="1"/>
  <c r="W12" i="2"/>
  <c r="W14" i="2" s="1"/>
  <c r="W16" i="2" s="1"/>
  <c r="W17" i="2" s="1"/>
  <c r="P15" i="2"/>
  <c r="P16" i="2"/>
  <c r="P17" i="2" s="1"/>
  <c r="O16" i="2"/>
  <c r="R6" i="2"/>
  <c r="Q8" i="2"/>
  <c r="Q7" i="2" s="1"/>
  <c r="Q10" i="2"/>
  <c r="J14" i="2"/>
  <c r="J23" i="2"/>
  <c r="F14" i="2"/>
  <c r="F23" i="2"/>
  <c r="I14" i="2"/>
  <c r="I23" i="2"/>
  <c r="E14" i="2"/>
  <c r="E23" i="2"/>
  <c r="G14" i="2"/>
  <c r="G23" i="2"/>
  <c r="L14" i="2"/>
  <c r="L23" i="2"/>
  <c r="N14" i="2"/>
  <c r="N23" i="2"/>
  <c r="D14" i="2"/>
  <c r="D23" i="2"/>
  <c r="H14" i="2"/>
  <c r="H23" i="2"/>
  <c r="C14" i="2"/>
  <c r="C23" i="2"/>
  <c r="K14" i="2"/>
  <c r="K23" i="2"/>
  <c r="M16" i="2" l="1"/>
  <c r="M17" i="2" s="1"/>
  <c r="X13" i="2"/>
  <c r="R8" i="2"/>
  <c r="R10" i="2"/>
  <c r="R11" i="2" s="1"/>
  <c r="O17" i="2"/>
  <c r="O28" i="2"/>
  <c r="P28" i="2" s="1"/>
  <c r="X6" i="2"/>
  <c r="Q11" i="2"/>
  <c r="Q12" i="2" s="1"/>
  <c r="Q14" i="2" s="1"/>
  <c r="K16" i="2"/>
  <c r="K17" i="2" s="1"/>
  <c r="K22" i="2"/>
  <c r="E16" i="2"/>
  <c r="E17" i="2" s="1"/>
  <c r="E22" i="2"/>
  <c r="L16" i="2"/>
  <c r="L17" i="2" s="1"/>
  <c r="L22" i="2"/>
  <c r="N16" i="2"/>
  <c r="N17" i="2" s="1"/>
  <c r="N22" i="2"/>
  <c r="C16" i="2"/>
  <c r="C17" i="2" s="1"/>
  <c r="C22" i="2"/>
  <c r="D16" i="2"/>
  <c r="D17" i="2" s="1"/>
  <c r="D22" i="2"/>
  <c r="I16" i="2"/>
  <c r="I17" i="2" s="1"/>
  <c r="I22" i="2"/>
  <c r="F16" i="2"/>
  <c r="F17" i="2" s="1"/>
  <c r="F22" i="2"/>
  <c r="H16" i="2"/>
  <c r="H17" i="2" s="1"/>
  <c r="H22" i="2"/>
  <c r="G16" i="2"/>
  <c r="G17" i="2" s="1"/>
  <c r="G22" i="2"/>
  <c r="J16" i="2"/>
  <c r="J17" i="2" s="1"/>
  <c r="J22" i="2"/>
  <c r="X10" i="2" l="1"/>
  <c r="X11" i="2" s="1"/>
  <c r="Q15" i="2"/>
  <c r="Q16" i="2"/>
  <c r="Q17" i="2" s="1"/>
  <c r="X20" i="2"/>
  <c r="R7" i="2"/>
  <c r="X7" i="2" s="1"/>
  <c r="X8" i="2" s="1"/>
  <c r="R12" i="2"/>
  <c r="R14" i="2" s="1"/>
  <c r="R15" i="2" s="1"/>
  <c r="R16" i="2" s="1"/>
  <c r="R17" i="2" s="1"/>
  <c r="X12" i="2" l="1"/>
  <c r="X14" i="2" s="1"/>
  <c r="Q28" i="2"/>
  <c r="R28" i="2" s="1"/>
  <c r="X15" i="2"/>
  <c r="X16" i="2" l="1"/>
  <c r="X17" i="2"/>
  <c r="AA24" i="2"/>
  <c r="AA25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Kipp</author>
  </authors>
  <commentList>
    <comment ref="O6" authorId="0" shapeId="0" xr:uid="{A997AD36-6E1A-4C3E-852D-BEBB2B5870C3}">
      <text>
        <r>
          <rPr>
            <b/>
            <sz val="9"/>
            <color indexed="81"/>
            <rFont val="Tahoma"/>
            <family val="2"/>
            <charset val="186"/>
          </rPr>
          <t>Kipp:</t>
        </r>
        <r>
          <rPr>
            <sz val="9"/>
            <color indexed="81"/>
            <rFont val="Tahoma"/>
            <family val="2"/>
            <charset val="186"/>
          </rPr>
          <t xml:space="preserve">
guidance, 4-4.1bn
</t>
        </r>
      </text>
    </comment>
  </commentList>
</comments>
</file>

<file path=xl/sharedStrings.xml><?xml version="1.0" encoding="utf-8"?>
<sst xmlns="http://schemas.openxmlformats.org/spreadsheetml/2006/main" count="107" uniqueCount="90">
  <si>
    <t>Price</t>
  </si>
  <si>
    <t>Shares</t>
  </si>
  <si>
    <t>MC</t>
  </si>
  <si>
    <t>Cash</t>
  </si>
  <si>
    <t>Debt</t>
  </si>
  <si>
    <t>EV</t>
  </si>
  <si>
    <t>Main</t>
  </si>
  <si>
    <t>Revenue</t>
  </si>
  <si>
    <t>Q122</t>
  </si>
  <si>
    <t>Q222</t>
  </si>
  <si>
    <t>Q322</t>
  </si>
  <si>
    <t>Q422</t>
  </si>
  <si>
    <t>Q123</t>
  </si>
  <si>
    <t>Q223</t>
  </si>
  <si>
    <t>Q323</t>
  </si>
  <si>
    <t>Q423</t>
  </si>
  <si>
    <t>Q124</t>
  </si>
  <si>
    <t>Q224</t>
  </si>
  <si>
    <t>Q324</t>
  </si>
  <si>
    <t>Q424</t>
  </si>
  <si>
    <t>Q125</t>
  </si>
  <si>
    <t>Q225</t>
  </si>
  <si>
    <t>Q325</t>
  </si>
  <si>
    <t>Q425</t>
  </si>
  <si>
    <t>COGS</t>
  </si>
  <si>
    <t>Gross Profit</t>
  </si>
  <si>
    <t>Acquisitions</t>
  </si>
  <si>
    <t>SG&amp;A</t>
  </si>
  <si>
    <t>OpEx</t>
  </si>
  <si>
    <t>OpInc</t>
  </si>
  <si>
    <t>Interest</t>
  </si>
  <si>
    <t>Pretax</t>
  </si>
  <si>
    <t>Taxes</t>
  </si>
  <si>
    <t>Net Income</t>
  </si>
  <si>
    <t>EPS</t>
  </si>
  <si>
    <t>Gross Margin</t>
  </si>
  <si>
    <t>Revenue y/y</t>
  </si>
  <si>
    <t>Profit margin</t>
  </si>
  <si>
    <t>Net Cash</t>
  </si>
  <si>
    <t>Cash+</t>
  </si>
  <si>
    <t>SI</t>
  </si>
  <si>
    <t>A/R</t>
  </si>
  <si>
    <t>Inventories</t>
  </si>
  <si>
    <t>Prepaid</t>
  </si>
  <si>
    <t>PP&amp;E</t>
  </si>
  <si>
    <t>Goodwill</t>
  </si>
  <si>
    <t>Intangibles</t>
  </si>
  <si>
    <t>Others</t>
  </si>
  <si>
    <t>Total Assets</t>
  </si>
  <si>
    <t>A/P</t>
  </si>
  <si>
    <t>Salaries</t>
  </si>
  <si>
    <t>Other</t>
  </si>
  <si>
    <t>Pension</t>
  </si>
  <si>
    <t>D/T</t>
  </si>
  <si>
    <t>Total</t>
  </si>
  <si>
    <t>Dividends</t>
  </si>
  <si>
    <t>S/E</t>
  </si>
  <si>
    <t>L + S/E</t>
  </si>
  <si>
    <t>Carlisle Technologies</t>
  </si>
  <si>
    <t>Luetze</t>
  </si>
  <si>
    <t>Acquisitions(2024):</t>
  </si>
  <si>
    <t>SG&amp;A of Rev</t>
  </si>
  <si>
    <t>2-1 stock split May 31, 2024</t>
  </si>
  <si>
    <t>designs, manufactures, markets electrical, electronic and fiber optic connectors</t>
  </si>
  <si>
    <t>Harsh environment</t>
  </si>
  <si>
    <t>Comms</t>
  </si>
  <si>
    <t>Interconnect and sensor</t>
  </si>
  <si>
    <t>Model NI</t>
  </si>
  <si>
    <t>Reported NI</t>
  </si>
  <si>
    <t>DA</t>
  </si>
  <si>
    <t>SBC</t>
  </si>
  <si>
    <t>WC</t>
  </si>
  <si>
    <t>CFFO</t>
  </si>
  <si>
    <t>CapEx</t>
  </si>
  <si>
    <t>Investments</t>
  </si>
  <si>
    <t>Sales</t>
  </si>
  <si>
    <t>CFFI</t>
  </si>
  <si>
    <t>Repayments</t>
  </si>
  <si>
    <t>Financing</t>
  </si>
  <si>
    <t>Borrowings</t>
  </si>
  <si>
    <t>Treasury</t>
  </si>
  <si>
    <t>SO</t>
  </si>
  <si>
    <t>Distributions</t>
  </si>
  <si>
    <t>CFFF</t>
  </si>
  <si>
    <t>FCF</t>
  </si>
  <si>
    <t>Terminal</t>
  </si>
  <si>
    <t>Discount</t>
  </si>
  <si>
    <t>NPV</t>
  </si>
  <si>
    <t>Current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</si>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</sst>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theme="1"/>
      <name val="Arial"/>
      <family val="2"/>
    </font>
    <font>
      <u/>
      <sz val="10"/>
      <color theme="10"/>
      <name val="Arial"/>
      <family val="2"/>
    </font>
    <font>
      <b/>
      <sz val="10"/>
      <color theme="1"/>
      <name val="Arial"/>
      <family val="2"/>
      <charset val="186"/>
    </font>
    <font>
      <b/>
      <u/>
      <sz val="10"/>
      <color theme="1"/>
      <name val="Arial"/>
      <family val="2"/>
      <charset val="186"/>
    </font>
    <font>
      <sz val="9"/>
      <color indexed="81"/>
      <name val="Tahoma"/>
      <family val="2"/>
      <charset val="186"/>
    </font>
    <font>
      <b/>
      <sz val="9"/>
      <color indexed="81"/>
      <name val="Tahoma"/>
      <family val="2"/>
      <charset val="186"/>
    </font>
    <font>
      <sz val="10"/>
      <color theme="1"/>
      <name val="Arial"/>
      <family val="2"/>
      <charset val="18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3" fontId="0" fillId="0" borderId="0" xfId="0" applyNumberFormat="1"/>
    <xf numFmtId="0" fontId="1" fillId="0" borderId="0" xfId="1"/>
    <xf numFmtId="0" fontId="2" fillId="0" borderId="0" xfId="0" applyFont="1"/>
    <xf numFmtId="3" fontId="2" fillId="0" borderId="0" xfId="0" applyNumberFormat="1" applyFont="1"/>
    <xf numFmtId="4" fontId="0" fillId="0" borderId="0" xfId="0" applyNumberFormat="1"/>
    <xf numFmtId="9" fontId="0" fillId="0" borderId="0" xfId="0" applyNumberFormat="1"/>
    <xf numFmtId="0" fontId="3" fillId="0" borderId="0" xfId="0" applyFont="1"/>
    <xf numFmtId="3" fontId="6" fillId="0" borderId="0" xfId="0" applyNumberFormat="1" applyFont="1"/>
    <xf numFmtId="4" fontId="6" fillId="0" borderId="0" xfId="0" applyNumberFormat="1" applyFont="1"/>
    <xf numFmtId="38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600807</xdr:colOff>
      <xdr:row>0</xdr:row>
      <xdr:rowOff>36635</xdr:rowOff>
    </xdr:from>
    <xdr:to>
      <xdr:col>14</xdr:col>
      <xdr:colOff>14654</xdr:colOff>
      <xdr:row>79</xdr:row>
      <xdr:rowOff>65942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48027A75-5ED1-712C-073F-26AD52E4C42D}"/>
            </a:ext>
          </a:extLst>
        </xdr:cNvPr>
        <xdr:cNvCxnSpPr/>
      </xdr:nvCxnSpPr>
      <xdr:spPr>
        <a:xfrm flipH="1">
          <a:off x="8440615" y="36635"/>
          <a:ext cx="21981" cy="1244111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0</xdr:colOff>
      <xdr:row>0</xdr:row>
      <xdr:rowOff>29308</xdr:rowOff>
    </xdr:from>
    <xdr:to>
      <xdr:col>23</xdr:col>
      <xdr:colOff>21981</xdr:colOff>
      <xdr:row>33</xdr:row>
      <xdr:rowOff>80596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EA70C4B4-648C-1EB4-2816-B75FAF51A5F1}"/>
            </a:ext>
          </a:extLst>
        </xdr:cNvPr>
        <xdr:cNvCxnSpPr/>
      </xdr:nvCxnSpPr>
      <xdr:spPr>
        <a:xfrm flipH="1">
          <a:off x="13921154" y="29308"/>
          <a:ext cx="21981" cy="4564673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hyperlink" Target="Semiconductors.xlsx" TargetMode="Externa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8A2270-0DC8-48E9-A2B7-63EAACB935D9}">
  <dimension ref="B2:K10"/>
  <sheetViews>
    <sheetView tabSelected="1" zoomScale="145" zoomScaleNormal="145" workbookViewId="0">
      <selection activeCell="J10" sqref="J10"/>
    </sheetView>
  </sheetViews>
  <sheetFormatPr defaultRowHeight="12.75" x14ac:dyDescent="0.2"/>
  <sheetData>
    <row r="2" spans="2:11" x14ac:dyDescent="0.2">
      <c r="B2" s="7" t="s">
        <v>60</v>
      </c>
      <c r="E2" t="s">
        <v>63</v>
      </c>
    </row>
    <row r="3" spans="2:11" x14ac:dyDescent="0.2">
      <c r="B3" t="s">
        <v>58</v>
      </c>
    </row>
    <row r="4" spans="2:11" x14ac:dyDescent="0.2">
      <c r="B4" t="s">
        <v>59</v>
      </c>
      <c r="I4" t="s">
        <v>0</v>
      </c>
      <c r="J4">
        <v>69.22</v>
      </c>
    </row>
    <row r="5" spans="2:11" x14ac:dyDescent="0.2">
      <c r="I5" t="s">
        <v>1</v>
      </c>
      <c r="J5" s="1">
        <v>1205</v>
      </c>
      <c r="K5" t="s">
        <v>18</v>
      </c>
    </row>
    <row r="6" spans="2:11" x14ac:dyDescent="0.2">
      <c r="B6" t="s">
        <v>62</v>
      </c>
      <c r="I6" t="s">
        <v>2</v>
      </c>
      <c r="J6" s="1">
        <f>+J5*J4</f>
        <v>83410.100000000006</v>
      </c>
    </row>
    <row r="7" spans="2:11" x14ac:dyDescent="0.2">
      <c r="I7" t="s">
        <v>3</v>
      </c>
      <c r="J7" s="1">
        <f>1563+20.3</f>
        <v>1583.3</v>
      </c>
      <c r="K7" t="s">
        <v>18</v>
      </c>
    </row>
    <row r="8" spans="2:11" x14ac:dyDescent="0.2">
      <c r="I8" t="s">
        <v>4</v>
      </c>
      <c r="J8" s="1">
        <f>403.1+5081</f>
        <v>5484.1</v>
      </c>
      <c r="K8" t="s">
        <v>18</v>
      </c>
    </row>
    <row r="9" spans="2:11" x14ac:dyDescent="0.2">
      <c r="I9" t="s">
        <v>5</v>
      </c>
      <c r="J9" s="1">
        <f>+J6-J7+J8</f>
        <v>87310.900000000009</v>
      </c>
    </row>
    <row r="10" spans="2:11" x14ac:dyDescent="0.2">
      <c r="I10">
        <v>1.92</v>
      </c>
      <c r="J10" s="1">
        <f>+J4/I10</f>
        <v>36.052083333333336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3F871-656C-4C01-A743-27A1EE33544A}">
  <dimension ref="A1:CY81"/>
  <sheetViews>
    <sheetView zoomScale="130" zoomScaleNormal="130" workbookViewId="0">
      <pane xSplit="2" ySplit="2" topLeftCell="V15" activePane="bottomRight" state="frozen"/>
      <selection pane="topRight" activeCell="C1" sqref="C1"/>
      <selection pane="bottomLeft" activeCell="A3" sqref="A3"/>
      <selection pane="bottomRight" activeCell="AA27" sqref="AA27"/>
    </sheetView>
  </sheetViews>
  <sheetFormatPr defaultRowHeight="12.75" x14ac:dyDescent="0.2"/>
  <cols>
    <col min="1" max="1" width="5" bestFit="1" customWidth="1"/>
    <col min="2" max="2" width="12.140625" bestFit="1" customWidth="1"/>
    <col min="27" max="27" width="10.7109375" bestFit="1" customWidth="1"/>
  </cols>
  <sheetData>
    <row r="1" spans="1:103" x14ac:dyDescent="0.2">
      <c r="A1" s="2" t="s">
        <v>6</v>
      </c>
    </row>
    <row r="2" spans="1:103" x14ac:dyDescent="0.2">
      <c r="C2" t="s">
        <v>8</v>
      </c>
      <c r="D2" t="s">
        <v>9</v>
      </c>
      <c r="E2" t="s">
        <v>10</v>
      </c>
      <c r="F2" t="s">
        <v>11</v>
      </c>
      <c r="G2" t="s">
        <v>12</v>
      </c>
      <c r="H2" t="s">
        <v>13</v>
      </c>
      <c r="I2" t="s">
        <v>14</v>
      </c>
      <c r="J2" t="s">
        <v>15</v>
      </c>
      <c r="K2" t="s">
        <v>16</v>
      </c>
      <c r="L2" t="s">
        <v>17</v>
      </c>
      <c r="M2" t="s">
        <v>18</v>
      </c>
      <c r="N2" t="s">
        <v>19</v>
      </c>
      <c r="O2" t="s">
        <v>20</v>
      </c>
      <c r="P2" t="s">
        <v>21</v>
      </c>
      <c r="Q2" t="s">
        <v>22</v>
      </c>
      <c r="R2" t="s">
        <v>23</v>
      </c>
      <c r="U2">
        <v>2022</v>
      </c>
      <c r="V2">
        <f>+U2+1</f>
        <v>2023</v>
      </c>
      <c r="W2">
        <f t="shared" ref="W2:AB2" si="0">+V2+1</f>
        <v>2024</v>
      </c>
      <c r="X2">
        <f t="shared" si="0"/>
        <v>2025</v>
      </c>
      <c r="Y2">
        <f t="shared" si="0"/>
        <v>2026</v>
      </c>
      <c r="Z2">
        <f t="shared" si="0"/>
        <v>2027</v>
      </c>
      <c r="AA2">
        <f t="shared" si="0"/>
        <v>2028</v>
      </c>
      <c r="AB2">
        <f t="shared" si="0"/>
        <v>2029</v>
      </c>
    </row>
    <row r="3" spans="1:103" x14ac:dyDescent="0.2">
      <c r="B3" t="s">
        <v>64</v>
      </c>
      <c r="J3" s="1">
        <v>900.3</v>
      </c>
      <c r="N3" s="1">
        <v>1261.9000000000001</v>
      </c>
    </row>
    <row r="4" spans="1:103" x14ac:dyDescent="0.2">
      <c r="B4" t="s">
        <v>65</v>
      </c>
      <c r="J4" s="1">
        <v>1345.3</v>
      </c>
      <c r="N4" s="1">
        <v>1928</v>
      </c>
    </row>
    <row r="5" spans="1:103" x14ac:dyDescent="0.2">
      <c r="B5" t="s">
        <v>66</v>
      </c>
      <c r="J5" s="1">
        <v>1081.9000000000001</v>
      </c>
      <c r="N5" s="1">
        <v>1128</v>
      </c>
    </row>
    <row r="6" spans="1:103" s="3" customFormat="1" x14ac:dyDescent="0.2">
      <c r="B6" s="3" t="s">
        <v>7</v>
      </c>
      <c r="C6" s="4">
        <v>2951.9</v>
      </c>
      <c r="D6" s="4">
        <v>3136.8</v>
      </c>
      <c r="E6" s="4">
        <v>3295.2</v>
      </c>
      <c r="F6" s="4">
        <v>3239.2</v>
      </c>
      <c r="G6" s="4">
        <v>2974</v>
      </c>
      <c r="H6" s="4">
        <v>3053.9</v>
      </c>
      <c r="I6" s="4">
        <v>3119.2</v>
      </c>
      <c r="J6" s="4">
        <v>3327.5</v>
      </c>
      <c r="K6" s="4">
        <v>3256.3</v>
      </c>
      <c r="L6" s="4">
        <v>3609.7</v>
      </c>
      <c r="M6" s="4">
        <v>4038.8</v>
      </c>
      <c r="N6" s="4">
        <v>4317.8999999999996</v>
      </c>
      <c r="O6" s="4">
        <v>4050</v>
      </c>
      <c r="P6" s="4">
        <f>+O6*1.2</f>
        <v>4860</v>
      </c>
      <c r="Q6" s="4">
        <f>+P6*1.1</f>
        <v>5346</v>
      </c>
      <c r="R6" s="4">
        <f>+Q6*1.1</f>
        <v>5880.6</v>
      </c>
      <c r="U6" s="4">
        <f>+SUM(C6:F6)</f>
        <v>12623.100000000002</v>
      </c>
      <c r="V6" s="4">
        <f>+SUM(G6:J6)</f>
        <v>12474.599999999999</v>
      </c>
      <c r="W6" s="4">
        <f>+SUM(K6:N6)</f>
        <v>15222.699999999999</v>
      </c>
      <c r="X6" s="4">
        <f>+SUM(O6:R6)</f>
        <v>20136.599999999999</v>
      </c>
      <c r="Y6" s="4">
        <f>+X6*1.05</f>
        <v>21143.43</v>
      </c>
      <c r="Z6" s="4">
        <f t="shared" ref="Z6:AB6" si="1">+Y6*1.05</f>
        <v>22200.601500000001</v>
      </c>
      <c r="AA6" s="4">
        <f t="shared" si="1"/>
        <v>23310.631575000003</v>
      </c>
      <c r="AB6" s="4">
        <f t="shared" si="1"/>
        <v>24476.163153750003</v>
      </c>
    </row>
    <row r="7" spans="1:103" x14ac:dyDescent="0.2">
      <c r="B7" t="s">
        <v>24</v>
      </c>
      <c r="C7" s="1">
        <v>2025.3</v>
      </c>
      <c r="D7" s="1">
        <v>2132.6</v>
      </c>
      <c r="E7" s="1">
        <v>2235.1999999999998</v>
      </c>
      <c r="F7" s="1">
        <v>2201.6999999999998</v>
      </c>
      <c r="G7" s="1">
        <v>2030.6</v>
      </c>
      <c r="H7" s="1">
        <v>2062.1999999999998</v>
      </c>
      <c r="I7" s="1">
        <v>2150.6999999999998</v>
      </c>
      <c r="J7" s="1">
        <v>2227.1</v>
      </c>
      <c r="K7" s="1">
        <v>2167.3000000000002</v>
      </c>
      <c r="L7" s="1">
        <v>2396.6</v>
      </c>
      <c r="M7" s="1">
        <v>2681.9</v>
      </c>
      <c r="N7" s="1">
        <v>2837.2</v>
      </c>
      <c r="O7" s="1">
        <f>+O6-O8</f>
        <v>2673</v>
      </c>
      <c r="P7" s="1">
        <f t="shared" ref="P7:R7" si="2">+P6-P8</f>
        <v>3207.6</v>
      </c>
      <c r="Q7" s="1">
        <f t="shared" si="2"/>
        <v>3528.3599999999997</v>
      </c>
      <c r="R7" s="1">
        <f t="shared" si="2"/>
        <v>3881.1959999999999</v>
      </c>
      <c r="U7" s="8">
        <f>+SUM(C7:F7)</f>
        <v>8594.7999999999993</v>
      </c>
      <c r="V7" s="8">
        <f>+SUM(G7:J7)</f>
        <v>8470.6</v>
      </c>
      <c r="W7" s="8">
        <f>+SUM(K7:N7)</f>
        <v>10083</v>
      </c>
      <c r="X7" s="8">
        <f>+SUM(O7:R7)</f>
        <v>13290.155999999999</v>
      </c>
      <c r="Y7" s="8">
        <f>+Y6-Y8</f>
        <v>13743.229500000001</v>
      </c>
      <c r="Z7" s="8">
        <f t="shared" ref="Z7:AB7" si="3">+Z6-Z8</f>
        <v>14430.390975000002</v>
      </c>
      <c r="AA7" s="8">
        <f t="shared" si="3"/>
        <v>15151.910523750003</v>
      </c>
      <c r="AB7" s="8">
        <f t="shared" si="3"/>
        <v>15909.506049937503</v>
      </c>
    </row>
    <row r="8" spans="1:103" s="3" customFormat="1" x14ac:dyDescent="0.2">
      <c r="B8" s="3" t="s">
        <v>25</v>
      </c>
      <c r="C8" s="4">
        <f>+C6-C7</f>
        <v>926.60000000000014</v>
      </c>
      <c r="D8" s="4">
        <f>+D6-D7</f>
        <v>1004.2000000000003</v>
      </c>
      <c r="E8" s="4">
        <f>+E6-E7</f>
        <v>1060</v>
      </c>
      <c r="F8" s="4">
        <f>+F6-F7</f>
        <v>1037.5</v>
      </c>
      <c r="G8" s="4">
        <f>+G6-G7</f>
        <v>943.40000000000009</v>
      </c>
      <c r="H8" s="4">
        <f>+H6-H7</f>
        <v>991.70000000000027</v>
      </c>
      <c r="I8" s="4">
        <f>+I6-I7</f>
        <v>968.5</v>
      </c>
      <c r="J8" s="4">
        <f>+J6-J7</f>
        <v>1100.4000000000001</v>
      </c>
      <c r="K8" s="4">
        <f>+K6-K7</f>
        <v>1089</v>
      </c>
      <c r="L8" s="4">
        <f>+L6-L7</f>
        <v>1213.0999999999999</v>
      </c>
      <c r="M8" s="4">
        <f>+M6-M7</f>
        <v>1356.9</v>
      </c>
      <c r="N8" s="4">
        <f>+N6-N7</f>
        <v>1480.6999999999998</v>
      </c>
      <c r="O8" s="4">
        <f>+O6*0.34</f>
        <v>1377</v>
      </c>
      <c r="P8" s="4">
        <f t="shared" ref="P8:R8" si="4">+P6*0.34</f>
        <v>1652.4</v>
      </c>
      <c r="Q8" s="4">
        <f t="shared" si="4"/>
        <v>1817.64</v>
      </c>
      <c r="R8" s="4">
        <f t="shared" si="4"/>
        <v>1999.4040000000002</v>
      </c>
      <c r="U8" s="4">
        <f>+U6-U7</f>
        <v>4028.3000000000029</v>
      </c>
      <c r="V8" s="4">
        <f>+V6-V7</f>
        <v>4003.9999999999982</v>
      </c>
      <c r="W8" s="4">
        <f>+W6-W7</f>
        <v>5139.6999999999989</v>
      </c>
      <c r="X8" s="4">
        <f>+X6-X7</f>
        <v>6846.4439999999995</v>
      </c>
      <c r="Y8" s="4">
        <f>+Y6*0.35</f>
        <v>7400.2004999999999</v>
      </c>
      <c r="Z8" s="4">
        <f t="shared" ref="Z8:AB8" si="5">+Z6*0.35</f>
        <v>7770.2105249999995</v>
      </c>
      <c r="AA8" s="4">
        <f t="shared" si="5"/>
        <v>8158.7210512500005</v>
      </c>
      <c r="AB8" s="4">
        <f t="shared" si="5"/>
        <v>8566.6571038125003</v>
      </c>
    </row>
    <row r="9" spans="1:103" x14ac:dyDescent="0.2">
      <c r="B9" t="s">
        <v>26</v>
      </c>
      <c r="C9" s="1">
        <v>0</v>
      </c>
      <c r="D9" s="1">
        <v>0</v>
      </c>
      <c r="E9" s="1">
        <v>12</v>
      </c>
      <c r="F9" s="1">
        <v>9.5</v>
      </c>
      <c r="G9" s="1">
        <v>5.4</v>
      </c>
      <c r="H9" s="1">
        <v>4</v>
      </c>
      <c r="I9" s="1">
        <v>9</v>
      </c>
      <c r="J9" s="1">
        <v>16.3</v>
      </c>
      <c r="K9" s="1">
        <v>0</v>
      </c>
      <c r="L9" s="1">
        <v>70</v>
      </c>
      <c r="M9" s="1">
        <v>45.4</v>
      </c>
      <c r="N9" s="1">
        <v>12</v>
      </c>
      <c r="O9" s="1">
        <v>10</v>
      </c>
      <c r="P9" s="1">
        <v>10</v>
      </c>
      <c r="Q9" s="1">
        <v>10</v>
      </c>
      <c r="R9" s="1">
        <v>10</v>
      </c>
      <c r="U9" s="8">
        <f>+SUM(C9:F9)</f>
        <v>21.5</v>
      </c>
      <c r="V9" s="8">
        <f>+SUM(G9:J9)</f>
        <v>34.700000000000003</v>
      </c>
      <c r="W9" s="8">
        <f>+SUM(K9:N9)</f>
        <v>127.4</v>
      </c>
      <c r="X9" s="8">
        <f>+SUM(O9:R9)</f>
        <v>40</v>
      </c>
      <c r="Y9" s="8">
        <f t="shared" ref="Y9:AB9" si="6">+SUM(P9:S9)</f>
        <v>30</v>
      </c>
      <c r="Z9" s="8">
        <f t="shared" si="6"/>
        <v>20</v>
      </c>
      <c r="AA9" s="8">
        <f t="shared" si="6"/>
        <v>31.5</v>
      </c>
      <c r="AB9" s="8">
        <f t="shared" si="6"/>
        <v>56.2</v>
      </c>
    </row>
    <row r="10" spans="1:103" x14ac:dyDescent="0.2">
      <c r="B10" t="s">
        <v>27</v>
      </c>
      <c r="C10" s="1">
        <v>336.8</v>
      </c>
      <c r="D10" s="1">
        <v>355.4</v>
      </c>
      <c r="E10" s="1">
        <v>366.9</v>
      </c>
      <c r="F10" s="1">
        <v>361.8</v>
      </c>
      <c r="G10" s="1">
        <v>346.3</v>
      </c>
      <c r="H10" s="1">
        <v>367.8</v>
      </c>
      <c r="I10" s="1">
        <v>381.6</v>
      </c>
      <c r="J10" s="1">
        <v>394.1</v>
      </c>
      <c r="K10" s="1">
        <v>404.2</v>
      </c>
      <c r="L10" s="1">
        <v>444.3</v>
      </c>
      <c r="M10" s="1">
        <v>492</v>
      </c>
      <c r="N10" s="1">
        <v>515</v>
      </c>
      <c r="O10" s="1">
        <f>+O6*0.12</f>
        <v>486</v>
      </c>
      <c r="P10" s="1">
        <f t="shared" ref="P10:R10" si="7">+P6*0.12</f>
        <v>583.19999999999993</v>
      </c>
      <c r="Q10" s="1">
        <f t="shared" si="7"/>
        <v>641.52</v>
      </c>
      <c r="R10" s="1">
        <f t="shared" si="7"/>
        <v>705.67200000000003</v>
      </c>
      <c r="U10" s="8">
        <f>+SUM(C10:F10)</f>
        <v>1420.8999999999999</v>
      </c>
      <c r="V10" s="8">
        <f>+SUM(G10:J10)</f>
        <v>1489.8000000000002</v>
      </c>
      <c r="W10" s="8">
        <f>+SUM(K10:N10)</f>
        <v>1855.5</v>
      </c>
      <c r="X10" s="8">
        <f>+SUM(O10:R10)</f>
        <v>2416.3919999999998</v>
      </c>
      <c r="Y10" s="1">
        <f>+X10*1.01</f>
        <v>2440.5559199999998</v>
      </c>
      <c r="Z10" s="1">
        <f t="shared" ref="Z10:AB10" si="8">+Y10*1.01</f>
        <v>2464.9614791999998</v>
      </c>
      <c r="AA10" s="1">
        <f t="shared" si="8"/>
        <v>2489.611093992</v>
      </c>
      <c r="AB10" s="1">
        <f t="shared" si="8"/>
        <v>2514.5072049319201</v>
      </c>
    </row>
    <row r="11" spans="1:103" x14ac:dyDescent="0.2">
      <c r="B11" t="s">
        <v>28</v>
      </c>
      <c r="C11" s="1">
        <f>+C10+C9</f>
        <v>336.8</v>
      </c>
      <c r="D11" s="1">
        <f>+D10+D9</f>
        <v>355.4</v>
      </c>
      <c r="E11" s="1">
        <f>+E10+E9</f>
        <v>378.9</v>
      </c>
      <c r="F11" s="1">
        <f>+F10+F9</f>
        <v>371.3</v>
      </c>
      <c r="G11" s="1">
        <f>+G10+G9</f>
        <v>351.7</v>
      </c>
      <c r="H11" s="1">
        <f>+H10+H9</f>
        <v>371.8</v>
      </c>
      <c r="I11" s="1">
        <f>+I10+I9</f>
        <v>390.6</v>
      </c>
      <c r="J11" s="1">
        <f>+J10+J9</f>
        <v>410.40000000000003</v>
      </c>
      <c r="K11" s="1">
        <f>+K10+K9</f>
        <v>404.2</v>
      </c>
      <c r="L11" s="1">
        <f>+L10+L9</f>
        <v>514.29999999999995</v>
      </c>
      <c r="M11" s="1">
        <f>+M10+M9</f>
        <v>537.4</v>
      </c>
      <c r="N11" s="1">
        <f>+N10+N9</f>
        <v>527</v>
      </c>
      <c r="O11" s="1">
        <f>+O10+O9</f>
        <v>496</v>
      </c>
      <c r="P11" s="1">
        <f t="shared" ref="P11:R11" si="9">+P10+P9</f>
        <v>593.19999999999993</v>
      </c>
      <c r="Q11" s="1">
        <f t="shared" si="9"/>
        <v>651.52</v>
      </c>
      <c r="R11" s="1">
        <f t="shared" si="9"/>
        <v>715.67200000000003</v>
      </c>
      <c r="U11" s="1">
        <f>+U10+U9</f>
        <v>1442.3999999999999</v>
      </c>
      <c r="V11" s="1">
        <f>+V10+V9</f>
        <v>1524.5000000000002</v>
      </c>
      <c r="W11" s="1">
        <f>+W10+W9</f>
        <v>1982.9</v>
      </c>
      <c r="X11" s="1">
        <f>+X10+X9</f>
        <v>2456.3919999999998</v>
      </c>
      <c r="Y11" s="1">
        <f t="shared" ref="Y11:AB11" si="10">+Y10+Y9</f>
        <v>2470.5559199999998</v>
      </c>
      <c r="Z11" s="1">
        <f t="shared" si="10"/>
        <v>2484.9614791999998</v>
      </c>
      <c r="AA11" s="1">
        <f t="shared" si="10"/>
        <v>2521.111093992</v>
      </c>
      <c r="AB11" s="1">
        <f t="shared" si="10"/>
        <v>2570.7072049319199</v>
      </c>
    </row>
    <row r="12" spans="1:103" x14ac:dyDescent="0.2">
      <c r="B12" t="s">
        <v>29</v>
      </c>
      <c r="C12" s="1">
        <f>+C8-C11</f>
        <v>589.80000000000018</v>
      </c>
      <c r="D12" s="1">
        <f>+D8-D11</f>
        <v>648.8000000000003</v>
      </c>
      <c r="E12" s="1">
        <f>+E8-E11</f>
        <v>681.1</v>
      </c>
      <c r="F12" s="1">
        <f>+F8-F11</f>
        <v>666.2</v>
      </c>
      <c r="G12" s="1">
        <f>+G8-G11</f>
        <v>591.70000000000005</v>
      </c>
      <c r="H12" s="1">
        <f>+H8-H11</f>
        <v>619.90000000000032</v>
      </c>
      <c r="I12" s="1">
        <f>+I8-I11</f>
        <v>577.9</v>
      </c>
      <c r="J12" s="1">
        <f>+J8-J11</f>
        <v>690</v>
      </c>
      <c r="K12" s="1">
        <f>+K8-K11</f>
        <v>684.8</v>
      </c>
      <c r="L12" s="1">
        <f>+L8-L11</f>
        <v>698.8</v>
      </c>
      <c r="M12" s="1">
        <f>+M8-M11</f>
        <v>819.50000000000011</v>
      </c>
      <c r="N12" s="1">
        <f>+N8-N11</f>
        <v>953.69999999999982</v>
      </c>
      <c r="O12" s="1">
        <f>+O8-O11</f>
        <v>881</v>
      </c>
      <c r="P12" s="1">
        <f t="shared" ref="P12:R12" si="11">+P8-P11</f>
        <v>1059.2000000000003</v>
      </c>
      <c r="Q12" s="1">
        <f t="shared" si="11"/>
        <v>1166.1200000000001</v>
      </c>
      <c r="R12" s="1">
        <f t="shared" si="11"/>
        <v>1283.7320000000002</v>
      </c>
      <c r="U12" s="1">
        <f>+U8-U11</f>
        <v>2585.9000000000033</v>
      </c>
      <c r="V12" s="1">
        <f>+V8-V11</f>
        <v>2479.4999999999982</v>
      </c>
      <c r="W12" s="1">
        <f>+W8-W11</f>
        <v>3156.7999999999988</v>
      </c>
      <c r="X12" s="1">
        <f>+X8-X11</f>
        <v>4390.0519999999997</v>
      </c>
      <c r="Y12" s="1">
        <f t="shared" ref="Y12:AB12" si="12">+Y8-Y11</f>
        <v>4929.6445800000001</v>
      </c>
      <c r="Z12" s="1">
        <f t="shared" si="12"/>
        <v>5285.2490457999993</v>
      </c>
      <c r="AA12" s="1">
        <f t="shared" si="12"/>
        <v>5637.6099572580006</v>
      </c>
      <c r="AB12" s="1">
        <f t="shared" si="12"/>
        <v>5995.9498988805808</v>
      </c>
    </row>
    <row r="13" spans="1:103" x14ac:dyDescent="0.2">
      <c r="B13" t="s">
        <v>30</v>
      </c>
      <c r="C13" s="1">
        <v>28.1</v>
      </c>
      <c r="D13" s="1">
        <v>30.5</v>
      </c>
      <c r="E13" s="1">
        <v>32.799999999999997</v>
      </c>
      <c r="F13" s="1">
        <v>37.1</v>
      </c>
      <c r="G13" s="1">
        <v>35.9</v>
      </c>
      <c r="H13" s="1">
        <v>35</v>
      </c>
      <c r="I13" s="1">
        <v>33.6</v>
      </c>
      <c r="J13" s="1">
        <v>35</v>
      </c>
      <c r="K13" s="1">
        <v>38.1</v>
      </c>
      <c r="L13" s="1">
        <v>56.3</v>
      </c>
      <c r="M13" s="1">
        <v>55.7</v>
      </c>
      <c r="N13" s="1">
        <v>66.900000000000006</v>
      </c>
      <c r="O13" s="1">
        <f>+AVERAGE(K13:N13)</f>
        <v>54.250000000000007</v>
      </c>
      <c r="P13" s="1">
        <f t="shared" ref="P13:R13" si="13">+AVERAGE(L13:O13)</f>
        <v>58.287500000000001</v>
      </c>
      <c r="Q13" s="1">
        <f t="shared" si="13"/>
        <v>58.784375000000004</v>
      </c>
      <c r="R13" s="1">
        <f t="shared" si="13"/>
        <v>59.555468750000003</v>
      </c>
      <c r="U13" s="8">
        <f>+SUM(C13:F13)</f>
        <v>128.5</v>
      </c>
      <c r="V13" s="8">
        <f>+SUM(G13:J13)</f>
        <v>139.5</v>
      </c>
      <c r="W13" s="8">
        <f>+SUM(K13:N13)</f>
        <v>217.00000000000003</v>
      </c>
      <c r="X13" s="8">
        <f>+SUM(O13:R13)</f>
        <v>230.87734375000002</v>
      </c>
      <c r="Y13" s="1">
        <f>+X13*1.01</f>
        <v>233.18611718750003</v>
      </c>
      <c r="Z13" s="1">
        <f t="shared" ref="Z13:AB13" si="14">+Y13*1.01</f>
        <v>235.51797835937504</v>
      </c>
      <c r="AA13" s="1">
        <f t="shared" si="14"/>
        <v>237.87315814296878</v>
      </c>
      <c r="AB13" s="1">
        <f t="shared" si="14"/>
        <v>240.25188972439847</v>
      </c>
    </row>
    <row r="14" spans="1:103" x14ac:dyDescent="0.2">
      <c r="B14" t="s">
        <v>31</v>
      </c>
      <c r="C14" s="1">
        <f>+C12-C13</f>
        <v>561.70000000000016</v>
      </c>
      <c r="D14" s="1">
        <f>+D12-D13</f>
        <v>618.3000000000003</v>
      </c>
      <c r="E14" s="1">
        <f>+E12-E13</f>
        <v>648.30000000000007</v>
      </c>
      <c r="F14" s="1">
        <f>+F12-F13</f>
        <v>629.1</v>
      </c>
      <c r="G14" s="1">
        <f>+G12-G13</f>
        <v>555.80000000000007</v>
      </c>
      <c r="H14" s="1">
        <f>+H12-H13</f>
        <v>584.90000000000032</v>
      </c>
      <c r="I14" s="1">
        <f>+I12-I13</f>
        <v>544.29999999999995</v>
      </c>
      <c r="J14" s="1">
        <f>+J12-J13</f>
        <v>655</v>
      </c>
      <c r="K14" s="1">
        <f>+K12-K13</f>
        <v>646.69999999999993</v>
      </c>
      <c r="L14" s="1">
        <f>+L12-L13</f>
        <v>642.5</v>
      </c>
      <c r="M14" s="1">
        <f>+M12-M13</f>
        <v>763.80000000000007</v>
      </c>
      <c r="N14" s="1">
        <f>+N12-N13</f>
        <v>886.79999999999984</v>
      </c>
      <c r="O14" s="1">
        <f>+O12-O13</f>
        <v>826.75</v>
      </c>
      <c r="P14" s="1">
        <f t="shared" ref="P14:R14" si="15">+P12-P13</f>
        <v>1000.9125000000003</v>
      </c>
      <c r="Q14" s="1">
        <f t="shared" si="15"/>
        <v>1107.3356250000002</v>
      </c>
      <c r="R14" s="1">
        <f t="shared" si="15"/>
        <v>1224.1765312500002</v>
      </c>
      <c r="U14" s="1">
        <f>+U12-U13</f>
        <v>2457.4000000000033</v>
      </c>
      <c r="V14" s="1">
        <f>+V12-V13</f>
        <v>2339.9999999999982</v>
      </c>
      <c r="W14" s="1">
        <f>+W12-W13</f>
        <v>2939.7999999999988</v>
      </c>
      <c r="X14" s="1">
        <f>+X12-X13</f>
        <v>4159.1746562499993</v>
      </c>
      <c r="Y14" s="1">
        <f t="shared" ref="Y14:AB14" si="16">+Y12-Y13</f>
        <v>4696.4584628125003</v>
      </c>
      <c r="Z14" s="1">
        <f t="shared" si="16"/>
        <v>5049.7310674406244</v>
      </c>
      <c r="AA14" s="1">
        <f t="shared" si="16"/>
        <v>5399.7367991150322</v>
      </c>
      <c r="AB14" s="1">
        <f t="shared" si="16"/>
        <v>5755.6980091561827</v>
      </c>
    </row>
    <row r="15" spans="1:103" x14ac:dyDescent="0.2">
      <c r="B15" t="s">
        <v>32</v>
      </c>
      <c r="C15" s="1">
        <v>134.19999999999999</v>
      </c>
      <c r="D15" s="1">
        <v>144.5</v>
      </c>
      <c r="E15" s="1">
        <v>150.4</v>
      </c>
      <c r="F15" s="1">
        <v>121.5</v>
      </c>
      <c r="G15" s="1">
        <v>117.2</v>
      </c>
      <c r="H15" s="1">
        <v>130.6</v>
      </c>
      <c r="I15" s="1">
        <v>115.2</v>
      </c>
      <c r="J15" s="1">
        <v>146.30000000000001</v>
      </c>
      <c r="K15" s="1">
        <v>110.7</v>
      </c>
      <c r="L15" s="1">
        <v>135.1</v>
      </c>
      <c r="M15" s="1">
        <v>166.1</v>
      </c>
      <c r="N15" s="1">
        <v>158.4</v>
      </c>
      <c r="O15" s="1">
        <f>+O14*0.2</f>
        <v>165.35000000000002</v>
      </c>
      <c r="P15" s="1">
        <f t="shared" ref="P15:R15" si="17">+P14*0.2</f>
        <v>200.18250000000006</v>
      </c>
      <c r="Q15" s="1">
        <f t="shared" si="17"/>
        <v>221.46712500000004</v>
      </c>
      <c r="R15" s="1">
        <f t="shared" si="17"/>
        <v>244.83530625000003</v>
      </c>
      <c r="U15" s="8">
        <f>+SUM(C15:F15)</f>
        <v>550.6</v>
      </c>
      <c r="V15" s="8">
        <f>+SUM(G15:J15)</f>
        <v>509.3</v>
      </c>
      <c r="W15" s="8">
        <f>+SUM(K15:N15)</f>
        <v>570.29999999999995</v>
      </c>
      <c r="X15" s="8">
        <f>+SUM(O15:R15)</f>
        <v>831.83493125000018</v>
      </c>
      <c r="Y15" s="1">
        <f>+X15*1.01</f>
        <v>840.15328056250019</v>
      </c>
      <c r="Z15" s="1">
        <f t="shared" ref="Z15:AB15" si="18">+Y15*1.01</f>
        <v>848.55481336812522</v>
      </c>
      <c r="AA15" s="1">
        <f t="shared" si="18"/>
        <v>857.0403615018065</v>
      </c>
      <c r="AB15" s="1">
        <f t="shared" si="18"/>
        <v>865.61076511682461</v>
      </c>
    </row>
    <row r="16" spans="1:103" s="3" customFormat="1" x14ac:dyDescent="0.2">
      <c r="B16" s="3" t="s">
        <v>33</v>
      </c>
      <c r="C16" s="4">
        <f>+C14-C15</f>
        <v>427.50000000000017</v>
      </c>
      <c r="D16" s="4">
        <f>+D14-D15</f>
        <v>473.8000000000003</v>
      </c>
      <c r="E16" s="4">
        <f>+E14-E15</f>
        <v>497.90000000000009</v>
      </c>
      <c r="F16" s="4">
        <f>+F14-F15</f>
        <v>507.6</v>
      </c>
      <c r="G16" s="4">
        <f>+G14-G15</f>
        <v>438.60000000000008</v>
      </c>
      <c r="H16" s="4">
        <f>+H14-H15</f>
        <v>454.3000000000003</v>
      </c>
      <c r="I16" s="4">
        <f>+I14-I15</f>
        <v>429.09999999999997</v>
      </c>
      <c r="J16" s="4">
        <f>+J14-J15</f>
        <v>508.7</v>
      </c>
      <c r="K16" s="4">
        <f>+K14-K15</f>
        <v>535.99999999999989</v>
      </c>
      <c r="L16" s="4">
        <f>+L14-L15</f>
        <v>507.4</v>
      </c>
      <c r="M16" s="4">
        <f>+M14-M15</f>
        <v>597.70000000000005</v>
      </c>
      <c r="N16" s="4">
        <f>+N14-N15</f>
        <v>728.39999999999986</v>
      </c>
      <c r="O16" s="4">
        <f>+O14-O15</f>
        <v>661.4</v>
      </c>
      <c r="P16" s="4">
        <f t="shared" ref="P16:R16" si="19">+P14-P15</f>
        <v>800.73000000000025</v>
      </c>
      <c r="Q16" s="4">
        <f t="shared" si="19"/>
        <v>885.86850000000015</v>
      </c>
      <c r="R16" s="4">
        <f t="shared" si="19"/>
        <v>979.34122500000012</v>
      </c>
      <c r="U16" s="4">
        <f>+U14-U15</f>
        <v>1906.8000000000034</v>
      </c>
      <c r="V16" s="4">
        <f>+V14-V15</f>
        <v>1830.6999999999982</v>
      </c>
      <c r="W16" s="4">
        <f>+W14-W15</f>
        <v>2369.4999999999991</v>
      </c>
      <c r="X16" s="4">
        <f>+X14-X15</f>
        <v>3327.3397249999989</v>
      </c>
      <c r="Y16" s="4">
        <f t="shared" ref="Y16:AB16" si="20">+Y14-Y15</f>
        <v>3856.3051822500001</v>
      </c>
      <c r="Z16" s="4">
        <f t="shared" si="20"/>
        <v>4201.1762540724994</v>
      </c>
      <c r="AA16" s="4">
        <f t="shared" si="20"/>
        <v>4542.6964376132255</v>
      </c>
      <c r="AB16" s="4">
        <f t="shared" si="20"/>
        <v>4890.0872440393578</v>
      </c>
      <c r="AC16" s="4">
        <f>+AB16*1.02</f>
        <v>4987.8889889201446</v>
      </c>
      <c r="AD16" s="4">
        <f t="shared" ref="AD16:AK16" si="21">+AC16*1.02</f>
        <v>5087.6467686985479</v>
      </c>
      <c r="AE16" s="4">
        <f t="shared" si="21"/>
        <v>5189.3997040725189</v>
      </c>
      <c r="AF16" s="4">
        <f t="shared" si="21"/>
        <v>5293.187698153969</v>
      </c>
      <c r="AG16" s="4">
        <f t="shared" si="21"/>
        <v>5399.051452117048</v>
      </c>
      <c r="AH16" s="4">
        <f t="shared" si="21"/>
        <v>5507.0324811593891</v>
      </c>
      <c r="AI16" s="4">
        <f t="shared" si="21"/>
        <v>5617.1731307825767</v>
      </c>
      <c r="AJ16" s="4">
        <f t="shared" si="21"/>
        <v>5729.516593398228</v>
      </c>
      <c r="AK16" s="4">
        <f t="shared" si="21"/>
        <v>5844.1069252661928</v>
      </c>
      <c r="AL16" s="4">
        <f>+AK16*(1+$AA22)</f>
        <v>5785.6658560135311</v>
      </c>
      <c r="AM16" s="4">
        <f t="shared" ref="AM16:CV16" si="22">+AL16*(1+$AA22)</f>
        <v>5727.8091974533954</v>
      </c>
      <c r="AN16" s="4">
        <f t="shared" si="22"/>
        <v>5670.5311054788617</v>
      </c>
      <c r="AO16" s="4">
        <f t="shared" si="22"/>
        <v>5613.8257944240731</v>
      </c>
      <c r="AP16" s="4">
        <f t="shared" si="22"/>
        <v>5557.6875364798325</v>
      </c>
      <c r="AQ16" s="4">
        <f t="shared" si="22"/>
        <v>5502.1106611150344</v>
      </c>
      <c r="AR16" s="4">
        <f t="shared" si="22"/>
        <v>5447.0895545038838</v>
      </c>
      <c r="AS16" s="4">
        <f t="shared" si="22"/>
        <v>5392.6186589588451</v>
      </c>
      <c r="AT16" s="4">
        <f t="shared" si="22"/>
        <v>5338.6924723692564</v>
      </c>
      <c r="AU16" s="4">
        <f t="shared" si="22"/>
        <v>5285.3055476455638</v>
      </c>
      <c r="AV16" s="4">
        <f t="shared" si="22"/>
        <v>5232.4524921691082</v>
      </c>
      <c r="AW16" s="4">
        <f t="shared" si="22"/>
        <v>5180.1279672474175</v>
      </c>
      <c r="AX16" s="4">
        <f t="shared" si="22"/>
        <v>5128.3266875749432</v>
      </c>
      <c r="AY16" s="4">
        <f t="shared" si="22"/>
        <v>5077.043420699194</v>
      </c>
      <c r="AZ16" s="4">
        <f t="shared" si="22"/>
        <v>5026.2729864922021</v>
      </c>
      <c r="BA16" s="4">
        <f t="shared" si="22"/>
        <v>4976.0102566272799</v>
      </c>
      <c r="BB16" s="4">
        <f t="shared" si="22"/>
        <v>4926.2501540610074</v>
      </c>
      <c r="BC16" s="4">
        <f t="shared" si="22"/>
        <v>4876.9876525203972</v>
      </c>
      <c r="BD16" s="4">
        <f t="shared" si="22"/>
        <v>4828.2177759951928</v>
      </c>
      <c r="BE16" s="4">
        <f t="shared" si="22"/>
        <v>4779.9355982352408</v>
      </c>
      <c r="BF16" s="4">
        <f t="shared" si="22"/>
        <v>4732.1362422528882</v>
      </c>
      <c r="BG16" s="4">
        <f t="shared" si="22"/>
        <v>4684.8148798303591</v>
      </c>
      <c r="BH16" s="4">
        <f t="shared" si="22"/>
        <v>4637.9667310320556</v>
      </c>
      <c r="BI16" s="4">
        <f t="shared" si="22"/>
        <v>4591.5870637217349</v>
      </c>
      <c r="BJ16" s="4">
        <f t="shared" si="22"/>
        <v>4545.6711930845177</v>
      </c>
      <c r="BK16" s="4">
        <f t="shared" si="22"/>
        <v>4500.2144811536728</v>
      </c>
      <c r="BL16" s="4">
        <f t="shared" si="22"/>
        <v>4455.212336342136</v>
      </c>
      <c r="BM16" s="4">
        <f t="shared" si="22"/>
        <v>4410.6602129787143</v>
      </c>
      <c r="BN16" s="4">
        <f t="shared" si="22"/>
        <v>4366.5536108489268</v>
      </c>
      <c r="BO16" s="4">
        <f t="shared" si="22"/>
        <v>4322.8880747404373</v>
      </c>
      <c r="BP16" s="4">
        <f t="shared" si="22"/>
        <v>4279.6591939930331</v>
      </c>
      <c r="BQ16" s="4">
        <f t="shared" si="22"/>
        <v>4236.8626020531028</v>
      </c>
      <c r="BR16" s="4">
        <f t="shared" si="22"/>
        <v>4194.4939760325715</v>
      </c>
      <c r="BS16" s="4">
        <f t="shared" si="22"/>
        <v>4152.5490362722458</v>
      </c>
      <c r="BT16" s="4">
        <f t="shared" si="22"/>
        <v>4111.0235459095229</v>
      </c>
      <c r="BU16" s="4">
        <f t="shared" si="22"/>
        <v>4069.9133104504276</v>
      </c>
      <c r="BV16" s="4">
        <f t="shared" si="22"/>
        <v>4029.2141773459234</v>
      </c>
      <c r="BW16" s="4">
        <f t="shared" si="22"/>
        <v>3988.9220355724642</v>
      </c>
      <c r="BX16" s="4">
        <f t="shared" si="22"/>
        <v>3949.0328152167394</v>
      </c>
      <c r="BY16" s="4">
        <f t="shared" si="22"/>
        <v>3909.542487064572</v>
      </c>
      <c r="BZ16" s="4">
        <f t="shared" si="22"/>
        <v>3870.4470621939263</v>
      </c>
      <c r="CA16" s="4">
        <f t="shared" si="22"/>
        <v>3831.7425915719868</v>
      </c>
      <c r="CB16" s="4">
        <f t="shared" si="22"/>
        <v>3793.4251656562669</v>
      </c>
      <c r="CC16" s="4">
        <f t="shared" si="22"/>
        <v>3755.4909139997044</v>
      </c>
      <c r="CD16" s="4">
        <f t="shared" si="22"/>
        <v>3717.9360048597073</v>
      </c>
      <c r="CE16" s="4">
        <f t="shared" si="22"/>
        <v>3680.7566448111102</v>
      </c>
      <c r="CF16" s="4">
        <f t="shared" si="22"/>
        <v>3643.949078362999</v>
      </c>
      <c r="CG16" s="4">
        <f t="shared" si="22"/>
        <v>3607.5095875793691</v>
      </c>
      <c r="CH16" s="4">
        <f t="shared" si="22"/>
        <v>3571.4344917035755</v>
      </c>
      <c r="CI16" s="4">
        <f t="shared" si="22"/>
        <v>3535.7201467865398</v>
      </c>
      <c r="CJ16" s="4">
        <f t="shared" si="22"/>
        <v>3500.3629453186745</v>
      </c>
      <c r="CK16" s="4">
        <f t="shared" si="22"/>
        <v>3465.3593158654876</v>
      </c>
      <c r="CL16" s="4">
        <f t="shared" si="22"/>
        <v>3430.7057227068326</v>
      </c>
      <c r="CM16" s="4">
        <f t="shared" si="22"/>
        <v>3396.3986654797641</v>
      </c>
      <c r="CN16" s="4">
        <f t="shared" si="22"/>
        <v>3362.4346788249663</v>
      </c>
      <c r="CO16" s="4">
        <f t="shared" si="22"/>
        <v>3328.8103320367168</v>
      </c>
      <c r="CP16" s="4">
        <f t="shared" si="22"/>
        <v>3295.5222287163497</v>
      </c>
      <c r="CQ16" s="4">
        <f t="shared" si="22"/>
        <v>3262.5670064291862</v>
      </c>
      <c r="CR16" s="4">
        <f t="shared" si="22"/>
        <v>3229.9413363648941</v>
      </c>
      <c r="CS16" s="4">
        <f t="shared" si="22"/>
        <v>3197.6419230012452</v>
      </c>
      <c r="CT16" s="4">
        <f t="shared" si="22"/>
        <v>3165.6655037712326</v>
      </c>
      <c r="CU16" s="4">
        <f t="shared" si="22"/>
        <v>3134.0088487335202</v>
      </c>
      <c r="CV16" s="4">
        <f t="shared" si="22"/>
        <v>3102.6687602461848</v>
      </c>
      <c r="CW16" s="4"/>
      <c r="CX16" s="4"/>
      <c r="CY16" s="4"/>
    </row>
    <row r="17" spans="2:28" x14ac:dyDescent="0.2">
      <c r="B17" t="s">
        <v>34</v>
      </c>
      <c r="C17" s="5">
        <f>+C16/C18</f>
        <v>0.34531502423263344</v>
      </c>
      <c r="D17" s="5">
        <f>+D16/D18</f>
        <v>0.38271405492730232</v>
      </c>
      <c r="E17" s="5">
        <f>+E16/E18</f>
        <v>0.40218093699515356</v>
      </c>
      <c r="F17" s="5">
        <f>+F16/F18</f>
        <v>0.40935483870967743</v>
      </c>
      <c r="G17" s="5">
        <f>+G16/G18</f>
        <v>0.35370967741935488</v>
      </c>
      <c r="H17" s="5">
        <f>+H16/H18</f>
        <v>0.38179678964618896</v>
      </c>
      <c r="I17" s="5">
        <f>+I16/I18</f>
        <v>0.34490796559762077</v>
      </c>
      <c r="J17" s="5">
        <f>+J16/J18</f>
        <v>0.41024193548387095</v>
      </c>
      <c r="K17" s="5">
        <f>+K16/K18</f>
        <v>0.4267515923566878</v>
      </c>
      <c r="L17" s="5">
        <f>+L16/L18</f>
        <v>0.42202445313149795</v>
      </c>
      <c r="M17" s="5">
        <f>+M16/M18</f>
        <v>0.47230343737653108</v>
      </c>
      <c r="N17" s="5">
        <f>+N16/N18</f>
        <v>0.57440264963330956</v>
      </c>
      <c r="O17" s="5">
        <f>+O16/O18</f>
        <v>0.52156769970822492</v>
      </c>
      <c r="P17" s="5">
        <f t="shared" ref="P17:R17" si="23">+P16/P18</f>
        <v>0.63144073811213652</v>
      </c>
      <c r="Q17" s="5">
        <f t="shared" si="23"/>
        <v>0.69857937071208909</v>
      </c>
      <c r="R17" s="5">
        <f t="shared" si="23"/>
        <v>0.77229021764845063</v>
      </c>
      <c r="U17" s="9">
        <f>+U16/U18</f>
        <v>1.5396043601130427</v>
      </c>
      <c r="V17" s="9">
        <f>+V16/V18</f>
        <v>1.4901912901912888</v>
      </c>
      <c r="W17" s="9">
        <f>+W16/W18</f>
        <v>1.9225152129817438</v>
      </c>
      <c r="X17" s="9">
        <f>+X16/X18</f>
        <v>2.6928939179346059</v>
      </c>
      <c r="Y17" s="9">
        <f t="shared" ref="Y17:AB17" si="24">+Y16/Y18</f>
        <v>3.1075427553487249</v>
      </c>
      <c r="Z17" s="9">
        <f t="shared" si="24"/>
        <v>3.3663945624491673</v>
      </c>
      <c r="AA17" s="9">
        <f t="shared" si="24"/>
        <v>3.6312521483718827</v>
      </c>
      <c r="AB17" s="9">
        <f t="shared" si="24"/>
        <v>3.8582091948710864</v>
      </c>
    </row>
    <row r="18" spans="2:28" x14ac:dyDescent="0.2">
      <c r="B18" t="s">
        <v>1</v>
      </c>
      <c r="C18" s="1">
        <f>619*2</f>
        <v>1238</v>
      </c>
      <c r="D18" s="1">
        <f>619*2</f>
        <v>1238</v>
      </c>
      <c r="E18" s="1">
        <f>619*2</f>
        <v>1238</v>
      </c>
      <c r="F18" s="1">
        <f>620*2</f>
        <v>1240</v>
      </c>
      <c r="G18" s="1">
        <f>620*2</f>
        <v>1240</v>
      </c>
      <c r="H18" s="1">
        <v>1189.9000000000001</v>
      </c>
      <c r="I18" s="1">
        <v>1244.0999999999999</v>
      </c>
      <c r="J18" s="1">
        <f>620*2</f>
        <v>1240</v>
      </c>
      <c r="K18" s="1">
        <f>628*2</f>
        <v>1256</v>
      </c>
      <c r="L18" s="1">
        <v>1202.3</v>
      </c>
      <c r="M18" s="1">
        <v>1265.5</v>
      </c>
      <c r="N18" s="1">
        <v>1268.0999999999999</v>
      </c>
      <c r="O18" s="1">
        <v>1268.0999999999999</v>
      </c>
      <c r="P18" s="1">
        <v>1268.0999999999999</v>
      </c>
      <c r="Q18" s="1">
        <v>1268.0999999999999</v>
      </c>
      <c r="R18" s="1">
        <v>1268.0999999999999</v>
      </c>
      <c r="U18" s="1">
        <f>+AVERAGE(C18:F18)</f>
        <v>1238.5</v>
      </c>
      <c r="V18" s="1">
        <f>+AVERAGE(G18:J18)</f>
        <v>1228.5</v>
      </c>
      <c r="W18" s="1">
        <f>+AVERAGE(H18:K18)</f>
        <v>1232.5</v>
      </c>
      <c r="X18" s="1">
        <f>+AVERAGE(I18:L18)</f>
        <v>1235.5999999999999</v>
      </c>
      <c r="Y18" s="1">
        <f t="shared" ref="Y18:AB18" si="25">+AVERAGE(J18:M18)</f>
        <v>1240.95</v>
      </c>
      <c r="Z18" s="1">
        <f t="shared" si="25"/>
        <v>1247.9749999999999</v>
      </c>
      <c r="AA18" s="1">
        <f t="shared" si="25"/>
        <v>1251</v>
      </c>
      <c r="AB18" s="1">
        <f t="shared" si="25"/>
        <v>1267.4499999999998</v>
      </c>
    </row>
    <row r="20" spans="2:28" x14ac:dyDescent="0.2">
      <c r="B20" t="s">
        <v>35</v>
      </c>
      <c r="C20" s="6">
        <f>+C8/C6</f>
        <v>0.31389952234154278</v>
      </c>
      <c r="D20" s="6">
        <f t="shared" ref="D20:O20" si="26">+D8/D6</f>
        <v>0.32013516959959198</v>
      </c>
      <c r="E20" s="6">
        <f t="shared" si="26"/>
        <v>0.32168001942218988</v>
      </c>
      <c r="F20" s="6">
        <f t="shared" si="26"/>
        <v>0.32029513460113612</v>
      </c>
      <c r="G20" s="6">
        <f t="shared" si="26"/>
        <v>0.31721587088096842</v>
      </c>
      <c r="H20" s="6">
        <f t="shared" si="26"/>
        <v>0.32473230950587784</v>
      </c>
      <c r="I20" s="6">
        <f t="shared" si="26"/>
        <v>0.31049628109771737</v>
      </c>
      <c r="J20" s="6">
        <f t="shared" si="26"/>
        <v>0.33069872276483847</v>
      </c>
      <c r="K20" s="6">
        <f t="shared" si="26"/>
        <v>0.3344286460092743</v>
      </c>
      <c r="L20" s="6">
        <f t="shared" si="26"/>
        <v>0.33606670914480424</v>
      </c>
      <c r="M20" s="6">
        <f t="shared" si="26"/>
        <v>0.33596612855303554</v>
      </c>
      <c r="N20" s="6">
        <f t="shared" si="26"/>
        <v>0.34292132749716298</v>
      </c>
      <c r="O20" s="6">
        <f t="shared" si="26"/>
        <v>0.34</v>
      </c>
      <c r="U20" s="6"/>
      <c r="V20" s="6">
        <f>+V6/U6-1</f>
        <v>-1.1764146683461596E-2</v>
      </c>
      <c r="W20" s="6">
        <f>+W6/V6-1</f>
        <v>0.22029564074198782</v>
      </c>
      <c r="X20" s="6">
        <f>+X6/W6-1</f>
        <v>0.32280081720062803</v>
      </c>
    </row>
    <row r="21" spans="2:28" x14ac:dyDescent="0.2">
      <c r="B21" t="s">
        <v>36</v>
      </c>
      <c r="G21" s="6">
        <f t="shared" ref="G21:M21" si="27">+G6/C6-1</f>
        <v>7.4867034791150644E-3</v>
      </c>
      <c r="H21" s="6">
        <f t="shared" si="27"/>
        <v>-2.6428207090028133E-2</v>
      </c>
      <c r="I21" s="6">
        <f t="shared" si="27"/>
        <v>-5.3411022092740956E-2</v>
      </c>
      <c r="J21" s="6">
        <f t="shared" si="27"/>
        <v>2.7259817238824535E-2</v>
      </c>
      <c r="K21" s="6">
        <f t="shared" si="27"/>
        <v>9.4922663080027059E-2</v>
      </c>
      <c r="L21" s="6">
        <f t="shared" si="27"/>
        <v>0.1819967909885718</v>
      </c>
      <c r="M21" s="6">
        <f t="shared" si="27"/>
        <v>0.29481918440625821</v>
      </c>
      <c r="N21" s="6">
        <f>+N6/J6-1</f>
        <v>0.29764087152516883</v>
      </c>
    </row>
    <row r="22" spans="2:28" x14ac:dyDescent="0.2">
      <c r="B22" t="s">
        <v>32</v>
      </c>
      <c r="C22" s="6">
        <f t="shared" ref="C22:N22" si="28">+C15/C14</f>
        <v>0.23891757165746833</v>
      </c>
      <c r="D22" s="6">
        <f t="shared" si="28"/>
        <v>0.23370532104156547</v>
      </c>
      <c r="E22" s="6">
        <f t="shared" si="28"/>
        <v>0.23199136202375442</v>
      </c>
      <c r="F22" s="6">
        <f t="shared" si="28"/>
        <v>0.19313304721030042</v>
      </c>
      <c r="G22" s="6">
        <f t="shared" si="28"/>
        <v>0.21086721842389347</v>
      </c>
      <c r="H22" s="6">
        <f t="shared" si="28"/>
        <v>0.22328603180030762</v>
      </c>
      <c r="I22" s="6">
        <f t="shared" si="28"/>
        <v>0.21164798824177847</v>
      </c>
      <c r="J22" s="6">
        <f t="shared" si="28"/>
        <v>0.22335877862595421</v>
      </c>
      <c r="K22" s="6">
        <f t="shared" si="28"/>
        <v>0.17117674346683162</v>
      </c>
      <c r="L22" s="6">
        <f t="shared" si="28"/>
        <v>0.21027237354085601</v>
      </c>
      <c r="M22" s="6">
        <f t="shared" si="28"/>
        <v>0.21746530505367895</v>
      </c>
      <c r="N22" s="6">
        <f>+N15/N14</f>
        <v>0.17861975642760491</v>
      </c>
      <c r="Z22" t="s">
        <v>85</v>
      </c>
      <c r="AA22" s="6">
        <v>-0.01</v>
      </c>
    </row>
    <row r="23" spans="2:28" x14ac:dyDescent="0.2">
      <c r="B23" t="s">
        <v>37</v>
      </c>
      <c r="C23" s="6">
        <f t="shared" ref="C23:N23" si="29">+C12/C8</f>
        <v>0.63652061299374063</v>
      </c>
      <c r="D23" s="6">
        <f t="shared" si="29"/>
        <v>0.64608643696474821</v>
      </c>
      <c r="E23" s="6">
        <f t="shared" si="29"/>
        <v>0.64254716981132076</v>
      </c>
      <c r="F23" s="6">
        <f t="shared" si="29"/>
        <v>0.64212048192771087</v>
      </c>
      <c r="G23" s="6">
        <f t="shared" si="29"/>
        <v>0.62719949120203522</v>
      </c>
      <c r="H23" s="6">
        <f t="shared" si="29"/>
        <v>0.62508823232832522</v>
      </c>
      <c r="I23" s="6">
        <f t="shared" si="29"/>
        <v>0.59669592152813622</v>
      </c>
      <c r="J23" s="6">
        <f t="shared" si="29"/>
        <v>0.62704471101417658</v>
      </c>
      <c r="K23" s="6">
        <f t="shared" si="29"/>
        <v>0.62883379247015603</v>
      </c>
      <c r="L23" s="6">
        <f t="shared" si="29"/>
        <v>0.57604484378864063</v>
      </c>
      <c r="M23" s="6">
        <f t="shared" si="29"/>
        <v>0.60395018055862637</v>
      </c>
      <c r="N23" s="6">
        <f>+N12/N8</f>
        <v>0.64408725602755446</v>
      </c>
      <c r="Z23" t="s">
        <v>86</v>
      </c>
      <c r="AA23" s="6">
        <v>0.05</v>
      </c>
    </row>
    <row r="24" spans="2:28" x14ac:dyDescent="0.2">
      <c r="B24" t="s">
        <v>61</v>
      </c>
      <c r="N24" s="6">
        <f>+N10/N6</f>
        <v>0.11927094189304988</v>
      </c>
      <c r="Z24" t="s">
        <v>87</v>
      </c>
      <c r="AA24" s="10">
        <f>+NPV(AA23,U16:CY16)</f>
        <v>87834.984781903928</v>
      </c>
    </row>
    <row r="25" spans="2:28" x14ac:dyDescent="0.2">
      <c r="N25" s="6"/>
      <c r="Z25" t="s">
        <v>1</v>
      </c>
      <c r="AA25" s="5">
        <f>+AA24/Main!J5</f>
        <v>72.892103553447242</v>
      </c>
    </row>
    <row r="26" spans="2:28" x14ac:dyDescent="0.2">
      <c r="B26" t="s">
        <v>84</v>
      </c>
      <c r="M26" s="1">
        <f>+M61+M63</f>
        <v>1501.4</v>
      </c>
      <c r="N26" s="6"/>
      <c r="U26" s="1">
        <f>+U61+U63</f>
        <v>4051.8999999999996</v>
      </c>
      <c r="V26" s="1">
        <f>+V61+V63</f>
        <v>4062.8999999999996</v>
      </c>
      <c r="W26" s="1">
        <f>+W61+W63</f>
        <v>0</v>
      </c>
      <c r="Z26" t="s">
        <v>88</v>
      </c>
      <c r="AA26">
        <v>69.22</v>
      </c>
    </row>
    <row r="27" spans="2:28" x14ac:dyDescent="0.2">
      <c r="Z27" t="s">
        <v>89</v>
      </c>
      <c r="AA27" s="6">
        <f>+AA25/AA26-1</f>
        <v>5.3049747955030924E-2</v>
      </c>
    </row>
    <row r="28" spans="2:28" x14ac:dyDescent="0.2">
      <c r="B28" t="s">
        <v>38</v>
      </c>
      <c r="L28" s="1">
        <f>+L30+L31-L45</f>
        <v>-4137.2000000000007</v>
      </c>
      <c r="M28" s="1">
        <f>+M30+M31-M45</f>
        <v>-3900.8</v>
      </c>
      <c r="N28" s="1">
        <f>+N30+N31-N45</f>
        <v>-3550.6999999999994</v>
      </c>
      <c r="O28" s="1">
        <f>+N28+O16</f>
        <v>-2889.2999999999993</v>
      </c>
      <c r="P28" s="1">
        <f>+O28+P16</f>
        <v>-2088.5699999999988</v>
      </c>
      <c r="Q28" s="1">
        <f>+P28+Q16</f>
        <v>-1202.7014999999988</v>
      </c>
      <c r="R28" s="1">
        <f>+Q28+R16</f>
        <v>-223.36027499999864</v>
      </c>
    </row>
    <row r="30" spans="2:28" x14ac:dyDescent="0.2">
      <c r="B30" t="s">
        <v>39</v>
      </c>
      <c r="L30" s="1">
        <v>1252.5</v>
      </c>
      <c r="M30" s="1">
        <v>1563</v>
      </c>
      <c r="N30" s="1">
        <v>3317</v>
      </c>
    </row>
    <row r="31" spans="2:28" x14ac:dyDescent="0.2">
      <c r="B31" t="s">
        <v>40</v>
      </c>
      <c r="L31" s="1">
        <v>49.7</v>
      </c>
      <c r="M31" s="1">
        <v>20.3</v>
      </c>
      <c r="N31" s="1">
        <v>18.399999999999999</v>
      </c>
    </row>
    <row r="32" spans="2:28" x14ac:dyDescent="0.2">
      <c r="B32" t="s">
        <v>41</v>
      </c>
      <c r="L32" s="1">
        <v>2855.5</v>
      </c>
      <c r="M32" s="1">
        <v>3130.3</v>
      </c>
      <c r="N32" s="1">
        <v>3287.9</v>
      </c>
    </row>
    <row r="33" spans="2:14" x14ac:dyDescent="0.2">
      <c r="B33" t="s">
        <v>42</v>
      </c>
      <c r="L33" s="1">
        <v>2398.8000000000002</v>
      </c>
      <c r="M33" s="1">
        <v>2578.8000000000002</v>
      </c>
      <c r="N33" s="1">
        <v>2545.6999999999998</v>
      </c>
    </row>
    <row r="34" spans="2:14" x14ac:dyDescent="0.2">
      <c r="B34" t="s">
        <v>43</v>
      </c>
      <c r="L34" s="1">
        <v>415.3</v>
      </c>
      <c r="M34" s="1">
        <v>480.4</v>
      </c>
      <c r="N34" s="1">
        <v>517</v>
      </c>
    </row>
    <row r="35" spans="2:14" x14ac:dyDescent="0.2">
      <c r="B35" t="s">
        <v>44</v>
      </c>
      <c r="L35" s="1">
        <v>1534</v>
      </c>
      <c r="M35" s="1">
        <v>1670.9</v>
      </c>
      <c r="N35" s="1">
        <v>1711.8</v>
      </c>
    </row>
    <row r="36" spans="2:14" x14ac:dyDescent="0.2">
      <c r="B36" t="s">
        <v>45</v>
      </c>
      <c r="L36" s="1">
        <v>8261.7000000000007</v>
      </c>
      <c r="M36" s="1">
        <v>8352.1</v>
      </c>
      <c r="N36" s="1">
        <v>8236.2000000000007</v>
      </c>
    </row>
    <row r="37" spans="2:14" x14ac:dyDescent="0.2">
      <c r="B37" t="s">
        <v>46</v>
      </c>
      <c r="L37" s="1">
        <v>1308.7</v>
      </c>
      <c r="M37" s="1">
        <v>1247</v>
      </c>
      <c r="N37" s="1">
        <v>1225.0999999999999</v>
      </c>
    </row>
    <row r="38" spans="2:14" x14ac:dyDescent="0.2">
      <c r="B38" t="s">
        <v>47</v>
      </c>
      <c r="L38" s="1">
        <v>510.5</v>
      </c>
      <c r="M38" s="1">
        <v>542.79999999999995</v>
      </c>
      <c r="N38" s="1">
        <v>581.1</v>
      </c>
    </row>
    <row r="39" spans="2:14" x14ac:dyDescent="0.2">
      <c r="B39" t="s">
        <v>48</v>
      </c>
      <c r="L39" s="1">
        <f>+SUM(L30:L38)</f>
        <v>18586.7</v>
      </c>
      <c r="M39" s="1">
        <f>+SUM(M30:M38)</f>
        <v>19585.600000000002</v>
      </c>
      <c r="N39" s="1">
        <f>+SUM(N30:N38)</f>
        <v>21440.199999999997</v>
      </c>
    </row>
    <row r="41" spans="2:14" x14ac:dyDescent="0.2">
      <c r="B41" t="s">
        <v>49</v>
      </c>
      <c r="L41" s="1">
        <v>1521.4</v>
      </c>
      <c r="M41" s="1">
        <v>1763</v>
      </c>
      <c r="N41" s="1">
        <v>1819.4</v>
      </c>
    </row>
    <row r="42" spans="2:14" x14ac:dyDescent="0.2">
      <c r="B42" t="s">
        <v>50</v>
      </c>
      <c r="L42" s="1">
        <v>423.2</v>
      </c>
      <c r="M42" s="1">
        <v>480.2</v>
      </c>
      <c r="N42" s="1">
        <v>529.79999999999995</v>
      </c>
    </row>
    <row r="43" spans="2:14" x14ac:dyDescent="0.2">
      <c r="B43" t="s">
        <v>32</v>
      </c>
      <c r="L43" s="1">
        <v>104.3</v>
      </c>
      <c r="M43" s="1">
        <v>124.4</v>
      </c>
      <c r="N43" s="1">
        <v>199</v>
      </c>
    </row>
    <row r="44" spans="2:14" x14ac:dyDescent="0.2">
      <c r="B44" t="s">
        <v>55</v>
      </c>
      <c r="L44" s="1">
        <v>132.4</v>
      </c>
      <c r="M44" s="1">
        <v>198.9</v>
      </c>
      <c r="N44" s="1">
        <v>199.5</v>
      </c>
    </row>
    <row r="45" spans="2:14" x14ac:dyDescent="0.2">
      <c r="B45" t="s">
        <v>4</v>
      </c>
      <c r="L45" s="1">
        <f>404.1+5035.3</f>
        <v>5439.4000000000005</v>
      </c>
      <c r="M45" s="1">
        <f>403.1+5081</f>
        <v>5484.1</v>
      </c>
      <c r="N45" s="1">
        <f>401.7+6484.4</f>
        <v>6886.0999999999995</v>
      </c>
    </row>
    <row r="46" spans="2:14" x14ac:dyDescent="0.2">
      <c r="B46" t="s">
        <v>52</v>
      </c>
      <c r="L46" s="1">
        <v>141.4</v>
      </c>
      <c r="M46" s="1">
        <v>147.4</v>
      </c>
      <c r="N46" s="1">
        <v>129.80000000000001</v>
      </c>
    </row>
    <row r="47" spans="2:14" x14ac:dyDescent="0.2">
      <c r="B47" t="s">
        <v>53</v>
      </c>
      <c r="L47" s="1">
        <v>445.7</v>
      </c>
      <c r="M47" s="1">
        <v>439.7</v>
      </c>
      <c r="N47" s="1">
        <v>376.7</v>
      </c>
    </row>
    <row r="48" spans="2:14" x14ac:dyDescent="0.2">
      <c r="B48" t="s">
        <v>47</v>
      </c>
      <c r="L48">
        <f>458.1+870.4</f>
        <v>1328.5</v>
      </c>
      <c r="M48">
        <f>932.1+489</f>
        <v>1421.1</v>
      </c>
      <c r="N48">
        <f>509.4+934.4</f>
        <v>1443.8</v>
      </c>
    </row>
    <row r="49" spans="2:23" x14ac:dyDescent="0.2">
      <c r="B49" t="s">
        <v>54</v>
      </c>
      <c r="L49" s="1">
        <f>+SUM(L41:L48)</f>
        <v>9536.3000000000011</v>
      </c>
      <c r="M49" s="1">
        <f>+SUM(M41:M48)</f>
        <v>10058.800000000001</v>
      </c>
      <c r="N49" s="1">
        <f>+SUM(N41:N48)</f>
        <v>11584.099999999999</v>
      </c>
    </row>
    <row r="51" spans="2:23" x14ac:dyDescent="0.2">
      <c r="B51" t="s">
        <v>56</v>
      </c>
      <c r="L51">
        <f>9030.6+19.9</f>
        <v>9050.5</v>
      </c>
      <c r="M51" s="1">
        <f>9506.1+20.7</f>
        <v>9526.8000000000011</v>
      </c>
      <c r="N51" s="1">
        <f>9847.4+8.7</f>
        <v>9856.1</v>
      </c>
    </row>
    <row r="52" spans="2:23" x14ac:dyDescent="0.2">
      <c r="B52" t="s">
        <v>57</v>
      </c>
      <c r="L52" s="1">
        <f>+L49+L51</f>
        <v>18586.800000000003</v>
      </c>
      <c r="M52" s="1">
        <f>+M49+M51</f>
        <v>19585.600000000002</v>
      </c>
      <c r="N52" s="1">
        <f>+N49+N51</f>
        <v>21440.199999999997</v>
      </c>
    </row>
    <row r="54" spans="2:23" x14ac:dyDescent="0.2">
      <c r="B54" t="s">
        <v>67</v>
      </c>
      <c r="M54" s="1">
        <f>598+507+536</f>
        <v>1641</v>
      </c>
      <c r="U54" s="1">
        <v>1907</v>
      </c>
      <c r="V54" s="1">
        <v>1831</v>
      </c>
      <c r="W54" s="1"/>
    </row>
    <row r="55" spans="2:23" x14ac:dyDescent="0.2">
      <c r="B55" t="s">
        <v>68</v>
      </c>
      <c r="M55" s="1">
        <v>1689.6</v>
      </c>
      <c r="U55" s="1">
        <v>1916.8</v>
      </c>
      <c r="V55" s="1">
        <v>1945.5</v>
      </c>
      <c r="W55" s="1"/>
    </row>
    <row r="56" spans="2:23" x14ac:dyDescent="0.2">
      <c r="B56" t="s">
        <v>69</v>
      </c>
      <c r="M56" s="1">
        <v>428.7</v>
      </c>
      <c r="U56" s="1">
        <v>392.9</v>
      </c>
      <c r="V56" s="1">
        <v>406.4</v>
      </c>
      <c r="W56" s="1"/>
    </row>
    <row r="57" spans="2:23" x14ac:dyDescent="0.2">
      <c r="B57" t="s">
        <v>70</v>
      </c>
      <c r="M57" s="1">
        <v>79.900000000000006</v>
      </c>
      <c r="U57" s="1">
        <v>89.5</v>
      </c>
      <c r="V57" s="1">
        <v>99</v>
      </c>
      <c r="W57" s="1"/>
    </row>
    <row r="58" spans="2:23" x14ac:dyDescent="0.2">
      <c r="B58" t="s">
        <v>53</v>
      </c>
      <c r="M58" s="1">
        <v>-33.6</v>
      </c>
      <c r="U58" s="1">
        <v>-4.7</v>
      </c>
      <c r="V58" s="1">
        <v>-58.8</v>
      </c>
      <c r="W58" s="1"/>
    </row>
    <row r="59" spans="2:23" x14ac:dyDescent="0.2">
      <c r="B59" t="s">
        <v>26</v>
      </c>
      <c r="M59" s="1">
        <v>0</v>
      </c>
      <c r="U59" s="1">
        <v>0</v>
      </c>
      <c r="V59" s="1">
        <v>-5.4</v>
      </c>
      <c r="W59" s="1"/>
    </row>
    <row r="60" spans="2:23" x14ac:dyDescent="0.2">
      <c r="B60" t="s">
        <v>71</v>
      </c>
      <c r="M60" s="1">
        <v>-197.6</v>
      </c>
      <c r="U60" s="1">
        <f>-273.1+-278.5+49.7+62.5+77.6+168.7-0.4+-26.4</f>
        <v>-219.90000000000009</v>
      </c>
      <c r="V60" s="1">
        <v>142</v>
      </c>
      <c r="W60" s="1"/>
    </row>
    <row r="61" spans="2:23" x14ac:dyDescent="0.2">
      <c r="B61" t="s">
        <v>72</v>
      </c>
      <c r="M61" s="1">
        <f>+SUM(M55:M60)</f>
        <v>1967</v>
      </c>
      <c r="U61" s="1">
        <v>4435.7</v>
      </c>
      <c r="V61" s="1">
        <v>4435.7</v>
      </c>
      <c r="W61" s="1"/>
    </row>
    <row r="63" spans="2:23" x14ac:dyDescent="0.2">
      <c r="B63" t="s">
        <v>73</v>
      </c>
      <c r="M63" s="1">
        <v>-465.6</v>
      </c>
      <c r="U63">
        <v>-383.8</v>
      </c>
      <c r="V63">
        <v>-372.8</v>
      </c>
    </row>
    <row r="64" spans="2:23" x14ac:dyDescent="0.2">
      <c r="B64" t="s">
        <v>44</v>
      </c>
      <c r="M64" s="1">
        <v>7.1</v>
      </c>
      <c r="U64">
        <v>5.6</v>
      </c>
      <c r="V64">
        <v>4</v>
      </c>
    </row>
    <row r="65" spans="2:22" x14ac:dyDescent="0.2">
      <c r="B65" t="s">
        <v>74</v>
      </c>
      <c r="M65" s="1">
        <v>-20.7</v>
      </c>
      <c r="U65">
        <v>-309.39999999999998</v>
      </c>
      <c r="V65">
        <v>-305.7</v>
      </c>
    </row>
    <row r="66" spans="2:22" x14ac:dyDescent="0.2">
      <c r="B66" t="s">
        <v>75</v>
      </c>
      <c r="M66" s="1">
        <v>181.7</v>
      </c>
      <c r="U66">
        <v>228.2</v>
      </c>
      <c r="V66">
        <v>246.3</v>
      </c>
    </row>
    <row r="67" spans="2:22" x14ac:dyDescent="0.2">
      <c r="B67" t="s">
        <v>26</v>
      </c>
      <c r="M67" s="1">
        <v>-2099.8000000000002</v>
      </c>
      <c r="U67">
        <v>-288.2</v>
      </c>
      <c r="V67">
        <v>-970.4</v>
      </c>
    </row>
    <row r="68" spans="2:22" x14ac:dyDescent="0.2">
      <c r="B68" t="s">
        <v>51</v>
      </c>
      <c r="M68" s="1">
        <v>-0.9</v>
      </c>
      <c r="U68">
        <v>16.5</v>
      </c>
      <c r="V68">
        <v>4.9000000000000004</v>
      </c>
    </row>
    <row r="69" spans="2:22" x14ac:dyDescent="0.2">
      <c r="B69" t="s">
        <v>76</v>
      </c>
      <c r="M69" s="1">
        <f>+SUM(M63:M68)</f>
        <v>-2398.2000000000003</v>
      </c>
      <c r="U69">
        <f>+SUM(U63:U68)</f>
        <v>-731.09999999999991</v>
      </c>
      <c r="V69">
        <f>+SUM(V63:V68)</f>
        <v>-1393.6999999999998</v>
      </c>
    </row>
    <row r="71" spans="2:22" x14ac:dyDescent="0.2">
      <c r="B71" t="s">
        <v>78</v>
      </c>
      <c r="M71" s="1">
        <v>1500.1</v>
      </c>
      <c r="U71">
        <v>5.8</v>
      </c>
      <c r="V71">
        <v>354.9</v>
      </c>
    </row>
    <row r="72" spans="2:22" x14ac:dyDescent="0.2">
      <c r="B72" t="s">
        <v>77</v>
      </c>
      <c r="M72" s="1">
        <v>-353.7</v>
      </c>
      <c r="U72">
        <f>-10.3+-44.9+-159.3</f>
        <v>-214.5</v>
      </c>
      <c r="V72">
        <v>-648.30000000000007</v>
      </c>
    </row>
    <row r="73" spans="2:22" x14ac:dyDescent="0.2">
      <c r="B73" t="s">
        <v>79</v>
      </c>
      <c r="M73" s="1">
        <v>0</v>
      </c>
      <c r="U73">
        <v>44.9</v>
      </c>
      <c r="V73">
        <v>0</v>
      </c>
    </row>
    <row r="74" spans="2:22" x14ac:dyDescent="0.2">
      <c r="B74" t="s">
        <v>4</v>
      </c>
      <c r="M74" s="1">
        <v>-14.7</v>
      </c>
      <c r="U74">
        <v>-0.4</v>
      </c>
      <c r="V74">
        <v>-2.2999999999999998</v>
      </c>
    </row>
    <row r="75" spans="2:22" x14ac:dyDescent="0.2">
      <c r="B75" t="s">
        <v>26</v>
      </c>
      <c r="M75" s="1">
        <v>0</v>
      </c>
      <c r="U75">
        <v>0</v>
      </c>
      <c r="V75">
        <v>-1.5</v>
      </c>
    </row>
    <row r="76" spans="2:22" x14ac:dyDescent="0.2">
      <c r="B76" t="s">
        <v>80</v>
      </c>
      <c r="M76" s="1">
        <v>-520.4</v>
      </c>
      <c r="U76">
        <v>-730.5</v>
      </c>
      <c r="V76">
        <v>-585.1</v>
      </c>
    </row>
    <row r="77" spans="2:22" x14ac:dyDescent="0.2">
      <c r="B77" t="s">
        <v>81</v>
      </c>
      <c r="M77" s="1">
        <v>320.3</v>
      </c>
      <c r="U77">
        <v>185.3</v>
      </c>
      <c r="V77">
        <v>394.5</v>
      </c>
    </row>
    <row r="78" spans="2:22" x14ac:dyDescent="0.2">
      <c r="B78" t="s">
        <v>82</v>
      </c>
      <c r="M78" s="1">
        <v>-20.8</v>
      </c>
      <c r="U78">
        <v>-9.9</v>
      </c>
      <c r="V78">
        <v>-24</v>
      </c>
    </row>
    <row r="79" spans="2:22" x14ac:dyDescent="0.2">
      <c r="B79" t="s">
        <v>55</v>
      </c>
      <c r="M79" s="1">
        <v>-396.2</v>
      </c>
      <c r="U79">
        <v>-477.4</v>
      </c>
      <c r="V79">
        <v>-500.6</v>
      </c>
    </row>
    <row r="80" spans="2:22" x14ac:dyDescent="0.2">
      <c r="B80" t="s">
        <v>51</v>
      </c>
      <c r="M80" s="1">
        <v>1.2</v>
      </c>
      <c r="U80">
        <v>0</v>
      </c>
      <c r="V80">
        <v>0</v>
      </c>
    </row>
    <row r="81" spans="2:23" x14ac:dyDescent="0.2">
      <c r="B81" t="s">
        <v>83</v>
      </c>
      <c r="M81" s="1">
        <f>+SUM(M71:M80)</f>
        <v>515.79999999999995</v>
      </c>
      <c r="U81" s="1">
        <f>+SUM(U71:U80)</f>
        <v>-1196.7</v>
      </c>
      <c r="V81" s="1">
        <f>+SUM(V71:V80)</f>
        <v>-1012.4000000000002</v>
      </c>
      <c r="W81" s="1"/>
    </row>
  </sheetData>
  <hyperlinks>
    <hyperlink ref="A1" r:id="rId1" xr:uid="{C437C0DB-0380-4BA6-9044-9626F69CE98E}"/>
  </hyperlinks>
  <pageMargins left="0.7" right="0.7" top="0.75" bottom="0.75" header="0.3" footer="0.3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Rasmus Kipp</dc:creator>
  <cp:lastModifiedBy>Rasmus Kipp</cp:lastModifiedBy>
  <dcterms:created xsi:type="dcterms:W3CDTF">2025-01-29T14:34:49Z</dcterms:created>
  <dcterms:modified xsi:type="dcterms:W3CDTF">2025-01-29T23:00:45Z</dcterms:modified>
</cp:coreProperties>
</file>